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677" activeTab="2"/>
  </bookViews>
  <sheets>
    <sheet name="建筑群组" sheetId="12" r:id="rId1"/>
    <sheet name="中心类建筑" sheetId="3" r:id="rId2"/>
    <sheet name="政府建筑" sheetId="7" r:id="rId3"/>
    <sheet name="工厂建筑" sheetId="1" r:id="rId4"/>
    <sheet name="自给建筑" sheetId="11" r:id="rId5"/>
    <sheet name="农场建筑" sheetId="4" r:id="rId6"/>
    <sheet name="种植园建筑" sheetId="5" r:id="rId7"/>
    <sheet name="矿业建筑" sheetId="9" r:id="rId8"/>
    <sheet name="其余资源建筑" sheetId="15" r:id="rId9"/>
    <sheet name="职业种类" sheetId="13" r:id="rId10"/>
    <sheet name="商品" sheetId="2" r:id="rId11"/>
    <sheet name="生活水平" sheetId="14" r:id="rId12"/>
    <sheet name="科技" sheetId="10" r:id="rId13"/>
  </sheets>
  <definedNames>
    <definedName name="_xlnm._FilterDatabase" localSheetId="3" hidden="1">工厂建筑!$A$1:$W$58</definedName>
  </definedNames>
  <calcPr calcId="144525"/>
</workbook>
</file>

<file path=xl/comments1.xml><?xml version="1.0" encoding="utf-8"?>
<comments xmlns="http://schemas.openxmlformats.org/spreadsheetml/2006/main">
  <authors>
    <author>Administrator</author>
  </authors>
  <commentList>
    <comment ref="I1" authorId="0">
      <text>
        <r>
          <rPr>
            <sz val="9"/>
            <rFont val="宋体"/>
            <charset val="134"/>
          </rPr>
          <t>修正不受吞吐量影响</t>
        </r>
      </text>
    </comment>
    <comment ref="P1" authorId="0">
      <text>
        <r>
          <rPr>
            <sz val="9"/>
            <rFont val="宋体"/>
            <charset val="134"/>
          </rPr>
          <t>这个生产方式会雇佣的人数</t>
        </r>
      </text>
    </comment>
    <comment ref="Q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 authorId="0">
      <text>
        <r>
          <rPr>
            <sz val="9"/>
            <rFont val="宋体"/>
            <charset val="134"/>
          </rPr>
          <t>假设建筑基准工资为3</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 ref="I2" authorId="0">
      <text>
        <r>
          <rPr>
            <sz val="9"/>
            <rFont val="宋体"/>
            <charset val="134"/>
          </rPr>
          <t>机构行政力人口花费乘数</t>
        </r>
      </text>
    </comment>
    <comment ref="C66" authorId="0">
      <text>
        <r>
          <rPr>
            <sz val="9"/>
            <rFont val="宋体"/>
            <charset val="134"/>
          </rPr>
          <t>部落勇士</t>
        </r>
      </text>
    </comment>
  </commentList>
</comments>
</file>

<file path=xl/comments2.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这个生产方式的商品产出总价是投入总价的百分之多少</t>
        </r>
      </text>
    </comment>
    <comment ref="AH1" authorId="0">
      <text>
        <r>
          <rPr>
            <sz val="9"/>
            <rFont val="宋体"/>
            <charset val="134"/>
          </rPr>
          <t>这个生产方式会雇佣的人数</t>
        </r>
      </text>
    </comment>
    <comment ref="AI1" authorId="0">
      <text>
        <r>
          <rPr>
            <sz val="9"/>
            <rFont val="宋体"/>
            <charset val="134"/>
          </rPr>
          <t>建筑工资为基准工资×工资权重</t>
        </r>
      </text>
    </comment>
    <comment ref="AJ1" authorId="0">
      <text>
        <r>
          <rPr>
            <sz val="9"/>
            <rFont val="宋体"/>
            <charset val="134"/>
          </rPr>
          <t>假设建筑基准工资为3，权重×基准工资得出年工资
年工资÷52后保留一位小数且四舍五入得出周工资</t>
        </r>
      </text>
    </comment>
    <comment ref="AK1" authorId="0">
      <text>
        <r>
          <rPr>
            <sz val="9"/>
            <rFont val="宋体"/>
            <charset val="134"/>
          </rPr>
          <t>这个生产方式的工资占商品净利润的百分比</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这个生产方式的商品净利润占生产方式总支出的百分比</t>
        </r>
      </text>
    </comment>
    <comment ref="AO1" authorId="0">
      <text>
        <r>
          <rPr>
            <sz val="9"/>
            <rFont val="宋体"/>
            <charset val="134"/>
          </rPr>
          <t>这个生产方式平均每个人贡献了多少利润</t>
        </r>
      </text>
    </comment>
    <comment ref="E4" authorId="0">
      <text>
        <r>
          <rPr>
            <sz val="9"/>
            <rFont val="宋体"/>
            <charset val="134"/>
          </rPr>
          <t>10</t>
        </r>
      </text>
    </comment>
    <comment ref="N4" authorId="0">
      <text>
        <r>
          <rPr>
            <sz val="9"/>
            <rFont val="宋体"/>
            <charset val="134"/>
          </rPr>
          <t>50</t>
        </r>
      </text>
    </comment>
    <comment ref="E5" authorId="0">
      <text>
        <r>
          <rPr>
            <sz val="9"/>
            <rFont val="宋体"/>
            <charset val="134"/>
          </rPr>
          <t>10</t>
        </r>
      </text>
    </comment>
    <comment ref="N5" authorId="0">
      <text>
        <r>
          <rPr>
            <sz val="9"/>
            <rFont val="宋体"/>
            <charset val="134"/>
          </rPr>
          <t>100</t>
        </r>
      </text>
    </comment>
    <comment ref="W12" authorId="0">
      <text>
        <r>
          <rPr>
            <sz val="9"/>
            <rFont val="宋体"/>
            <charset val="134"/>
          </rPr>
          <t>原设计-3200</t>
        </r>
      </text>
    </comment>
    <comment ref="W32" authorId="0">
      <text>
        <r>
          <rPr>
            <sz val="9"/>
            <rFont val="宋体"/>
            <charset val="134"/>
          </rPr>
          <t>原设计-3200</t>
        </r>
      </text>
    </comment>
    <comment ref="W52" authorId="0">
      <text>
        <r>
          <rPr>
            <sz val="9"/>
            <rFont val="宋体"/>
            <charset val="134"/>
          </rPr>
          <t>原设计-3200</t>
        </r>
      </text>
    </comment>
    <comment ref="W72" authorId="0">
      <text>
        <r>
          <rPr>
            <sz val="9"/>
            <rFont val="宋体"/>
            <charset val="134"/>
          </rPr>
          <t>原设计-3200</t>
        </r>
      </text>
    </comment>
    <comment ref="W92" authorId="0">
      <text>
        <r>
          <rPr>
            <sz val="9"/>
            <rFont val="宋体"/>
            <charset val="134"/>
          </rPr>
          <t>原设计-3200</t>
        </r>
      </text>
    </comment>
    <comment ref="A103" authorId="0">
      <text>
        <r>
          <rPr>
            <sz val="9"/>
            <rFont val="宋体"/>
            <charset val="134"/>
          </rPr>
          <t>这个建筑只有一个生产方式</t>
        </r>
      </text>
    </comment>
    <comment ref="G106" authorId="0">
      <text>
        <r>
          <rPr>
            <sz val="9"/>
            <rFont val="宋体"/>
            <charset val="134"/>
          </rPr>
          <t>5</t>
        </r>
      </text>
    </comment>
    <comment ref="S106" authorId="0">
      <text>
        <r>
          <rPr>
            <sz val="9"/>
            <rFont val="宋体"/>
            <charset val="134"/>
          </rPr>
          <t>60</t>
        </r>
      </text>
    </comment>
    <comment ref="G107" authorId="0">
      <text>
        <r>
          <rPr>
            <sz val="9"/>
            <rFont val="宋体"/>
            <charset val="134"/>
          </rPr>
          <t>10</t>
        </r>
      </text>
    </comment>
    <comment ref="H107" authorId="0">
      <text>
        <r>
          <rPr>
            <sz val="9"/>
            <rFont val="宋体"/>
            <charset val="134"/>
          </rPr>
          <t>30</t>
        </r>
      </text>
    </comment>
    <comment ref="S107" authorId="0">
      <text>
        <r>
          <rPr>
            <sz val="9"/>
            <rFont val="宋体"/>
            <charset val="134"/>
          </rPr>
          <t>100</t>
        </r>
      </text>
    </comment>
    <comment ref="U107" authorId="0">
      <text>
        <r>
          <rPr>
            <sz val="9"/>
            <rFont val="宋体"/>
            <charset val="134"/>
          </rPr>
          <t>20</t>
        </r>
      </text>
    </comment>
    <comment ref="H113" authorId="0">
      <text>
        <r>
          <rPr>
            <sz val="9"/>
            <rFont val="宋体"/>
            <charset val="134"/>
          </rPr>
          <t>20</t>
        </r>
      </text>
    </comment>
    <comment ref="U113" authorId="0">
      <text>
        <r>
          <rPr>
            <sz val="9"/>
            <rFont val="宋体"/>
            <charset val="134"/>
          </rPr>
          <t>10</t>
        </r>
      </text>
    </comment>
    <comment ref="W113" authorId="0">
      <text>
        <r>
          <rPr>
            <sz val="9"/>
            <rFont val="宋体"/>
            <charset val="134"/>
          </rPr>
          <t>原设计-3200</t>
        </r>
      </text>
    </comment>
    <comment ref="G116" authorId="0">
      <text>
        <r>
          <rPr>
            <sz val="9"/>
            <rFont val="宋体"/>
            <charset val="134"/>
          </rPr>
          <t>20</t>
        </r>
      </text>
    </comment>
    <comment ref="S116" authorId="0">
      <text>
        <r>
          <rPr>
            <sz val="9"/>
            <rFont val="宋体"/>
            <charset val="134"/>
          </rPr>
          <t>30</t>
        </r>
      </text>
    </comment>
    <comment ref="H127" authorId="0">
      <text>
        <r>
          <rPr>
            <sz val="9"/>
            <rFont val="宋体"/>
            <charset val="134"/>
          </rPr>
          <t>30</t>
        </r>
      </text>
    </comment>
    <comment ref="U127" authorId="0">
      <text>
        <r>
          <rPr>
            <sz val="9"/>
            <rFont val="宋体"/>
            <charset val="134"/>
          </rPr>
          <t>40</t>
        </r>
      </text>
    </comment>
    <comment ref="K132" authorId="0">
      <text>
        <r>
          <rPr>
            <sz val="9"/>
            <rFont val="宋体"/>
            <charset val="134"/>
          </rPr>
          <t>5</t>
        </r>
      </text>
    </comment>
    <comment ref="T132" authorId="0">
      <text>
        <r>
          <rPr>
            <sz val="9"/>
            <rFont val="宋体"/>
            <charset val="134"/>
          </rPr>
          <t>10</t>
        </r>
      </text>
    </comment>
    <comment ref="H133" authorId="0">
      <text>
        <r>
          <rPr>
            <sz val="9"/>
            <rFont val="宋体"/>
            <charset val="134"/>
          </rPr>
          <t>20</t>
        </r>
      </text>
    </comment>
    <comment ref="K133" authorId="0">
      <text>
        <r>
          <rPr>
            <sz val="9"/>
            <rFont val="宋体"/>
            <charset val="134"/>
          </rPr>
          <t>20</t>
        </r>
      </text>
    </comment>
    <comment ref="T133" authorId="0">
      <text>
        <r>
          <rPr>
            <sz val="9"/>
            <rFont val="宋体"/>
            <charset val="134"/>
          </rPr>
          <t>30</t>
        </r>
      </text>
    </comment>
    <comment ref="U133" authorId="0">
      <text>
        <r>
          <rPr>
            <sz val="9"/>
            <rFont val="宋体"/>
            <charset val="134"/>
          </rPr>
          <t>20</t>
        </r>
      </text>
    </comment>
    <comment ref="W133" authorId="0">
      <text>
        <r>
          <rPr>
            <sz val="9"/>
            <rFont val="宋体"/>
            <charset val="134"/>
          </rPr>
          <t>原设计-3200</t>
        </r>
      </text>
    </comment>
    <comment ref="K136" authorId="0">
      <text>
        <r>
          <rPr>
            <sz val="9"/>
            <rFont val="宋体"/>
            <charset val="134"/>
          </rPr>
          <t>10</t>
        </r>
      </text>
    </comment>
    <comment ref="T136" authorId="0">
      <text>
        <r>
          <rPr>
            <sz val="9"/>
            <rFont val="宋体"/>
            <charset val="134"/>
          </rPr>
          <t>20</t>
        </r>
      </text>
    </comment>
  </commentList>
</comments>
</file>

<file path=xl/comments3.xml><?xml version="1.0" encoding="utf-8"?>
<comments xmlns="http://schemas.openxmlformats.org/spreadsheetml/2006/main">
  <authors>
    <author>Administrator</author>
  </authors>
  <commentList>
    <comment ref="D2" authorId="0">
      <text>
        <r>
          <rPr>
            <sz val="9"/>
            <rFont val="宋体"/>
            <charset val="134"/>
          </rPr>
          <t>每周结算一次</t>
        </r>
      </text>
    </comment>
    <comment ref="E2" authorId="0">
      <text>
        <r>
          <rPr>
            <sz val="9"/>
            <rFont val="宋体"/>
            <charset val="134"/>
          </rPr>
          <t>一年结算一次，但52周是364天</t>
        </r>
      </text>
    </comment>
    <comment ref="G2" authorId="0">
      <text>
        <r>
          <rPr>
            <sz val="9"/>
            <rFont val="宋体"/>
            <charset val="134"/>
          </rPr>
          <t>假设建筑提供的基准工资是3.00</t>
        </r>
      </text>
    </comment>
    <comment ref="C16" authorId="0">
      <text>
        <r>
          <rPr>
            <sz val="9"/>
            <rFont val="宋体"/>
            <charset val="134"/>
          </rPr>
          <t>原版是10</t>
        </r>
      </text>
    </comment>
  </commentList>
</comments>
</file>

<file path=xl/comments4.xml><?xml version="1.0" encoding="utf-8"?>
<comments xmlns="http://schemas.openxmlformats.org/spreadsheetml/2006/main">
  <authors>
    <author>Administrator</author>
  </authors>
  <commentList>
    <comment ref="AA2" authorId="0">
      <text>
        <r>
          <rPr>
            <sz val="9"/>
            <rFont val="宋体"/>
            <charset val="134"/>
          </rPr>
          <t>财富等级就是生活水平，且一定会是整数，因为有太多的整数，所以平均值才能精确到两位小数。1是最小值，99是最大值，如果没有人则会是0。</t>
        </r>
      </text>
    </comment>
    <comment ref="AC5" authorId="0">
      <text>
        <r>
          <rPr>
            <sz val="9"/>
            <rFont val="宋体"/>
            <charset val="134"/>
          </rPr>
          <t>我不是在暗示什么，你自己不纯洁别误会我</t>
        </r>
      </text>
    </comment>
    <comment ref="O9" authorId="0">
      <text>
        <r>
          <rPr>
            <sz val="9"/>
            <rFont val="宋体"/>
            <charset val="134"/>
          </rPr>
          <t>泽露</t>
        </r>
      </text>
    </comment>
    <comment ref="J15" authorId="0">
      <text>
        <r>
          <rPr>
            <sz val="9"/>
            <rFont val="宋体"/>
            <charset val="134"/>
          </rPr>
          <t>价格不受供应需求影响而波动</t>
        </r>
      </text>
    </comment>
  </commentList>
</comments>
</file>

<file path=xl/comments5.xml><?xml version="1.0" encoding="utf-8"?>
<comments xmlns="http://schemas.openxmlformats.org/spreadsheetml/2006/main">
  <authors>
    <author>Administrator</author>
  </authors>
  <commentList>
    <comment ref="A2" authorId="0">
      <text>
        <r>
          <rPr>
            <sz val="9"/>
            <rFont val="宋体"/>
            <charset val="134"/>
          </rPr>
          <t>生活水平</t>
        </r>
      </text>
    </comment>
  </commentList>
</comments>
</file>

<file path=xl/comments6.xml><?xml version="1.0" encoding="utf-8"?>
<comments xmlns="http://schemas.openxmlformats.org/spreadsheetml/2006/main">
  <authors>
    <author>Administrator</author>
  </authors>
  <commentList>
    <comment ref="T4" authorId="0">
      <text>
        <r>
          <rPr>
            <sz val="9"/>
            <rFont val="宋体"/>
            <charset val="134"/>
          </rPr>
          <t>-5上级阶层最低生活水平预期
-1中级阶层最低生活水平预期</t>
        </r>
      </text>
    </comment>
    <comment ref="T13" authorId="0">
      <text>
        <r>
          <rPr>
            <sz val="9"/>
            <rFont val="宋体"/>
            <charset val="134"/>
          </rPr>
          <t xml:space="preserve">解锁自给建筑生产方式：先天魔法协助
</t>
        </r>
      </text>
    </comment>
    <comment ref="T16" authorId="0">
      <text>
        <r>
          <rPr>
            <sz val="9"/>
            <rFont val="宋体"/>
            <charset val="134"/>
          </rPr>
          <t>解锁建筑：炼金厂
解锁炼金厂生产方式：秘银合成</t>
        </r>
      </text>
    </comment>
    <comment ref="R19" authorId="0">
      <text>
        <r>
          <rPr>
            <sz val="9"/>
            <rFont val="宋体"/>
            <charset val="134"/>
          </rPr>
          <t>解锁炼金厂生产方式：生产生长药剂
解锁农场建筑生产方式：生长药剂
解锁种植园建筑生产方式：生长药剂</t>
        </r>
      </text>
    </comment>
    <comment ref="T19" authorId="0">
      <text>
        <r>
          <rPr>
            <sz val="9"/>
            <rFont val="宋体"/>
            <charset val="134"/>
          </rPr>
          <t>解锁炼金场的生产方式：药剂生产
解锁矿业建筑生产方式：爆破药剂</t>
        </r>
      </text>
    </comment>
    <comment ref="V19" authorId="0">
      <text>
        <r>
          <rPr>
            <sz val="9"/>
            <rFont val="宋体"/>
            <charset val="134"/>
          </rPr>
          <t>-5%死亡率</t>
        </r>
      </text>
    </comment>
    <comment ref="N25" authorId="0">
      <text>
        <r>
          <rPr>
            <sz val="9"/>
            <rFont val="宋体"/>
            <charset val="134"/>
          </rPr>
          <t>+20%矿场、%伐木场吞吐量
+10农场、种植园吞吐量</t>
        </r>
      </text>
    </comment>
  </commentList>
</comments>
</file>

<file path=xl/sharedStrings.xml><?xml version="1.0" encoding="utf-8"?>
<sst xmlns="http://schemas.openxmlformats.org/spreadsheetml/2006/main" count="1660" uniqueCount="552">
  <si>
    <t>基础设施城镇化建筑群</t>
  </si>
  <si>
    <t>基础设施</t>
  </si>
  <si>
    <t>城镇化</t>
  </si>
  <si>
    <t>吞吐量</t>
  </si>
  <si>
    <t>铁路</t>
  </si>
  <si>
    <t>消耗</t>
  </si>
  <si>
    <t xml:space="preserve">引擎 </t>
  </si>
  <si>
    <t>木头</t>
  </si>
  <si>
    <t>秘银</t>
  </si>
  <si>
    <t>钢</t>
  </si>
  <si>
    <t>煤炭</t>
  </si>
  <si>
    <t>泽洛</t>
  </si>
  <si>
    <t>产出</t>
  </si>
  <si>
    <t>运力</t>
  </si>
  <si>
    <t>雇佣</t>
  </si>
  <si>
    <t>劳工</t>
  </si>
  <si>
    <t>技工</t>
  </si>
  <si>
    <t>工程师</t>
  </si>
  <si>
    <t>法士</t>
  </si>
  <si>
    <t>收益</t>
  </si>
  <si>
    <t>支出</t>
  </si>
  <si>
    <t>收入</t>
  </si>
  <si>
    <t>利润</t>
  </si>
  <si>
    <t>劳动生产率</t>
  </si>
  <si>
    <t>投入产出比</t>
  </si>
  <si>
    <t>其他</t>
  </si>
  <si>
    <t>蒸汽列车</t>
  </si>
  <si>
    <t>高压列车</t>
  </si>
  <si>
    <t>超流体列车</t>
  </si>
  <si>
    <t>传送阵</t>
  </si>
  <si>
    <t>灵能水晶</t>
  </si>
  <si>
    <t>小规模传送</t>
  </si>
  <si>
    <t>规模化传送</t>
  </si>
  <si>
    <t>恒定传送阵</t>
  </si>
  <si>
    <t>道路</t>
  </si>
  <si>
    <t>工具</t>
  </si>
  <si>
    <t>谷物</t>
  </si>
  <si>
    <t>魔能浮空车</t>
  </si>
  <si>
    <t>平整道路</t>
  </si>
  <si>
    <t>鹅卵石道路</t>
  </si>
  <si>
    <t>沥青道路</t>
  </si>
  <si>
    <t>人力运输</t>
  </si>
  <si>
    <t>畜力运输</t>
  </si>
  <si>
    <t>魔能浮空车运输</t>
  </si>
  <si>
    <t>城镇中心</t>
  </si>
  <si>
    <t>玻璃</t>
  </si>
  <si>
    <t>引擎</t>
  </si>
  <si>
    <t>魔偶</t>
  </si>
  <si>
    <t>浮空车</t>
  </si>
  <si>
    <t>服务</t>
  </si>
  <si>
    <t>职工</t>
  </si>
  <si>
    <t>店主</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</si>
  <si>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</si>
  <si>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</si>
  <si>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</si>
  <si>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</si>
  <si>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</si>
  <si>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</si>
  <si>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</si>
  <si>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</si>
  <si>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</si>
  <si>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</si>
  <si>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</si>
  <si>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</si>
  <si>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</si>
  <si>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</si>
  <si>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</si>
  <si>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</si>
  <si>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布料</t>
  </si>
  <si>
    <t>建造</t>
  </si>
  <si>
    <t>投入产出率</t>
  </si>
  <si>
    <t>建造能力</t>
  </si>
  <si>
    <t>建筑</t>
  </si>
  <si>
    <t>生产方式群组</t>
  </si>
  <si>
    <t>生产方式</t>
  </si>
  <si>
    <t>投入1</t>
  </si>
  <si>
    <t>投入2</t>
  </si>
  <si>
    <t>投入3</t>
  </si>
  <si>
    <t>投入4</t>
  </si>
  <si>
    <t>产出1</t>
  </si>
  <si>
    <t>修正</t>
  </si>
  <si>
    <t>雇佣1</t>
  </si>
  <si>
    <t>雇佣2</t>
  </si>
  <si>
    <t>雇佣3</t>
  </si>
  <si>
    <t>雇佣4</t>
  </si>
  <si>
    <t>雇佣5</t>
  </si>
  <si>
    <t>商品投入总价</t>
  </si>
  <si>
    <t>工人总数</t>
  </si>
  <si>
    <t>工资总权重</t>
  </si>
  <si>
    <t>基准工资</t>
  </si>
  <si>
    <t>人均行政力</t>
  </si>
  <si>
    <t>行政力均人</t>
  </si>
  <si>
    <t>纸张</t>
  </si>
  <si>
    <t>发动机</t>
  </si>
  <si>
    <t>磁魔素</t>
  </si>
  <si>
    <t>行政力</t>
  </si>
  <si>
    <t>机构花费</t>
  </si>
  <si>
    <t>职员</t>
  </si>
  <si>
    <t>官僚</t>
  </si>
  <si>
    <t>教士</t>
  </si>
  <si>
    <t>法师</t>
  </si>
  <si>
    <t>贵族</t>
  </si>
  <si>
    <t>政府行政机构</t>
  </si>
  <si>
    <t>整理组织</t>
  </si>
  <si>
    <t>简单组织</t>
  </si>
  <si>
    <t>水平抽屉</t>
  </si>
  <si>
    <t>垂直档案柜</t>
  </si>
  <si>
    <t>灵能数据库</t>
  </si>
  <si>
    <t>书写工具</t>
  </si>
  <si>
    <t>手写</t>
  </si>
  <si>
    <t>打印机</t>
  </si>
  <si>
    <t>意念打印机</t>
  </si>
  <si>
    <t>传讯方式</t>
  </si>
  <si>
    <t>邮寄</t>
  </si>
  <si>
    <t>心灵感应</t>
  </si>
  <si>
    <t>文字传送阵</t>
  </si>
  <si>
    <t>职业度</t>
  </si>
  <si>
    <t>世袭官僚制</t>
  </si>
  <si>
    <t>职业官僚制</t>
  </si>
  <si>
    <t>世俗化</t>
  </si>
  <si>
    <t>教士参政</t>
  </si>
  <si>
    <t>世俗政府</t>
  </si>
  <si>
    <t>最小值结算</t>
  </si>
  <si>
    <t>最大值结算</t>
  </si>
  <si>
    <t>码头</t>
  </si>
  <si>
    <t>船队</t>
  </si>
  <si>
    <t>法士（？）</t>
  </si>
  <si>
    <t>工程法术运输</t>
  </si>
  <si>
    <t>法阵化运输体系</t>
  </si>
  <si>
    <t>魔能机械化</t>
  </si>
  <si>
    <t>人力转运码头</t>
  </si>
  <si>
    <t>机器货运码头</t>
  </si>
  <si>
    <t>蒸汽机械化码头</t>
  </si>
  <si>
    <t>纸</t>
  </si>
  <si>
    <t>每周行政力</t>
  </si>
  <si>
    <t>机构行政力人口花费乘数</t>
  </si>
  <si>
    <t>地主</t>
  </si>
  <si>
    <t>智能魔偶辅助书写</t>
  </si>
  <si>
    <t>强智能魔偶辅助处理</t>
  </si>
  <si>
    <t>魔法信使</t>
  </si>
  <si>
    <t>通信魔法</t>
  </si>
  <si>
    <t>纸质</t>
  </si>
  <si>
    <t>打字机</t>
  </si>
  <si>
    <t>差分机辅助</t>
  </si>
  <si>
    <t>普通邮寄</t>
  </si>
  <si>
    <t>飞鸽传书</t>
  </si>
  <si>
    <t>蒸汽管道邮寄</t>
  </si>
  <si>
    <t>封建世袭职务</t>
  </si>
  <si>
    <t>神权叙职制</t>
  </si>
  <si>
    <t>公务员体系</t>
  </si>
  <si>
    <t>法师官僚制</t>
  </si>
  <si>
    <t>大学</t>
  </si>
  <si>
    <t>创新点</t>
  </si>
  <si>
    <t>受教育机会</t>
  </si>
  <si>
    <t>学者</t>
  </si>
  <si>
    <t>基础魔法研究</t>
  </si>
  <si>
    <t>魔法工业研究</t>
  </si>
  <si>
    <t>综合性魔法大学</t>
  </si>
  <si>
    <t>前现代教育</t>
  </si>
  <si>
    <t>蒸汽工业研究</t>
  </si>
  <si>
    <t>综合性大学</t>
  </si>
  <si>
    <t>兵营</t>
  </si>
  <si>
    <t>组织</t>
  </si>
  <si>
    <t>自由军士</t>
  </si>
  <si>
    <t>统一管理</t>
  </si>
  <si>
    <t>帝国方阵</t>
  </si>
  <si>
    <t>散兵</t>
  </si>
  <si>
    <t>步兵班</t>
  </si>
  <si>
    <t>机甲步兵</t>
  </si>
  <si>
    <t>魔偶士兵</t>
  </si>
  <si>
    <t>火炮支援</t>
  </si>
  <si>
    <t>无火炮配置</t>
  </si>
  <si>
    <t>加农炮</t>
  </si>
  <si>
    <t>榴弹炮</t>
  </si>
  <si>
    <t>灵能野战炮</t>
  </si>
  <si>
    <t>魔能磁轨炮</t>
  </si>
  <si>
    <t>侦查</t>
  </si>
  <si>
    <t>无侦查分队</t>
  </si>
  <si>
    <t>骑兵斥候</t>
  </si>
  <si>
    <t>机械化侦查</t>
  </si>
  <si>
    <t>空中侦查</t>
  </si>
  <si>
    <t>魔法连队</t>
  </si>
  <si>
    <t>无魔法力量</t>
  </si>
  <si>
    <t>法师连队</t>
  </si>
  <si>
    <t>爆破小组</t>
  </si>
  <si>
    <t>火焰喷射连</t>
  </si>
  <si>
    <t>化学武器</t>
  </si>
  <si>
    <t>战地医疗</t>
  </si>
  <si>
    <t>自愈</t>
  </si>
  <si>
    <t>医药包扎</t>
  </si>
  <si>
    <t>牧师治疗</t>
  </si>
  <si>
    <t>灵能牧师团</t>
  </si>
  <si>
    <t>钢铁厂</t>
  </si>
  <si>
    <t>橡胶</t>
  </si>
  <si>
    <t>铁矿石</t>
  </si>
  <si>
    <t>铁</t>
  </si>
  <si>
    <t>机械师</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</si>
  <si>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</si>
  <si>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</si>
  <si>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</si>
  <si>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</si>
  <si>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</si>
  <si>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</si>
  <si>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</si>
  <si>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</si>
  <si>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</si>
  <si>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</si>
  <si>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</si>
  <si>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</si>
  <si>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</si>
  <si>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</si>
  <si>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</si>
  <si>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丝绸</t>
  </si>
  <si>
    <t>普通衣物</t>
  </si>
  <si>
    <t>奢侈衣物</t>
  </si>
  <si>
    <t>手工衣物</t>
  </si>
  <si>
    <t>染料工坊</t>
  </si>
  <si>
    <t>机械缝纫机</t>
  </si>
  <si>
    <t>手工缝纫</t>
  </si>
  <si>
    <t>弹性织物</t>
  </si>
  <si>
    <t>机械织机</t>
  </si>
  <si>
    <t>蒸汽织机</t>
  </si>
  <si>
    <t>家具制造厂</t>
  </si>
  <si>
    <t>硬木</t>
  </si>
  <si>
    <t>普通家具</t>
  </si>
  <si>
    <t>奢侈家具</t>
  </si>
  <si>
    <t>手工加工</t>
  </si>
  <si>
    <t>车床加工</t>
  </si>
  <si>
    <t>机械化工坊</t>
  </si>
  <si>
    <t>豪华家具生产</t>
  </si>
  <si>
    <t>精密工具</t>
  </si>
  <si>
    <t>流水线</t>
  </si>
  <si>
    <t>玻璃厂</t>
  </si>
  <si>
    <t>铅</t>
  </si>
  <si>
    <t>陶瓷</t>
  </si>
  <si>
    <t>草木灰玻璃</t>
  </si>
  <si>
    <t>含铅玻璃</t>
  </si>
  <si>
    <t>水晶玻璃</t>
  </si>
  <si>
    <t>骨瓷</t>
  </si>
  <si>
    <t>自动吹瓶器</t>
  </si>
  <si>
    <t>魔能武器厂</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</si>
  <si>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</si>
  <si>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</si>
  <si>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</si>
  <si>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</si>
  <si>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</si>
  <si>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</si>
  <si>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</si>
  <si>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</si>
  <si>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</si>
  <si>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</si>
  <si>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</si>
  <si>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</si>
  <si>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</si>
  <si>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</si>
  <si>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</si>
  <si>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</si>
  <si>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</si>
  <si>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</si>
  <si>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</si>
  <si>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</si>
  <si>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</si>
  <si>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</si>
  <si>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</si>
  <si>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</si>
  <si>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</si>
  <si>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</si>
  <si>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</si>
  <si>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</si>
  <si>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纸浆压榨</t>
  </si>
  <si>
    <t>亚硝酸盐制浆</t>
  </si>
  <si>
    <t>纸浆漂白</t>
  </si>
  <si>
    <t>食品厂</t>
  </si>
  <si>
    <t>鱼类</t>
  </si>
  <si>
    <t>加工食品</t>
  </si>
  <si>
    <t>面包房</t>
  </si>
  <si>
    <t>甜味剂</t>
  </si>
  <si>
    <t>发酵粉</t>
  </si>
  <si>
    <t>无罐头</t>
  </si>
  <si>
    <t>广口瓶</t>
  </si>
  <si>
    <t>罐装机</t>
  </si>
  <si>
    <t>手工面团加工</t>
  </si>
  <si>
    <t>自动化面包房</t>
  </si>
  <si>
    <t>炼金厂</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</si>
  <si>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</si>
  <si>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</si>
  <si>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</si>
  <si>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</si>
  <si>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</si>
  <si>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</si>
  <si>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</si>
  <si>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</si>
  <si>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</si>
  <si>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</si>
  <si>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</si>
  <si>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</si>
  <si>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</si>
  <si>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</si>
  <si>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</si>
  <si>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</si>
  <si>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</si>
  <si>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</si>
  <si>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</si>
  <si>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</si>
  <si>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</si>
  <si>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</si>
  <si>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</si>
  <si>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</si>
  <si>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</si>
  <si>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</si>
  <si>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</si>
  <si>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</si>
  <si>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</si>
  <si>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</si>
  <si>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</si>
  <si>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</si>
  <si>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</si>
  <si>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</si>
  <si>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</si>
  <si>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</si>
  <si>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</si>
  <si>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</si>
  <si>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</si>
  <si>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</si>
  <si>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</si>
  <si>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</si>
  <si>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</si>
  <si>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</si>
  <si>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</si>
  <si>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</si>
  <si>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</si>
  <si>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</si>
  <si>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</si>
  <si>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</si>
  <si>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</si>
  <si>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化肥</t>
  </si>
  <si>
    <t>水果</t>
  </si>
  <si>
    <t>葡萄酒</t>
  </si>
  <si>
    <t>肉类</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</si>
  <si>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</si>
  <si>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</si>
  <si>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</si>
  <si>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</si>
  <si>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</si>
  <si>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</si>
  <si>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</si>
  <si>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</si>
  <si>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</si>
  <si>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</si>
  <si>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</si>
  <si>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</si>
  <si>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</si>
  <si>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</si>
  <si>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</si>
  <si>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</si>
  <si>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</si>
  <si>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</si>
  <si>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</si>
  <si>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</si>
  <si>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</si>
  <si>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</si>
  <si>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</si>
  <si>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</si>
  <si>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</si>
  <si>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</si>
  <si>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</si>
  <si>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</si>
  <si>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</si>
  <si>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</si>
  <si>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</si>
  <si>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</si>
  <si>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</si>
  <si>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</si>
  <si>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</si>
  <si>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</si>
  <si>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</si>
  <si>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</si>
  <si>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</si>
  <si>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</si>
  <si>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投入5</t>
  </si>
  <si>
    <t>投入6</t>
  </si>
  <si>
    <t>投入7</t>
  </si>
  <si>
    <t>投入8</t>
  </si>
  <si>
    <t>投入9</t>
  </si>
  <si>
    <t>投入10</t>
  </si>
  <si>
    <t>产出2</t>
  </si>
  <si>
    <t>产出3</t>
  </si>
  <si>
    <t>产出4</t>
  </si>
  <si>
    <t>产出5</t>
  </si>
  <si>
    <t>产出6</t>
  </si>
  <si>
    <t>产出7</t>
  </si>
  <si>
    <t>产出8</t>
  </si>
  <si>
    <t>国家收益</t>
  </si>
  <si>
    <t>雇佣6</t>
  </si>
  <si>
    <t>雇佣7</t>
  </si>
  <si>
    <t>商品产出总价</t>
  </si>
  <si>
    <t>商品净利润</t>
  </si>
  <si>
    <t>商品净利率</t>
  </si>
  <si>
    <t>周工资总量</t>
  </si>
  <si>
    <t>工资支付率</t>
  </si>
  <si>
    <t>总支出</t>
  </si>
  <si>
    <t>总利润</t>
  </si>
  <si>
    <t>总利率</t>
  </si>
  <si>
    <t>人均利润</t>
  </si>
  <si>
    <t>魔法药剂</t>
  </si>
  <si>
    <t>硫磺</t>
  </si>
  <si>
    <t>黄金</t>
  </si>
  <si>
    <t>铸币收入</t>
  </si>
  <si>
    <t>资本家</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</si>
  <si>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</si>
  <si>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</si>
  <si>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</si>
  <si>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</si>
  <si>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</si>
  <si>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</si>
  <si>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</si>
  <si>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</si>
  <si>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</si>
  <si>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</si>
  <si>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</si>
  <si>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</si>
  <si>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</si>
  <si>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</si>
  <si>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</si>
  <si>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</si>
  <si>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</si>
  <si>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</si>
  <si>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</si>
  <si>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</si>
  <si>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</si>
  <si>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</si>
  <si>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</si>
  <si>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</si>
  <si>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硫矿</t>
  </si>
  <si>
    <t>铁矿</t>
  </si>
  <si>
    <t>铅矿</t>
  </si>
  <si>
    <t>金矿</t>
  </si>
  <si>
    <t>金矿场</t>
  </si>
  <si>
    <t>∞%</t>
  </si>
  <si>
    <t>泽洛矿</t>
  </si>
  <si>
    <t>灵能水晶矿</t>
  </si>
  <si>
    <t>职业类别</t>
  </si>
  <si>
    <t>阶层</t>
  </si>
  <si>
    <t>职业</t>
  </si>
  <si>
    <t>最低生活水平预期</t>
  </si>
  <si>
    <t>工资权重</t>
  </si>
  <si>
    <t>受抚养工资权重</t>
  </si>
  <si>
    <t>劳动人口比例</t>
  </si>
  <si>
    <t>实际工资假设</t>
  </si>
  <si>
    <t>下级阶层</t>
  </si>
  <si>
    <t>自给农</t>
  </si>
  <si>
    <t>奴隶</t>
  </si>
  <si>
    <t>军人</t>
  </si>
  <si>
    <t>中级阶层</t>
  </si>
  <si>
    <t>军官</t>
  </si>
  <si>
    <t>上级阶层</t>
  </si>
  <si>
    <t>商品种类和价格</t>
  </si>
  <si>
    <t>人群需求</t>
  </si>
  <si>
    <t>商品</t>
  </si>
  <si>
    <t>实际种类</t>
  </si>
  <si>
    <t>总种类</t>
  </si>
  <si>
    <t>商品消费需求类别</t>
  </si>
  <si>
    <t>所需财富等级</t>
  </si>
  <si>
    <t>轻工业商品</t>
  </si>
  <si>
    <t>酒水</t>
  </si>
  <si>
    <t>服装</t>
  </si>
  <si>
    <t>豪华服装</t>
  </si>
  <si>
    <t>家具</t>
  </si>
  <si>
    <t>豪华家具</t>
  </si>
  <si>
    <t>草药</t>
  </si>
  <si>
    <t>医院产生铸币收入模拟医院收入</t>
  </si>
  <si>
    <t>供暖</t>
  </si>
  <si>
    <t>1~99</t>
  </si>
  <si>
    <t>木材</t>
  </si>
  <si>
    <t>default</t>
  </si>
  <si>
    <t>1.00</t>
  </si>
  <si>
    <t>1.50</t>
  </si>
  <si>
    <t>2.00</t>
  </si>
  <si>
    <t>重工业商品</t>
  </si>
  <si>
    <t>汽车</t>
  </si>
  <si>
    <t>魔导飞机</t>
  </si>
  <si>
    <t>枪械</t>
  </si>
  <si>
    <t>弹药</t>
  </si>
  <si>
    <t>帆船</t>
  </si>
  <si>
    <t>风帆战舰</t>
  </si>
  <si>
    <t>轮船</t>
  </si>
  <si>
    <t>铁甲舰</t>
  </si>
  <si>
    <t>致瘾品</t>
  </si>
  <si>
    <t>服务业商品</t>
  </si>
  <si>
    <t>艺术品</t>
  </si>
  <si>
    <t>基本食物</t>
  </si>
  <si>
    <t>1~29</t>
  </si>
  <si>
    <t>农业商品</t>
  </si>
  <si>
    <t>苹果汁</t>
  </si>
  <si>
    <t>蜂蜜</t>
  </si>
  <si>
    <t>基本衣物</t>
  </si>
  <si>
    <t>1~14</t>
  </si>
  <si>
    <t>林业商品</t>
  </si>
  <si>
    <t>标准衣物</t>
  </si>
  <si>
    <t>10~39</t>
  </si>
  <si>
    <t>鱼业商品</t>
  </si>
  <si>
    <t>珍珠</t>
  </si>
  <si>
    <t>添加资源建筑：蒸发泽洛提炼池</t>
  </si>
  <si>
    <t>必需品</t>
  </si>
  <si>
    <t>5~14</t>
  </si>
  <si>
    <t>添加资源建筑：海洋钻井平台</t>
  </si>
  <si>
    <t>矿业商品</t>
  </si>
  <si>
    <t>日用品</t>
  </si>
  <si>
    <t>10~44</t>
  </si>
  <si>
    <t>1.33</t>
  </si>
  <si>
    <t>AOM新增商品（重复）</t>
  </si>
  <si>
    <t>泽露</t>
  </si>
  <si>
    <t>奢侈品</t>
  </si>
  <si>
    <t>15~99</t>
  </si>
  <si>
    <t>瓷器</t>
  </si>
  <si>
    <t>1.20</t>
  </si>
  <si>
    <t>未知（无效）</t>
  </si>
  <si>
    <t>交易</t>
  </si>
  <si>
    <t>高档食物</t>
  </si>
  <si>
    <t>20~99</t>
  </si>
  <si>
    <t>商品总量</t>
  </si>
  <si>
    <t>无效或重复商品的单元格是橙色</t>
  </si>
  <si>
    <t>秘银是合成的，前期只有矮人能造。</t>
  </si>
  <si>
    <t>高档饮品</t>
  </si>
  <si>
    <t>增加新开发建筑，和港口一样限制等级但不限制是否沿海，提供地区死亡率降低，属于政府建筑，通过医疗法律后可以建造并生效。</t>
  </si>
  <si>
    <t>10~99</t>
  </si>
  <si>
    <t>自由出行</t>
  </si>
  <si>
    <t>2.33</t>
  </si>
  <si>
    <t>通信</t>
  </si>
  <si>
    <t>艺术</t>
  </si>
  <si>
    <t>40~99</t>
  </si>
  <si>
    <t>6.66</t>
  </si>
  <si>
    <t>人群个人生活水平（财富等级）各级数值</t>
  </si>
  <si>
    <t>财富等级</t>
  </si>
  <si>
    <t>政治力量</t>
  </si>
  <si>
    <t>需求总量</t>
  </si>
  <si>
    <t>AOM科技</t>
  </si>
  <si>
    <t>生产科技</t>
  </si>
  <si>
    <t>军事科技</t>
  </si>
  <si>
    <t>社会科技</t>
  </si>
  <si>
    <t>I</t>
  </si>
  <si>
    <t>圈地</t>
  </si>
  <si>
    <t>制造业</t>
  </si>
  <si>
    <t>魔法</t>
  </si>
  <si>
    <t>II</t>
  </si>
  <si>
    <t>魔能运用</t>
  </si>
  <si>
    <t>炼金术</t>
  </si>
  <si>
    <t>生长药剂</t>
  </si>
  <si>
    <t>治疗药剂</t>
  </si>
  <si>
    <t>元素富集</t>
  </si>
  <si>
    <t>化学</t>
  </si>
  <si>
    <t>魔法元素周期表</t>
  </si>
</sst>
</file>

<file path=xl/styles.xml><?xml version="1.0" encoding="utf-8"?>
<styleSheet xmlns="http://schemas.openxmlformats.org/spreadsheetml/2006/main">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00_ "/>
    <numFmt numFmtId="178" formatCode="0.000_ "/>
    <numFmt numFmtId="179" formatCode="0.0_ "/>
    <numFmt numFmtId="180" formatCode="#,##0.00_ "/>
  </numFmts>
  <fonts count="43">
    <font>
      <sz val="11"/>
      <color theme="1"/>
      <name val="宋体"/>
      <charset val="134"/>
      <scheme val="minor"/>
    </font>
    <font>
      <b/>
      <sz val="12"/>
      <color theme="1"/>
      <name val="MS Gothic"/>
      <charset val="134"/>
    </font>
    <font>
      <b/>
      <sz val="12"/>
      <color theme="1"/>
      <name val="微软雅黑"/>
      <charset val="134"/>
    </font>
    <font>
      <b/>
      <sz val="20"/>
      <color theme="1"/>
      <name val="MS Gothic"/>
      <charset val="134"/>
    </font>
    <font>
      <b/>
      <sz val="20"/>
      <color theme="1"/>
      <name val="微软雅黑"/>
      <charset val="134"/>
    </font>
    <font>
      <b/>
      <sz val="18"/>
      <color theme="1"/>
      <name val="微软雅黑"/>
      <charset val="134"/>
    </font>
    <font>
      <b/>
      <sz val="36"/>
      <name val="MS Gothic"/>
      <charset val="134"/>
    </font>
    <font>
      <sz val="12"/>
      <color theme="1"/>
      <name val="微软雅黑"/>
      <charset val="134"/>
    </font>
    <font>
      <b/>
      <sz val="12"/>
      <name val="微软雅黑"/>
      <charset val="134"/>
    </font>
    <font>
      <sz val="12"/>
      <color rgb="FF000000"/>
      <name val="微软雅黑"/>
      <charset val="134"/>
    </font>
    <font>
      <b/>
      <sz val="12"/>
      <color rgb="FF000000"/>
      <name val="微软雅黑"/>
      <charset val="134"/>
    </font>
    <font>
      <b/>
      <sz val="11"/>
      <color theme="1"/>
      <name val="宋体"/>
      <charset val="134"/>
      <scheme val="minor"/>
    </font>
    <font>
      <b/>
      <sz val="11"/>
      <color rgb="FF000000"/>
      <name val="宋体"/>
      <charset val="134"/>
    </font>
    <font>
      <sz val="14"/>
      <color theme="1"/>
      <name val="宋体"/>
      <charset val="134"/>
      <scheme val="minor"/>
    </font>
    <font>
      <b/>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sz val="11"/>
      <color theme="1"/>
      <name val="微软雅黑"/>
      <charset val="134"/>
    </font>
    <font>
      <b/>
      <sz val="11"/>
      <color theme="1"/>
      <name val="微软雅黑"/>
      <charset val="134"/>
    </font>
    <font>
      <b/>
      <sz val="11"/>
      <color rgb="FF000000"/>
      <name val="微软雅黑"/>
      <charset val="134"/>
    </font>
    <font>
      <sz val="11"/>
      <color rgb="FF000000"/>
      <name val="微软雅黑"/>
      <charset val="134"/>
    </font>
    <font>
      <sz val="11"/>
      <color rgb="FF333333"/>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s>
  <fills count="56">
    <fill>
      <patternFill patternType="none"/>
    </fill>
    <fill>
      <patternFill patternType="gray125"/>
    </fill>
    <fill>
      <patternFill patternType="solid">
        <fgColor rgb="FF14B4FA"/>
        <bgColor indexed="64"/>
      </patternFill>
    </fill>
    <fill>
      <patternFill patternType="solid">
        <fgColor rgb="FFFFC000"/>
        <bgColor indexed="64"/>
      </patternFill>
    </fill>
    <fill>
      <patternFill patternType="solid">
        <fgColor theme="0" tint="-0.05"/>
        <bgColor indexed="64"/>
      </patternFill>
    </fill>
    <fill>
      <patternFill patternType="solid">
        <fgColor theme="0" tint="-0.15"/>
        <bgColor indexed="64"/>
      </patternFill>
    </fill>
    <fill>
      <patternFill patternType="solid">
        <fgColor rgb="FFFF0000"/>
        <bgColor indexed="64"/>
      </patternFill>
    </fill>
    <fill>
      <patternFill patternType="solid">
        <fgColor rgb="FF92D050"/>
        <bgColor indexed="64"/>
      </patternFill>
    </fill>
    <fill>
      <patternFill patternType="solid">
        <fgColor rgb="FFF7FC7E"/>
        <bgColor indexed="64"/>
      </patternFill>
    </fill>
    <fill>
      <patternFill patternType="solid">
        <fgColor theme="9" tint="0.8"/>
        <bgColor indexed="64"/>
      </patternFill>
    </fill>
    <fill>
      <patternFill patternType="solid">
        <fgColor theme="8" tint="0.8"/>
        <bgColor indexed="64"/>
      </patternFill>
    </fill>
    <fill>
      <patternFill patternType="solid">
        <fgColor theme="7" tint="0.8"/>
        <bgColor indexed="64"/>
      </patternFill>
    </fill>
    <fill>
      <patternFill patternType="solid">
        <fgColor theme="6" tint="0.8"/>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9" tint="0.6"/>
        <bgColor indexed="64"/>
      </patternFill>
    </fill>
    <fill>
      <patternFill patternType="solid">
        <fgColor theme="8" tint="0.6"/>
        <bgColor indexed="64"/>
      </patternFill>
    </fill>
    <fill>
      <patternFill patternType="solid">
        <fgColor theme="4" tint="0.6"/>
        <bgColor indexed="64"/>
      </patternFill>
    </fill>
    <fill>
      <patternFill patternType="solid">
        <fgColor theme="2" tint="-0.25"/>
        <bgColor indexed="64"/>
      </patternFill>
    </fill>
    <fill>
      <patternFill patternType="solid">
        <fgColor theme="3" tint="0.4"/>
        <bgColor indexed="64"/>
      </patternFill>
    </fill>
    <fill>
      <patternFill patternType="solid">
        <fgColor theme="9"/>
        <bgColor indexed="64"/>
      </patternFill>
    </fill>
    <fill>
      <patternFill patternType="solid">
        <fgColor theme="3" tint="0.6"/>
        <bgColor indexed="64"/>
      </patternFill>
    </fill>
    <fill>
      <patternFill patternType="solid">
        <fgColor rgb="FFFFFF00"/>
        <bgColor indexed="64"/>
      </patternFill>
    </fill>
    <fill>
      <patternFill patternType="solid">
        <fgColor rgb="FFFBE5D6"/>
        <bgColor indexed="64"/>
      </patternFill>
    </fill>
    <fill>
      <patternFill patternType="solid">
        <fgColor rgb="FFDEEBF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theme="1"/>
      </left>
      <right/>
      <top style="thin">
        <color theme="1"/>
      </top>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bottom/>
      <diagonal/>
    </border>
    <border>
      <left/>
      <right style="thin">
        <color theme="1"/>
      </right>
      <top style="thin">
        <color auto="1"/>
      </top>
      <bottom/>
      <diagonal/>
    </border>
    <border>
      <left/>
      <right style="thin">
        <color theme="1"/>
      </right>
      <top/>
      <bottom/>
      <diagonal/>
    </border>
    <border>
      <left/>
      <right style="thin">
        <color theme="1"/>
      </right>
      <top/>
      <bottom style="thin">
        <color theme="1"/>
      </bottom>
      <diagonal/>
    </border>
    <border>
      <left style="thin">
        <color auto="1"/>
      </left>
      <right style="thin">
        <color auto="1"/>
      </right>
      <top style="thin">
        <color auto="1"/>
      </top>
      <bottom/>
      <diagonal/>
    </border>
    <border>
      <left style="hair">
        <color rgb="FF000000"/>
      </left>
      <right style="hair">
        <color rgb="FF000000"/>
      </right>
      <top style="hair">
        <color rgb="FF000000"/>
      </top>
      <bottom style="hair">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26" borderId="0" applyNumberFormat="0" applyBorder="0" applyAlignment="0" applyProtection="0">
      <alignment vertical="center"/>
    </xf>
    <xf numFmtId="0" fontId="24" fillId="27"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28" borderId="0" applyNumberFormat="0" applyBorder="0" applyAlignment="0" applyProtection="0">
      <alignment vertical="center"/>
    </xf>
    <xf numFmtId="0" fontId="25" fillId="29" borderId="0" applyNumberFormat="0" applyBorder="0" applyAlignment="0" applyProtection="0">
      <alignment vertical="center"/>
    </xf>
    <xf numFmtId="43" fontId="0" fillId="0" borderId="0" applyFont="0" applyFill="0" applyBorder="0" applyAlignment="0" applyProtection="0">
      <alignment vertical="center"/>
    </xf>
    <xf numFmtId="0" fontId="26" fillId="30"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31" borderId="31" applyNumberFormat="0" applyFont="0" applyAlignment="0" applyProtection="0">
      <alignment vertical="center"/>
    </xf>
    <xf numFmtId="0" fontId="26" fillId="32"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32" applyNumberFormat="0" applyFill="0" applyAlignment="0" applyProtection="0">
      <alignment vertical="center"/>
    </xf>
    <xf numFmtId="0" fontId="34" fillId="0" borderId="32" applyNumberFormat="0" applyFill="0" applyAlignment="0" applyProtection="0">
      <alignment vertical="center"/>
    </xf>
    <xf numFmtId="0" fontId="26" fillId="33" borderId="0" applyNumberFormat="0" applyBorder="0" applyAlignment="0" applyProtection="0">
      <alignment vertical="center"/>
    </xf>
    <xf numFmtId="0" fontId="29" fillId="0" borderId="33" applyNumberFormat="0" applyFill="0" applyAlignment="0" applyProtection="0">
      <alignment vertical="center"/>
    </xf>
    <xf numFmtId="0" fontId="26" fillId="34" borderId="0" applyNumberFormat="0" applyBorder="0" applyAlignment="0" applyProtection="0">
      <alignment vertical="center"/>
    </xf>
    <xf numFmtId="0" fontId="35" fillId="35" borderId="34" applyNumberFormat="0" applyAlignment="0" applyProtection="0">
      <alignment vertical="center"/>
    </xf>
    <xf numFmtId="0" fontId="36" fillId="35" borderId="30" applyNumberFormat="0" applyAlignment="0" applyProtection="0">
      <alignment vertical="center"/>
    </xf>
    <xf numFmtId="0" fontId="37" fillId="36" borderId="35" applyNumberFormat="0" applyAlignment="0" applyProtection="0">
      <alignment vertical="center"/>
    </xf>
    <xf numFmtId="0" fontId="23" fillId="37" borderId="0" applyNumberFormat="0" applyBorder="0" applyAlignment="0" applyProtection="0">
      <alignment vertical="center"/>
    </xf>
    <xf numFmtId="0" fontId="26" fillId="38" borderId="0" applyNumberFormat="0" applyBorder="0" applyAlignment="0" applyProtection="0">
      <alignment vertical="center"/>
    </xf>
    <xf numFmtId="0" fontId="38" fillId="0" borderId="36" applyNumberFormat="0" applyFill="0" applyAlignment="0" applyProtection="0">
      <alignment vertical="center"/>
    </xf>
    <xf numFmtId="0" fontId="39" fillId="0" borderId="37" applyNumberFormat="0" applyFill="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23" fillId="41" borderId="0" applyNumberFormat="0" applyBorder="0" applyAlignment="0" applyProtection="0">
      <alignment vertical="center"/>
    </xf>
    <xf numFmtId="0" fontId="26" fillId="42" borderId="0" applyNumberFormat="0" applyBorder="0" applyAlignment="0" applyProtection="0">
      <alignment vertical="center"/>
    </xf>
    <xf numFmtId="0" fontId="23" fillId="43" borderId="0" applyNumberFormat="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3" fillId="49" borderId="0" applyNumberFormat="0" applyBorder="0" applyAlignment="0" applyProtection="0">
      <alignment vertical="center"/>
    </xf>
    <xf numFmtId="0" fontId="23" fillId="50" borderId="0" applyNumberFormat="0" applyBorder="0" applyAlignment="0" applyProtection="0">
      <alignment vertical="center"/>
    </xf>
    <xf numFmtId="0" fontId="26" fillId="51" borderId="0" applyNumberFormat="0" applyBorder="0" applyAlignment="0" applyProtection="0">
      <alignment vertical="center"/>
    </xf>
    <xf numFmtId="0" fontId="23" fillId="52" borderId="0" applyNumberFormat="0" applyBorder="0" applyAlignment="0" applyProtection="0">
      <alignment vertical="center"/>
    </xf>
    <xf numFmtId="0" fontId="26" fillId="53" borderId="0" applyNumberFormat="0" applyBorder="0" applyAlignment="0" applyProtection="0">
      <alignment vertical="center"/>
    </xf>
    <xf numFmtId="0" fontId="26" fillId="21" borderId="0" applyNumberFormat="0" applyBorder="0" applyAlignment="0" applyProtection="0">
      <alignment vertical="center"/>
    </xf>
    <xf numFmtId="0" fontId="23" fillId="54" borderId="0" applyNumberFormat="0" applyBorder="0" applyAlignment="0" applyProtection="0">
      <alignment vertical="center"/>
    </xf>
    <xf numFmtId="0" fontId="26" fillId="55" borderId="0" applyNumberFormat="0" applyBorder="0" applyAlignment="0" applyProtection="0">
      <alignment vertical="center"/>
    </xf>
  </cellStyleXfs>
  <cellXfs count="294">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5" fillId="3" borderId="1" xfId="0" applyFont="1" applyFill="1" applyBorder="1" applyAlignment="1">
      <alignment horizontal="center" vertical="center"/>
    </xf>
    <xf numFmtId="0" fontId="6" fillId="4" borderId="2" xfId="0" applyFont="1" applyFill="1" applyBorder="1" applyAlignment="1">
      <alignment horizontal="center" vertical="center"/>
    </xf>
    <xf numFmtId="0" fontId="2" fillId="4" borderId="0" xfId="0" applyFont="1" applyFill="1" applyAlignment="1">
      <alignment horizontal="center" vertical="center"/>
    </xf>
    <xf numFmtId="0" fontId="6"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0" xfId="0" applyFont="1" applyFill="1" applyAlignment="1">
      <alignment horizontal="center" vertical="center"/>
    </xf>
    <xf numFmtId="0" fontId="2" fillId="0" borderId="3" xfId="0" applyFont="1" applyBorder="1" applyAlignment="1">
      <alignment horizontal="center" vertical="center"/>
    </xf>
    <xf numFmtId="0" fontId="2" fillId="0" borderId="0" xfId="0" applyFont="1" applyAlignment="1">
      <alignment vertical="center"/>
    </xf>
    <xf numFmtId="0" fontId="5" fillId="6" borderId="1" xfId="0" applyFont="1" applyFill="1" applyBorder="1" applyAlignment="1">
      <alignment horizontal="center" vertical="center"/>
    </xf>
    <xf numFmtId="0" fontId="5" fillId="7" borderId="0" xfId="0" applyFont="1" applyFill="1" applyAlignment="1">
      <alignment horizontal="center" vertical="center"/>
    </xf>
    <xf numFmtId="0" fontId="2" fillId="7" borderId="0" xfId="0" applyFont="1" applyFill="1" applyAlignment="1">
      <alignment horizontal="center" vertical="center"/>
    </xf>
    <xf numFmtId="0" fontId="7" fillId="0" borderId="0" xfId="0" applyFont="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8" fillId="8" borderId="6" xfId="0" applyFont="1" applyFill="1" applyBorder="1" applyAlignment="1">
      <alignment horizontal="center" vertical="center"/>
    </xf>
    <xf numFmtId="0" fontId="7" fillId="9" borderId="7" xfId="0" applyFont="1" applyFill="1" applyBorder="1" applyAlignment="1">
      <alignment horizontal="center" vertical="center"/>
    </xf>
    <xf numFmtId="0" fontId="7" fillId="9" borderId="6" xfId="0" applyFont="1" applyFill="1" applyBorder="1" applyAlignment="1">
      <alignment horizontal="center" vertical="center"/>
    </xf>
    <xf numFmtId="0" fontId="7" fillId="10" borderId="6" xfId="0" applyFont="1" applyFill="1" applyBorder="1" applyAlignment="1">
      <alignment horizontal="center" vertical="center"/>
    </xf>
    <xf numFmtId="0" fontId="7" fillId="11" borderId="6" xfId="0" applyFont="1" applyFill="1" applyBorder="1" applyAlignment="1">
      <alignment horizontal="center" vertical="center"/>
    </xf>
    <xf numFmtId="0" fontId="7" fillId="12" borderId="6" xfId="0" applyFont="1" applyFill="1" applyBorder="1" applyAlignment="1">
      <alignment horizontal="center" vertical="center"/>
    </xf>
    <xf numFmtId="0" fontId="7" fillId="13" borderId="6" xfId="0" applyFont="1" applyFill="1" applyBorder="1" applyAlignment="1">
      <alignment horizontal="center" vertical="center"/>
    </xf>
    <xf numFmtId="0" fontId="7" fillId="14" borderId="6" xfId="0" applyFont="1" applyFill="1" applyBorder="1" applyAlignment="1">
      <alignment horizontal="center" vertical="center"/>
    </xf>
    <xf numFmtId="0" fontId="7" fillId="15" borderId="6" xfId="0" applyFont="1" applyFill="1" applyBorder="1" applyAlignment="1">
      <alignment horizontal="center" vertical="center"/>
    </xf>
    <xf numFmtId="0" fontId="7" fillId="16" borderId="6" xfId="0" applyFont="1" applyFill="1" applyBorder="1" applyAlignment="1">
      <alignment horizontal="center" vertical="center"/>
    </xf>
    <xf numFmtId="0" fontId="7" fillId="17"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0" borderId="5" xfId="0" applyFont="1" applyBorder="1" applyAlignment="1">
      <alignment vertical="center"/>
    </xf>
    <xf numFmtId="177" fontId="7" fillId="0" borderId="0" xfId="0" applyNumberFormat="1"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9" fillId="0" borderId="5" xfId="0" applyFont="1" applyFill="1" applyBorder="1" applyAlignment="1">
      <alignment horizontal="center" vertical="center"/>
    </xf>
    <xf numFmtId="0" fontId="9" fillId="0" borderId="5" xfId="0" applyFont="1" applyBorder="1" applyAlignment="1">
      <alignment horizontal="center" vertical="center"/>
    </xf>
    <xf numFmtId="0" fontId="7" fillId="0" borderId="5" xfId="0" applyFont="1" applyBorder="1" applyAlignment="1">
      <alignment horizontal="center" vertical="center"/>
    </xf>
    <xf numFmtId="0" fontId="2" fillId="0" borderId="15" xfId="0" applyFont="1" applyBorder="1" applyAlignment="1">
      <alignment horizontal="center" vertical="center"/>
    </xf>
    <xf numFmtId="0" fontId="7" fillId="0" borderId="0" xfId="0" applyFont="1" applyFill="1" applyAlignment="1">
      <alignment horizontal="center" vertical="center"/>
    </xf>
    <xf numFmtId="0" fontId="2" fillId="0" borderId="0" xfId="0" applyFont="1" applyBorder="1" applyAlignment="1">
      <alignment horizontal="center" vertical="center"/>
    </xf>
    <xf numFmtId="0" fontId="7" fillId="0" borderId="0" xfId="0" applyFont="1" applyBorder="1" applyAlignment="1">
      <alignment horizontal="center" vertical="center"/>
    </xf>
    <xf numFmtId="0" fontId="7" fillId="0" borderId="3" xfId="0" applyFont="1" applyBorder="1" applyAlignment="1">
      <alignment horizontal="center" vertical="center"/>
    </xf>
    <xf numFmtId="0" fontId="9" fillId="3" borderId="5" xfId="0" applyFont="1" applyFill="1" applyBorder="1" applyAlignment="1">
      <alignment horizontal="center" vertical="center"/>
    </xf>
    <xf numFmtId="0" fontId="7" fillId="0" borderId="0" xfId="0" applyFont="1" applyFill="1" applyBorder="1" applyAlignment="1">
      <alignment horizontal="center" vertical="center"/>
    </xf>
    <xf numFmtId="0" fontId="7" fillId="3" borderId="0"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7" fillId="0" borderId="17" xfId="0" applyFont="1" applyBorder="1" applyAlignment="1">
      <alignment horizontal="center" vertical="center"/>
    </xf>
    <xf numFmtId="0" fontId="2" fillId="0" borderId="19" xfId="0" applyFont="1" applyBorder="1" applyAlignment="1">
      <alignment horizontal="center" vertical="center"/>
    </xf>
    <xf numFmtId="0" fontId="9" fillId="0" borderId="0" xfId="0" applyFont="1" applyBorder="1" applyAlignment="1">
      <alignment horizontal="center" vertical="center"/>
    </xf>
    <xf numFmtId="0" fontId="2" fillId="0" borderId="20" xfId="0" applyFont="1" applyBorder="1" applyAlignment="1">
      <alignment horizontal="center" vertical="center"/>
    </xf>
    <xf numFmtId="0" fontId="2" fillId="0" borderId="1" xfId="0" applyFont="1" applyBorder="1" applyAlignment="1">
      <alignment horizontal="center" vertical="center"/>
    </xf>
    <xf numFmtId="0" fontId="2" fillId="0" borderId="21" xfId="0" applyFont="1" applyBorder="1" applyAlignment="1">
      <alignment horizontal="center" vertical="center"/>
    </xf>
    <xf numFmtId="0" fontId="7" fillId="0" borderId="1" xfId="0" applyFont="1" applyBorder="1" applyAlignment="1">
      <alignment horizontal="center" vertical="center"/>
    </xf>
    <xf numFmtId="0" fontId="7" fillId="3" borderId="3" xfId="0" applyFont="1" applyFill="1" applyBorder="1" applyAlignment="1">
      <alignment horizontal="center" vertical="center"/>
    </xf>
    <xf numFmtId="0" fontId="7" fillId="3" borderId="1" xfId="0" applyFont="1" applyFill="1" applyBorder="1" applyAlignment="1">
      <alignment horizontal="center" vertical="center"/>
    </xf>
    <xf numFmtId="0" fontId="9" fillId="3" borderId="0" xfId="0" applyFont="1" applyFill="1" applyAlignment="1">
      <alignment horizontal="center" vertical="center"/>
    </xf>
    <xf numFmtId="0" fontId="7" fillId="3" borderId="0" xfId="0" applyFont="1" applyFill="1" applyAlignment="1">
      <alignment horizontal="center" vertical="center"/>
    </xf>
    <xf numFmtId="0" fontId="2" fillId="0" borderId="22" xfId="0" applyFont="1" applyBorder="1" applyAlignment="1">
      <alignment horizontal="center" vertical="center"/>
    </xf>
    <xf numFmtId="0" fontId="2" fillId="0" borderId="3" xfId="0" applyFont="1" applyBorder="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9" fillId="0" borderId="3" xfId="0" applyFont="1" applyBorder="1" applyAlignment="1">
      <alignment horizontal="center" vertical="center"/>
    </xf>
    <xf numFmtId="0" fontId="7" fillId="3" borderId="5" xfId="0" applyFont="1" applyFill="1" applyBorder="1" applyAlignment="1">
      <alignment horizontal="center" vertical="center"/>
    </xf>
    <xf numFmtId="0" fontId="9" fillId="3" borderId="3" xfId="0" applyFont="1" applyFill="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7" fillId="0" borderId="26" xfId="0"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7" fillId="0" borderId="27" xfId="0" applyFont="1" applyBorder="1" applyAlignment="1">
      <alignment horizontal="center" vertical="center"/>
    </xf>
    <xf numFmtId="0" fontId="7" fillId="0" borderId="24" xfId="0" applyFont="1" applyBorder="1" applyAlignment="1">
      <alignment horizontal="center" vertical="center"/>
    </xf>
    <xf numFmtId="177" fontId="2" fillId="0" borderId="22" xfId="0" applyNumberFormat="1" applyFont="1" applyBorder="1" applyAlignment="1">
      <alignment horizontal="center" vertical="center"/>
    </xf>
    <xf numFmtId="177" fontId="2" fillId="0" borderId="3" xfId="0" applyNumberFormat="1" applyFont="1" applyBorder="1" applyAlignment="1">
      <alignment horizontal="center" vertical="center"/>
    </xf>
    <xf numFmtId="177" fontId="2" fillId="0" borderId="14" xfId="0" applyNumberFormat="1" applyFont="1" applyBorder="1" applyAlignment="1">
      <alignment horizontal="center" vertical="center"/>
    </xf>
    <xf numFmtId="177" fontId="2" fillId="0" borderId="22" xfId="0" applyNumberFormat="1" applyFont="1" applyFill="1" applyBorder="1" applyAlignment="1">
      <alignment horizontal="center" vertical="center"/>
    </xf>
    <xf numFmtId="177" fontId="2" fillId="0" borderId="3"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2" fillId="0" borderId="3" xfId="0" applyNumberFormat="1" applyFont="1" applyBorder="1" applyAlignment="1">
      <alignment horizontal="center" vertical="center"/>
    </xf>
    <xf numFmtId="0" fontId="2" fillId="0" borderId="14" xfId="0" applyNumberFormat="1" applyFont="1" applyFill="1" applyBorder="1" applyAlignment="1">
      <alignment horizontal="center" vertical="center"/>
    </xf>
    <xf numFmtId="177" fontId="2" fillId="0" borderId="19" xfId="0" applyNumberFormat="1" applyFont="1" applyFill="1" applyBorder="1" applyAlignment="1">
      <alignment horizontal="center" vertical="center"/>
    </xf>
    <xf numFmtId="177" fontId="2" fillId="0" borderId="0" xfId="0" applyNumberFormat="1" applyFont="1" applyFill="1" applyAlignment="1">
      <alignment horizontal="center" vertical="center"/>
    </xf>
    <xf numFmtId="177" fontId="2" fillId="0" borderId="0" xfId="0" applyNumberFormat="1" applyFont="1" applyAlignment="1">
      <alignment horizontal="center" vertical="center"/>
    </xf>
    <xf numFmtId="177" fontId="2" fillId="0" borderId="24" xfId="0" applyNumberFormat="1" applyFont="1" applyBorder="1" applyAlignment="1">
      <alignment horizontal="center" vertical="center"/>
    </xf>
    <xf numFmtId="177" fontId="2" fillId="0" borderId="24" xfId="0" applyNumberFormat="1" applyFont="1" applyFill="1" applyBorder="1" applyAlignment="1">
      <alignment horizontal="center" vertical="center"/>
    </xf>
    <xf numFmtId="177" fontId="2" fillId="0" borderId="19" xfId="0" applyNumberFormat="1" applyFont="1" applyBorder="1" applyAlignment="1">
      <alignment horizontal="center" vertical="center"/>
    </xf>
    <xf numFmtId="177" fontId="2" fillId="0" borderId="20"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7" fontId="2" fillId="0" borderId="12" xfId="0" applyNumberFormat="1" applyFont="1" applyBorder="1" applyAlignment="1">
      <alignment horizontal="center" vertical="center"/>
    </xf>
    <xf numFmtId="177" fontId="7" fillId="0" borderId="0" xfId="0" applyNumberFormat="1" applyFont="1" applyFill="1" applyAlignment="1">
      <alignment horizontal="center" vertical="center"/>
    </xf>
    <xf numFmtId="0" fontId="2" fillId="18" borderId="28" xfId="0" applyFont="1" applyFill="1" applyBorder="1" applyAlignment="1">
      <alignment horizontal="center" vertical="center"/>
    </xf>
    <xf numFmtId="0" fontId="2" fillId="18" borderId="21" xfId="0" applyFont="1" applyFill="1" applyBorder="1" applyAlignment="1">
      <alignment horizontal="center" vertical="center"/>
    </xf>
    <xf numFmtId="0" fontId="2" fillId="18" borderId="11" xfId="0" applyFont="1" applyFill="1" applyBorder="1" applyAlignment="1">
      <alignment horizontal="center" vertical="center"/>
    </xf>
    <xf numFmtId="0" fontId="2" fillId="19" borderId="22" xfId="0" applyFont="1" applyFill="1" applyBorder="1" applyAlignment="1">
      <alignment horizontal="center" vertical="center"/>
    </xf>
    <xf numFmtId="0" fontId="7" fillId="0" borderId="22" xfId="0" applyFont="1" applyBorder="1" applyAlignment="1">
      <alignment horizontal="center" vertical="center"/>
    </xf>
    <xf numFmtId="0" fontId="7" fillId="0" borderId="28" xfId="0" applyFont="1" applyBorder="1" applyAlignment="1">
      <alignment horizontal="center" vertical="center"/>
    </xf>
    <xf numFmtId="9" fontId="7" fillId="0" borderId="14" xfId="0" applyNumberFormat="1" applyFont="1" applyBorder="1" applyAlignment="1">
      <alignment horizontal="center" vertical="center"/>
    </xf>
    <xf numFmtId="0" fontId="7" fillId="0" borderId="14" xfId="0" applyNumberFormat="1" applyFont="1" applyBorder="1" applyAlignment="1">
      <alignment horizontal="center" vertical="center"/>
    </xf>
    <xf numFmtId="0" fontId="2" fillId="19" borderId="19" xfId="0" applyFont="1" applyFill="1" applyBorder="1" applyAlignment="1">
      <alignment horizontal="center" vertical="center"/>
    </xf>
    <xf numFmtId="0" fontId="7" fillId="0" borderId="19" xfId="0" applyFont="1" applyBorder="1" applyAlignment="1">
      <alignment horizontal="center" vertical="center"/>
    </xf>
    <xf numFmtId="0" fontId="7" fillId="0" borderId="11" xfId="0" applyFont="1" applyBorder="1" applyAlignment="1">
      <alignment horizontal="center" vertical="center"/>
    </xf>
    <xf numFmtId="9" fontId="7" fillId="0" borderId="24" xfId="0" applyNumberFormat="1" applyFont="1" applyBorder="1" applyAlignment="1">
      <alignment horizontal="center" vertical="center"/>
    </xf>
    <xf numFmtId="0" fontId="7" fillId="0" borderId="24" xfId="0" applyNumberFormat="1" applyFont="1" applyBorder="1" applyAlignment="1">
      <alignment horizontal="center" vertical="center"/>
    </xf>
    <xf numFmtId="0" fontId="2" fillId="19" borderId="20" xfId="0" applyFont="1" applyFill="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9" fontId="7" fillId="0" borderId="12" xfId="0" applyNumberFormat="1" applyFont="1" applyBorder="1" applyAlignment="1">
      <alignment horizontal="center" vertical="center"/>
    </xf>
    <xf numFmtId="0" fontId="2" fillId="20" borderId="28" xfId="0" applyFont="1" applyFill="1" applyBorder="1" applyAlignment="1">
      <alignment horizontal="center" vertical="center"/>
    </xf>
    <xf numFmtId="0" fontId="2" fillId="20" borderId="11" xfId="0" applyFont="1" applyFill="1" applyBorder="1" applyAlignment="1">
      <alignment horizontal="center" vertical="center"/>
    </xf>
    <xf numFmtId="0" fontId="7" fillId="13" borderId="19" xfId="0" applyFont="1" applyFill="1" applyBorder="1" applyAlignment="1">
      <alignment horizontal="center" vertical="center"/>
    </xf>
    <xf numFmtId="0" fontId="7" fillId="13" borderId="11" xfId="0" applyFont="1" applyFill="1" applyBorder="1" applyAlignment="1">
      <alignment horizontal="center" vertical="center"/>
    </xf>
    <xf numFmtId="0" fontId="7" fillId="13" borderId="24" xfId="0" applyFont="1" applyFill="1" applyBorder="1" applyAlignment="1">
      <alignment horizontal="center" vertical="center"/>
    </xf>
    <xf numFmtId="9" fontId="7" fillId="13" borderId="24" xfId="0" applyNumberFormat="1" applyFont="1" applyFill="1" applyBorder="1" applyAlignment="1">
      <alignment horizontal="center" vertical="center"/>
    </xf>
    <xf numFmtId="0" fontId="7" fillId="13" borderId="24" xfId="0" applyNumberFormat="1" applyFont="1" applyFill="1" applyBorder="1" applyAlignment="1">
      <alignment horizontal="center" vertical="center"/>
    </xf>
    <xf numFmtId="0" fontId="2" fillId="20" borderId="21"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21" xfId="0" applyFont="1" applyFill="1" applyBorder="1" applyAlignment="1">
      <alignment horizontal="center" vertical="center"/>
    </xf>
    <xf numFmtId="0" fontId="7" fillId="0" borderId="12" xfId="0" applyNumberFormat="1" applyFont="1" applyBorder="1" applyAlignment="1">
      <alignment horizontal="center" vertical="center"/>
    </xf>
    <xf numFmtId="178" fontId="7" fillId="0" borderId="0" xfId="0" applyNumberFormat="1" applyFont="1" applyAlignment="1">
      <alignment horizontal="center" vertical="center"/>
    </xf>
    <xf numFmtId="0" fontId="7" fillId="21" borderId="19" xfId="0" applyFont="1" applyFill="1" applyBorder="1" applyAlignment="1">
      <alignment horizontal="center" vertical="center"/>
    </xf>
    <xf numFmtId="0" fontId="7" fillId="21" borderId="0" xfId="0" applyFont="1" applyFill="1" applyAlignment="1">
      <alignment horizontal="center" vertical="center"/>
    </xf>
    <xf numFmtId="0" fontId="7" fillId="21" borderId="20" xfId="0" applyFont="1" applyFill="1" applyBorder="1" applyAlignment="1">
      <alignment horizontal="center" vertical="center"/>
    </xf>
    <xf numFmtId="0" fontId="7" fillId="21" borderId="1" xfId="0" applyFont="1" applyFill="1" applyBorder="1" applyAlignment="1">
      <alignment horizontal="center" vertical="center"/>
    </xf>
    <xf numFmtId="0" fontId="10" fillId="0" borderId="28" xfId="0" applyFont="1" applyFill="1" applyBorder="1" applyAlignment="1">
      <alignment horizontal="center" vertical="center"/>
    </xf>
    <xf numFmtId="0" fontId="10" fillId="0" borderId="3" xfId="0" applyFont="1" applyFill="1" applyBorder="1" applyAlignment="1">
      <alignment horizontal="center" vertical="center"/>
    </xf>
    <xf numFmtId="0" fontId="9" fillId="0" borderId="14"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9" fillId="0" borderId="24" xfId="0" applyFont="1" applyFill="1" applyBorder="1" applyAlignment="1">
      <alignment horizontal="center" vertical="center"/>
    </xf>
    <xf numFmtId="0" fontId="10" fillId="0" borderId="1" xfId="0" applyFont="1" applyFill="1" applyBorder="1" applyAlignment="1">
      <alignment horizontal="center" vertical="center"/>
    </xf>
    <xf numFmtId="0" fontId="9" fillId="0" borderId="12" xfId="0" applyFont="1" applyFill="1" applyBorder="1" applyAlignment="1">
      <alignment horizontal="center" vertical="center"/>
    </xf>
    <xf numFmtId="0" fontId="2" fillId="0" borderId="3" xfId="0" applyFont="1" applyFill="1" applyBorder="1" applyAlignment="1">
      <alignment horizontal="center" vertical="center"/>
    </xf>
    <xf numFmtId="0" fontId="7" fillId="0" borderId="14" xfId="0" applyFont="1" applyFill="1" applyBorder="1" applyAlignment="1">
      <alignment horizontal="center" vertical="center"/>
    </xf>
    <xf numFmtId="0" fontId="2" fillId="0" borderId="0" xfId="0" applyFont="1" applyFill="1" applyBorder="1" applyAlignment="1">
      <alignment horizontal="center" vertical="center"/>
    </xf>
    <xf numFmtId="0" fontId="10" fillId="0" borderId="21" xfId="0" applyFont="1" applyFill="1" applyBorder="1" applyAlignment="1">
      <alignment horizontal="center" vertical="center"/>
    </xf>
    <xf numFmtId="0" fontId="2" fillId="0" borderId="1" xfId="0" applyFont="1" applyFill="1" applyBorder="1" applyAlignment="1">
      <alignment horizontal="center" vertical="center"/>
    </xf>
    <xf numFmtId="0" fontId="7" fillId="0" borderId="12" xfId="0" applyFont="1" applyFill="1" applyBorder="1" applyAlignment="1">
      <alignment horizontal="center" vertical="center"/>
    </xf>
    <xf numFmtId="0" fontId="10" fillId="18" borderId="1" xfId="0" applyFont="1" applyFill="1" applyBorder="1" applyAlignment="1">
      <alignment horizontal="center" vertical="center"/>
    </xf>
    <xf numFmtId="0" fontId="10" fillId="18" borderId="12" xfId="0" applyFont="1" applyFill="1" applyBorder="1" applyAlignment="1">
      <alignment horizontal="center" vertical="center"/>
    </xf>
    <xf numFmtId="0" fontId="7" fillId="18" borderId="1" xfId="0" applyFont="1" applyFill="1" applyBorder="1" applyAlignment="1">
      <alignment horizontal="center" vertical="center"/>
    </xf>
    <xf numFmtId="0" fontId="10" fillId="0" borderId="0" xfId="0" applyFont="1" applyFill="1" applyAlignment="1">
      <alignment horizontal="center" vertical="center"/>
    </xf>
    <xf numFmtId="0" fontId="2" fillId="0" borderId="19" xfId="0" applyFont="1" applyFill="1" applyBorder="1" applyAlignment="1">
      <alignment horizontal="center" vertical="center"/>
    </xf>
    <xf numFmtId="0" fontId="2" fillId="0" borderId="22" xfId="0" applyFont="1" applyFill="1" applyBorder="1" applyAlignment="1">
      <alignment horizontal="center" vertical="center"/>
    </xf>
    <xf numFmtId="0" fontId="7" fillId="0" borderId="24" xfId="0" applyFont="1" applyFill="1" applyBorder="1" applyAlignment="1">
      <alignment horizontal="center" vertical="center"/>
    </xf>
    <xf numFmtId="0" fontId="10" fillId="18" borderId="10" xfId="0" applyFont="1" applyFill="1" applyBorder="1" applyAlignment="1">
      <alignment horizontal="center" vertical="center"/>
    </xf>
    <xf numFmtId="0" fontId="10" fillId="18" borderId="23" xfId="0" applyFont="1" applyFill="1" applyBorder="1" applyAlignment="1">
      <alignment horizontal="center" vertical="center"/>
    </xf>
    <xf numFmtId="0" fontId="9" fillId="0" borderId="0" xfId="0" applyFont="1" applyFill="1" applyBorder="1" applyAlignment="1">
      <alignment horizontal="center" vertical="center"/>
    </xf>
    <xf numFmtId="0" fontId="7" fillId="18" borderId="10" xfId="0" applyFont="1" applyFill="1" applyBorder="1" applyAlignment="1">
      <alignment horizontal="center" vertical="center"/>
    </xf>
    <xf numFmtId="0" fontId="7" fillId="21" borderId="0" xfId="0" applyFont="1" applyFill="1" applyBorder="1" applyAlignment="1">
      <alignment horizontal="center" vertical="center"/>
    </xf>
    <xf numFmtId="0" fontId="9" fillId="21" borderId="0" xfId="0" applyFont="1" applyFill="1" applyBorder="1" applyAlignment="1">
      <alignment horizontal="center" vertical="center"/>
    </xf>
    <xf numFmtId="0" fontId="9" fillId="21" borderId="24" xfId="0" applyFont="1" applyFill="1" applyBorder="1" applyAlignment="1">
      <alignment horizontal="center" vertical="center"/>
    </xf>
    <xf numFmtId="0" fontId="7" fillId="8" borderId="0" xfId="0" applyFont="1" applyFill="1" applyBorder="1" applyAlignment="1">
      <alignment horizontal="center" vertical="center"/>
    </xf>
    <xf numFmtId="0" fontId="7" fillId="21"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22"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20" xfId="0" applyFont="1" applyFill="1" applyBorder="1" applyAlignment="1">
      <alignment horizontal="center" vertical="center"/>
    </xf>
    <xf numFmtId="0" fontId="9" fillId="0" borderId="19"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20" xfId="0" applyFont="1" applyFill="1" applyBorder="1" applyAlignment="1">
      <alignment horizontal="center" vertical="center"/>
    </xf>
    <xf numFmtId="0" fontId="9" fillId="0" borderId="1" xfId="0" applyFont="1" applyFill="1" applyBorder="1" applyAlignment="1">
      <alignment horizontal="center" vertical="center"/>
    </xf>
    <xf numFmtId="0" fontId="9" fillId="8" borderId="0" xfId="0" applyFont="1" applyFill="1" applyBorder="1" applyAlignment="1">
      <alignment horizontal="center" vertical="center"/>
    </xf>
    <xf numFmtId="0" fontId="9" fillId="8" borderId="24" xfId="0" applyFont="1" applyFill="1" applyBorder="1" applyAlignment="1">
      <alignment horizontal="center" vertical="center"/>
    </xf>
    <xf numFmtId="0" fontId="7" fillId="22" borderId="0" xfId="0" applyFont="1" applyFill="1" applyBorder="1" applyAlignment="1">
      <alignment horizontal="center" vertical="center"/>
    </xf>
    <xf numFmtId="0" fontId="7" fillId="22" borderId="0" xfId="0" applyFont="1" applyFill="1" applyAlignment="1">
      <alignment horizontal="center" vertical="center"/>
    </xf>
    <xf numFmtId="0" fontId="7" fillId="8" borderId="12" xfId="0" applyFont="1" applyFill="1" applyBorder="1" applyAlignment="1">
      <alignment horizontal="center" vertical="center"/>
    </xf>
    <xf numFmtId="0" fontId="7" fillId="22" borderId="1" xfId="0" applyFont="1" applyFill="1" applyBorder="1" applyAlignment="1">
      <alignment horizontal="center" vertical="center"/>
    </xf>
    <xf numFmtId="0" fontId="7" fillId="22" borderId="24" xfId="0" applyFont="1" applyFill="1" applyBorder="1" applyAlignment="1">
      <alignment horizontal="center" vertical="center"/>
    </xf>
    <xf numFmtId="0" fontId="7" fillId="22" borderId="12" xfId="0" applyFont="1" applyFill="1" applyBorder="1" applyAlignment="1">
      <alignment horizontal="center" vertical="center"/>
    </xf>
    <xf numFmtId="0" fontId="7" fillId="0" borderId="0" xfId="0" applyNumberFormat="1" applyFont="1" applyAlignment="1">
      <alignment horizontal="center" vertical="center"/>
    </xf>
    <xf numFmtId="0" fontId="7" fillId="0" borderId="3" xfId="0" applyNumberFormat="1" applyFont="1" applyBorder="1" applyAlignment="1">
      <alignment horizontal="center" vertical="center"/>
    </xf>
    <xf numFmtId="0" fontId="7" fillId="0" borderId="1" xfId="0" applyNumberFormat="1" applyFont="1" applyBorder="1" applyAlignment="1">
      <alignment horizontal="center" vertical="center"/>
    </xf>
    <xf numFmtId="0" fontId="2" fillId="0" borderId="1" xfId="0" applyFont="1" applyFill="1" applyBorder="1" applyAlignment="1">
      <alignment horizontal="center" vertical="center"/>
    </xf>
    <xf numFmtId="10" fontId="7" fillId="0" borderId="3" xfId="0" applyNumberFormat="1" applyFont="1" applyFill="1" applyBorder="1" applyAlignment="1">
      <alignment horizontal="center" vertical="center"/>
    </xf>
    <xf numFmtId="179" fontId="7" fillId="0" borderId="3" xfId="0" applyNumberFormat="1" applyFont="1" applyFill="1" applyBorder="1" applyAlignment="1">
      <alignment horizontal="center" vertical="center"/>
    </xf>
    <xf numFmtId="10" fontId="7" fillId="0" borderId="3" xfId="0" applyNumberFormat="1" applyFont="1" applyFill="1" applyBorder="1" applyAlignment="1">
      <alignment horizontal="center" vertical="center"/>
    </xf>
    <xf numFmtId="179" fontId="7" fillId="0" borderId="3" xfId="0" applyNumberFormat="1" applyFont="1" applyFill="1" applyBorder="1" applyAlignment="1">
      <alignment horizontal="center" vertical="center"/>
    </xf>
    <xf numFmtId="10" fontId="7" fillId="0" borderId="0" xfId="0" applyNumberFormat="1" applyFont="1" applyFill="1" applyBorder="1" applyAlignment="1">
      <alignment horizontal="center" vertical="center"/>
    </xf>
    <xf numFmtId="179" fontId="7" fillId="0" borderId="0" xfId="0" applyNumberFormat="1" applyFont="1" applyFill="1" applyBorder="1" applyAlignment="1">
      <alignment horizontal="center" vertical="center"/>
    </xf>
    <xf numFmtId="10" fontId="7" fillId="0" borderId="0" xfId="0" applyNumberFormat="1" applyFont="1" applyFill="1" applyBorder="1" applyAlignment="1">
      <alignment horizontal="center" vertical="center"/>
    </xf>
    <xf numFmtId="179" fontId="7" fillId="0" borderId="0" xfId="0" applyNumberFormat="1" applyFont="1" applyFill="1" applyBorder="1" applyAlignment="1">
      <alignment horizontal="center" vertical="center"/>
    </xf>
    <xf numFmtId="10" fontId="7" fillId="0" borderId="1" xfId="0" applyNumberFormat="1" applyFont="1" applyFill="1" applyBorder="1" applyAlignment="1">
      <alignment horizontal="center" vertical="center"/>
    </xf>
    <xf numFmtId="179" fontId="7" fillId="0" borderId="1" xfId="0" applyNumberFormat="1" applyFont="1" applyFill="1" applyBorder="1" applyAlignment="1">
      <alignment horizontal="center" vertical="center"/>
    </xf>
    <xf numFmtId="179" fontId="7" fillId="0" borderId="1" xfId="0" applyNumberFormat="1" applyFont="1" applyFill="1" applyBorder="1" applyAlignment="1">
      <alignment horizontal="center" vertical="center"/>
    </xf>
    <xf numFmtId="10" fontId="7" fillId="18" borderId="10" xfId="0" applyNumberFormat="1" applyFont="1" applyFill="1" applyBorder="1" applyAlignment="1">
      <alignment horizontal="center" vertical="center"/>
    </xf>
    <xf numFmtId="0" fontId="7" fillId="18" borderId="3" xfId="0" applyFont="1" applyFill="1" applyBorder="1" applyAlignment="1">
      <alignment horizontal="center" vertical="center"/>
    </xf>
    <xf numFmtId="179" fontId="7" fillId="18" borderId="1" xfId="0" applyNumberFormat="1" applyFont="1" applyFill="1" applyBorder="1" applyAlignment="1">
      <alignment horizontal="center" vertical="center"/>
    </xf>
    <xf numFmtId="10" fontId="7" fillId="18" borderId="1" xfId="0" applyNumberFormat="1" applyFont="1" applyFill="1" applyBorder="1" applyAlignment="1">
      <alignment horizontal="center" vertical="center"/>
    </xf>
    <xf numFmtId="178" fontId="2" fillId="0" borderId="0" xfId="0" applyNumberFormat="1" applyFont="1" applyAlignment="1">
      <alignment horizontal="center" vertical="center"/>
    </xf>
    <xf numFmtId="178" fontId="7" fillId="0" borderId="3" xfId="0" applyNumberFormat="1" applyFont="1" applyFill="1" applyBorder="1" applyAlignment="1">
      <alignment horizontal="center" vertical="center"/>
    </xf>
    <xf numFmtId="0" fontId="2" fillId="0" borderId="28" xfId="0" applyFont="1" applyBorder="1" applyAlignment="1">
      <alignment horizontal="center" vertical="center"/>
    </xf>
    <xf numFmtId="178" fontId="7" fillId="0" borderId="0" xfId="0" applyNumberFormat="1" applyFont="1" applyFill="1" applyBorder="1" applyAlignment="1">
      <alignment horizontal="center" vertical="center"/>
    </xf>
    <xf numFmtId="178" fontId="7" fillId="0" borderId="1" xfId="0" applyNumberFormat="1" applyFont="1" applyFill="1" applyBorder="1" applyAlignment="1">
      <alignment horizontal="center" vertical="center"/>
    </xf>
    <xf numFmtId="178" fontId="7" fillId="18" borderId="1" xfId="0" applyNumberFormat="1" applyFont="1" applyFill="1" applyBorder="1" applyAlignment="1">
      <alignment horizontal="center" vertical="center"/>
    </xf>
    <xf numFmtId="10" fontId="2" fillId="18" borderId="20" xfId="0" applyNumberFormat="1" applyFont="1" applyFill="1" applyBorder="1" applyAlignment="1">
      <alignment horizontal="center" vertical="center"/>
    </xf>
    <xf numFmtId="10" fontId="2" fillId="18" borderId="1" xfId="0" applyNumberFormat="1" applyFont="1" applyFill="1" applyBorder="1" applyAlignment="1">
      <alignment horizontal="center" vertical="center"/>
    </xf>
    <xf numFmtId="10" fontId="2" fillId="18" borderId="12" xfId="0" applyNumberFormat="1" applyFont="1" applyFill="1" applyBorder="1" applyAlignment="1">
      <alignment horizontal="center" vertical="center"/>
    </xf>
    <xf numFmtId="0" fontId="10" fillId="23" borderId="0" xfId="0" applyFont="1" applyFill="1" applyAlignment="1">
      <alignment horizontal="center" vertical="center"/>
    </xf>
    <xf numFmtId="0" fontId="10" fillId="23" borderId="24" xfId="0" applyFont="1" applyFill="1" applyBorder="1" applyAlignment="1">
      <alignment horizontal="center" vertical="center"/>
    </xf>
    <xf numFmtId="0" fontId="7" fillId="23" borderId="10" xfId="0" applyFont="1" applyFill="1" applyBorder="1" applyAlignment="1">
      <alignment horizontal="center" vertical="center"/>
    </xf>
    <xf numFmtId="0" fontId="9" fillId="23" borderId="10" xfId="0" applyFont="1" applyFill="1" applyBorder="1" applyAlignment="1">
      <alignment horizontal="center" vertical="center"/>
    </xf>
    <xf numFmtId="0" fontId="9" fillId="23" borderId="9" xfId="0" applyFont="1" applyFill="1" applyBorder="1" applyAlignment="1">
      <alignment horizontal="center" vertical="center"/>
    </xf>
    <xf numFmtId="0" fontId="7" fillId="23" borderId="9" xfId="0" applyFont="1" applyFill="1" applyBorder="1" applyAlignment="1">
      <alignment horizontal="center" vertical="center"/>
    </xf>
    <xf numFmtId="179" fontId="7" fillId="23" borderId="10" xfId="0" applyNumberFormat="1" applyFont="1" applyFill="1" applyBorder="1" applyAlignment="1">
      <alignment horizontal="center" vertical="center"/>
    </xf>
    <xf numFmtId="10" fontId="7" fillId="23" borderId="10" xfId="0" applyNumberFormat="1" applyFont="1" applyFill="1" applyBorder="1" applyAlignment="1">
      <alignment horizontal="center" vertical="center"/>
    </xf>
    <xf numFmtId="178" fontId="7" fillId="23" borderId="10" xfId="0" applyNumberFormat="1" applyFont="1" applyFill="1" applyBorder="1" applyAlignment="1">
      <alignment horizontal="center" vertical="center"/>
    </xf>
    <xf numFmtId="0" fontId="2" fillId="23" borderId="9" xfId="0" applyFont="1" applyFill="1" applyBorder="1" applyAlignment="1">
      <alignment horizontal="center" vertical="center"/>
    </xf>
    <xf numFmtId="0" fontId="2" fillId="23" borderId="10" xfId="0" applyFont="1" applyFill="1" applyBorder="1" applyAlignment="1">
      <alignment horizontal="center" vertical="center"/>
    </xf>
    <xf numFmtId="0" fontId="2" fillId="23" borderId="23" xfId="0" applyFont="1" applyFill="1" applyBorder="1" applyAlignment="1">
      <alignment horizontal="center" vertical="center"/>
    </xf>
    <xf numFmtId="178" fontId="7" fillId="0" borderId="0" xfId="0" applyNumberFormat="1" applyFont="1" applyBorder="1" applyAlignment="1">
      <alignment horizontal="center" vertical="center"/>
    </xf>
    <xf numFmtId="10" fontId="0" fillId="0" borderId="0" xfId="0" applyNumberFormat="1">
      <alignment vertical="center"/>
    </xf>
    <xf numFmtId="0" fontId="11" fillId="0" borderId="0" xfId="0" applyFont="1">
      <alignment vertical="center"/>
    </xf>
    <xf numFmtId="0" fontId="11" fillId="24" borderId="29" xfId="0" applyFont="1" applyFill="1" applyBorder="1">
      <alignment vertical="center"/>
    </xf>
    <xf numFmtId="0" fontId="0" fillId="24" borderId="29" xfId="0" applyFill="1" applyBorder="1">
      <alignment vertical="center"/>
    </xf>
    <xf numFmtId="0" fontId="11" fillId="25" borderId="29" xfId="0" applyFont="1" applyFill="1" applyBorder="1">
      <alignment vertical="center"/>
    </xf>
    <xf numFmtId="0" fontId="0" fillId="25" borderId="29" xfId="0" applyFill="1" applyBorder="1">
      <alignment vertical="center"/>
    </xf>
    <xf numFmtId="0" fontId="12" fillId="25" borderId="29" xfId="0" applyFont="1" applyFill="1" applyBorder="1">
      <alignment vertical="center"/>
    </xf>
    <xf numFmtId="10" fontId="0" fillId="24" borderId="29" xfId="0" applyNumberFormat="1" applyFill="1" applyBorder="1">
      <alignment vertical="center"/>
    </xf>
    <xf numFmtId="10" fontId="0" fillId="25" borderId="29" xfId="0" applyNumberFormat="1" applyFill="1" applyBorder="1">
      <alignment vertical="center"/>
    </xf>
    <xf numFmtId="0" fontId="11"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6" fontId="0" fillId="0" borderId="0" xfId="4" applyNumberFormat="1">
      <alignment vertical="center"/>
    </xf>
    <xf numFmtId="180" fontId="0" fillId="0" borderId="0" xfId="11" applyNumberFormat="1">
      <alignment vertical="center"/>
    </xf>
    <xf numFmtId="9" fontId="0" fillId="0" borderId="0" xfId="11">
      <alignment vertical="center"/>
    </xf>
    <xf numFmtId="0" fontId="13" fillId="0" borderId="0" xfId="0" applyFont="1">
      <alignment vertical="center"/>
    </xf>
    <xf numFmtId="0" fontId="14" fillId="0" borderId="0" xfId="0" applyFont="1">
      <alignment vertical="center"/>
    </xf>
    <xf numFmtId="0" fontId="14" fillId="0" borderId="0" xfId="0" applyFont="1" applyAlignment="1">
      <alignment horizontal="center" vertical="center"/>
    </xf>
    <xf numFmtId="0" fontId="15" fillId="0" borderId="0" xfId="0" applyFont="1">
      <alignment vertical="center"/>
    </xf>
    <xf numFmtId="0" fontId="16" fillId="0" borderId="0" xfId="0" applyFont="1">
      <alignment vertical="center"/>
    </xf>
    <xf numFmtId="0" fontId="15" fillId="0" borderId="0" xfId="0" applyFont="1" applyAlignment="1">
      <alignment vertical="center" wrapText="1"/>
    </xf>
    <xf numFmtId="2" fontId="13" fillId="0" borderId="0" xfId="0" applyNumberFormat="1" applyFont="1">
      <alignment vertical="center"/>
    </xf>
    <xf numFmtId="0" fontId="16" fillId="0" borderId="0" xfId="0" applyFont="1" applyAlignment="1">
      <alignment horizontal="center" vertical="center"/>
    </xf>
    <xf numFmtId="0" fontId="17" fillId="0" borderId="0" xfId="0" applyFont="1" applyAlignment="1">
      <alignment vertical="center"/>
    </xf>
    <xf numFmtId="0" fontId="13" fillId="0" borderId="0" xfId="0" applyFont="1" applyAlignment="1">
      <alignment horizontal="center" vertical="center"/>
    </xf>
    <xf numFmtId="0" fontId="18" fillId="0" borderId="0" xfId="0" applyFont="1">
      <alignment vertical="center"/>
    </xf>
    <xf numFmtId="0" fontId="19" fillId="0" borderId="0" xfId="0" applyFont="1">
      <alignment vertical="center"/>
    </xf>
    <xf numFmtId="0" fontId="18" fillId="0" borderId="0" xfId="0" applyFont="1" applyAlignment="1">
      <alignment horizontal="center" vertical="center"/>
    </xf>
    <xf numFmtId="178" fontId="18" fillId="0" borderId="0" xfId="0" applyNumberFormat="1" applyFont="1">
      <alignment vertical="center"/>
    </xf>
    <xf numFmtId="0" fontId="7" fillId="8" borderId="19" xfId="0" applyFont="1" applyFill="1" applyBorder="1" applyAlignment="1">
      <alignment horizontal="center" vertical="center"/>
    </xf>
    <xf numFmtId="0" fontId="7" fillId="8" borderId="20" xfId="0" applyFont="1" applyFill="1" applyBorder="1" applyAlignment="1">
      <alignment horizontal="center" vertical="center"/>
    </xf>
    <xf numFmtId="0" fontId="2" fillId="0" borderId="0" xfId="0" applyFont="1" applyFill="1" applyBorder="1" applyAlignment="1">
      <alignment vertical="center"/>
    </xf>
    <xf numFmtId="0" fontId="10" fillId="0" borderId="0" xfId="0" applyFont="1" applyFill="1" applyBorder="1" applyAlignment="1">
      <alignment vertical="center"/>
    </xf>
    <xf numFmtId="0" fontId="18" fillId="0" borderId="0" xfId="0" applyFont="1" applyBorder="1">
      <alignment vertical="center"/>
    </xf>
    <xf numFmtId="0" fontId="19" fillId="0" borderId="0" xfId="0" applyFont="1" applyBorder="1">
      <alignment vertical="center"/>
    </xf>
    <xf numFmtId="0" fontId="18" fillId="0" borderId="0" xfId="0" applyFont="1" applyBorder="1" applyAlignment="1">
      <alignment horizontal="center" vertical="center"/>
    </xf>
    <xf numFmtId="0" fontId="20" fillId="0" borderId="0" xfId="0" applyFont="1">
      <alignment vertical="center"/>
    </xf>
    <xf numFmtId="0" fontId="20" fillId="0" borderId="0" xfId="0" applyFont="1" applyAlignment="1">
      <alignment vertical="center"/>
    </xf>
    <xf numFmtId="0" fontId="21" fillId="0" borderId="0" xfId="0" applyFont="1" applyAlignment="1">
      <alignment horizontal="center" vertical="center"/>
    </xf>
    <xf numFmtId="0" fontId="21" fillId="0" borderId="0" xfId="0" applyFont="1">
      <alignment vertical="center"/>
    </xf>
    <xf numFmtId="0" fontId="19" fillId="0" borderId="0" xfId="0" applyFont="1" applyAlignment="1">
      <alignment vertical="center"/>
    </xf>
    <xf numFmtId="0" fontId="20" fillId="0" borderId="0" xfId="0" applyFont="1" applyAlignment="1">
      <alignment horizontal="center" vertical="center"/>
    </xf>
    <xf numFmtId="0" fontId="21" fillId="0" borderId="0" xfId="0" applyFont="1" applyFill="1" applyAlignment="1">
      <alignment vertical="center" wrapText="1"/>
    </xf>
    <xf numFmtId="0" fontId="18" fillId="0" borderId="0" xfId="0" applyFont="1" applyFill="1" applyAlignment="1">
      <alignment horizontal="center" vertical="center"/>
    </xf>
    <xf numFmtId="0" fontId="18" fillId="0" borderId="0" xfId="0" applyFont="1" applyFill="1">
      <alignment vertical="center"/>
    </xf>
    <xf numFmtId="0" fontId="21" fillId="0" borderId="0" xfId="0" applyFont="1" applyFill="1">
      <alignment vertical="center"/>
    </xf>
    <xf numFmtId="0" fontId="22" fillId="0" borderId="0" xfId="0" applyFont="1" applyAlignment="1">
      <alignment vertical="center"/>
    </xf>
    <xf numFmtId="0" fontId="2" fillId="0" borderId="14" xfId="0" applyFont="1" applyFill="1" applyBorder="1" applyAlignment="1">
      <alignment horizontal="center" vertical="center"/>
    </xf>
    <xf numFmtId="9" fontId="7" fillId="0" borderId="14" xfId="0" applyNumberFormat="1" applyFont="1" applyFill="1" applyBorder="1" applyAlignment="1">
      <alignment horizontal="center" vertical="center"/>
    </xf>
    <xf numFmtId="9" fontId="7" fillId="0" borderId="24" xfId="0" applyNumberFormat="1" applyFont="1" applyFill="1" applyBorder="1" applyAlignment="1">
      <alignment horizontal="center" vertical="center"/>
    </xf>
    <xf numFmtId="9" fontId="7" fillId="0" borderId="12" xfId="0" applyNumberFormat="1" applyFont="1" applyFill="1" applyBorder="1" applyAlignment="1">
      <alignment horizontal="center" vertical="center"/>
    </xf>
    <xf numFmtId="0" fontId="18" fillId="0" borderId="24" xfId="0" applyFont="1" applyBorder="1">
      <alignment vertical="center"/>
    </xf>
    <xf numFmtId="0" fontId="7" fillId="18" borderId="10" xfId="0" applyNumberFormat="1" applyFont="1" applyFill="1" applyBorder="1" applyAlignment="1">
      <alignment horizontal="center" vertical="center"/>
    </xf>
    <xf numFmtId="178" fontId="2" fillId="0" borderId="0" xfId="0" applyNumberFormat="1" applyFont="1" applyBorder="1" applyAlignment="1">
      <alignment horizontal="center" vertical="center"/>
    </xf>
    <xf numFmtId="178" fontId="2" fillId="0" borderId="14" xfId="0" applyNumberFormat="1" applyFont="1" applyFill="1" applyBorder="1" applyAlignment="1">
      <alignment horizontal="center" vertical="center"/>
    </xf>
    <xf numFmtId="178" fontId="2" fillId="0" borderId="24" xfId="0" applyNumberFormat="1" applyFont="1" applyFill="1" applyBorder="1" applyAlignment="1">
      <alignment horizontal="center" vertical="center"/>
    </xf>
    <xf numFmtId="178" fontId="7" fillId="0" borderId="14" xfId="0" applyNumberFormat="1" applyFont="1" applyFill="1" applyBorder="1" applyAlignment="1">
      <alignment horizontal="center" vertical="center"/>
    </xf>
    <xf numFmtId="178" fontId="7" fillId="0" borderId="24" xfId="0" applyNumberFormat="1" applyFont="1" applyFill="1" applyBorder="1" applyAlignment="1">
      <alignment horizontal="center" vertical="center"/>
    </xf>
    <xf numFmtId="178" fontId="7" fillId="0" borderId="12" xfId="0" applyNumberFormat="1" applyFont="1" applyFill="1" applyBorder="1" applyAlignment="1">
      <alignment horizontal="center" vertical="center"/>
    </xf>
    <xf numFmtId="179" fontId="7" fillId="18" borderId="10" xfId="0" applyNumberFormat="1" applyFont="1" applyFill="1" applyBorder="1" applyAlignment="1">
      <alignment horizontal="center" vertical="center"/>
    </xf>
    <xf numFmtId="178" fontId="7" fillId="18" borderId="10" xfId="0" applyNumberFormat="1" applyFont="1" applyFill="1" applyBorder="1" applyAlignment="1">
      <alignment horizontal="center" vertical="center"/>
    </xf>
    <xf numFmtId="178" fontId="7" fillId="18" borderId="23" xfId="0" applyNumberFormat="1" applyFont="1" applyFill="1" applyBorder="1" applyAlignment="1">
      <alignment horizontal="center" vertical="center"/>
    </xf>
    <xf numFmtId="178" fontId="18" fillId="0" borderId="0" xfId="0" applyNumberFormat="1" applyFont="1" applyFill="1" applyBorder="1">
      <alignment vertical="center"/>
    </xf>
    <xf numFmtId="0" fontId="18" fillId="0" borderId="0" xfId="0" applyFont="1" applyFill="1" applyBorder="1">
      <alignment vertical="center"/>
    </xf>
    <xf numFmtId="178" fontId="21" fillId="0" borderId="0" xfId="0" applyNumberFormat="1" applyFont="1">
      <alignment vertical="center"/>
    </xf>
    <xf numFmtId="10" fontId="2" fillId="0" borderId="0" xfId="0" applyNumberFormat="1" applyFont="1" applyFill="1" applyBorder="1" applyAlignment="1">
      <alignment horizontal="center" vertical="center"/>
    </xf>
    <xf numFmtId="0" fontId="2" fillId="0" borderId="24" xfId="0" applyFont="1" applyFill="1" applyBorder="1" applyAlignment="1">
      <alignment horizontal="center" vertical="center"/>
    </xf>
    <xf numFmtId="9" fontId="13" fillId="0" borderId="0" xfId="1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7FC7E"/>
      <color rgb="0016B2FA"/>
      <color rgb="0014B4F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180975</xdr:colOff>
      <xdr:row>0</xdr:row>
      <xdr:rowOff>114300</xdr:rowOff>
    </xdr:from>
    <xdr:to>
      <xdr:col>13</xdr:col>
      <xdr:colOff>419100</xdr:colOff>
      <xdr:row>2</xdr:row>
      <xdr:rowOff>19050</xdr:rowOff>
    </xdr:to>
    <xdr:cxnSp>
      <xdr:nvCxnSpPr>
        <xdr:cNvPr id="3" name="直接箭头连接符 2"/>
        <xdr:cNvCxnSpPr/>
      </xdr:nvCxnSpPr>
      <xdr:spPr>
        <a:xfrm flipH="1">
          <a:off x="7724775" y="114300"/>
          <a:ext cx="1609725" cy="6159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133350</xdr:colOff>
      <xdr:row>0</xdr:row>
      <xdr:rowOff>180975</xdr:rowOff>
    </xdr:from>
    <xdr:to>
      <xdr:col>17</xdr:col>
      <xdr:colOff>485775</xdr:colOff>
      <xdr:row>1</xdr:row>
      <xdr:rowOff>314325</xdr:rowOff>
    </xdr:to>
    <xdr:cxnSp>
      <xdr:nvCxnSpPr>
        <xdr:cNvPr id="4" name="直接箭头连接符 3"/>
        <xdr:cNvCxnSpPr/>
      </xdr:nvCxnSpPr>
      <xdr:spPr>
        <a:xfrm>
          <a:off x="11106150" y="180975"/>
          <a:ext cx="1038225" cy="5143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comments" Target="../comments6.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2" tint="-0.25"/>
  </sheetPr>
  <dimension ref="A1:H2"/>
  <sheetViews>
    <sheetView workbookViewId="0">
      <selection activeCell="D3" sqref="D3"/>
    </sheetView>
  </sheetViews>
  <sheetFormatPr defaultColWidth="9" defaultRowHeight="18" outlineLevelRow="1" outlineLevelCol="7"/>
  <cols>
    <col min="1" max="1" width="24.625" style="2" customWidth="1"/>
    <col min="2" max="16384" width="9" style="16"/>
  </cols>
  <sheetData>
    <row r="1" ht="13.5" spans="1:1">
      <c r="A1" s="2" t="s">
        <v>0</v>
      </c>
    </row>
    <row r="2" spans="2:8">
      <c r="B2" s="2" t="s">
        <v>1</v>
      </c>
      <c r="G2" s="2" t="s">
        <v>2</v>
      </c>
      <c r="H2" s="2" t="s">
        <v>3</v>
      </c>
    </row>
  </sheetData>
  <mergeCells count="1">
    <mergeCell ref="A1:A2"/>
  </mergeCells>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4" tint="0.4"/>
  </sheetPr>
  <dimension ref="A1:H48"/>
  <sheetViews>
    <sheetView workbookViewId="0">
      <selection activeCell="G26" sqref="G26"/>
    </sheetView>
  </sheetViews>
  <sheetFormatPr defaultColWidth="9" defaultRowHeight="18" outlineLevelCol="7"/>
  <cols>
    <col min="1" max="2" width="16.625" style="16" customWidth="1"/>
    <col min="3" max="3" width="20.625" style="16" customWidth="1"/>
    <col min="4" max="7" width="16.625" style="16" customWidth="1"/>
    <col min="8" max="8" width="16.625" style="2" customWidth="1"/>
    <col min="9" max="12" width="16.625" style="16" customWidth="1"/>
    <col min="13" max="16384" width="9" style="16"/>
  </cols>
  <sheetData>
    <row r="1" ht="24" customHeight="1" spans="1:8">
      <c r="A1" s="66" t="s">
        <v>441</v>
      </c>
      <c r="B1" s="67"/>
      <c r="C1" s="67"/>
      <c r="D1" s="67"/>
      <c r="E1" s="67"/>
      <c r="F1" s="67"/>
      <c r="G1" s="40"/>
      <c r="H1" s="16"/>
    </row>
    <row r="2" ht="20" customHeight="1" spans="1:8">
      <c r="A2" s="102" t="s">
        <v>442</v>
      </c>
      <c r="B2" s="102" t="s">
        <v>443</v>
      </c>
      <c r="C2" s="102" t="s">
        <v>444</v>
      </c>
      <c r="D2" s="102" t="s">
        <v>445</v>
      </c>
      <c r="E2" s="102" t="s">
        <v>446</v>
      </c>
      <c r="F2" s="102" t="s">
        <v>447</v>
      </c>
      <c r="G2" s="102" t="s">
        <v>448</v>
      </c>
      <c r="H2" s="16"/>
    </row>
    <row r="3" customHeight="1" spans="1:8">
      <c r="A3" s="103"/>
      <c r="B3" s="104"/>
      <c r="C3" s="104"/>
      <c r="D3" s="104"/>
      <c r="E3" s="104"/>
      <c r="F3" s="104"/>
      <c r="G3" s="104"/>
      <c r="H3" s="16"/>
    </row>
    <row r="4" customHeight="1" spans="1:8">
      <c r="A4" s="105" t="s">
        <v>449</v>
      </c>
      <c r="B4" s="106" t="s">
        <v>97</v>
      </c>
      <c r="C4" s="107">
        <v>5</v>
      </c>
      <c r="D4" s="78">
        <v>1.5</v>
      </c>
      <c r="E4" s="78">
        <v>0.5</v>
      </c>
      <c r="F4" s="108">
        <v>0.25</v>
      </c>
      <c r="G4" s="109">
        <f>3*D4</f>
        <v>4.5</v>
      </c>
      <c r="H4" s="16"/>
    </row>
    <row r="5" customHeight="1" spans="1:8">
      <c r="A5" s="110"/>
      <c r="B5" s="111" t="s">
        <v>339</v>
      </c>
      <c r="C5" s="112">
        <v>5</v>
      </c>
      <c r="D5" s="82">
        <v>1.5</v>
      </c>
      <c r="E5" s="82">
        <v>0.5</v>
      </c>
      <c r="F5" s="113">
        <v>0.25</v>
      </c>
      <c r="G5" s="114">
        <f t="shared" ref="G5:G19" si="0">3*D5</f>
        <v>4.5</v>
      </c>
      <c r="H5" s="16"/>
    </row>
    <row r="6" customHeight="1" spans="1:8">
      <c r="A6" s="110"/>
      <c r="B6" s="111" t="s">
        <v>15</v>
      </c>
      <c r="C6" s="112">
        <v>5</v>
      </c>
      <c r="D6" s="82">
        <v>1</v>
      </c>
      <c r="E6" s="82">
        <v>0.5</v>
      </c>
      <c r="F6" s="113">
        <v>0.25</v>
      </c>
      <c r="G6" s="114">
        <f t="shared" si="0"/>
        <v>3</v>
      </c>
      <c r="H6" s="16"/>
    </row>
    <row r="7" customHeight="1" spans="1:8">
      <c r="A7" s="110"/>
      <c r="B7" s="111" t="s">
        <v>16</v>
      </c>
      <c r="C7" s="112">
        <v>5</v>
      </c>
      <c r="D7" s="82">
        <v>1.5</v>
      </c>
      <c r="E7" s="82">
        <v>0.5</v>
      </c>
      <c r="F7" s="113">
        <v>0.25</v>
      </c>
      <c r="G7" s="114">
        <f t="shared" si="0"/>
        <v>4.5</v>
      </c>
      <c r="H7" s="16"/>
    </row>
    <row r="8" customHeight="1" spans="1:8">
      <c r="A8" s="110"/>
      <c r="B8" s="111" t="s">
        <v>450</v>
      </c>
      <c r="C8" s="112">
        <v>5</v>
      </c>
      <c r="D8" s="82">
        <v>0.2</v>
      </c>
      <c r="E8" s="82">
        <v>0.25</v>
      </c>
      <c r="F8" s="113">
        <v>0.25</v>
      </c>
      <c r="G8" s="114">
        <f t="shared" si="0"/>
        <v>0.6</v>
      </c>
      <c r="H8" s="16"/>
    </row>
    <row r="9" customHeight="1" spans="1:8">
      <c r="A9" s="110"/>
      <c r="B9" s="111" t="s">
        <v>451</v>
      </c>
      <c r="C9" s="112">
        <v>1</v>
      </c>
      <c r="D9" s="82">
        <v>0</v>
      </c>
      <c r="E9" s="82">
        <v>0</v>
      </c>
      <c r="F9" s="113">
        <v>1</v>
      </c>
      <c r="G9" s="114">
        <f t="shared" si="0"/>
        <v>0</v>
      </c>
      <c r="H9" s="16"/>
    </row>
    <row r="10" customHeight="1" spans="1:8">
      <c r="A10" s="115"/>
      <c r="B10" s="116" t="s">
        <v>452</v>
      </c>
      <c r="C10" s="117">
        <v>7</v>
      </c>
      <c r="D10" s="79">
        <v>1.5</v>
      </c>
      <c r="E10" s="79">
        <v>0.5</v>
      </c>
      <c r="F10" s="118">
        <v>0.25</v>
      </c>
      <c r="G10" s="114">
        <f t="shared" si="0"/>
        <v>4.5</v>
      </c>
      <c r="H10" s="16"/>
    </row>
    <row r="11" customHeight="1" spans="1:8">
      <c r="A11" s="119" t="s">
        <v>453</v>
      </c>
      <c r="B11" s="111" t="s">
        <v>154</v>
      </c>
      <c r="C11" s="112">
        <v>10</v>
      </c>
      <c r="D11" s="82">
        <v>3</v>
      </c>
      <c r="E11" s="82">
        <v>0.5</v>
      </c>
      <c r="F11" s="113">
        <v>0.25</v>
      </c>
      <c r="G11" s="109">
        <f t="shared" si="0"/>
        <v>9</v>
      </c>
      <c r="H11" s="16"/>
    </row>
    <row r="12" customHeight="1" spans="1:8">
      <c r="A12" s="120"/>
      <c r="B12" s="111" t="s">
        <v>98</v>
      </c>
      <c r="C12" s="112">
        <v>10</v>
      </c>
      <c r="D12" s="82">
        <v>3</v>
      </c>
      <c r="E12" s="82">
        <v>0.5</v>
      </c>
      <c r="F12" s="113">
        <v>0.25</v>
      </c>
      <c r="G12" s="114">
        <f t="shared" si="0"/>
        <v>9</v>
      </c>
      <c r="H12" s="16"/>
    </row>
    <row r="13" customHeight="1" spans="1:8">
      <c r="A13" s="120"/>
      <c r="B13" s="111" t="s">
        <v>99</v>
      </c>
      <c r="C13" s="112">
        <v>10</v>
      </c>
      <c r="D13" s="82">
        <v>2.5</v>
      </c>
      <c r="E13" s="82">
        <v>0.5</v>
      </c>
      <c r="F13" s="113">
        <v>0.25</v>
      </c>
      <c r="G13" s="114">
        <f t="shared" si="0"/>
        <v>7.5</v>
      </c>
      <c r="H13" s="16"/>
    </row>
    <row r="14" customHeight="1" spans="1:8">
      <c r="A14" s="120"/>
      <c r="B14" s="111" t="s">
        <v>17</v>
      </c>
      <c r="C14" s="112">
        <v>10</v>
      </c>
      <c r="D14" s="82">
        <v>3</v>
      </c>
      <c r="E14" s="82">
        <v>0.5</v>
      </c>
      <c r="F14" s="113">
        <v>0.25</v>
      </c>
      <c r="G14" s="114">
        <f t="shared" si="0"/>
        <v>9</v>
      </c>
      <c r="H14" s="16"/>
    </row>
    <row r="15" customHeight="1" spans="1:8">
      <c r="A15" s="120"/>
      <c r="B15" s="121" t="s">
        <v>100</v>
      </c>
      <c r="C15" s="122">
        <v>12</v>
      </c>
      <c r="D15" s="123">
        <v>5</v>
      </c>
      <c r="E15" s="123">
        <v>0.5</v>
      </c>
      <c r="F15" s="124">
        <v>0.25</v>
      </c>
      <c r="G15" s="125">
        <f t="shared" si="0"/>
        <v>15</v>
      </c>
      <c r="H15" s="16"/>
    </row>
    <row r="16" customHeight="1" spans="1:8">
      <c r="A16" s="120"/>
      <c r="B16" s="111" t="s">
        <v>454</v>
      </c>
      <c r="C16" s="112">
        <v>12</v>
      </c>
      <c r="D16" s="82">
        <v>5</v>
      </c>
      <c r="E16" s="82">
        <v>0.5</v>
      </c>
      <c r="F16" s="113">
        <v>0.25</v>
      </c>
      <c r="G16" s="114">
        <f t="shared" si="0"/>
        <v>15</v>
      </c>
      <c r="H16" s="16"/>
    </row>
    <row r="17" customHeight="1" spans="1:8">
      <c r="A17" s="126"/>
      <c r="B17" s="116" t="s">
        <v>51</v>
      </c>
      <c r="C17" s="117">
        <v>10</v>
      </c>
      <c r="D17" s="79">
        <v>2</v>
      </c>
      <c r="E17" s="79">
        <v>0.5</v>
      </c>
      <c r="F17" s="118">
        <v>0.25</v>
      </c>
      <c r="G17" s="114">
        <f t="shared" si="0"/>
        <v>6</v>
      </c>
      <c r="H17" s="16"/>
    </row>
    <row r="18" customHeight="1" spans="1:8">
      <c r="A18" s="127" t="s">
        <v>455</v>
      </c>
      <c r="B18" s="106" t="s">
        <v>101</v>
      </c>
      <c r="C18" s="107">
        <v>20</v>
      </c>
      <c r="D18" s="78">
        <v>6</v>
      </c>
      <c r="E18" s="78">
        <v>0</v>
      </c>
      <c r="F18" s="108">
        <v>0.2</v>
      </c>
      <c r="G18" s="109">
        <f t="shared" si="0"/>
        <v>18</v>
      </c>
      <c r="H18" s="16"/>
    </row>
    <row r="19" customHeight="1" spans="1:8">
      <c r="A19" s="128"/>
      <c r="B19" s="116" t="s">
        <v>408</v>
      </c>
      <c r="C19" s="117">
        <v>20</v>
      </c>
      <c r="D19" s="79">
        <v>6</v>
      </c>
      <c r="E19" s="79">
        <v>0</v>
      </c>
      <c r="F19" s="118">
        <v>0.25</v>
      </c>
      <c r="G19" s="129">
        <f t="shared" si="0"/>
        <v>18</v>
      </c>
      <c r="H19" s="16"/>
    </row>
    <row r="20" customHeight="1"/>
    <row r="21" customHeight="1"/>
    <row r="22" customHeight="1"/>
    <row r="23" customHeight="1"/>
    <row r="24" customHeight="1"/>
    <row r="25" customHeight="1"/>
    <row r="26" customHeight="1"/>
    <row r="27" customHeight="1"/>
    <row r="28" customHeight="1"/>
    <row r="29" customHeight="1"/>
    <row r="30" customHeight="1"/>
    <row r="31" customHeight="1"/>
    <row r="32" customHeight="1"/>
    <row r="33" customHeight="1"/>
    <row r="34" customHeight="1"/>
    <row r="35" customHeight="1"/>
    <row r="36" customHeight="1"/>
    <row r="37" customHeight="1"/>
    <row r="38" customHeight="1"/>
    <row r="39" customHeight="1"/>
    <row r="40" customHeight="1"/>
    <row r="41" customHeight="1"/>
    <row r="42" customHeight="1"/>
    <row r="43" customHeight="1"/>
    <row r="44" customHeight="1"/>
    <row r="45" customHeight="1"/>
    <row r="46" customHeight="1"/>
    <row r="47" customHeight="1"/>
    <row r="48" customHeight="1"/>
  </sheetData>
  <mergeCells count="11">
    <mergeCell ref="A1:G1"/>
    <mergeCell ref="A2:A3"/>
    <mergeCell ref="A4:A10"/>
    <mergeCell ref="A11:A17"/>
    <mergeCell ref="A18:A19"/>
    <mergeCell ref="B2:B3"/>
    <mergeCell ref="C2:C3"/>
    <mergeCell ref="D2:D3"/>
    <mergeCell ref="E2:E3"/>
    <mergeCell ref="F2:F3"/>
    <mergeCell ref="G2:G3"/>
  </mergeCells>
  <pageMargins left="0.75" right="0.75" top="1" bottom="1" header="0.511805555555556" footer="0.511805555555556"/>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rgb="FFFFC000"/>
  </sheetPr>
  <dimension ref="A1:AL56"/>
  <sheetViews>
    <sheetView workbookViewId="0">
      <selection activeCell="S16" sqref="S16"/>
    </sheetView>
  </sheetViews>
  <sheetFormatPr defaultColWidth="8.725" defaultRowHeight="18"/>
  <cols>
    <col min="1" max="1" width="9.125" style="2" customWidth="1"/>
    <col min="2" max="3" width="9.125" style="16" customWidth="1"/>
    <col min="4" max="5" width="9.125" style="2" customWidth="1"/>
    <col min="6" max="23" width="9.625" style="16" customWidth="1"/>
    <col min="24" max="24" width="9.125" style="16" customWidth="1"/>
    <col min="25" max="26" width="9.125" style="32" customWidth="1"/>
    <col min="27" max="27" width="16.625" style="32" customWidth="1"/>
    <col min="28" max="32" width="9.125" style="32" customWidth="1"/>
    <col min="33" max="40" width="9.125" style="16" customWidth="1"/>
    <col min="41" max="41" width="4.375" style="16" customWidth="1"/>
    <col min="42" max="43" width="8.725" style="16"/>
    <col min="44" max="44" width="8.875" style="16" customWidth="1"/>
    <col min="45" max="16384" width="8.725" style="16"/>
  </cols>
  <sheetData>
    <row r="1" ht="24" customHeight="1" spans="1:32">
      <c r="A1" s="33" t="s">
        <v>456</v>
      </c>
      <c r="B1" s="34"/>
      <c r="C1" s="34"/>
      <c r="D1" s="34"/>
      <c r="E1" s="34"/>
      <c r="F1" s="34"/>
      <c r="G1" s="34"/>
      <c r="H1" s="34"/>
      <c r="I1" s="34"/>
      <c r="J1" s="34"/>
      <c r="K1" s="34"/>
      <c r="L1" s="34"/>
      <c r="M1" s="34"/>
      <c r="N1" s="34"/>
      <c r="O1" s="34"/>
      <c r="P1" s="34"/>
      <c r="Q1" s="34"/>
      <c r="R1" s="34"/>
      <c r="S1" s="34"/>
      <c r="T1" s="34"/>
      <c r="U1" s="34"/>
      <c r="V1" s="34"/>
      <c r="W1" s="74"/>
      <c r="Y1" s="83" t="s">
        <v>457</v>
      </c>
      <c r="Z1" s="84"/>
      <c r="AA1" s="84"/>
      <c r="AB1" s="84"/>
      <c r="AC1" s="84"/>
      <c r="AD1" s="84"/>
      <c r="AE1" s="84"/>
      <c r="AF1" s="85"/>
    </row>
    <row r="2" s="2" customFormat="1" spans="1:35">
      <c r="A2" s="2" t="s">
        <v>458</v>
      </c>
      <c r="D2" s="35" t="s">
        <v>459</v>
      </c>
      <c r="E2" s="36" t="s">
        <v>460</v>
      </c>
      <c r="F2" s="2">
        <v>1</v>
      </c>
      <c r="G2" s="2">
        <v>2</v>
      </c>
      <c r="H2" s="2">
        <v>3</v>
      </c>
      <c r="I2" s="2">
        <v>4</v>
      </c>
      <c r="J2" s="2">
        <v>5</v>
      </c>
      <c r="K2" s="2">
        <v>6</v>
      </c>
      <c r="L2" s="2">
        <v>7</v>
      </c>
      <c r="M2" s="2">
        <v>8</v>
      </c>
      <c r="N2" s="2">
        <v>9</v>
      </c>
      <c r="O2" s="2">
        <v>10</v>
      </c>
      <c r="P2" s="2">
        <v>11</v>
      </c>
      <c r="Q2" s="2">
        <v>12</v>
      </c>
      <c r="R2" s="2">
        <v>13</v>
      </c>
      <c r="S2" s="2">
        <v>14</v>
      </c>
      <c r="T2" s="2">
        <v>15</v>
      </c>
      <c r="U2" s="2">
        <v>16</v>
      </c>
      <c r="V2" s="46">
        <v>17</v>
      </c>
      <c r="W2" s="75">
        <v>18</v>
      </c>
      <c r="X2" s="70"/>
      <c r="Y2" s="86" t="s">
        <v>461</v>
      </c>
      <c r="Z2" s="87"/>
      <c r="AA2" s="84" t="s">
        <v>462</v>
      </c>
      <c r="AB2" s="88">
        <v>1</v>
      </c>
      <c r="AC2" s="88">
        <v>2</v>
      </c>
      <c r="AD2" s="88">
        <v>3</v>
      </c>
      <c r="AE2" s="89">
        <v>4</v>
      </c>
      <c r="AF2" s="90">
        <v>5</v>
      </c>
      <c r="AG2" s="70"/>
      <c r="AI2" s="68"/>
    </row>
    <row r="3" spans="1:38">
      <c r="A3" s="37" t="s">
        <v>463</v>
      </c>
      <c r="B3" s="38"/>
      <c r="C3" s="38"/>
      <c r="D3" s="39">
        <v>12</v>
      </c>
      <c r="E3" s="40">
        <v>12</v>
      </c>
      <c r="F3" s="41" t="s">
        <v>274</v>
      </c>
      <c r="G3" s="42" t="s">
        <v>464</v>
      </c>
      <c r="H3" s="43" t="s">
        <v>92</v>
      </c>
      <c r="I3" s="43" t="s">
        <v>35</v>
      </c>
      <c r="J3" s="43" t="s">
        <v>45</v>
      </c>
      <c r="K3" s="43" t="s">
        <v>234</v>
      </c>
      <c r="L3" s="43" t="s">
        <v>465</v>
      </c>
      <c r="M3" s="43" t="s">
        <v>466</v>
      </c>
      <c r="N3" s="42" t="s">
        <v>467</v>
      </c>
      <c r="O3" s="42" t="s">
        <v>468</v>
      </c>
      <c r="P3" s="48" t="s">
        <v>94</v>
      </c>
      <c r="Q3" s="48" t="s">
        <v>469</v>
      </c>
      <c r="R3" s="67" t="s">
        <v>470</v>
      </c>
      <c r="S3" s="67"/>
      <c r="T3" s="67"/>
      <c r="U3" s="67"/>
      <c r="V3" s="67"/>
      <c r="W3" s="76"/>
      <c r="X3" s="70"/>
      <c r="Y3" s="91" t="s">
        <v>471</v>
      </c>
      <c r="Z3" s="92"/>
      <c r="AA3" s="93" t="s">
        <v>472</v>
      </c>
      <c r="AB3" s="92" t="s">
        <v>473</v>
      </c>
      <c r="AC3" s="92" t="s">
        <v>68</v>
      </c>
      <c r="AD3" s="92" t="s">
        <v>10</v>
      </c>
      <c r="AE3" s="93" t="s">
        <v>11</v>
      </c>
      <c r="AF3" s="94" t="s">
        <v>94</v>
      </c>
      <c r="AG3" s="70"/>
      <c r="AH3" s="2"/>
      <c r="AI3" s="68"/>
      <c r="AJ3" s="2"/>
      <c r="AK3" s="2"/>
      <c r="AL3" s="2"/>
    </row>
    <row r="4" spans="1:38">
      <c r="A4" s="44"/>
      <c r="B4" s="2"/>
      <c r="C4" s="2"/>
      <c r="D4" s="35"/>
      <c r="E4" s="36"/>
      <c r="F4" s="45">
        <v>30</v>
      </c>
      <c r="G4" s="16">
        <v>30</v>
      </c>
      <c r="H4" s="16">
        <v>35</v>
      </c>
      <c r="I4" s="16">
        <v>40</v>
      </c>
      <c r="J4" s="16">
        <v>40</v>
      </c>
      <c r="K4" s="16">
        <v>70</v>
      </c>
      <c r="L4" s="16">
        <v>30</v>
      </c>
      <c r="M4" s="16">
        <v>60</v>
      </c>
      <c r="N4" s="16">
        <v>30</v>
      </c>
      <c r="O4" s="16">
        <v>60</v>
      </c>
      <c r="P4" s="16">
        <v>30</v>
      </c>
      <c r="Q4" s="47">
        <v>50</v>
      </c>
      <c r="V4" s="47"/>
      <c r="W4" s="77"/>
      <c r="X4" s="70"/>
      <c r="Y4" s="91"/>
      <c r="Z4" s="92"/>
      <c r="AA4" s="93"/>
      <c r="AB4" s="92" t="s">
        <v>474</v>
      </c>
      <c r="AC4" s="92" t="s">
        <v>475</v>
      </c>
      <c r="AD4" s="92" t="s">
        <v>476</v>
      </c>
      <c r="AE4" s="93" t="s">
        <v>477</v>
      </c>
      <c r="AF4" s="95" t="s">
        <v>476</v>
      </c>
      <c r="AG4" s="70"/>
      <c r="AH4" s="2"/>
      <c r="AI4" s="2"/>
      <c r="AJ4" s="2"/>
      <c r="AK4" s="2"/>
      <c r="AL4" s="2"/>
    </row>
    <row r="5" spans="1:38">
      <c r="A5" s="37" t="s">
        <v>478</v>
      </c>
      <c r="B5" s="38"/>
      <c r="C5" s="38"/>
      <c r="D5" s="39">
        <v>17</v>
      </c>
      <c r="E5" s="40">
        <v>17</v>
      </c>
      <c r="F5" s="43" t="s">
        <v>335</v>
      </c>
      <c r="G5" s="43" t="s">
        <v>247</v>
      </c>
      <c r="H5" s="43" t="s">
        <v>404</v>
      </c>
      <c r="I5" s="48" t="s">
        <v>8</v>
      </c>
      <c r="J5" s="48" t="s">
        <v>9</v>
      </c>
      <c r="K5" s="48" t="s">
        <v>93</v>
      </c>
      <c r="L5" s="71" t="s">
        <v>479</v>
      </c>
      <c r="M5" s="71" t="s">
        <v>325</v>
      </c>
      <c r="N5" s="48" t="s">
        <v>480</v>
      </c>
      <c r="O5" s="48" t="s">
        <v>47</v>
      </c>
      <c r="P5" s="71" t="s">
        <v>481</v>
      </c>
      <c r="Q5" s="48" t="s">
        <v>482</v>
      </c>
      <c r="R5" s="71" t="s">
        <v>250</v>
      </c>
      <c r="S5" s="71" t="s">
        <v>321</v>
      </c>
      <c r="T5" s="48" t="s">
        <v>483</v>
      </c>
      <c r="U5" s="48" t="s">
        <v>484</v>
      </c>
      <c r="V5" s="48" t="s">
        <v>485</v>
      </c>
      <c r="W5" s="78" t="s">
        <v>486</v>
      </c>
      <c r="X5" s="70"/>
      <c r="Y5" s="91" t="s">
        <v>487</v>
      </c>
      <c r="Z5" s="92"/>
      <c r="AA5" s="93" t="s">
        <v>472</v>
      </c>
      <c r="AB5" s="93" t="s">
        <v>264</v>
      </c>
      <c r="AC5" s="93" t="s">
        <v>47</v>
      </c>
      <c r="AD5" s="93"/>
      <c r="AE5" s="93"/>
      <c r="AF5" s="95"/>
      <c r="AG5" s="70"/>
      <c r="AH5" s="2"/>
      <c r="AI5" s="2"/>
      <c r="AJ5" s="2"/>
      <c r="AK5" s="2"/>
      <c r="AL5" s="2"/>
    </row>
    <row r="6" spans="1:38">
      <c r="A6" s="44"/>
      <c r="B6" s="46"/>
      <c r="C6" s="46"/>
      <c r="D6" s="35"/>
      <c r="E6" s="36"/>
      <c r="F6" s="47">
        <v>30</v>
      </c>
      <c r="G6" s="47">
        <v>50</v>
      </c>
      <c r="H6" s="16">
        <v>60</v>
      </c>
      <c r="I6" s="61">
        <v>90</v>
      </c>
      <c r="J6" s="61">
        <v>70</v>
      </c>
      <c r="K6" s="61">
        <v>60</v>
      </c>
      <c r="L6" s="61">
        <v>90</v>
      </c>
      <c r="M6" s="61">
        <v>90</v>
      </c>
      <c r="N6" s="61">
        <v>130</v>
      </c>
      <c r="O6" s="61">
        <v>120</v>
      </c>
      <c r="P6" s="61">
        <v>50</v>
      </c>
      <c r="Q6" s="61">
        <v>30</v>
      </c>
      <c r="R6" s="61">
        <v>70</v>
      </c>
      <c r="S6" s="61">
        <v>100</v>
      </c>
      <c r="T6" s="61">
        <v>30</v>
      </c>
      <c r="U6" s="61">
        <v>50</v>
      </c>
      <c r="V6" s="61">
        <v>80</v>
      </c>
      <c r="W6" s="79">
        <v>120</v>
      </c>
      <c r="X6" s="70"/>
      <c r="Y6" s="91"/>
      <c r="Z6" s="92"/>
      <c r="AA6" s="93"/>
      <c r="AB6" s="93" t="s">
        <v>474</v>
      </c>
      <c r="AC6" s="93">
        <v>5</v>
      </c>
      <c r="AD6" s="93"/>
      <c r="AE6" s="93"/>
      <c r="AF6" s="95"/>
      <c r="AG6" s="70"/>
      <c r="AH6" s="2"/>
      <c r="AI6" s="2"/>
      <c r="AJ6" s="2"/>
      <c r="AK6" s="2"/>
      <c r="AL6" s="2"/>
    </row>
    <row r="7" spans="1:38">
      <c r="A7" s="37" t="s">
        <v>488</v>
      </c>
      <c r="B7" s="38"/>
      <c r="C7" s="38"/>
      <c r="D7" s="39">
        <v>3</v>
      </c>
      <c r="E7" s="40">
        <v>3</v>
      </c>
      <c r="F7" s="48" t="s">
        <v>49</v>
      </c>
      <c r="G7" s="48" t="s">
        <v>13</v>
      </c>
      <c r="H7" s="48" t="s">
        <v>489</v>
      </c>
      <c r="I7" s="47"/>
      <c r="J7" s="47"/>
      <c r="K7" s="47"/>
      <c r="L7" s="47"/>
      <c r="M7" s="47"/>
      <c r="N7" s="47"/>
      <c r="O7" s="47"/>
      <c r="P7" s="47"/>
      <c r="Q7" s="47"/>
      <c r="R7" s="47"/>
      <c r="S7" s="47"/>
      <c r="T7" s="47"/>
      <c r="U7" s="47"/>
      <c r="V7" s="47"/>
      <c r="W7" s="77"/>
      <c r="X7" s="70"/>
      <c r="Y7" s="91" t="s">
        <v>490</v>
      </c>
      <c r="Z7" s="92"/>
      <c r="AA7" s="93" t="s">
        <v>491</v>
      </c>
      <c r="AB7" s="93" t="s">
        <v>36</v>
      </c>
      <c r="AC7" s="93" t="s">
        <v>273</v>
      </c>
      <c r="AD7" s="93" t="s">
        <v>338</v>
      </c>
      <c r="AE7" s="93" t="s">
        <v>336</v>
      </c>
      <c r="AF7" s="95" t="s">
        <v>274</v>
      </c>
      <c r="AG7" s="70"/>
      <c r="AH7" s="2"/>
      <c r="AI7" s="2"/>
      <c r="AJ7" s="2"/>
      <c r="AK7" s="2"/>
      <c r="AL7" s="2"/>
    </row>
    <row r="8" spans="1:38">
      <c r="A8" s="44"/>
      <c r="B8" s="46"/>
      <c r="C8" s="46"/>
      <c r="D8" s="35"/>
      <c r="E8" s="36"/>
      <c r="F8" s="47">
        <v>30</v>
      </c>
      <c r="G8" s="47">
        <v>30</v>
      </c>
      <c r="H8" s="47">
        <v>200</v>
      </c>
      <c r="I8" s="47"/>
      <c r="J8" s="47"/>
      <c r="K8" s="47"/>
      <c r="L8" s="47"/>
      <c r="M8" s="47"/>
      <c r="N8" s="47"/>
      <c r="O8" s="47"/>
      <c r="P8" s="47"/>
      <c r="Q8" s="47"/>
      <c r="R8" s="47"/>
      <c r="S8" s="47"/>
      <c r="T8" s="47"/>
      <c r="U8" s="47"/>
      <c r="V8" s="47"/>
      <c r="W8" s="77"/>
      <c r="X8" s="70"/>
      <c r="Y8" s="91"/>
      <c r="Z8" s="92"/>
      <c r="AA8" s="93"/>
      <c r="AB8" s="93" t="s">
        <v>474</v>
      </c>
      <c r="AC8" s="93" t="s">
        <v>475</v>
      </c>
      <c r="AD8" s="93" t="s">
        <v>476</v>
      </c>
      <c r="AE8" s="93" t="s">
        <v>476</v>
      </c>
      <c r="AF8" s="95" t="s">
        <v>476</v>
      </c>
      <c r="AG8" s="70"/>
      <c r="AH8" s="2"/>
      <c r="AI8" s="2"/>
      <c r="AJ8" s="2"/>
      <c r="AK8" s="2"/>
      <c r="AL8" s="2"/>
    </row>
    <row r="9" spans="1:38">
      <c r="A9" s="37" t="s">
        <v>492</v>
      </c>
      <c r="B9" s="38"/>
      <c r="C9" s="38"/>
      <c r="D9" s="39">
        <v>10</v>
      </c>
      <c r="E9" s="40">
        <v>11</v>
      </c>
      <c r="F9" s="42" t="s">
        <v>36</v>
      </c>
      <c r="G9" s="49" t="s">
        <v>464</v>
      </c>
      <c r="H9" s="43" t="s">
        <v>68</v>
      </c>
      <c r="I9" s="43" t="s">
        <v>338</v>
      </c>
      <c r="J9" s="43" t="s">
        <v>336</v>
      </c>
      <c r="K9" s="42" t="s">
        <v>262</v>
      </c>
      <c r="L9" s="43" t="s">
        <v>211</v>
      </c>
      <c r="M9" s="43" t="s">
        <v>212</v>
      </c>
      <c r="N9" s="43" t="s">
        <v>493</v>
      </c>
      <c r="O9" s="43" t="s">
        <v>494</v>
      </c>
      <c r="P9" s="43" t="s">
        <v>193</v>
      </c>
      <c r="Q9" s="43"/>
      <c r="R9" s="43"/>
      <c r="S9" s="48"/>
      <c r="T9" s="43"/>
      <c r="U9" s="43"/>
      <c r="V9" s="43"/>
      <c r="W9" s="80"/>
      <c r="X9" s="70"/>
      <c r="Y9" s="91" t="s">
        <v>495</v>
      </c>
      <c r="Z9" s="92"/>
      <c r="AA9" s="93" t="s">
        <v>496</v>
      </c>
      <c r="AB9" s="93" t="s">
        <v>68</v>
      </c>
      <c r="AC9" s="93" t="s">
        <v>465</v>
      </c>
      <c r="AD9" s="93"/>
      <c r="AE9" s="93"/>
      <c r="AF9" s="95"/>
      <c r="AG9" s="70"/>
      <c r="AH9" s="68"/>
      <c r="AI9" s="2"/>
      <c r="AJ9" s="2"/>
      <c r="AK9" s="2"/>
      <c r="AL9" s="2"/>
    </row>
    <row r="10" spans="1:38">
      <c r="A10" s="44"/>
      <c r="B10" s="46"/>
      <c r="C10" s="46"/>
      <c r="D10" s="35"/>
      <c r="E10" s="36"/>
      <c r="F10" s="50">
        <v>20</v>
      </c>
      <c r="G10" s="51">
        <v>30</v>
      </c>
      <c r="H10" s="47">
        <v>20</v>
      </c>
      <c r="I10" s="47">
        <v>30</v>
      </c>
      <c r="J10" s="47">
        <v>30</v>
      </c>
      <c r="K10" s="47">
        <v>30</v>
      </c>
      <c r="L10" s="47">
        <v>40</v>
      </c>
      <c r="M10" s="47">
        <v>40</v>
      </c>
      <c r="N10" s="47">
        <v>50</v>
      </c>
      <c r="O10" s="47">
        <v>80</v>
      </c>
      <c r="P10" s="47">
        <v>40</v>
      </c>
      <c r="U10" s="47"/>
      <c r="V10" s="47"/>
      <c r="W10" s="77"/>
      <c r="X10" s="70"/>
      <c r="Y10" s="91"/>
      <c r="Z10" s="92"/>
      <c r="AA10" s="93"/>
      <c r="AB10" s="93" t="s">
        <v>474</v>
      </c>
      <c r="AC10" s="93" t="s">
        <v>476</v>
      </c>
      <c r="AD10" s="93"/>
      <c r="AE10" s="93"/>
      <c r="AF10" s="95"/>
      <c r="AG10" s="70"/>
      <c r="AH10" s="2"/>
      <c r="AI10" s="2"/>
      <c r="AJ10" s="2"/>
      <c r="AK10" s="2"/>
      <c r="AL10" s="2"/>
    </row>
    <row r="11" spans="1:38">
      <c r="A11" s="37" t="s">
        <v>497</v>
      </c>
      <c r="B11" s="38"/>
      <c r="C11" s="38"/>
      <c r="D11" s="39">
        <v>2</v>
      </c>
      <c r="E11" s="40">
        <v>2</v>
      </c>
      <c r="F11" s="43" t="s">
        <v>473</v>
      </c>
      <c r="G11" s="43" t="s">
        <v>223</v>
      </c>
      <c r="H11" s="43"/>
      <c r="I11" s="43"/>
      <c r="J11" s="43"/>
      <c r="K11" s="43"/>
      <c r="L11" s="43"/>
      <c r="M11" s="43"/>
      <c r="N11" s="48"/>
      <c r="O11" s="43"/>
      <c r="P11" s="43"/>
      <c r="Q11" s="43"/>
      <c r="R11" s="43"/>
      <c r="S11" s="43"/>
      <c r="T11" s="43"/>
      <c r="U11" s="43"/>
      <c r="V11" s="43"/>
      <c r="W11" s="80"/>
      <c r="X11" s="70"/>
      <c r="Y11" s="96" t="s">
        <v>498</v>
      </c>
      <c r="Z11" s="93"/>
      <c r="AA11" s="93" t="s">
        <v>499</v>
      </c>
      <c r="AB11" s="93" t="s">
        <v>465</v>
      </c>
      <c r="AC11" s="93"/>
      <c r="AD11" s="93"/>
      <c r="AE11" s="93"/>
      <c r="AF11" s="94"/>
      <c r="AG11" s="70"/>
      <c r="AH11" s="2"/>
      <c r="AI11" s="2"/>
      <c r="AJ11" s="2"/>
      <c r="AK11" s="2"/>
      <c r="AL11" s="2"/>
    </row>
    <row r="12" spans="1:38">
      <c r="A12" s="52"/>
      <c r="B12" s="53"/>
      <c r="C12" s="53"/>
      <c r="D12" s="54"/>
      <c r="E12" s="36"/>
      <c r="F12" s="55">
        <v>20</v>
      </c>
      <c r="G12" s="55">
        <v>40</v>
      </c>
      <c r="H12" s="47"/>
      <c r="I12" s="47"/>
      <c r="J12" s="47"/>
      <c r="K12" s="47"/>
      <c r="L12" s="47"/>
      <c r="M12" s="55"/>
      <c r="N12" s="61"/>
      <c r="O12" s="55"/>
      <c r="P12" s="55"/>
      <c r="Q12" s="55"/>
      <c r="R12" s="55"/>
      <c r="S12" s="55"/>
      <c r="T12" s="55"/>
      <c r="U12" s="55"/>
      <c r="V12" s="55"/>
      <c r="W12" s="81"/>
      <c r="X12" s="70"/>
      <c r="Y12" s="96"/>
      <c r="Z12" s="93"/>
      <c r="AA12" s="93"/>
      <c r="AB12" s="93" t="s">
        <v>474</v>
      </c>
      <c r="AC12" s="93"/>
      <c r="AD12" s="93"/>
      <c r="AE12" s="93"/>
      <c r="AF12" s="94"/>
      <c r="AG12" s="70"/>
      <c r="AH12" s="2"/>
      <c r="AI12" s="2"/>
      <c r="AJ12" s="2"/>
      <c r="AK12" s="2"/>
      <c r="AL12" s="2"/>
    </row>
    <row r="13" spans="1:38">
      <c r="A13" s="56" t="s">
        <v>500</v>
      </c>
      <c r="B13" s="46"/>
      <c r="C13" s="46"/>
      <c r="D13" s="35">
        <v>2</v>
      </c>
      <c r="E13" s="40">
        <v>2</v>
      </c>
      <c r="F13" s="57" t="s">
        <v>273</v>
      </c>
      <c r="G13" s="47" t="s">
        <v>501</v>
      </c>
      <c r="H13" s="48" t="s">
        <v>502</v>
      </c>
      <c r="I13" s="48"/>
      <c r="J13" s="48"/>
      <c r="K13" s="48"/>
      <c r="L13" s="48"/>
      <c r="M13" s="47"/>
      <c r="N13" s="47"/>
      <c r="O13" s="47"/>
      <c r="P13" s="47"/>
      <c r="Q13" s="47"/>
      <c r="R13" s="47"/>
      <c r="S13" s="47"/>
      <c r="T13" s="47"/>
      <c r="U13" s="47"/>
      <c r="V13" s="47"/>
      <c r="W13" s="82"/>
      <c r="X13" s="70"/>
      <c r="Y13" s="91" t="s">
        <v>503</v>
      </c>
      <c r="Z13" s="92"/>
      <c r="AA13" s="93" t="s">
        <v>504</v>
      </c>
      <c r="AB13" s="93" t="s">
        <v>473</v>
      </c>
      <c r="AC13" s="93" t="s">
        <v>467</v>
      </c>
      <c r="AD13" s="93"/>
      <c r="AE13" s="93"/>
      <c r="AF13" s="95"/>
      <c r="AG13" s="70"/>
      <c r="AH13" s="2"/>
      <c r="AI13" s="2"/>
      <c r="AJ13" s="2"/>
      <c r="AK13" s="2"/>
      <c r="AL13" s="2"/>
    </row>
    <row r="14" spans="1:38">
      <c r="A14" s="58"/>
      <c r="B14" s="59"/>
      <c r="C14" s="59"/>
      <c r="D14" s="60"/>
      <c r="E14" s="36"/>
      <c r="F14" s="61">
        <v>20</v>
      </c>
      <c r="G14" s="61">
        <v>100</v>
      </c>
      <c r="H14" s="61" t="s">
        <v>505</v>
      </c>
      <c r="I14" s="61"/>
      <c r="J14" s="61"/>
      <c r="K14" s="61"/>
      <c r="L14" s="61"/>
      <c r="M14" s="61"/>
      <c r="N14" s="61"/>
      <c r="O14" s="61"/>
      <c r="P14" s="61"/>
      <c r="Q14" s="61"/>
      <c r="R14" s="61"/>
      <c r="S14" s="61"/>
      <c r="T14" s="61"/>
      <c r="U14" s="61"/>
      <c r="V14" s="61"/>
      <c r="W14" s="79"/>
      <c r="X14" s="70"/>
      <c r="Y14" s="91"/>
      <c r="Z14" s="92"/>
      <c r="AA14" s="93"/>
      <c r="AB14" s="93" t="s">
        <v>474</v>
      </c>
      <c r="AC14" s="93" t="s">
        <v>476</v>
      </c>
      <c r="AD14" s="93"/>
      <c r="AE14" s="93"/>
      <c r="AF14" s="95"/>
      <c r="AG14" s="70"/>
      <c r="AH14" s="2"/>
      <c r="AI14" s="2"/>
      <c r="AJ14" s="2"/>
      <c r="AK14" s="2"/>
      <c r="AL14" s="2"/>
    </row>
    <row r="15" spans="1:38">
      <c r="A15" s="56" t="s">
        <v>506</v>
      </c>
      <c r="B15" s="2"/>
      <c r="C15" s="2"/>
      <c r="D15" s="35">
        <v>7</v>
      </c>
      <c r="E15" s="40">
        <v>7</v>
      </c>
      <c r="F15" s="16" t="s">
        <v>10</v>
      </c>
      <c r="G15" s="16" t="s">
        <v>405</v>
      </c>
      <c r="H15" s="16" t="s">
        <v>195</v>
      </c>
      <c r="I15" s="16" t="s">
        <v>233</v>
      </c>
      <c r="J15" s="69" t="s">
        <v>406</v>
      </c>
      <c r="K15" s="69" t="s">
        <v>11</v>
      </c>
      <c r="L15" s="16" t="s">
        <v>30</v>
      </c>
      <c r="V15" s="47"/>
      <c r="W15" s="82"/>
      <c r="X15" s="70"/>
      <c r="Y15" s="91" t="s">
        <v>507</v>
      </c>
      <c r="Z15" s="92"/>
      <c r="AA15" s="93" t="s">
        <v>508</v>
      </c>
      <c r="AB15" s="93" t="s">
        <v>467</v>
      </c>
      <c r="AC15" s="93" t="s">
        <v>45</v>
      </c>
      <c r="AD15" s="93" t="s">
        <v>47</v>
      </c>
      <c r="AE15" s="93"/>
      <c r="AF15" s="95"/>
      <c r="AG15" s="70"/>
      <c r="AH15" s="2"/>
      <c r="AI15" s="2"/>
      <c r="AJ15" s="2"/>
      <c r="AK15" s="2"/>
      <c r="AL15" s="2"/>
    </row>
    <row r="16" spans="1:38">
      <c r="A16" s="58"/>
      <c r="B16" s="59"/>
      <c r="C16" s="59"/>
      <c r="D16" s="60"/>
      <c r="E16" s="36"/>
      <c r="F16" s="61">
        <v>30</v>
      </c>
      <c r="G16" s="61">
        <v>50</v>
      </c>
      <c r="H16" s="61">
        <v>50</v>
      </c>
      <c r="I16" s="61">
        <v>40</v>
      </c>
      <c r="J16" s="61">
        <v>100</v>
      </c>
      <c r="K16" s="61">
        <v>50</v>
      </c>
      <c r="L16" s="61">
        <v>80</v>
      </c>
      <c r="N16" s="61"/>
      <c r="O16" s="61"/>
      <c r="P16" s="61"/>
      <c r="Q16" s="61"/>
      <c r="R16" s="61"/>
      <c r="S16" s="61"/>
      <c r="T16" s="61"/>
      <c r="U16" s="61"/>
      <c r="V16" s="61"/>
      <c r="W16" s="79"/>
      <c r="X16" s="70"/>
      <c r="Y16" s="91"/>
      <c r="Z16" s="92"/>
      <c r="AA16" s="93"/>
      <c r="AB16" s="93" t="s">
        <v>474</v>
      </c>
      <c r="AC16" s="93" t="s">
        <v>509</v>
      </c>
      <c r="AD16" s="93" t="s">
        <v>477</v>
      </c>
      <c r="AE16" s="93"/>
      <c r="AF16" s="95"/>
      <c r="AG16" s="70"/>
      <c r="AH16" s="2"/>
      <c r="AI16" s="2"/>
      <c r="AJ16" s="2"/>
      <c r="AK16" s="2"/>
      <c r="AL16" s="2"/>
    </row>
    <row r="17" spans="1:38">
      <c r="A17" s="56" t="s">
        <v>510</v>
      </c>
      <c r="B17" s="2"/>
      <c r="C17" s="2"/>
      <c r="D17" s="35">
        <v>0</v>
      </c>
      <c r="E17" s="40">
        <v>10</v>
      </c>
      <c r="F17" s="62" t="s">
        <v>94</v>
      </c>
      <c r="G17" s="62" t="s">
        <v>469</v>
      </c>
      <c r="H17" s="49" t="s">
        <v>404</v>
      </c>
      <c r="I17" s="65" t="s">
        <v>8</v>
      </c>
      <c r="J17" s="65" t="s">
        <v>511</v>
      </c>
      <c r="K17" s="72" t="s">
        <v>47</v>
      </c>
      <c r="L17" s="49" t="s">
        <v>321</v>
      </c>
      <c r="M17" s="49" t="s">
        <v>501</v>
      </c>
      <c r="N17" s="73" t="s">
        <v>11</v>
      </c>
      <c r="O17" s="62" t="s">
        <v>30</v>
      </c>
      <c r="V17" s="47"/>
      <c r="W17" s="82"/>
      <c r="X17" s="70"/>
      <c r="Y17" s="91" t="s">
        <v>512</v>
      </c>
      <c r="Z17" s="92"/>
      <c r="AA17" s="93" t="s">
        <v>513</v>
      </c>
      <c r="AB17" s="93" t="s">
        <v>466</v>
      </c>
      <c r="AC17" s="93" t="s">
        <v>468</v>
      </c>
      <c r="AD17" s="93" t="s">
        <v>514</v>
      </c>
      <c r="AE17" s="93" t="s">
        <v>47</v>
      </c>
      <c r="AF17" s="95"/>
      <c r="AG17" s="70"/>
      <c r="AH17" s="2"/>
      <c r="AI17" s="2"/>
      <c r="AJ17" s="2"/>
      <c r="AK17" s="2"/>
      <c r="AL17" s="2"/>
    </row>
    <row r="18" spans="1:38">
      <c r="A18" s="58"/>
      <c r="B18" s="59"/>
      <c r="C18" s="59"/>
      <c r="D18" s="60"/>
      <c r="E18" s="36"/>
      <c r="F18" s="63">
        <v>30</v>
      </c>
      <c r="G18" s="63">
        <v>50</v>
      </c>
      <c r="H18" s="63">
        <v>60</v>
      </c>
      <c r="I18" s="63">
        <v>90</v>
      </c>
      <c r="J18" s="63">
        <v>80</v>
      </c>
      <c r="K18" s="63">
        <v>120</v>
      </c>
      <c r="L18" s="63">
        <v>100</v>
      </c>
      <c r="M18" s="63">
        <v>100</v>
      </c>
      <c r="N18" s="63">
        <v>50</v>
      </c>
      <c r="O18" s="63">
        <v>80</v>
      </c>
      <c r="P18" s="61"/>
      <c r="Q18" s="61"/>
      <c r="R18" s="61"/>
      <c r="S18" s="61"/>
      <c r="T18" s="61"/>
      <c r="U18" s="61"/>
      <c r="V18" s="61"/>
      <c r="W18" s="79"/>
      <c r="X18" s="70"/>
      <c r="Y18" s="91"/>
      <c r="Z18" s="92"/>
      <c r="AA18" s="93"/>
      <c r="AB18" s="93" t="s">
        <v>474</v>
      </c>
      <c r="AC18" s="93" t="s">
        <v>475</v>
      </c>
      <c r="AD18" s="93" t="s">
        <v>515</v>
      </c>
      <c r="AE18" s="93" t="s">
        <v>476</v>
      </c>
      <c r="AF18" s="95"/>
      <c r="AG18" s="70"/>
      <c r="AH18" s="2"/>
      <c r="AI18" s="2"/>
      <c r="AJ18" s="2"/>
      <c r="AK18" s="2"/>
      <c r="AL18" s="2"/>
    </row>
    <row r="19" spans="1:38">
      <c r="A19" s="56" t="s">
        <v>516</v>
      </c>
      <c r="B19" s="2"/>
      <c r="C19" s="2"/>
      <c r="D19" s="35">
        <v>0</v>
      </c>
      <c r="E19" s="40">
        <v>2</v>
      </c>
      <c r="F19" s="64" t="s">
        <v>69</v>
      </c>
      <c r="G19" s="65" t="s">
        <v>517</v>
      </c>
      <c r="V19" s="47"/>
      <c r="W19" s="82"/>
      <c r="X19" s="2"/>
      <c r="Y19" s="91" t="s">
        <v>518</v>
      </c>
      <c r="Z19" s="92"/>
      <c r="AA19" s="93" t="s">
        <v>519</v>
      </c>
      <c r="AB19" s="93" t="s">
        <v>338</v>
      </c>
      <c r="AC19" s="93" t="s">
        <v>336</v>
      </c>
      <c r="AD19" s="93" t="s">
        <v>274</v>
      </c>
      <c r="AE19" s="93" t="s">
        <v>262</v>
      </c>
      <c r="AF19" s="95"/>
      <c r="AG19" s="2"/>
      <c r="AH19" s="2"/>
      <c r="AI19" s="2"/>
      <c r="AJ19" s="2"/>
      <c r="AK19" s="2"/>
      <c r="AL19" s="2"/>
    </row>
    <row r="20" spans="1:38">
      <c r="A20" s="58"/>
      <c r="B20" s="59"/>
      <c r="C20" s="59"/>
      <c r="D20" s="60"/>
      <c r="E20" s="36"/>
      <c r="F20" s="63">
        <v>40</v>
      </c>
      <c r="G20" s="63">
        <v>10</v>
      </c>
      <c r="H20" s="61"/>
      <c r="I20" s="61"/>
      <c r="J20" s="61"/>
      <c r="K20" s="61"/>
      <c r="L20" s="61"/>
      <c r="M20" s="61"/>
      <c r="N20" s="61"/>
      <c r="O20" s="61"/>
      <c r="P20" s="61"/>
      <c r="Q20" s="61"/>
      <c r="R20" s="61"/>
      <c r="S20" s="61"/>
      <c r="T20" s="61"/>
      <c r="U20" s="61"/>
      <c r="V20" s="61"/>
      <c r="W20" s="79"/>
      <c r="X20" s="2"/>
      <c r="Y20" s="91"/>
      <c r="Z20" s="92"/>
      <c r="AA20" s="93"/>
      <c r="AB20" s="93" t="s">
        <v>474</v>
      </c>
      <c r="AC20" s="93" t="s">
        <v>475</v>
      </c>
      <c r="AD20" s="93" t="s">
        <v>475</v>
      </c>
      <c r="AE20" s="93" t="s">
        <v>475</v>
      </c>
      <c r="AF20" s="95"/>
      <c r="AG20" s="2"/>
      <c r="AH20" s="2"/>
      <c r="AI20" s="2"/>
      <c r="AJ20" s="2"/>
      <c r="AK20" s="2"/>
      <c r="AL20" s="2"/>
    </row>
    <row r="21" spans="1:38">
      <c r="A21" s="56" t="s">
        <v>520</v>
      </c>
      <c r="B21" s="2"/>
      <c r="C21" s="2"/>
      <c r="D21" s="35">
        <f>SUM(D3:D20)</f>
        <v>53</v>
      </c>
      <c r="E21" s="40">
        <f>SUM(E3:E20)</f>
        <v>66</v>
      </c>
      <c r="F21" s="66" t="s">
        <v>521</v>
      </c>
      <c r="G21" s="67"/>
      <c r="H21" s="67"/>
      <c r="I21" s="40"/>
      <c r="J21" s="2" t="s">
        <v>522</v>
      </c>
      <c r="K21" s="2"/>
      <c r="L21" s="2"/>
      <c r="M21" s="2"/>
      <c r="N21" s="2"/>
      <c r="O21" s="2"/>
      <c r="P21" s="2"/>
      <c r="Q21" s="2"/>
      <c r="R21" s="2"/>
      <c r="S21" s="2"/>
      <c r="T21" s="2"/>
      <c r="U21" s="2"/>
      <c r="V21" s="2"/>
      <c r="W21" s="75"/>
      <c r="X21" s="2"/>
      <c r="Y21" s="91" t="s">
        <v>523</v>
      </c>
      <c r="Z21" s="92"/>
      <c r="AA21" s="93" t="s">
        <v>513</v>
      </c>
      <c r="AB21" s="93" t="s">
        <v>493</v>
      </c>
      <c r="AC21" s="93" t="s">
        <v>494</v>
      </c>
      <c r="AD21" s="93"/>
      <c r="AE21" s="93"/>
      <c r="AF21" s="94"/>
      <c r="AG21" s="2"/>
      <c r="AH21" s="2"/>
      <c r="AI21" s="2"/>
      <c r="AJ21" s="2"/>
      <c r="AK21" s="2"/>
      <c r="AL21" s="2"/>
    </row>
    <row r="22" spans="1:38">
      <c r="A22" s="58"/>
      <c r="B22" s="59"/>
      <c r="C22" s="59"/>
      <c r="D22" s="60"/>
      <c r="E22" s="36"/>
      <c r="F22" s="58"/>
      <c r="G22" s="59"/>
      <c r="H22" s="59"/>
      <c r="I22" s="36"/>
      <c r="J22" s="59" t="s">
        <v>524</v>
      </c>
      <c r="K22" s="59"/>
      <c r="L22" s="59"/>
      <c r="M22" s="59"/>
      <c r="N22" s="59"/>
      <c r="O22" s="59"/>
      <c r="P22" s="59"/>
      <c r="Q22" s="59"/>
      <c r="R22" s="59"/>
      <c r="S22" s="59"/>
      <c r="T22" s="59"/>
      <c r="U22" s="59"/>
      <c r="V22" s="59"/>
      <c r="W22" s="36"/>
      <c r="X22" s="2"/>
      <c r="Y22" s="91"/>
      <c r="Z22" s="92"/>
      <c r="AA22" s="93"/>
      <c r="AB22" s="93" t="s">
        <v>474</v>
      </c>
      <c r="AC22" s="93" t="s">
        <v>476</v>
      </c>
      <c r="AD22" s="93"/>
      <c r="AE22" s="93"/>
      <c r="AF22" s="94"/>
      <c r="AG22" s="2"/>
      <c r="AH22" s="2"/>
      <c r="AI22" s="2"/>
      <c r="AJ22" s="2"/>
      <c r="AK22" s="2"/>
      <c r="AL22" s="2"/>
    </row>
    <row r="23" spans="24:32">
      <c r="X23" s="69"/>
      <c r="Y23" s="91" t="s">
        <v>49</v>
      </c>
      <c r="Z23" s="92"/>
      <c r="AA23" s="93" t="s">
        <v>525</v>
      </c>
      <c r="AB23" s="93" t="s">
        <v>49</v>
      </c>
      <c r="AC23" s="93"/>
      <c r="AD23" s="93"/>
      <c r="AE23" s="93"/>
      <c r="AF23" s="94"/>
    </row>
    <row r="24" spans="5:32">
      <c r="E24" s="68"/>
      <c r="F24" s="69"/>
      <c r="Y24" s="91"/>
      <c r="Z24" s="92"/>
      <c r="AA24" s="93"/>
      <c r="AB24" s="93" t="s">
        <v>474</v>
      </c>
      <c r="AC24" s="93"/>
      <c r="AD24" s="93"/>
      <c r="AE24" s="93"/>
      <c r="AF24" s="94"/>
    </row>
    <row r="25" spans="25:32">
      <c r="Y25" s="91" t="s">
        <v>526</v>
      </c>
      <c r="Z25" s="92"/>
      <c r="AA25" s="93" t="s">
        <v>513</v>
      </c>
      <c r="AB25" s="93" t="s">
        <v>13</v>
      </c>
      <c r="AC25" s="93" t="s">
        <v>49</v>
      </c>
      <c r="AD25" s="93" t="s">
        <v>479</v>
      </c>
      <c r="AE25" s="93"/>
      <c r="AF25" s="94"/>
    </row>
    <row r="26" spans="10:32">
      <c r="J26" s="47"/>
      <c r="Y26" s="91"/>
      <c r="Z26" s="92"/>
      <c r="AA26" s="93"/>
      <c r="AB26" s="93" t="s">
        <v>474</v>
      </c>
      <c r="AC26" s="93" t="s">
        <v>475</v>
      </c>
      <c r="AD26" s="93" t="s">
        <v>527</v>
      </c>
      <c r="AE26" s="93"/>
      <c r="AF26" s="94"/>
    </row>
    <row r="27" spans="25:32">
      <c r="Y27" s="91" t="s">
        <v>528</v>
      </c>
      <c r="Z27" s="92"/>
      <c r="AA27" s="93" t="s">
        <v>519</v>
      </c>
      <c r="AB27" s="93" t="s">
        <v>13</v>
      </c>
      <c r="AC27" s="93" t="s">
        <v>49</v>
      </c>
      <c r="AD27" s="93" t="s">
        <v>30</v>
      </c>
      <c r="AE27" s="93"/>
      <c r="AF27" s="94"/>
    </row>
    <row r="28" spans="25:32">
      <c r="Y28" s="91"/>
      <c r="Z28" s="92"/>
      <c r="AA28" s="93"/>
      <c r="AB28" s="93" t="s">
        <v>474</v>
      </c>
      <c r="AC28" s="93" t="s">
        <v>475</v>
      </c>
      <c r="AD28" s="93" t="s">
        <v>527</v>
      </c>
      <c r="AE28" s="93"/>
      <c r="AF28" s="94"/>
    </row>
    <row r="29" spans="25:32">
      <c r="Y29" s="91" t="s">
        <v>529</v>
      </c>
      <c r="Z29" s="92"/>
      <c r="AA29" s="93" t="s">
        <v>530</v>
      </c>
      <c r="AB29" s="93" t="s">
        <v>49</v>
      </c>
      <c r="AC29" s="93" t="s">
        <v>489</v>
      </c>
      <c r="AD29" s="93"/>
      <c r="AE29" s="93"/>
      <c r="AF29" s="94"/>
    </row>
    <row r="30" spans="25:32">
      <c r="Y30" s="97"/>
      <c r="Z30" s="98"/>
      <c r="AA30" s="99"/>
      <c r="AB30" s="99" t="s">
        <v>474</v>
      </c>
      <c r="AC30" s="99" t="s">
        <v>531</v>
      </c>
      <c r="AD30" s="99"/>
      <c r="AE30" s="99"/>
      <c r="AF30" s="100"/>
    </row>
    <row r="32" spans="15:30">
      <c r="O32" s="45"/>
      <c r="AD32" s="101"/>
    </row>
    <row r="33" spans="4:4">
      <c r="D33" s="70"/>
    </row>
    <row r="34" spans="4:4">
      <c r="D34" s="70"/>
    </row>
    <row r="35" spans="4:4">
      <c r="D35" s="70"/>
    </row>
    <row r="36" spans="4:4">
      <c r="D36" s="70"/>
    </row>
    <row r="37" spans="4:4">
      <c r="D37" s="70"/>
    </row>
    <row r="38" spans="4:4">
      <c r="D38" s="70"/>
    </row>
    <row r="39" spans="4:4">
      <c r="D39" s="70"/>
    </row>
    <row r="40" spans="4:4">
      <c r="D40" s="70"/>
    </row>
    <row r="41" spans="4:4">
      <c r="D41" s="70"/>
    </row>
    <row r="42" spans="4:4">
      <c r="D42" s="70"/>
    </row>
    <row r="43" spans="4:4">
      <c r="D43" s="70"/>
    </row>
    <row r="44" spans="4:4">
      <c r="D44" s="70"/>
    </row>
    <row r="45" spans="4:4">
      <c r="D45" s="70"/>
    </row>
    <row r="46" spans="4:4">
      <c r="D46" s="70"/>
    </row>
    <row r="47" spans="4:4">
      <c r="D47" s="70"/>
    </row>
    <row r="48" spans="4:4">
      <c r="D48" s="70"/>
    </row>
    <row r="49" spans="4:4">
      <c r="D49" s="70"/>
    </row>
    <row r="50" spans="4:4">
      <c r="D50" s="70"/>
    </row>
    <row r="51" spans="4:4">
      <c r="D51" s="70"/>
    </row>
    <row r="52" spans="4:4">
      <c r="D52" s="70"/>
    </row>
    <row r="53" spans="4:4">
      <c r="D53" s="70"/>
    </row>
    <row r="54" spans="4:4">
      <c r="D54" s="70"/>
    </row>
    <row r="55" spans="4:4">
      <c r="D55" s="70"/>
    </row>
    <row r="56" spans="4:4">
      <c r="D56" s="70"/>
    </row>
  </sheetData>
  <sheetProtection formatCells="0" insertHyperlinks="0" autoFilter="0"/>
  <mergeCells count="68">
    <mergeCell ref="A1:W1"/>
    <mergeCell ref="Y1:AF1"/>
    <mergeCell ref="A2:C2"/>
    <mergeCell ref="Y2:Z2"/>
    <mergeCell ref="R3:W3"/>
    <mergeCell ref="H13:L13"/>
    <mergeCell ref="H14:L14"/>
    <mergeCell ref="J21:W21"/>
    <mergeCell ref="J22:W22"/>
    <mergeCell ref="D3:D4"/>
    <mergeCell ref="D5:D6"/>
    <mergeCell ref="D7:D8"/>
    <mergeCell ref="D9:D10"/>
    <mergeCell ref="D11:D12"/>
    <mergeCell ref="D13:D14"/>
    <mergeCell ref="D15:D16"/>
    <mergeCell ref="D17:D18"/>
    <mergeCell ref="D19:D20"/>
    <mergeCell ref="D21:D22"/>
    <mergeCell ref="E3:E4"/>
    <mergeCell ref="E5:E6"/>
    <mergeCell ref="E7:E8"/>
    <mergeCell ref="E9:E10"/>
    <mergeCell ref="E11:E12"/>
    <mergeCell ref="E13:E14"/>
    <mergeCell ref="E15:E16"/>
    <mergeCell ref="E17:E18"/>
    <mergeCell ref="E19:E20"/>
    <mergeCell ref="E21:E22"/>
    <mergeCell ref="AA3:AA4"/>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3:C4"/>
    <mergeCell ref="A5:C6"/>
    <mergeCell ref="A7:C8"/>
    <mergeCell ref="A9:C10"/>
    <mergeCell ref="A11:C12"/>
    <mergeCell ref="A13:C14"/>
    <mergeCell ref="A15:C16"/>
    <mergeCell ref="A17:C18"/>
    <mergeCell ref="A19:C20"/>
    <mergeCell ref="A21:C22"/>
    <mergeCell ref="F21:I22"/>
    <mergeCell ref="Y3:Z4"/>
    <mergeCell ref="Y5:Z6"/>
    <mergeCell ref="Y7:Z8"/>
    <mergeCell ref="Y9:Z10"/>
    <mergeCell ref="Y11:Z12"/>
    <mergeCell ref="Y13:Z14"/>
    <mergeCell ref="Y15:Z16"/>
    <mergeCell ref="Y17:Z18"/>
    <mergeCell ref="Y19:Z20"/>
    <mergeCell ref="Y21:Z22"/>
    <mergeCell ref="Y23:Z24"/>
    <mergeCell ref="Y25:Z26"/>
    <mergeCell ref="Y27:Z28"/>
    <mergeCell ref="Y29:Z30"/>
  </mergeCells>
  <pageMargins left="0.699305555555556" right="0.699305555555556" top="0.75" bottom="0.75" header="0.3" footer="0.3"/>
  <pageSetup paperSize="9" orientation="portrait"/>
  <headerFooter/>
  <ignoredErrors>
    <ignoredError sqref="P17:AF18 AC7:AF16 AC4:AF4 AD5:AF5 AD6:AF6 AC19:AF30 J16:U16"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tabColor theme="4" tint="0.8"/>
  </sheetPr>
  <dimension ref="A1:R101"/>
  <sheetViews>
    <sheetView workbookViewId="0">
      <pane ySplit="2" topLeftCell="A3" activePane="bottomLeft" state="frozen"/>
      <selection/>
      <selection pane="bottomLeft" activeCell="S11" sqref="S11"/>
    </sheetView>
  </sheetViews>
  <sheetFormatPr defaultColWidth="9" defaultRowHeight="17.25"/>
  <cols>
    <col min="1" max="16" width="10.625" style="16" customWidth="1"/>
    <col min="17" max="17" width="9.25" style="16"/>
    <col min="18" max="18" width="10.625" style="16" customWidth="1"/>
    <col min="19" max="16384" width="9" style="16"/>
  </cols>
  <sheetData>
    <row r="1" ht="24" customHeight="1" spans="1:18">
      <c r="A1" s="17" t="s">
        <v>532</v>
      </c>
      <c r="B1" s="18"/>
      <c r="C1" s="18"/>
      <c r="D1" s="18"/>
      <c r="E1" s="18"/>
      <c r="F1" s="18"/>
      <c r="G1" s="18"/>
      <c r="H1" s="18"/>
      <c r="I1" s="18"/>
      <c r="J1" s="18"/>
      <c r="K1" s="18"/>
      <c r="L1" s="18"/>
      <c r="M1" s="18"/>
      <c r="N1" s="18"/>
      <c r="O1" s="18"/>
      <c r="P1" s="18"/>
      <c r="Q1" s="30"/>
      <c r="R1" s="31"/>
    </row>
    <row r="2" s="2" customFormat="1" ht="20" customHeight="1" spans="1:17">
      <c r="A2" s="19" t="s">
        <v>533</v>
      </c>
      <c r="B2" s="19" t="s">
        <v>534</v>
      </c>
      <c r="C2" s="19" t="s">
        <v>471</v>
      </c>
      <c r="D2" s="19" t="s">
        <v>487</v>
      </c>
      <c r="E2" s="19" t="s">
        <v>490</v>
      </c>
      <c r="F2" s="19" t="s">
        <v>495</v>
      </c>
      <c r="G2" s="19" t="s">
        <v>498</v>
      </c>
      <c r="H2" s="19" t="s">
        <v>503</v>
      </c>
      <c r="I2" s="19" t="s">
        <v>507</v>
      </c>
      <c r="J2" s="19" t="s">
        <v>512</v>
      </c>
      <c r="K2" s="19" t="s">
        <v>518</v>
      </c>
      <c r="L2" s="19" t="s">
        <v>523</v>
      </c>
      <c r="M2" s="19" t="s">
        <v>49</v>
      </c>
      <c r="N2" s="19" t="s">
        <v>526</v>
      </c>
      <c r="O2" s="19" t="s">
        <v>528</v>
      </c>
      <c r="P2" s="19" t="s">
        <v>529</v>
      </c>
      <c r="Q2" s="19" t="s">
        <v>535</v>
      </c>
    </row>
    <row r="3" ht="18" customHeight="1" spans="1:17">
      <c r="A3" s="20">
        <v>1</v>
      </c>
      <c r="B3" s="20">
        <v>0.03</v>
      </c>
      <c r="C3" s="20">
        <v>15</v>
      </c>
      <c r="D3" s="20">
        <v>23</v>
      </c>
      <c r="E3" s="20">
        <v>90</v>
      </c>
      <c r="F3" s="20">
        <v>23</v>
      </c>
      <c r="G3" s="20"/>
      <c r="H3" s="20"/>
      <c r="I3" s="20"/>
      <c r="J3" s="20"/>
      <c r="K3" s="20"/>
      <c r="L3" s="20"/>
      <c r="M3" s="20"/>
      <c r="N3" s="20"/>
      <c r="O3" s="20"/>
      <c r="P3" s="20"/>
      <c r="Q3" s="20">
        <v>151</v>
      </c>
    </row>
    <row r="4" ht="18" customHeight="1" spans="1:17">
      <c r="A4" s="21">
        <v>2</v>
      </c>
      <c r="B4" s="21">
        <v>0.04</v>
      </c>
      <c r="C4" s="21">
        <v>17</v>
      </c>
      <c r="D4" s="21">
        <v>23</v>
      </c>
      <c r="E4" s="21">
        <v>99</v>
      </c>
      <c r="F4" s="21">
        <v>26</v>
      </c>
      <c r="G4" s="21"/>
      <c r="H4" s="21"/>
      <c r="I4" s="21"/>
      <c r="J4" s="21"/>
      <c r="K4" s="21"/>
      <c r="L4" s="21"/>
      <c r="M4" s="21"/>
      <c r="N4" s="21"/>
      <c r="O4" s="21"/>
      <c r="P4" s="21"/>
      <c r="Q4" s="21">
        <v>165</v>
      </c>
    </row>
    <row r="5" ht="18" customHeight="1" spans="1:17">
      <c r="A5" s="21">
        <v>3</v>
      </c>
      <c r="B5" s="21">
        <v>0.05</v>
      </c>
      <c r="C5" s="21">
        <v>18</v>
      </c>
      <c r="D5" s="21">
        <v>23</v>
      </c>
      <c r="E5" s="21">
        <v>108</v>
      </c>
      <c r="F5" s="21">
        <v>33</v>
      </c>
      <c r="G5" s="21"/>
      <c r="H5" s="21"/>
      <c r="I5" s="21"/>
      <c r="J5" s="21"/>
      <c r="K5" s="21"/>
      <c r="L5" s="21"/>
      <c r="M5" s="21"/>
      <c r="N5" s="21"/>
      <c r="O5" s="21"/>
      <c r="P5" s="21"/>
      <c r="Q5" s="21">
        <v>182</v>
      </c>
    </row>
    <row r="6" ht="18" customHeight="1" spans="1:17">
      <c r="A6" s="21">
        <v>4</v>
      </c>
      <c r="B6" s="21">
        <v>0.1</v>
      </c>
      <c r="C6" s="21">
        <v>20</v>
      </c>
      <c r="D6" s="21">
        <v>23</v>
      </c>
      <c r="E6" s="21">
        <v>121</v>
      </c>
      <c r="F6" s="21">
        <v>36</v>
      </c>
      <c r="G6" s="21"/>
      <c r="H6" s="21"/>
      <c r="I6" s="21"/>
      <c r="J6" s="21"/>
      <c r="K6" s="21"/>
      <c r="L6" s="21"/>
      <c r="M6" s="21"/>
      <c r="N6" s="21"/>
      <c r="O6" s="21"/>
      <c r="P6" s="21"/>
      <c r="Q6" s="21">
        <v>200</v>
      </c>
    </row>
    <row r="7" ht="18" customHeight="1" spans="1:17">
      <c r="A7" s="22">
        <v>5</v>
      </c>
      <c r="B7" s="22">
        <v>0.15</v>
      </c>
      <c r="C7" s="22">
        <v>21</v>
      </c>
      <c r="D7" s="22">
        <v>23</v>
      </c>
      <c r="E7" s="22">
        <v>126</v>
      </c>
      <c r="F7" s="22">
        <v>38</v>
      </c>
      <c r="G7" s="22"/>
      <c r="H7" s="22">
        <v>13</v>
      </c>
      <c r="I7" s="22"/>
      <c r="J7" s="22"/>
      <c r="K7" s="22"/>
      <c r="L7" s="22"/>
      <c r="M7" s="22"/>
      <c r="N7" s="22"/>
      <c r="O7" s="22"/>
      <c r="P7" s="22"/>
      <c r="Q7" s="22">
        <v>221</v>
      </c>
    </row>
    <row r="8" ht="18" customHeight="1" spans="1:17">
      <c r="A8" s="22">
        <v>6</v>
      </c>
      <c r="B8" s="22">
        <v>0.25</v>
      </c>
      <c r="C8" s="22">
        <v>24</v>
      </c>
      <c r="D8" s="22">
        <v>23</v>
      </c>
      <c r="E8" s="22">
        <v>132</v>
      </c>
      <c r="F8" s="22">
        <v>43</v>
      </c>
      <c r="G8" s="22"/>
      <c r="H8" s="22">
        <v>19</v>
      </c>
      <c r="I8" s="22"/>
      <c r="J8" s="22"/>
      <c r="K8" s="22"/>
      <c r="L8" s="22"/>
      <c r="M8" s="22"/>
      <c r="N8" s="22"/>
      <c r="O8" s="22"/>
      <c r="P8" s="22"/>
      <c r="Q8" s="22">
        <v>241</v>
      </c>
    </row>
    <row r="9" ht="18" customHeight="1" spans="1:17">
      <c r="A9" s="22">
        <v>7</v>
      </c>
      <c r="B9" s="22">
        <v>0.35</v>
      </c>
      <c r="C9" s="22">
        <v>27</v>
      </c>
      <c r="D9" s="22">
        <v>23</v>
      </c>
      <c r="E9" s="22">
        <v>143</v>
      </c>
      <c r="F9" s="22">
        <v>43</v>
      </c>
      <c r="G9" s="22"/>
      <c r="H9" s="22">
        <v>27</v>
      </c>
      <c r="I9" s="22"/>
      <c r="J9" s="22"/>
      <c r="K9" s="22"/>
      <c r="L9" s="22"/>
      <c r="M9" s="22"/>
      <c r="N9" s="22"/>
      <c r="O9" s="22"/>
      <c r="P9" s="22"/>
      <c r="Q9" s="22">
        <v>263</v>
      </c>
    </row>
    <row r="10" ht="18" customHeight="1" spans="1:17">
      <c r="A10" s="22">
        <v>8</v>
      </c>
      <c r="B10" s="22">
        <v>0.45</v>
      </c>
      <c r="C10" s="22">
        <v>31</v>
      </c>
      <c r="D10" s="22">
        <v>23</v>
      </c>
      <c r="E10" s="22">
        <v>150</v>
      </c>
      <c r="F10" s="22">
        <v>43</v>
      </c>
      <c r="G10" s="22"/>
      <c r="H10" s="22">
        <v>41</v>
      </c>
      <c r="I10" s="22"/>
      <c r="J10" s="22"/>
      <c r="K10" s="22"/>
      <c r="L10" s="22"/>
      <c r="M10" s="22"/>
      <c r="N10" s="22"/>
      <c r="O10" s="22"/>
      <c r="P10" s="22"/>
      <c r="Q10" s="22">
        <v>288</v>
      </c>
    </row>
    <row r="11" ht="18" customHeight="1" spans="1:17">
      <c r="A11" s="22">
        <v>9</v>
      </c>
      <c r="B11" s="22">
        <v>0.6</v>
      </c>
      <c r="C11" s="22">
        <v>36</v>
      </c>
      <c r="D11" s="22">
        <v>23</v>
      </c>
      <c r="E11" s="22">
        <v>150</v>
      </c>
      <c r="F11" s="22">
        <v>43</v>
      </c>
      <c r="G11" s="22"/>
      <c r="H11" s="22">
        <v>53</v>
      </c>
      <c r="I11" s="22"/>
      <c r="J11" s="22"/>
      <c r="K11" s="22"/>
      <c r="L11" s="22"/>
      <c r="M11" s="22"/>
      <c r="N11" s="22"/>
      <c r="O11" s="22"/>
      <c r="P11" s="22"/>
      <c r="Q11" s="22">
        <v>305</v>
      </c>
    </row>
    <row r="12" ht="18" customHeight="1" spans="1:17">
      <c r="A12" s="23">
        <v>10</v>
      </c>
      <c r="B12" s="23">
        <v>0.75</v>
      </c>
      <c r="C12" s="23">
        <v>29</v>
      </c>
      <c r="D12" s="23">
        <v>34</v>
      </c>
      <c r="E12" s="23">
        <v>154</v>
      </c>
      <c r="F12" s="23">
        <v>51</v>
      </c>
      <c r="G12" s="23">
        <v>10</v>
      </c>
      <c r="H12" s="23">
        <v>45</v>
      </c>
      <c r="I12" s="23">
        <v>7</v>
      </c>
      <c r="J12" s="23"/>
      <c r="K12" s="23"/>
      <c r="L12" s="23"/>
      <c r="M12" s="23">
        <v>24</v>
      </c>
      <c r="N12" s="23"/>
      <c r="O12" s="23"/>
      <c r="P12" s="23"/>
      <c r="Q12" s="23">
        <v>354</v>
      </c>
    </row>
    <row r="13" ht="18" customHeight="1" spans="1:17">
      <c r="A13" s="23">
        <v>11</v>
      </c>
      <c r="B13" s="23">
        <v>0.9</v>
      </c>
      <c r="C13" s="23">
        <v>29</v>
      </c>
      <c r="D13" s="23">
        <v>39</v>
      </c>
      <c r="E13" s="23">
        <v>157</v>
      </c>
      <c r="F13" s="23">
        <v>47</v>
      </c>
      <c r="G13" s="23">
        <v>23</v>
      </c>
      <c r="H13" s="23">
        <v>43</v>
      </c>
      <c r="I13" s="23">
        <v>20</v>
      </c>
      <c r="J13" s="23"/>
      <c r="K13" s="23"/>
      <c r="L13" s="23"/>
      <c r="M13" s="23">
        <v>31</v>
      </c>
      <c r="N13" s="23"/>
      <c r="O13" s="23"/>
      <c r="P13" s="23"/>
      <c r="Q13" s="23">
        <v>389</v>
      </c>
    </row>
    <row r="14" ht="18" customHeight="1" spans="1:17">
      <c r="A14" s="23">
        <v>12</v>
      </c>
      <c r="B14" s="23">
        <v>1.4</v>
      </c>
      <c r="C14" s="23">
        <v>29</v>
      </c>
      <c r="D14" s="23">
        <v>46</v>
      </c>
      <c r="E14" s="23">
        <v>164</v>
      </c>
      <c r="F14" s="23">
        <v>37</v>
      </c>
      <c r="G14" s="23">
        <v>37</v>
      </c>
      <c r="H14" s="23">
        <v>37</v>
      </c>
      <c r="I14" s="23">
        <v>37</v>
      </c>
      <c r="J14" s="23"/>
      <c r="K14" s="23"/>
      <c r="L14" s="23"/>
      <c r="M14" s="23">
        <v>41</v>
      </c>
      <c r="N14" s="23"/>
      <c r="O14" s="23"/>
      <c r="P14" s="23"/>
      <c r="Q14" s="23">
        <v>428</v>
      </c>
    </row>
    <row r="15" ht="18" customHeight="1" spans="1:17">
      <c r="A15" s="23">
        <v>13</v>
      </c>
      <c r="B15" s="23">
        <v>1.9</v>
      </c>
      <c r="C15" s="23">
        <v>29</v>
      </c>
      <c r="D15" s="23">
        <v>49</v>
      </c>
      <c r="E15" s="23">
        <v>173</v>
      </c>
      <c r="F15" s="23">
        <v>20</v>
      </c>
      <c r="G15" s="23">
        <v>69</v>
      </c>
      <c r="H15" s="23">
        <v>20</v>
      </c>
      <c r="I15" s="23">
        <v>59</v>
      </c>
      <c r="J15" s="23"/>
      <c r="K15" s="23"/>
      <c r="L15" s="23"/>
      <c r="M15" s="23">
        <v>49</v>
      </c>
      <c r="N15" s="23"/>
      <c r="O15" s="23"/>
      <c r="P15" s="23"/>
      <c r="Q15" s="23">
        <v>468</v>
      </c>
    </row>
    <row r="16" ht="18" customHeight="1" spans="1:17">
      <c r="A16" s="23">
        <v>14</v>
      </c>
      <c r="B16" s="23">
        <v>2.4</v>
      </c>
      <c r="C16" s="23">
        <v>29</v>
      </c>
      <c r="D16" s="23">
        <v>55</v>
      </c>
      <c r="E16" s="23">
        <v>183</v>
      </c>
      <c r="F16" s="23">
        <v>11</v>
      </c>
      <c r="G16" s="23">
        <v>89</v>
      </c>
      <c r="H16" s="23">
        <v>11</v>
      </c>
      <c r="I16" s="23">
        <v>77</v>
      </c>
      <c r="J16" s="23"/>
      <c r="K16" s="23"/>
      <c r="L16" s="23"/>
      <c r="M16" s="23">
        <v>61</v>
      </c>
      <c r="N16" s="23"/>
      <c r="O16" s="23"/>
      <c r="P16" s="23"/>
      <c r="Q16" s="23">
        <v>516</v>
      </c>
    </row>
    <row r="17" ht="18" customHeight="1" spans="1:17">
      <c r="A17" s="24">
        <v>15</v>
      </c>
      <c r="B17" s="24">
        <v>4.6</v>
      </c>
      <c r="C17" s="24">
        <v>29</v>
      </c>
      <c r="D17" s="24">
        <v>56</v>
      </c>
      <c r="E17" s="24">
        <v>179</v>
      </c>
      <c r="F17" s="24"/>
      <c r="G17" s="24">
        <v>106</v>
      </c>
      <c r="H17" s="24"/>
      <c r="I17" s="24">
        <v>89</v>
      </c>
      <c r="J17" s="24">
        <v>11</v>
      </c>
      <c r="K17" s="24"/>
      <c r="L17" s="24">
        <v>17</v>
      </c>
      <c r="M17" s="24">
        <v>67</v>
      </c>
      <c r="N17" s="24">
        <v>17</v>
      </c>
      <c r="O17" s="24"/>
      <c r="P17" s="24"/>
      <c r="Q17" s="24">
        <v>571</v>
      </c>
    </row>
    <row r="18" ht="18" customHeight="1" spans="1:17">
      <c r="A18" s="24">
        <v>16</v>
      </c>
      <c r="B18" s="24">
        <v>6.8</v>
      </c>
      <c r="C18" s="24">
        <v>29</v>
      </c>
      <c r="D18" s="24">
        <v>61</v>
      </c>
      <c r="E18" s="24">
        <v>182</v>
      </c>
      <c r="F18" s="24"/>
      <c r="G18" s="24">
        <v>110</v>
      </c>
      <c r="H18" s="24"/>
      <c r="I18" s="24">
        <v>98</v>
      </c>
      <c r="J18" s="24">
        <v>24</v>
      </c>
      <c r="K18" s="24"/>
      <c r="L18" s="24">
        <v>24</v>
      </c>
      <c r="M18" s="24">
        <v>77</v>
      </c>
      <c r="N18" s="24">
        <v>24</v>
      </c>
      <c r="O18" s="24"/>
      <c r="P18" s="24"/>
      <c r="Q18" s="24">
        <v>629</v>
      </c>
    </row>
    <row r="19" ht="18" customHeight="1" spans="1:17">
      <c r="A19" s="24">
        <v>17</v>
      </c>
      <c r="B19" s="24">
        <v>9</v>
      </c>
      <c r="C19" s="24">
        <v>29</v>
      </c>
      <c r="D19" s="24">
        <v>67</v>
      </c>
      <c r="E19" s="24">
        <v>182</v>
      </c>
      <c r="F19" s="24"/>
      <c r="G19" s="24">
        <v>114</v>
      </c>
      <c r="H19" s="24"/>
      <c r="I19" s="24">
        <v>107</v>
      </c>
      <c r="J19" s="24">
        <v>40</v>
      </c>
      <c r="K19" s="24"/>
      <c r="L19" s="24">
        <v>40</v>
      </c>
      <c r="M19" s="24">
        <v>88</v>
      </c>
      <c r="N19" s="24">
        <v>27</v>
      </c>
      <c r="O19" s="24"/>
      <c r="P19" s="24"/>
      <c r="Q19" s="24">
        <v>694</v>
      </c>
    </row>
    <row r="20" ht="18" customHeight="1" spans="1:17">
      <c r="A20" s="24">
        <v>18</v>
      </c>
      <c r="B20" s="24">
        <v>12</v>
      </c>
      <c r="C20" s="24">
        <v>29</v>
      </c>
      <c r="D20" s="24">
        <v>73</v>
      </c>
      <c r="E20" s="24">
        <v>182</v>
      </c>
      <c r="F20" s="24"/>
      <c r="G20" s="24">
        <v>117</v>
      </c>
      <c r="H20" s="24"/>
      <c r="I20" s="24">
        <v>117</v>
      </c>
      <c r="J20" s="24">
        <v>59</v>
      </c>
      <c r="K20" s="24"/>
      <c r="L20" s="24">
        <v>59</v>
      </c>
      <c r="M20" s="24">
        <v>99</v>
      </c>
      <c r="N20" s="24">
        <v>29</v>
      </c>
      <c r="O20" s="24"/>
      <c r="P20" s="24"/>
      <c r="Q20" s="24">
        <v>764</v>
      </c>
    </row>
    <row r="21" ht="18" customHeight="1" spans="1:17">
      <c r="A21" s="24">
        <v>19</v>
      </c>
      <c r="B21" s="24">
        <v>15</v>
      </c>
      <c r="C21" s="24">
        <v>29</v>
      </c>
      <c r="D21" s="24">
        <v>79</v>
      </c>
      <c r="E21" s="24">
        <v>182</v>
      </c>
      <c r="F21" s="24"/>
      <c r="G21" s="24">
        <v>119</v>
      </c>
      <c r="H21" s="24"/>
      <c r="I21" s="24">
        <v>127</v>
      </c>
      <c r="J21" s="24">
        <v>79</v>
      </c>
      <c r="K21" s="24"/>
      <c r="L21" s="24">
        <v>79</v>
      </c>
      <c r="M21" s="24">
        <v>111</v>
      </c>
      <c r="N21" s="24">
        <v>40</v>
      </c>
      <c r="O21" s="24"/>
      <c r="P21" s="24"/>
      <c r="Q21" s="24">
        <v>845</v>
      </c>
    </row>
    <row r="22" ht="18" customHeight="1" spans="1:17">
      <c r="A22" s="25">
        <v>20</v>
      </c>
      <c r="B22" s="25">
        <v>18</v>
      </c>
      <c r="C22" s="25">
        <v>29</v>
      </c>
      <c r="D22" s="25">
        <v>85</v>
      </c>
      <c r="E22" s="25">
        <v>182</v>
      </c>
      <c r="F22" s="25"/>
      <c r="G22" s="25">
        <v>127</v>
      </c>
      <c r="H22" s="25"/>
      <c r="I22" s="25">
        <v>135</v>
      </c>
      <c r="J22" s="25">
        <v>102</v>
      </c>
      <c r="K22" s="25">
        <v>8</v>
      </c>
      <c r="L22" s="25">
        <v>85</v>
      </c>
      <c r="M22" s="25">
        <v>122</v>
      </c>
      <c r="N22" s="25">
        <v>42</v>
      </c>
      <c r="O22" s="25">
        <v>17</v>
      </c>
      <c r="P22" s="25"/>
      <c r="Q22" s="25">
        <v>934</v>
      </c>
    </row>
    <row r="23" ht="18" customHeight="1" spans="1:17">
      <c r="A23" s="25">
        <v>21</v>
      </c>
      <c r="B23" s="25">
        <v>23</v>
      </c>
      <c r="C23" s="25">
        <v>29</v>
      </c>
      <c r="D23" s="25">
        <v>94</v>
      </c>
      <c r="E23" s="25">
        <v>182</v>
      </c>
      <c r="F23" s="25"/>
      <c r="G23" s="25">
        <v>140</v>
      </c>
      <c r="H23" s="25"/>
      <c r="I23" s="25">
        <v>131</v>
      </c>
      <c r="J23" s="25">
        <v>131</v>
      </c>
      <c r="K23" s="25">
        <v>19</v>
      </c>
      <c r="L23" s="25">
        <v>94</v>
      </c>
      <c r="M23" s="25">
        <v>139</v>
      </c>
      <c r="N23" s="25">
        <v>47</v>
      </c>
      <c r="O23" s="25">
        <v>19</v>
      </c>
      <c r="P23" s="25"/>
      <c r="Q23" s="25">
        <v>1025</v>
      </c>
    </row>
    <row r="24" ht="18" customHeight="1" spans="1:17">
      <c r="A24" s="25">
        <v>22</v>
      </c>
      <c r="B24" s="25">
        <v>28</v>
      </c>
      <c r="C24" s="25">
        <v>29</v>
      </c>
      <c r="D24" s="25">
        <v>103</v>
      </c>
      <c r="E24" s="25">
        <v>182</v>
      </c>
      <c r="F24" s="25"/>
      <c r="G24" s="25">
        <v>145</v>
      </c>
      <c r="H24" s="25"/>
      <c r="I24" s="25">
        <v>134</v>
      </c>
      <c r="J24" s="25">
        <v>165</v>
      </c>
      <c r="K24" s="25">
        <v>31</v>
      </c>
      <c r="L24" s="25">
        <v>103</v>
      </c>
      <c r="M24" s="25">
        <v>158</v>
      </c>
      <c r="N24" s="25">
        <v>52</v>
      </c>
      <c r="O24" s="25">
        <v>21</v>
      </c>
      <c r="P24" s="25"/>
      <c r="Q24" s="25">
        <v>1123</v>
      </c>
    </row>
    <row r="25" ht="18" customHeight="1" spans="1:17">
      <c r="A25" s="25">
        <v>23</v>
      </c>
      <c r="B25" s="25">
        <v>33</v>
      </c>
      <c r="C25" s="25">
        <v>29</v>
      </c>
      <c r="D25" s="25">
        <v>113</v>
      </c>
      <c r="E25" s="25">
        <v>182</v>
      </c>
      <c r="F25" s="25"/>
      <c r="G25" s="25">
        <v>147</v>
      </c>
      <c r="H25" s="25"/>
      <c r="I25" s="25">
        <v>136</v>
      </c>
      <c r="J25" s="25">
        <v>203</v>
      </c>
      <c r="K25" s="25">
        <v>45</v>
      </c>
      <c r="L25" s="25">
        <v>124</v>
      </c>
      <c r="M25" s="25">
        <v>178</v>
      </c>
      <c r="N25" s="25">
        <v>56</v>
      </c>
      <c r="O25" s="25">
        <v>23</v>
      </c>
      <c r="P25" s="25"/>
      <c r="Q25" s="25">
        <v>1236</v>
      </c>
    </row>
    <row r="26" ht="18" customHeight="1" spans="1:17">
      <c r="A26" s="25">
        <v>24</v>
      </c>
      <c r="B26" s="25">
        <v>40</v>
      </c>
      <c r="C26" s="25">
        <v>29</v>
      </c>
      <c r="D26" s="25">
        <v>122</v>
      </c>
      <c r="E26" s="25">
        <v>182</v>
      </c>
      <c r="F26" s="25"/>
      <c r="G26" s="25">
        <v>146</v>
      </c>
      <c r="H26" s="25"/>
      <c r="I26" s="25">
        <v>146</v>
      </c>
      <c r="J26" s="25">
        <v>244</v>
      </c>
      <c r="K26" s="25">
        <v>61</v>
      </c>
      <c r="L26" s="25">
        <v>134</v>
      </c>
      <c r="M26" s="25">
        <v>199</v>
      </c>
      <c r="N26" s="25">
        <v>73</v>
      </c>
      <c r="O26" s="25">
        <v>24</v>
      </c>
      <c r="P26" s="25"/>
      <c r="Q26" s="25">
        <v>1360</v>
      </c>
    </row>
    <row r="27" ht="18" customHeight="1" spans="1:17">
      <c r="A27" s="25">
        <v>25</v>
      </c>
      <c r="B27" s="25">
        <v>47</v>
      </c>
      <c r="C27" s="25">
        <v>29</v>
      </c>
      <c r="D27" s="25">
        <v>129</v>
      </c>
      <c r="E27" s="25">
        <v>181</v>
      </c>
      <c r="F27" s="25"/>
      <c r="G27" s="25">
        <v>161</v>
      </c>
      <c r="H27" s="25"/>
      <c r="I27" s="25">
        <v>155</v>
      </c>
      <c r="J27" s="25">
        <v>284</v>
      </c>
      <c r="K27" s="25">
        <v>77</v>
      </c>
      <c r="L27" s="25">
        <v>155</v>
      </c>
      <c r="M27" s="25">
        <v>215</v>
      </c>
      <c r="N27" s="25">
        <v>90</v>
      </c>
      <c r="O27" s="25">
        <v>26</v>
      </c>
      <c r="P27" s="25"/>
      <c r="Q27" s="25">
        <v>1502</v>
      </c>
    </row>
    <row r="28" ht="18" customHeight="1" spans="1:17">
      <c r="A28" s="25">
        <v>26</v>
      </c>
      <c r="B28" s="25">
        <v>52</v>
      </c>
      <c r="C28" s="25">
        <v>29</v>
      </c>
      <c r="D28" s="25">
        <v>141</v>
      </c>
      <c r="E28" s="25">
        <v>170</v>
      </c>
      <c r="F28" s="25"/>
      <c r="G28" s="25">
        <v>161</v>
      </c>
      <c r="H28" s="25"/>
      <c r="I28" s="25">
        <v>170</v>
      </c>
      <c r="J28" s="25">
        <v>339</v>
      </c>
      <c r="K28" s="25">
        <v>85</v>
      </c>
      <c r="L28" s="25">
        <v>170</v>
      </c>
      <c r="M28" s="25">
        <v>243</v>
      </c>
      <c r="N28" s="25">
        <v>113</v>
      </c>
      <c r="O28" s="25">
        <v>28</v>
      </c>
      <c r="P28" s="25"/>
      <c r="Q28" s="25">
        <v>1649</v>
      </c>
    </row>
    <row r="29" ht="18" customHeight="1" spans="1:17">
      <c r="A29" s="25">
        <v>27</v>
      </c>
      <c r="B29" s="25">
        <v>60</v>
      </c>
      <c r="C29" s="25">
        <v>29</v>
      </c>
      <c r="D29" s="25">
        <v>154</v>
      </c>
      <c r="E29" s="25">
        <v>154</v>
      </c>
      <c r="F29" s="25"/>
      <c r="G29" s="25">
        <v>161</v>
      </c>
      <c r="H29" s="25"/>
      <c r="I29" s="25">
        <v>185</v>
      </c>
      <c r="J29" s="25">
        <v>400</v>
      </c>
      <c r="K29" s="25">
        <v>108</v>
      </c>
      <c r="L29" s="25">
        <v>185</v>
      </c>
      <c r="M29" s="25">
        <v>271</v>
      </c>
      <c r="N29" s="25">
        <v>138</v>
      </c>
      <c r="O29" s="25">
        <v>31</v>
      </c>
      <c r="P29" s="25"/>
      <c r="Q29" s="25">
        <v>1816</v>
      </c>
    </row>
    <row r="30" ht="18" customHeight="1" spans="1:17">
      <c r="A30" s="25">
        <v>28</v>
      </c>
      <c r="B30" s="25">
        <v>68</v>
      </c>
      <c r="C30" s="25">
        <v>29</v>
      </c>
      <c r="D30" s="25">
        <v>166</v>
      </c>
      <c r="E30" s="25">
        <v>132</v>
      </c>
      <c r="F30" s="25"/>
      <c r="G30" s="25">
        <v>161</v>
      </c>
      <c r="H30" s="25"/>
      <c r="I30" s="25">
        <v>199</v>
      </c>
      <c r="J30" s="25">
        <v>464</v>
      </c>
      <c r="K30" s="25">
        <v>149</v>
      </c>
      <c r="L30" s="25">
        <v>199</v>
      </c>
      <c r="M30" s="25">
        <v>300</v>
      </c>
      <c r="N30" s="25">
        <v>166</v>
      </c>
      <c r="O30" s="25">
        <v>33</v>
      </c>
      <c r="P30" s="25"/>
      <c r="Q30" s="25">
        <v>1998</v>
      </c>
    </row>
    <row r="31" ht="18" customHeight="1" spans="1:17">
      <c r="A31" s="25">
        <v>29</v>
      </c>
      <c r="B31" s="25">
        <v>76</v>
      </c>
      <c r="C31" s="25">
        <v>29</v>
      </c>
      <c r="D31" s="25">
        <v>179</v>
      </c>
      <c r="E31" s="25">
        <v>107</v>
      </c>
      <c r="F31" s="25"/>
      <c r="G31" s="25">
        <v>161</v>
      </c>
      <c r="H31" s="25"/>
      <c r="I31" s="25">
        <v>215</v>
      </c>
      <c r="J31" s="25">
        <v>537</v>
      </c>
      <c r="K31" s="25">
        <v>197</v>
      </c>
      <c r="L31" s="25">
        <v>233</v>
      </c>
      <c r="M31" s="25">
        <v>324</v>
      </c>
      <c r="N31" s="25">
        <v>179</v>
      </c>
      <c r="O31" s="25">
        <v>36</v>
      </c>
      <c r="P31" s="25"/>
      <c r="Q31" s="25">
        <v>2197</v>
      </c>
    </row>
    <row r="32" ht="18" customHeight="1" spans="1:17">
      <c r="A32" s="26">
        <v>30</v>
      </c>
      <c r="B32" s="26">
        <v>88</v>
      </c>
      <c r="C32" s="26">
        <v>29</v>
      </c>
      <c r="D32" s="26">
        <v>216</v>
      </c>
      <c r="E32" s="26"/>
      <c r="F32" s="26"/>
      <c r="G32" s="26">
        <v>161</v>
      </c>
      <c r="H32" s="26"/>
      <c r="I32" s="26">
        <v>207</v>
      </c>
      <c r="J32" s="26">
        <v>640</v>
      </c>
      <c r="K32" s="26">
        <v>269</v>
      </c>
      <c r="L32" s="26">
        <v>269</v>
      </c>
      <c r="M32" s="26">
        <v>374</v>
      </c>
      <c r="N32" s="26">
        <v>207</v>
      </c>
      <c r="O32" s="26">
        <v>62</v>
      </c>
      <c r="P32" s="26"/>
      <c r="Q32" s="26">
        <v>2434</v>
      </c>
    </row>
    <row r="33" ht="18" customHeight="1" spans="1:17">
      <c r="A33" s="26">
        <v>31</v>
      </c>
      <c r="B33" s="26">
        <v>110</v>
      </c>
      <c r="C33" s="26">
        <v>29</v>
      </c>
      <c r="D33" s="26">
        <v>216</v>
      </c>
      <c r="E33" s="26"/>
      <c r="F33" s="26"/>
      <c r="G33" s="26">
        <v>161</v>
      </c>
      <c r="H33" s="26"/>
      <c r="I33" s="26">
        <v>238</v>
      </c>
      <c r="J33" s="26">
        <v>718</v>
      </c>
      <c r="K33" s="26">
        <v>314</v>
      </c>
      <c r="L33" s="26">
        <v>314</v>
      </c>
      <c r="M33" s="26">
        <v>406</v>
      </c>
      <c r="N33" s="26">
        <v>224</v>
      </c>
      <c r="O33" s="26">
        <v>90</v>
      </c>
      <c r="P33" s="26"/>
      <c r="Q33" s="26">
        <v>2710</v>
      </c>
    </row>
    <row r="34" ht="18" customHeight="1" spans="1:17">
      <c r="A34" s="26">
        <v>32</v>
      </c>
      <c r="B34" s="26">
        <v>120</v>
      </c>
      <c r="C34" s="26">
        <v>29</v>
      </c>
      <c r="D34" s="26">
        <v>216</v>
      </c>
      <c r="E34" s="26"/>
      <c r="F34" s="26"/>
      <c r="G34" s="26">
        <v>161</v>
      </c>
      <c r="H34" s="26"/>
      <c r="I34" s="26">
        <v>238</v>
      </c>
      <c r="J34" s="26">
        <v>816</v>
      </c>
      <c r="K34" s="26">
        <v>346</v>
      </c>
      <c r="L34" s="26">
        <v>346</v>
      </c>
      <c r="M34" s="26">
        <v>447</v>
      </c>
      <c r="N34" s="26">
        <v>247</v>
      </c>
      <c r="O34" s="26">
        <v>124</v>
      </c>
      <c r="P34" s="26"/>
      <c r="Q34" s="26">
        <v>2970</v>
      </c>
    </row>
    <row r="35" ht="18" customHeight="1" spans="1:17">
      <c r="A35" s="26">
        <v>33</v>
      </c>
      <c r="B35" s="26">
        <v>130</v>
      </c>
      <c r="C35" s="26">
        <v>29</v>
      </c>
      <c r="D35" s="26">
        <v>216</v>
      </c>
      <c r="E35" s="26"/>
      <c r="F35" s="26"/>
      <c r="G35" s="26">
        <v>161</v>
      </c>
      <c r="H35" s="26"/>
      <c r="I35" s="26">
        <v>238</v>
      </c>
      <c r="J35" s="26">
        <v>933</v>
      </c>
      <c r="K35" s="26">
        <v>384</v>
      </c>
      <c r="L35" s="26">
        <v>384</v>
      </c>
      <c r="M35" s="26">
        <v>497</v>
      </c>
      <c r="N35" s="26">
        <v>274</v>
      </c>
      <c r="O35" s="26">
        <v>137</v>
      </c>
      <c r="P35" s="26"/>
      <c r="Q35" s="26">
        <v>3253</v>
      </c>
    </row>
    <row r="36" ht="18" customHeight="1" spans="1:17">
      <c r="A36" s="26">
        <v>34</v>
      </c>
      <c r="B36" s="26">
        <v>145</v>
      </c>
      <c r="C36" s="26">
        <v>29</v>
      </c>
      <c r="D36" s="26">
        <v>216</v>
      </c>
      <c r="E36" s="26"/>
      <c r="F36" s="26"/>
      <c r="G36" s="26">
        <v>161</v>
      </c>
      <c r="H36" s="26"/>
      <c r="I36" s="26">
        <v>238</v>
      </c>
      <c r="J36" s="26">
        <v>1064</v>
      </c>
      <c r="K36" s="26">
        <v>426</v>
      </c>
      <c r="L36" s="26">
        <v>426</v>
      </c>
      <c r="M36" s="26">
        <v>550</v>
      </c>
      <c r="N36" s="26">
        <v>304</v>
      </c>
      <c r="O36" s="26">
        <v>152</v>
      </c>
      <c r="P36" s="26"/>
      <c r="Q36" s="26">
        <v>3566</v>
      </c>
    </row>
    <row r="37" ht="18" customHeight="1" spans="1:17">
      <c r="A37" s="26">
        <v>35</v>
      </c>
      <c r="B37" s="26">
        <v>160</v>
      </c>
      <c r="C37" s="26">
        <v>29</v>
      </c>
      <c r="D37" s="26">
        <v>216</v>
      </c>
      <c r="E37" s="26"/>
      <c r="F37" s="26"/>
      <c r="G37" s="26">
        <v>161</v>
      </c>
      <c r="H37" s="26"/>
      <c r="I37" s="26">
        <v>238</v>
      </c>
      <c r="J37" s="26">
        <v>1188</v>
      </c>
      <c r="K37" s="26">
        <v>475</v>
      </c>
      <c r="L37" s="26">
        <v>441</v>
      </c>
      <c r="M37" s="26">
        <v>614</v>
      </c>
      <c r="N37" s="26">
        <v>339</v>
      </c>
      <c r="O37" s="26">
        <v>204</v>
      </c>
      <c r="P37" s="26"/>
      <c r="Q37" s="26">
        <v>3905</v>
      </c>
    </row>
    <row r="38" ht="18" customHeight="1" spans="1:17">
      <c r="A38" s="26">
        <v>36</v>
      </c>
      <c r="B38" s="26">
        <v>175</v>
      </c>
      <c r="C38" s="26">
        <v>29</v>
      </c>
      <c r="D38" s="26">
        <v>216</v>
      </c>
      <c r="E38" s="26"/>
      <c r="F38" s="26"/>
      <c r="G38" s="26">
        <v>161</v>
      </c>
      <c r="H38" s="26"/>
      <c r="I38" s="26">
        <v>238</v>
      </c>
      <c r="J38" s="26">
        <v>1313</v>
      </c>
      <c r="K38" s="26">
        <v>563</v>
      </c>
      <c r="L38" s="26">
        <v>488</v>
      </c>
      <c r="M38" s="26">
        <v>679</v>
      </c>
      <c r="N38" s="26">
        <v>375</v>
      </c>
      <c r="O38" s="26">
        <v>225</v>
      </c>
      <c r="P38" s="26"/>
      <c r="Q38" s="26">
        <v>4287</v>
      </c>
    </row>
    <row r="39" ht="18" customHeight="1" spans="1:17">
      <c r="A39" s="26">
        <v>37</v>
      </c>
      <c r="B39" s="26">
        <v>190</v>
      </c>
      <c r="C39" s="26">
        <v>29</v>
      </c>
      <c r="D39" s="26">
        <v>216</v>
      </c>
      <c r="E39" s="26"/>
      <c r="F39" s="26"/>
      <c r="G39" s="26">
        <v>161</v>
      </c>
      <c r="H39" s="26"/>
      <c r="I39" s="26">
        <v>238</v>
      </c>
      <c r="J39" s="26">
        <v>1462</v>
      </c>
      <c r="K39" s="26">
        <v>627</v>
      </c>
      <c r="L39" s="26">
        <v>543</v>
      </c>
      <c r="M39" s="26">
        <v>756</v>
      </c>
      <c r="N39" s="26">
        <v>418</v>
      </c>
      <c r="O39" s="26">
        <v>251</v>
      </c>
      <c r="P39" s="26"/>
      <c r="Q39" s="26">
        <v>4701</v>
      </c>
    </row>
    <row r="40" ht="18" customHeight="1" spans="1:17">
      <c r="A40" s="26">
        <v>38</v>
      </c>
      <c r="B40" s="26">
        <v>205</v>
      </c>
      <c r="C40" s="26">
        <v>29</v>
      </c>
      <c r="D40" s="26">
        <v>216</v>
      </c>
      <c r="E40" s="26"/>
      <c r="F40" s="26"/>
      <c r="G40" s="26">
        <v>161</v>
      </c>
      <c r="H40" s="26"/>
      <c r="I40" s="26">
        <v>238</v>
      </c>
      <c r="J40" s="26">
        <v>1627</v>
      </c>
      <c r="K40" s="26">
        <v>697</v>
      </c>
      <c r="L40" s="26">
        <v>604</v>
      </c>
      <c r="M40" s="26">
        <v>841</v>
      </c>
      <c r="N40" s="26">
        <v>465</v>
      </c>
      <c r="O40" s="26">
        <v>279</v>
      </c>
      <c r="P40" s="26"/>
      <c r="Q40" s="26">
        <v>5157</v>
      </c>
    </row>
    <row r="41" ht="18" customHeight="1" spans="1:17">
      <c r="A41" s="26">
        <v>39</v>
      </c>
      <c r="B41" s="26">
        <v>225</v>
      </c>
      <c r="C41" s="26">
        <v>29</v>
      </c>
      <c r="D41" s="26">
        <v>216</v>
      </c>
      <c r="E41" s="26"/>
      <c r="F41" s="26"/>
      <c r="G41" s="26">
        <v>161</v>
      </c>
      <c r="H41" s="26"/>
      <c r="I41" s="26">
        <v>238</v>
      </c>
      <c r="J41" s="26">
        <v>1792</v>
      </c>
      <c r="K41" s="26">
        <v>768</v>
      </c>
      <c r="L41" s="26">
        <v>666</v>
      </c>
      <c r="M41" s="26">
        <v>927</v>
      </c>
      <c r="N41" s="26">
        <v>512</v>
      </c>
      <c r="O41" s="26">
        <v>358</v>
      </c>
      <c r="P41" s="26"/>
      <c r="Q41" s="26">
        <v>5667</v>
      </c>
    </row>
    <row r="42" ht="18" customHeight="1" spans="1:17">
      <c r="A42" s="27">
        <v>40</v>
      </c>
      <c r="B42" s="27">
        <v>245</v>
      </c>
      <c r="C42" s="27">
        <v>29</v>
      </c>
      <c r="D42" s="27">
        <v>216</v>
      </c>
      <c r="E42" s="27"/>
      <c r="F42" s="27"/>
      <c r="G42" s="27"/>
      <c r="H42" s="27"/>
      <c r="I42" s="27">
        <v>238</v>
      </c>
      <c r="J42" s="27">
        <v>2098</v>
      </c>
      <c r="K42" s="27">
        <v>851</v>
      </c>
      <c r="L42" s="27">
        <v>681</v>
      </c>
      <c r="M42" s="27">
        <v>964</v>
      </c>
      <c r="N42" s="27">
        <v>567</v>
      </c>
      <c r="O42" s="27">
        <v>454</v>
      </c>
      <c r="P42" s="27">
        <v>113</v>
      </c>
      <c r="Q42" s="27">
        <v>6211</v>
      </c>
    </row>
    <row r="43" ht="18" customHeight="1" spans="1:17">
      <c r="A43" s="27">
        <v>41</v>
      </c>
      <c r="B43" s="27">
        <v>265</v>
      </c>
      <c r="C43" s="27">
        <v>29</v>
      </c>
      <c r="D43" s="27">
        <v>216</v>
      </c>
      <c r="E43" s="27"/>
      <c r="F43" s="27"/>
      <c r="G43" s="27"/>
      <c r="H43" s="27"/>
      <c r="I43" s="27">
        <v>238</v>
      </c>
      <c r="J43" s="27">
        <v>2364</v>
      </c>
      <c r="K43" s="27">
        <v>871</v>
      </c>
      <c r="L43" s="27">
        <v>747</v>
      </c>
      <c r="M43" s="27">
        <v>995</v>
      </c>
      <c r="N43" s="27">
        <v>622</v>
      </c>
      <c r="O43" s="27">
        <v>560</v>
      </c>
      <c r="P43" s="27">
        <v>187</v>
      </c>
      <c r="Q43" s="27">
        <v>6829</v>
      </c>
    </row>
    <row r="44" ht="18" customHeight="1" spans="1:17">
      <c r="A44" s="27">
        <v>42</v>
      </c>
      <c r="B44" s="27">
        <v>285</v>
      </c>
      <c r="C44" s="27">
        <v>29</v>
      </c>
      <c r="D44" s="27">
        <v>216</v>
      </c>
      <c r="E44" s="27"/>
      <c r="F44" s="27"/>
      <c r="G44" s="27"/>
      <c r="H44" s="27"/>
      <c r="I44" s="27">
        <v>238</v>
      </c>
      <c r="J44" s="27">
        <v>2660</v>
      </c>
      <c r="K44" s="27">
        <v>887</v>
      </c>
      <c r="L44" s="27">
        <v>819</v>
      </c>
      <c r="M44" s="27">
        <v>1023</v>
      </c>
      <c r="N44" s="27">
        <v>682</v>
      </c>
      <c r="O44" s="27">
        <v>682</v>
      </c>
      <c r="P44" s="27">
        <v>273</v>
      </c>
      <c r="Q44" s="27">
        <v>7509</v>
      </c>
    </row>
    <row r="45" ht="18" customHeight="1" spans="1:17">
      <c r="A45" s="27">
        <v>43</v>
      </c>
      <c r="B45" s="27">
        <v>305</v>
      </c>
      <c r="C45" s="27">
        <v>29</v>
      </c>
      <c r="D45" s="27">
        <v>216</v>
      </c>
      <c r="E45" s="27"/>
      <c r="F45" s="27"/>
      <c r="G45" s="27"/>
      <c r="H45" s="27"/>
      <c r="I45" s="27">
        <v>238</v>
      </c>
      <c r="J45" s="27">
        <v>2963</v>
      </c>
      <c r="K45" s="27">
        <v>963</v>
      </c>
      <c r="L45" s="27">
        <v>889</v>
      </c>
      <c r="M45" s="27">
        <v>1111</v>
      </c>
      <c r="N45" s="27">
        <v>741</v>
      </c>
      <c r="O45" s="27">
        <v>741</v>
      </c>
      <c r="P45" s="27">
        <v>370</v>
      </c>
      <c r="Q45" s="27">
        <v>8261</v>
      </c>
    </row>
    <row r="46" ht="18" customHeight="1" spans="1:17">
      <c r="A46" s="27">
        <v>44</v>
      </c>
      <c r="B46" s="27">
        <v>325</v>
      </c>
      <c r="C46" s="27">
        <v>29</v>
      </c>
      <c r="D46" s="27">
        <v>216</v>
      </c>
      <c r="E46" s="27"/>
      <c r="F46" s="27"/>
      <c r="G46" s="27"/>
      <c r="H46" s="27"/>
      <c r="I46" s="27">
        <v>238</v>
      </c>
      <c r="J46" s="27">
        <v>3275</v>
      </c>
      <c r="K46" s="27">
        <v>1065</v>
      </c>
      <c r="L46" s="27">
        <v>983</v>
      </c>
      <c r="M46" s="27">
        <v>1228</v>
      </c>
      <c r="N46" s="27">
        <v>819</v>
      </c>
      <c r="O46" s="27">
        <v>819</v>
      </c>
      <c r="P46" s="27">
        <v>409</v>
      </c>
      <c r="Q46" s="27">
        <v>9081</v>
      </c>
    </row>
    <row r="47" ht="18" customHeight="1" spans="1:17">
      <c r="A47" s="28">
        <v>45</v>
      </c>
      <c r="B47" s="28">
        <v>350</v>
      </c>
      <c r="C47" s="28">
        <v>29</v>
      </c>
      <c r="D47" s="28">
        <v>216</v>
      </c>
      <c r="E47" s="28"/>
      <c r="F47" s="28"/>
      <c r="G47" s="28"/>
      <c r="H47" s="28"/>
      <c r="I47" s="28"/>
      <c r="J47" s="28">
        <v>3734</v>
      </c>
      <c r="K47" s="28">
        <v>1214</v>
      </c>
      <c r="L47" s="28">
        <v>1027</v>
      </c>
      <c r="M47" s="28">
        <v>1400</v>
      </c>
      <c r="N47" s="28">
        <v>934</v>
      </c>
      <c r="O47" s="28">
        <v>934</v>
      </c>
      <c r="P47" s="28">
        <v>467</v>
      </c>
      <c r="Q47" s="28">
        <v>9955</v>
      </c>
    </row>
    <row r="48" ht="18" customHeight="1" spans="1:17">
      <c r="A48" s="28">
        <v>46</v>
      </c>
      <c r="B48" s="28">
        <v>375</v>
      </c>
      <c r="C48" s="28">
        <v>29</v>
      </c>
      <c r="D48" s="28">
        <v>216</v>
      </c>
      <c r="E48" s="28"/>
      <c r="F48" s="28"/>
      <c r="G48" s="28"/>
      <c r="H48" s="28"/>
      <c r="I48" s="28"/>
      <c r="J48" s="28">
        <v>4116</v>
      </c>
      <c r="K48" s="28">
        <v>1338</v>
      </c>
      <c r="L48" s="28">
        <v>1132</v>
      </c>
      <c r="M48" s="28">
        <v>1544</v>
      </c>
      <c r="N48" s="28">
        <v>1029</v>
      </c>
      <c r="O48" s="28">
        <v>1029</v>
      </c>
      <c r="P48" s="28">
        <v>515</v>
      </c>
      <c r="Q48" s="28">
        <v>10948</v>
      </c>
    </row>
    <row r="49" ht="18" customHeight="1" spans="1:17">
      <c r="A49" s="28">
        <v>47</v>
      </c>
      <c r="B49" s="28">
        <v>400</v>
      </c>
      <c r="C49" s="28">
        <v>29</v>
      </c>
      <c r="D49" s="28">
        <v>216</v>
      </c>
      <c r="E49" s="28"/>
      <c r="F49" s="28"/>
      <c r="G49" s="28"/>
      <c r="H49" s="28"/>
      <c r="I49" s="28"/>
      <c r="J49" s="28">
        <v>4537</v>
      </c>
      <c r="K49" s="28">
        <v>1474</v>
      </c>
      <c r="L49" s="28">
        <v>1248</v>
      </c>
      <c r="M49" s="28">
        <v>1701</v>
      </c>
      <c r="N49" s="28">
        <v>1134</v>
      </c>
      <c r="O49" s="28">
        <v>1134</v>
      </c>
      <c r="P49" s="28">
        <v>567</v>
      </c>
      <c r="Q49" s="28">
        <v>12040</v>
      </c>
    </row>
    <row r="50" ht="18" customHeight="1" spans="1:17">
      <c r="A50" s="28">
        <v>48</v>
      </c>
      <c r="B50" s="28">
        <v>425</v>
      </c>
      <c r="C50" s="28">
        <v>29</v>
      </c>
      <c r="D50" s="28">
        <v>216</v>
      </c>
      <c r="E50" s="28"/>
      <c r="F50" s="28"/>
      <c r="G50" s="28"/>
      <c r="H50" s="28"/>
      <c r="I50" s="28"/>
      <c r="J50" s="28">
        <v>4999</v>
      </c>
      <c r="K50" s="28">
        <v>1625</v>
      </c>
      <c r="L50" s="28">
        <v>1375</v>
      </c>
      <c r="M50" s="28">
        <v>1875</v>
      </c>
      <c r="N50" s="28">
        <v>1250</v>
      </c>
      <c r="O50" s="28">
        <v>1250</v>
      </c>
      <c r="P50" s="28">
        <v>625</v>
      </c>
      <c r="Q50" s="28">
        <v>13244</v>
      </c>
    </row>
    <row r="51" ht="18" customHeight="1" spans="1:17">
      <c r="A51" s="28">
        <v>49</v>
      </c>
      <c r="B51" s="28">
        <v>450</v>
      </c>
      <c r="C51" s="28">
        <v>29</v>
      </c>
      <c r="D51" s="28">
        <v>216</v>
      </c>
      <c r="E51" s="28"/>
      <c r="F51" s="28"/>
      <c r="G51" s="28"/>
      <c r="H51" s="28"/>
      <c r="I51" s="28"/>
      <c r="J51" s="28">
        <v>5456</v>
      </c>
      <c r="K51" s="28">
        <v>1773</v>
      </c>
      <c r="L51" s="28">
        <v>1500</v>
      </c>
      <c r="M51" s="28">
        <v>2046</v>
      </c>
      <c r="N51" s="28">
        <v>1364</v>
      </c>
      <c r="O51" s="28">
        <v>1364</v>
      </c>
      <c r="P51" s="28">
        <v>818</v>
      </c>
      <c r="Q51" s="28">
        <v>14566</v>
      </c>
    </row>
    <row r="52" ht="18" customHeight="1" spans="1:17">
      <c r="A52" s="28">
        <v>50</v>
      </c>
      <c r="B52" s="28">
        <v>475</v>
      </c>
      <c r="C52" s="28">
        <v>29</v>
      </c>
      <c r="D52" s="28">
        <v>216</v>
      </c>
      <c r="E52" s="28"/>
      <c r="F52" s="28"/>
      <c r="G52" s="28"/>
      <c r="H52" s="28"/>
      <c r="I52" s="28"/>
      <c r="J52" s="28">
        <v>6011</v>
      </c>
      <c r="K52" s="28">
        <v>1953</v>
      </c>
      <c r="L52" s="28">
        <v>1503</v>
      </c>
      <c r="M52" s="28">
        <v>2254</v>
      </c>
      <c r="N52" s="28">
        <v>1503</v>
      </c>
      <c r="O52" s="28">
        <v>1503</v>
      </c>
      <c r="P52" s="28">
        <v>1052</v>
      </c>
      <c r="Q52" s="28">
        <v>16024</v>
      </c>
    </row>
    <row r="53" ht="18" customHeight="1" spans="1:17">
      <c r="A53" s="28">
        <v>51</v>
      </c>
      <c r="B53" s="28">
        <v>500</v>
      </c>
      <c r="C53" s="28">
        <v>29</v>
      </c>
      <c r="D53" s="28">
        <v>216</v>
      </c>
      <c r="E53" s="28"/>
      <c r="F53" s="28"/>
      <c r="G53" s="28"/>
      <c r="H53" s="28"/>
      <c r="I53" s="28"/>
      <c r="J53" s="28">
        <v>6559</v>
      </c>
      <c r="K53" s="28">
        <v>1968</v>
      </c>
      <c r="L53" s="28">
        <v>1640</v>
      </c>
      <c r="M53" s="28">
        <v>2459</v>
      </c>
      <c r="N53" s="28">
        <v>1640</v>
      </c>
      <c r="O53" s="28">
        <v>1640</v>
      </c>
      <c r="P53" s="28">
        <v>1476</v>
      </c>
      <c r="Q53" s="28">
        <v>17627</v>
      </c>
    </row>
    <row r="54" ht="18" customHeight="1" spans="1:17">
      <c r="A54" s="28">
        <v>52</v>
      </c>
      <c r="B54" s="28">
        <v>525</v>
      </c>
      <c r="C54" s="28">
        <v>29</v>
      </c>
      <c r="D54" s="28">
        <v>216</v>
      </c>
      <c r="E54" s="28"/>
      <c r="F54" s="28"/>
      <c r="G54" s="28"/>
      <c r="H54" s="28"/>
      <c r="I54" s="28"/>
      <c r="J54" s="28">
        <v>7091</v>
      </c>
      <c r="K54" s="28">
        <v>2127</v>
      </c>
      <c r="L54" s="28">
        <v>1773</v>
      </c>
      <c r="M54" s="28">
        <v>2659</v>
      </c>
      <c r="N54" s="28">
        <v>1773</v>
      </c>
      <c r="O54" s="28">
        <v>1773</v>
      </c>
      <c r="P54" s="28">
        <v>1950</v>
      </c>
      <c r="Q54" s="28">
        <v>19391</v>
      </c>
    </row>
    <row r="55" ht="18" customHeight="1" spans="1:17">
      <c r="A55" s="28">
        <v>53</v>
      </c>
      <c r="B55" s="28">
        <v>550</v>
      </c>
      <c r="C55" s="28">
        <v>29</v>
      </c>
      <c r="D55" s="28">
        <v>216</v>
      </c>
      <c r="E55" s="28"/>
      <c r="F55" s="28"/>
      <c r="G55" s="28"/>
      <c r="H55" s="28"/>
      <c r="I55" s="28"/>
      <c r="J55" s="28">
        <v>7668</v>
      </c>
      <c r="K55" s="28">
        <v>2300</v>
      </c>
      <c r="L55" s="28">
        <v>1917</v>
      </c>
      <c r="M55" s="28">
        <v>2875</v>
      </c>
      <c r="N55" s="28">
        <v>1917</v>
      </c>
      <c r="O55" s="28">
        <v>1917</v>
      </c>
      <c r="P55" s="28">
        <v>2492</v>
      </c>
      <c r="Q55" s="28">
        <v>21331</v>
      </c>
    </row>
    <row r="56" ht="18" customHeight="1" spans="1:17">
      <c r="A56" s="28">
        <v>54</v>
      </c>
      <c r="B56" s="28">
        <v>575</v>
      </c>
      <c r="C56" s="28">
        <v>29</v>
      </c>
      <c r="D56" s="28">
        <v>216</v>
      </c>
      <c r="E56" s="28"/>
      <c r="F56" s="28"/>
      <c r="G56" s="28"/>
      <c r="H56" s="28"/>
      <c r="I56" s="28"/>
      <c r="J56" s="28">
        <v>8293</v>
      </c>
      <c r="K56" s="28">
        <v>2488</v>
      </c>
      <c r="L56" s="28">
        <v>2073</v>
      </c>
      <c r="M56" s="28">
        <v>3110</v>
      </c>
      <c r="N56" s="28">
        <v>2073</v>
      </c>
      <c r="O56" s="28">
        <v>2073</v>
      </c>
      <c r="P56" s="28">
        <v>3110</v>
      </c>
      <c r="Q56" s="28">
        <v>23465</v>
      </c>
    </row>
    <row r="57" ht="18" customHeight="1" spans="1:17">
      <c r="A57" s="29">
        <v>55</v>
      </c>
      <c r="B57" s="29">
        <v>600</v>
      </c>
      <c r="C57" s="29">
        <v>29</v>
      </c>
      <c r="D57" s="29">
        <v>216</v>
      </c>
      <c r="E57" s="29"/>
      <c r="F57" s="29"/>
      <c r="G57" s="29"/>
      <c r="H57" s="29"/>
      <c r="I57" s="29"/>
      <c r="J57" s="29">
        <v>9050</v>
      </c>
      <c r="K57" s="29">
        <v>2489</v>
      </c>
      <c r="L57" s="29">
        <v>2262</v>
      </c>
      <c r="M57" s="29">
        <v>3394</v>
      </c>
      <c r="N57" s="29">
        <v>2262</v>
      </c>
      <c r="O57" s="29">
        <v>2262</v>
      </c>
      <c r="P57" s="29">
        <v>3846</v>
      </c>
      <c r="Q57" s="29">
        <v>25810</v>
      </c>
    </row>
    <row r="58" ht="18" customHeight="1" spans="1:17">
      <c r="A58" s="29">
        <v>56</v>
      </c>
      <c r="B58" s="29">
        <v>620</v>
      </c>
      <c r="C58" s="29">
        <v>29</v>
      </c>
      <c r="D58" s="29">
        <v>216</v>
      </c>
      <c r="E58" s="29"/>
      <c r="F58" s="29"/>
      <c r="G58" s="29"/>
      <c r="H58" s="29"/>
      <c r="I58" s="29"/>
      <c r="J58" s="29">
        <v>9790</v>
      </c>
      <c r="K58" s="29">
        <v>2692</v>
      </c>
      <c r="L58" s="29">
        <v>2448</v>
      </c>
      <c r="M58" s="29">
        <v>3671</v>
      </c>
      <c r="N58" s="29">
        <v>2448</v>
      </c>
      <c r="O58" s="29">
        <v>2448</v>
      </c>
      <c r="P58" s="29">
        <v>4650</v>
      </c>
      <c r="Q58" s="29">
        <v>28392</v>
      </c>
    </row>
    <row r="59" ht="18" customHeight="1" spans="1:17">
      <c r="A59" s="29">
        <v>57</v>
      </c>
      <c r="B59" s="29">
        <v>640</v>
      </c>
      <c r="C59" s="29">
        <v>29</v>
      </c>
      <c r="D59" s="29">
        <v>216</v>
      </c>
      <c r="E59" s="29"/>
      <c r="F59" s="29"/>
      <c r="G59" s="29"/>
      <c r="H59" s="29"/>
      <c r="I59" s="29"/>
      <c r="J59" s="29">
        <v>10594</v>
      </c>
      <c r="K59" s="29">
        <v>2913</v>
      </c>
      <c r="L59" s="29">
        <v>2648</v>
      </c>
      <c r="M59" s="29">
        <v>3973</v>
      </c>
      <c r="N59" s="29">
        <v>2648</v>
      </c>
      <c r="O59" s="29">
        <v>2648</v>
      </c>
      <c r="P59" s="29">
        <v>5562</v>
      </c>
      <c r="Q59" s="29">
        <v>31231</v>
      </c>
    </row>
    <row r="60" ht="18" customHeight="1" spans="1:17">
      <c r="A60" s="29">
        <v>58</v>
      </c>
      <c r="B60" s="29">
        <v>660</v>
      </c>
      <c r="C60" s="29">
        <v>29</v>
      </c>
      <c r="D60" s="29">
        <v>216</v>
      </c>
      <c r="E60" s="29"/>
      <c r="F60" s="29"/>
      <c r="G60" s="29"/>
      <c r="H60" s="29"/>
      <c r="I60" s="29"/>
      <c r="J60" s="29">
        <v>11465</v>
      </c>
      <c r="K60" s="29">
        <v>3153</v>
      </c>
      <c r="L60" s="29">
        <v>2866</v>
      </c>
      <c r="M60" s="29">
        <v>4300</v>
      </c>
      <c r="N60" s="29">
        <v>2866</v>
      </c>
      <c r="O60" s="29">
        <v>2866</v>
      </c>
      <c r="P60" s="29">
        <v>6593</v>
      </c>
      <c r="Q60" s="29">
        <v>34354</v>
      </c>
    </row>
    <row r="61" ht="18" customHeight="1" spans="1:17">
      <c r="A61" s="29">
        <v>59</v>
      </c>
      <c r="B61" s="29">
        <v>680</v>
      </c>
      <c r="C61" s="29">
        <v>29</v>
      </c>
      <c r="D61" s="29">
        <v>216</v>
      </c>
      <c r="E61" s="29"/>
      <c r="F61" s="29"/>
      <c r="G61" s="29"/>
      <c r="H61" s="29"/>
      <c r="I61" s="29"/>
      <c r="J61" s="29">
        <v>12411</v>
      </c>
      <c r="K61" s="29">
        <v>3413</v>
      </c>
      <c r="L61" s="29">
        <v>3103</v>
      </c>
      <c r="M61" s="29">
        <v>4654</v>
      </c>
      <c r="N61" s="29">
        <v>3103</v>
      </c>
      <c r="O61" s="29">
        <v>3103</v>
      </c>
      <c r="P61" s="29">
        <v>7757</v>
      </c>
      <c r="Q61" s="29">
        <v>37789</v>
      </c>
    </row>
    <row r="62" ht="18" customHeight="1" spans="1:17">
      <c r="A62" s="29">
        <v>60</v>
      </c>
      <c r="B62" s="29">
        <v>700</v>
      </c>
      <c r="C62" s="29">
        <v>29</v>
      </c>
      <c r="D62" s="29">
        <v>216</v>
      </c>
      <c r="E62" s="29"/>
      <c r="F62" s="29"/>
      <c r="G62" s="29"/>
      <c r="H62" s="29"/>
      <c r="I62" s="29"/>
      <c r="J62" s="29">
        <v>13548</v>
      </c>
      <c r="K62" s="29">
        <v>3387</v>
      </c>
      <c r="L62" s="29">
        <v>3387</v>
      </c>
      <c r="M62" s="29">
        <v>5080</v>
      </c>
      <c r="N62" s="29">
        <v>3387</v>
      </c>
      <c r="O62" s="29">
        <v>3387</v>
      </c>
      <c r="P62" s="29">
        <v>9145</v>
      </c>
      <c r="Q62" s="29">
        <v>41566</v>
      </c>
    </row>
    <row r="63" ht="18" customHeight="1" spans="1:17">
      <c r="A63" s="29">
        <v>61</v>
      </c>
      <c r="B63" s="29">
        <v>720</v>
      </c>
      <c r="C63" s="29">
        <v>29</v>
      </c>
      <c r="D63" s="29">
        <v>216</v>
      </c>
      <c r="E63" s="29"/>
      <c r="F63" s="29"/>
      <c r="G63" s="29"/>
      <c r="H63" s="29"/>
      <c r="I63" s="29"/>
      <c r="J63" s="29">
        <v>14553</v>
      </c>
      <c r="K63" s="29">
        <v>3638</v>
      </c>
      <c r="L63" s="29">
        <v>3638</v>
      </c>
      <c r="M63" s="29">
        <v>5457</v>
      </c>
      <c r="N63" s="29">
        <v>3638</v>
      </c>
      <c r="O63" s="29">
        <v>3638</v>
      </c>
      <c r="P63" s="29">
        <v>10914</v>
      </c>
      <c r="Q63" s="29">
        <v>45721</v>
      </c>
    </row>
    <row r="64" ht="18" customHeight="1" spans="1:17">
      <c r="A64" s="29">
        <v>62</v>
      </c>
      <c r="B64" s="29">
        <v>740</v>
      </c>
      <c r="C64" s="29">
        <v>29</v>
      </c>
      <c r="D64" s="29">
        <v>216</v>
      </c>
      <c r="E64" s="29"/>
      <c r="F64" s="29"/>
      <c r="G64" s="29"/>
      <c r="H64" s="29"/>
      <c r="I64" s="29"/>
      <c r="J64" s="29">
        <v>15887</v>
      </c>
      <c r="K64" s="29">
        <v>3972</v>
      </c>
      <c r="L64" s="29">
        <v>3972</v>
      </c>
      <c r="M64" s="29">
        <v>5958</v>
      </c>
      <c r="N64" s="29">
        <v>3972</v>
      </c>
      <c r="O64" s="29">
        <v>3972</v>
      </c>
      <c r="P64" s="29">
        <v>12313</v>
      </c>
      <c r="Q64" s="29">
        <v>50291</v>
      </c>
    </row>
    <row r="65" ht="18" customHeight="1" spans="1:17">
      <c r="A65" s="29">
        <v>63</v>
      </c>
      <c r="B65" s="29">
        <v>760</v>
      </c>
      <c r="C65" s="29">
        <v>29</v>
      </c>
      <c r="D65" s="29">
        <v>216</v>
      </c>
      <c r="E65" s="29"/>
      <c r="F65" s="29"/>
      <c r="G65" s="29"/>
      <c r="H65" s="29"/>
      <c r="I65" s="29"/>
      <c r="J65" s="29">
        <v>17345</v>
      </c>
      <c r="K65" s="29">
        <v>4336</v>
      </c>
      <c r="L65" s="29">
        <v>4336</v>
      </c>
      <c r="M65" s="29">
        <v>6504</v>
      </c>
      <c r="N65" s="29">
        <v>4336</v>
      </c>
      <c r="O65" s="29">
        <v>4336</v>
      </c>
      <c r="P65" s="29">
        <v>13876</v>
      </c>
      <c r="Q65" s="29">
        <v>55314</v>
      </c>
    </row>
    <row r="66" ht="18" customHeight="1" spans="1:17">
      <c r="A66" s="29">
        <v>64</v>
      </c>
      <c r="B66" s="29">
        <v>780</v>
      </c>
      <c r="C66" s="29">
        <v>29</v>
      </c>
      <c r="D66" s="29">
        <v>216</v>
      </c>
      <c r="E66" s="29"/>
      <c r="F66" s="29"/>
      <c r="G66" s="29"/>
      <c r="H66" s="29"/>
      <c r="I66" s="29"/>
      <c r="J66" s="29">
        <v>18937</v>
      </c>
      <c r="K66" s="29">
        <v>4734</v>
      </c>
      <c r="L66" s="29">
        <v>4734</v>
      </c>
      <c r="M66" s="29">
        <v>7101</v>
      </c>
      <c r="N66" s="29">
        <v>4734</v>
      </c>
      <c r="O66" s="29">
        <v>4734</v>
      </c>
      <c r="P66" s="29">
        <v>15623</v>
      </c>
      <c r="Q66" s="29">
        <v>60842</v>
      </c>
    </row>
    <row r="67" ht="18" customHeight="1" spans="1:17">
      <c r="A67" s="29">
        <v>65</v>
      </c>
      <c r="B67" s="29">
        <v>800</v>
      </c>
      <c r="C67" s="29">
        <v>29</v>
      </c>
      <c r="D67" s="29">
        <v>216</v>
      </c>
      <c r="E67" s="29"/>
      <c r="F67" s="29"/>
      <c r="G67" s="29"/>
      <c r="H67" s="29"/>
      <c r="I67" s="29"/>
      <c r="J67" s="29">
        <v>20676</v>
      </c>
      <c r="K67" s="29">
        <v>5169</v>
      </c>
      <c r="L67" s="29">
        <v>5169</v>
      </c>
      <c r="M67" s="29">
        <v>7753</v>
      </c>
      <c r="N67" s="29">
        <v>5169</v>
      </c>
      <c r="O67" s="29">
        <v>5169</v>
      </c>
      <c r="P67" s="29">
        <v>17574</v>
      </c>
      <c r="Q67" s="29">
        <v>66924</v>
      </c>
    </row>
    <row r="68" ht="18" customHeight="1" spans="1:17">
      <c r="A68" s="29">
        <v>66</v>
      </c>
      <c r="B68" s="29">
        <v>820</v>
      </c>
      <c r="C68" s="29">
        <v>29</v>
      </c>
      <c r="D68" s="29">
        <v>216</v>
      </c>
      <c r="E68" s="29"/>
      <c r="F68" s="29"/>
      <c r="G68" s="29"/>
      <c r="H68" s="29"/>
      <c r="I68" s="29"/>
      <c r="J68" s="29">
        <v>22575</v>
      </c>
      <c r="K68" s="29">
        <v>5644</v>
      </c>
      <c r="L68" s="29">
        <v>5644</v>
      </c>
      <c r="M68" s="29">
        <v>8465</v>
      </c>
      <c r="N68" s="29">
        <v>5644</v>
      </c>
      <c r="O68" s="29">
        <v>5644</v>
      </c>
      <c r="P68" s="29">
        <v>19753</v>
      </c>
      <c r="Q68" s="29">
        <v>73614</v>
      </c>
    </row>
    <row r="69" ht="18" customHeight="1" spans="1:17">
      <c r="A69" s="29">
        <v>67</v>
      </c>
      <c r="B69" s="29">
        <v>840</v>
      </c>
      <c r="C69" s="29">
        <v>29</v>
      </c>
      <c r="D69" s="29">
        <v>216</v>
      </c>
      <c r="E69" s="29"/>
      <c r="F69" s="29"/>
      <c r="G69" s="29"/>
      <c r="H69" s="29"/>
      <c r="I69" s="29"/>
      <c r="J69" s="29">
        <v>24649</v>
      </c>
      <c r="K69" s="29">
        <v>6162</v>
      </c>
      <c r="L69" s="29">
        <v>6162</v>
      </c>
      <c r="M69" s="29">
        <v>9243</v>
      </c>
      <c r="N69" s="29">
        <v>6162</v>
      </c>
      <c r="O69" s="29">
        <v>6162</v>
      </c>
      <c r="P69" s="29">
        <v>22184</v>
      </c>
      <c r="Q69" s="29">
        <v>80969</v>
      </c>
    </row>
    <row r="70" ht="18" customHeight="1" spans="1:17">
      <c r="A70" s="29">
        <v>68</v>
      </c>
      <c r="B70" s="29">
        <v>860</v>
      </c>
      <c r="C70" s="29">
        <v>29</v>
      </c>
      <c r="D70" s="29">
        <v>216</v>
      </c>
      <c r="E70" s="29"/>
      <c r="F70" s="29"/>
      <c r="G70" s="29"/>
      <c r="H70" s="29"/>
      <c r="I70" s="29"/>
      <c r="J70" s="29">
        <v>26914</v>
      </c>
      <c r="K70" s="29">
        <v>6729</v>
      </c>
      <c r="L70" s="29">
        <v>6729</v>
      </c>
      <c r="M70" s="29">
        <v>10093</v>
      </c>
      <c r="N70" s="29">
        <v>6729</v>
      </c>
      <c r="O70" s="29">
        <v>6729</v>
      </c>
      <c r="P70" s="29">
        <v>24896</v>
      </c>
      <c r="Q70" s="29">
        <v>89064</v>
      </c>
    </row>
    <row r="71" ht="18" customHeight="1" spans="1:17">
      <c r="A71" s="29">
        <v>69</v>
      </c>
      <c r="B71" s="29">
        <v>880</v>
      </c>
      <c r="C71" s="29">
        <v>29</v>
      </c>
      <c r="D71" s="29">
        <v>216</v>
      </c>
      <c r="E71" s="29"/>
      <c r="F71" s="29"/>
      <c r="G71" s="29"/>
      <c r="H71" s="29"/>
      <c r="I71" s="29"/>
      <c r="J71" s="29">
        <v>29389</v>
      </c>
      <c r="K71" s="29">
        <v>7347</v>
      </c>
      <c r="L71" s="29">
        <v>7347</v>
      </c>
      <c r="M71" s="29">
        <v>11021</v>
      </c>
      <c r="N71" s="29">
        <v>7347</v>
      </c>
      <c r="O71" s="29">
        <v>7347</v>
      </c>
      <c r="P71" s="29">
        <v>27920</v>
      </c>
      <c r="Q71" s="29">
        <v>97963</v>
      </c>
    </row>
    <row r="72" ht="18" customHeight="1" spans="1:17">
      <c r="A72" s="29">
        <v>70</v>
      </c>
      <c r="B72" s="29">
        <v>900</v>
      </c>
      <c r="C72" s="29">
        <v>29</v>
      </c>
      <c r="D72" s="29">
        <v>216</v>
      </c>
      <c r="E72" s="29"/>
      <c r="F72" s="29"/>
      <c r="G72" s="29"/>
      <c r="H72" s="29"/>
      <c r="I72" s="29"/>
      <c r="J72" s="29">
        <v>31855</v>
      </c>
      <c r="K72" s="29">
        <v>7964</v>
      </c>
      <c r="L72" s="29">
        <v>7964</v>
      </c>
      <c r="M72" s="29">
        <v>11946</v>
      </c>
      <c r="N72" s="29">
        <v>7964</v>
      </c>
      <c r="O72" s="29">
        <v>7964</v>
      </c>
      <c r="P72" s="29">
        <v>31855</v>
      </c>
      <c r="Q72" s="29">
        <v>107757</v>
      </c>
    </row>
    <row r="73" ht="18" customHeight="1" spans="1:17">
      <c r="A73" s="29">
        <v>71</v>
      </c>
      <c r="B73" s="29">
        <v>920</v>
      </c>
      <c r="C73" s="29">
        <v>29</v>
      </c>
      <c r="D73" s="29">
        <v>216</v>
      </c>
      <c r="E73" s="29"/>
      <c r="F73" s="29"/>
      <c r="G73" s="29"/>
      <c r="H73" s="29"/>
      <c r="I73" s="29"/>
      <c r="J73" s="29">
        <v>35046</v>
      </c>
      <c r="K73" s="29">
        <v>8762</v>
      </c>
      <c r="L73" s="29">
        <v>8762</v>
      </c>
      <c r="M73" s="29">
        <v>13142</v>
      </c>
      <c r="N73" s="29">
        <v>8762</v>
      </c>
      <c r="O73" s="29">
        <v>8762</v>
      </c>
      <c r="P73" s="29">
        <v>35046</v>
      </c>
      <c r="Q73" s="29">
        <v>118527</v>
      </c>
    </row>
    <row r="74" ht="18" customHeight="1" spans="1:17">
      <c r="A74" s="29">
        <v>72</v>
      </c>
      <c r="B74" s="29">
        <v>940</v>
      </c>
      <c r="C74" s="29">
        <v>29</v>
      </c>
      <c r="D74" s="29">
        <v>216</v>
      </c>
      <c r="E74" s="29"/>
      <c r="F74" s="29"/>
      <c r="G74" s="29"/>
      <c r="H74" s="29"/>
      <c r="I74" s="29"/>
      <c r="J74" s="29">
        <v>38556</v>
      </c>
      <c r="K74" s="29">
        <v>9639</v>
      </c>
      <c r="L74" s="29">
        <v>9639</v>
      </c>
      <c r="M74" s="29">
        <v>14459</v>
      </c>
      <c r="N74" s="29">
        <v>9639</v>
      </c>
      <c r="O74" s="29">
        <v>9639</v>
      </c>
      <c r="P74" s="29">
        <v>38556</v>
      </c>
      <c r="Q74" s="29">
        <v>130372</v>
      </c>
    </row>
    <row r="75" ht="18" customHeight="1" spans="1:17">
      <c r="A75" s="29">
        <v>73</v>
      </c>
      <c r="B75" s="29">
        <v>960</v>
      </c>
      <c r="C75" s="29">
        <v>29</v>
      </c>
      <c r="D75" s="29">
        <v>216</v>
      </c>
      <c r="E75" s="29"/>
      <c r="F75" s="29"/>
      <c r="G75" s="29"/>
      <c r="H75" s="29"/>
      <c r="I75" s="29"/>
      <c r="J75" s="29">
        <v>42417</v>
      </c>
      <c r="K75" s="29">
        <v>10604</v>
      </c>
      <c r="L75" s="29">
        <v>10604</v>
      </c>
      <c r="M75" s="29">
        <v>15906</v>
      </c>
      <c r="N75" s="29">
        <v>10604</v>
      </c>
      <c r="O75" s="29">
        <v>10604</v>
      </c>
      <c r="P75" s="29">
        <v>42417</v>
      </c>
      <c r="Q75" s="29">
        <v>143401</v>
      </c>
    </row>
    <row r="76" ht="18" customHeight="1" spans="1:17">
      <c r="A76" s="29">
        <v>74</v>
      </c>
      <c r="B76" s="29">
        <v>980</v>
      </c>
      <c r="C76" s="29">
        <v>29</v>
      </c>
      <c r="D76" s="29">
        <v>216</v>
      </c>
      <c r="E76" s="29"/>
      <c r="F76" s="29"/>
      <c r="G76" s="29"/>
      <c r="H76" s="29"/>
      <c r="I76" s="29"/>
      <c r="J76" s="29">
        <v>46664</v>
      </c>
      <c r="K76" s="29">
        <v>11666</v>
      </c>
      <c r="L76" s="29">
        <v>11666</v>
      </c>
      <c r="M76" s="29">
        <v>17499</v>
      </c>
      <c r="N76" s="29">
        <v>11666</v>
      </c>
      <c r="O76" s="29">
        <v>11666</v>
      </c>
      <c r="P76" s="29">
        <v>46664</v>
      </c>
      <c r="Q76" s="29">
        <v>157736</v>
      </c>
    </row>
    <row r="77" ht="18" customHeight="1" spans="1:17">
      <c r="A77" s="29">
        <v>75</v>
      </c>
      <c r="B77" s="29">
        <v>1000</v>
      </c>
      <c r="C77" s="29">
        <v>29</v>
      </c>
      <c r="D77" s="29">
        <v>216</v>
      </c>
      <c r="E77" s="29"/>
      <c r="F77" s="29"/>
      <c r="G77" s="29"/>
      <c r="H77" s="29"/>
      <c r="I77" s="29"/>
      <c r="J77" s="29">
        <v>51336</v>
      </c>
      <c r="K77" s="29">
        <v>12834</v>
      </c>
      <c r="L77" s="29">
        <v>12834</v>
      </c>
      <c r="M77" s="29">
        <v>19251</v>
      </c>
      <c r="N77" s="29">
        <v>12834</v>
      </c>
      <c r="O77" s="29">
        <v>12834</v>
      </c>
      <c r="P77" s="29">
        <v>51336</v>
      </c>
      <c r="Q77" s="29">
        <v>173504</v>
      </c>
    </row>
    <row r="78" ht="18" customHeight="1" spans="1:17">
      <c r="A78" s="29">
        <v>76</v>
      </c>
      <c r="B78" s="29">
        <v>1020</v>
      </c>
      <c r="C78" s="29">
        <v>29</v>
      </c>
      <c r="D78" s="29">
        <v>216</v>
      </c>
      <c r="E78" s="29"/>
      <c r="F78" s="29"/>
      <c r="G78" s="29"/>
      <c r="H78" s="29"/>
      <c r="I78" s="29"/>
      <c r="J78" s="29">
        <v>56475</v>
      </c>
      <c r="K78" s="29">
        <v>14119</v>
      </c>
      <c r="L78" s="29">
        <v>14119</v>
      </c>
      <c r="M78" s="29">
        <v>21178</v>
      </c>
      <c r="N78" s="29">
        <v>14119</v>
      </c>
      <c r="O78" s="29">
        <v>14119</v>
      </c>
      <c r="P78" s="29">
        <v>56475</v>
      </c>
      <c r="Q78" s="29">
        <v>190849</v>
      </c>
    </row>
    <row r="79" ht="18" customHeight="1" spans="1:17">
      <c r="A79" s="29">
        <v>77</v>
      </c>
      <c r="B79" s="29">
        <v>1040</v>
      </c>
      <c r="C79" s="29">
        <v>29</v>
      </c>
      <c r="D79" s="29">
        <v>216</v>
      </c>
      <c r="E79" s="29"/>
      <c r="F79" s="29"/>
      <c r="G79" s="29"/>
      <c r="H79" s="29"/>
      <c r="I79" s="29"/>
      <c r="J79" s="29">
        <v>62128</v>
      </c>
      <c r="K79" s="29">
        <v>15532</v>
      </c>
      <c r="L79" s="29">
        <v>15532</v>
      </c>
      <c r="M79" s="29">
        <v>23298</v>
      </c>
      <c r="N79" s="29">
        <v>15532</v>
      </c>
      <c r="O79" s="29">
        <v>15532</v>
      </c>
      <c r="P79" s="29">
        <v>62128</v>
      </c>
      <c r="Q79" s="29">
        <v>209927</v>
      </c>
    </row>
    <row r="80" ht="18" customHeight="1" spans="1:17">
      <c r="A80" s="29">
        <v>78</v>
      </c>
      <c r="B80" s="29">
        <v>1060</v>
      </c>
      <c r="C80" s="29">
        <v>29</v>
      </c>
      <c r="D80" s="29">
        <v>216</v>
      </c>
      <c r="E80" s="29"/>
      <c r="F80" s="29"/>
      <c r="G80" s="29"/>
      <c r="H80" s="29"/>
      <c r="I80" s="29"/>
      <c r="J80" s="29">
        <v>68346</v>
      </c>
      <c r="K80" s="29">
        <v>17086</v>
      </c>
      <c r="L80" s="29">
        <v>17086</v>
      </c>
      <c r="M80" s="29">
        <v>25630</v>
      </c>
      <c r="N80" s="29">
        <v>17086</v>
      </c>
      <c r="O80" s="29">
        <v>17086</v>
      </c>
      <c r="P80" s="29">
        <v>68346</v>
      </c>
      <c r="Q80" s="29">
        <v>230911</v>
      </c>
    </row>
    <row r="81" ht="18" customHeight="1" spans="1:17">
      <c r="A81" s="29">
        <v>79</v>
      </c>
      <c r="B81" s="29">
        <v>1080</v>
      </c>
      <c r="C81" s="29">
        <v>29</v>
      </c>
      <c r="D81" s="29">
        <v>216</v>
      </c>
      <c r="E81" s="29"/>
      <c r="F81" s="29"/>
      <c r="G81" s="29"/>
      <c r="H81" s="29"/>
      <c r="I81" s="29"/>
      <c r="J81" s="29">
        <v>75186</v>
      </c>
      <c r="K81" s="29">
        <v>18796</v>
      </c>
      <c r="L81" s="29">
        <v>18796</v>
      </c>
      <c r="M81" s="29">
        <v>28195</v>
      </c>
      <c r="N81" s="29">
        <v>18796</v>
      </c>
      <c r="O81" s="29">
        <v>18796</v>
      </c>
      <c r="P81" s="29">
        <v>75186</v>
      </c>
      <c r="Q81" s="29">
        <v>253996</v>
      </c>
    </row>
    <row r="82" ht="18" customHeight="1" spans="1:17">
      <c r="A82" s="29">
        <v>80</v>
      </c>
      <c r="B82" s="29">
        <v>1100</v>
      </c>
      <c r="C82" s="29">
        <v>29</v>
      </c>
      <c r="D82" s="29">
        <v>216</v>
      </c>
      <c r="E82" s="29"/>
      <c r="F82" s="29"/>
      <c r="G82" s="29"/>
      <c r="H82" s="29"/>
      <c r="I82" s="29"/>
      <c r="J82" s="29">
        <v>82710</v>
      </c>
      <c r="K82" s="29">
        <v>20677</v>
      </c>
      <c r="L82" s="29">
        <v>20677</v>
      </c>
      <c r="M82" s="29">
        <v>31016</v>
      </c>
      <c r="N82" s="29">
        <v>20677</v>
      </c>
      <c r="O82" s="29">
        <v>20677</v>
      </c>
      <c r="P82" s="29">
        <v>82710</v>
      </c>
      <c r="Q82" s="29">
        <v>279389</v>
      </c>
    </row>
    <row r="83" ht="18" customHeight="1" spans="1:17">
      <c r="A83" s="29">
        <v>81</v>
      </c>
      <c r="B83" s="29">
        <v>1120</v>
      </c>
      <c r="C83" s="29">
        <v>29</v>
      </c>
      <c r="D83" s="29">
        <v>216</v>
      </c>
      <c r="E83" s="29"/>
      <c r="F83" s="29"/>
      <c r="G83" s="29"/>
      <c r="H83" s="29"/>
      <c r="I83" s="29"/>
      <c r="J83" s="29">
        <v>90986</v>
      </c>
      <c r="K83" s="29">
        <v>22747</v>
      </c>
      <c r="L83" s="29">
        <v>22747</v>
      </c>
      <c r="M83" s="29">
        <v>34120</v>
      </c>
      <c r="N83" s="29">
        <v>22747</v>
      </c>
      <c r="O83" s="29">
        <v>22747</v>
      </c>
      <c r="P83" s="29">
        <v>90986</v>
      </c>
      <c r="Q83" s="29">
        <v>307325</v>
      </c>
    </row>
    <row r="84" ht="18" customHeight="1" spans="1:17">
      <c r="A84" s="29">
        <v>82</v>
      </c>
      <c r="B84" s="29">
        <v>1140</v>
      </c>
      <c r="C84" s="29">
        <v>29</v>
      </c>
      <c r="D84" s="29">
        <v>216</v>
      </c>
      <c r="E84" s="29"/>
      <c r="F84" s="29"/>
      <c r="G84" s="29"/>
      <c r="H84" s="29"/>
      <c r="I84" s="29"/>
      <c r="J84" s="29">
        <v>100090</v>
      </c>
      <c r="K84" s="29">
        <v>25023</v>
      </c>
      <c r="L84" s="29">
        <v>25023</v>
      </c>
      <c r="M84" s="29">
        <v>37534</v>
      </c>
      <c r="N84" s="29">
        <v>25023</v>
      </c>
      <c r="O84" s="29">
        <v>25023</v>
      </c>
      <c r="P84" s="29">
        <v>100090</v>
      </c>
      <c r="Q84" s="29">
        <v>338051</v>
      </c>
    </row>
    <row r="85" ht="18" customHeight="1" spans="1:17">
      <c r="A85" s="29">
        <v>83</v>
      </c>
      <c r="B85" s="29">
        <v>1160</v>
      </c>
      <c r="C85" s="29">
        <v>29</v>
      </c>
      <c r="D85" s="29">
        <v>216</v>
      </c>
      <c r="E85" s="29"/>
      <c r="F85" s="29"/>
      <c r="G85" s="29"/>
      <c r="H85" s="29"/>
      <c r="I85" s="29"/>
      <c r="J85" s="29">
        <v>110105</v>
      </c>
      <c r="K85" s="29">
        <v>27526</v>
      </c>
      <c r="L85" s="29">
        <v>27526</v>
      </c>
      <c r="M85" s="29">
        <v>41289</v>
      </c>
      <c r="N85" s="29">
        <v>27526</v>
      </c>
      <c r="O85" s="29">
        <v>27526</v>
      </c>
      <c r="P85" s="29">
        <v>110105</v>
      </c>
      <c r="Q85" s="29">
        <v>371848</v>
      </c>
    </row>
    <row r="86" ht="18" customHeight="1" spans="1:17">
      <c r="A86" s="29">
        <v>84</v>
      </c>
      <c r="B86" s="29">
        <v>1180</v>
      </c>
      <c r="C86" s="29">
        <v>29</v>
      </c>
      <c r="D86" s="29">
        <v>216</v>
      </c>
      <c r="E86" s="29"/>
      <c r="F86" s="29"/>
      <c r="G86" s="29"/>
      <c r="H86" s="29"/>
      <c r="I86" s="29"/>
      <c r="J86" s="29">
        <v>121120</v>
      </c>
      <c r="K86" s="29">
        <v>30280</v>
      </c>
      <c r="L86" s="29">
        <v>30280</v>
      </c>
      <c r="M86" s="29">
        <v>45420</v>
      </c>
      <c r="N86" s="29">
        <v>30280</v>
      </c>
      <c r="O86" s="29">
        <v>30280</v>
      </c>
      <c r="P86" s="29">
        <v>121120</v>
      </c>
      <c r="Q86" s="29">
        <v>409025</v>
      </c>
    </row>
    <row r="87" ht="18" customHeight="1" spans="1:17">
      <c r="A87" s="29">
        <v>85</v>
      </c>
      <c r="B87" s="29">
        <v>1200</v>
      </c>
      <c r="C87" s="29">
        <v>29</v>
      </c>
      <c r="D87" s="29">
        <v>216</v>
      </c>
      <c r="E87" s="29"/>
      <c r="F87" s="29"/>
      <c r="G87" s="29"/>
      <c r="H87" s="29"/>
      <c r="I87" s="29"/>
      <c r="J87" s="29">
        <v>133238</v>
      </c>
      <c r="K87" s="29">
        <v>33309</v>
      </c>
      <c r="L87" s="29">
        <v>33309</v>
      </c>
      <c r="M87" s="29">
        <v>49964</v>
      </c>
      <c r="N87" s="29">
        <v>33309</v>
      </c>
      <c r="O87" s="29">
        <v>33309</v>
      </c>
      <c r="P87" s="29">
        <v>133238</v>
      </c>
      <c r="Q87" s="29">
        <v>449921</v>
      </c>
    </row>
    <row r="88" ht="18" customHeight="1" spans="1:17">
      <c r="A88" s="29">
        <v>86</v>
      </c>
      <c r="B88" s="29">
        <v>1220</v>
      </c>
      <c r="C88" s="29">
        <v>29</v>
      </c>
      <c r="D88" s="29">
        <v>216</v>
      </c>
      <c r="E88" s="29"/>
      <c r="F88" s="29"/>
      <c r="G88" s="29"/>
      <c r="H88" s="29"/>
      <c r="I88" s="29"/>
      <c r="J88" s="29">
        <v>146567</v>
      </c>
      <c r="K88" s="29">
        <v>36642</v>
      </c>
      <c r="L88" s="29">
        <v>36642</v>
      </c>
      <c r="M88" s="29">
        <v>54963</v>
      </c>
      <c r="N88" s="29">
        <v>36642</v>
      </c>
      <c r="O88" s="29">
        <v>36642</v>
      </c>
      <c r="P88" s="29">
        <v>146567</v>
      </c>
      <c r="Q88" s="29">
        <v>494910</v>
      </c>
    </row>
    <row r="89" ht="18" customHeight="1" spans="1:17">
      <c r="A89" s="29">
        <v>87</v>
      </c>
      <c r="B89" s="29">
        <v>1240</v>
      </c>
      <c r="C89" s="29">
        <v>29</v>
      </c>
      <c r="D89" s="29">
        <v>216</v>
      </c>
      <c r="E89" s="29"/>
      <c r="F89" s="29"/>
      <c r="G89" s="29"/>
      <c r="H89" s="29"/>
      <c r="I89" s="29"/>
      <c r="J89" s="29">
        <v>161229</v>
      </c>
      <c r="K89" s="29">
        <v>40307</v>
      </c>
      <c r="L89" s="29">
        <v>40307</v>
      </c>
      <c r="M89" s="29">
        <v>60461</v>
      </c>
      <c r="N89" s="29">
        <v>40307</v>
      </c>
      <c r="O89" s="29">
        <v>40307</v>
      </c>
      <c r="P89" s="29">
        <v>161229</v>
      </c>
      <c r="Q89" s="29">
        <v>544392</v>
      </c>
    </row>
    <row r="90" ht="18" customHeight="1" spans="1:17">
      <c r="A90" s="29">
        <v>88</v>
      </c>
      <c r="B90" s="29">
        <v>1260</v>
      </c>
      <c r="C90" s="29">
        <v>29</v>
      </c>
      <c r="D90" s="29">
        <v>216</v>
      </c>
      <c r="E90" s="29"/>
      <c r="F90" s="29"/>
      <c r="G90" s="29"/>
      <c r="H90" s="29"/>
      <c r="I90" s="29"/>
      <c r="J90" s="29">
        <v>177357</v>
      </c>
      <c r="K90" s="29">
        <v>44339</v>
      </c>
      <c r="L90" s="29">
        <v>44339</v>
      </c>
      <c r="M90" s="29">
        <v>66509</v>
      </c>
      <c r="N90" s="29">
        <v>44339</v>
      </c>
      <c r="O90" s="29">
        <v>44339</v>
      </c>
      <c r="P90" s="29">
        <v>177357</v>
      </c>
      <c r="Q90" s="29">
        <v>598824</v>
      </c>
    </row>
    <row r="91" ht="18" customHeight="1" spans="1:17">
      <c r="A91" s="29">
        <v>89</v>
      </c>
      <c r="B91" s="29">
        <v>1280</v>
      </c>
      <c r="C91" s="29">
        <v>29</v>
      </c>
      <c r="D91" s="29">
        <v>216</v>
      </c>
      <c r="E91" s="29"/>
      <c r="F91" s="29"/>
      <c r="G91" s="29"/>
      <c r="H91" s="29"/>
      <c r="I91" s="29"/>
      <c r="J91" s="29">
        <v>195099</v>
      </c>
      <c r="K91" s="29">
        <v>48775</v>
      </c>
      <c r="L91" s="29">
        <v>48775</v>
      </c>
      <c r="M91" s="29">
        <v>73162</v>
      </c>
      <c r="N91" s="29">
        <v>48775</v>
      </c>
      <c r="O91" s="29">
        <v>48775</v>
      </c>
      <c r="P91" s="29">
        <v>195099</v>
      </c>
      <c r="Q91" s="29">
        <v>658705</v>
      </c>
    </row>
    <row r="92" ht="18" customHeight="1" spans="1:17">
      <c r="A92" s="29">
        <v>90</v>
      </c>
      <c r="B92" s="29">
        <v>1300</v>
      </c>
      <c r="C92" s="29">
        <v>29</v>
      </c>
      <c r="D92" s="29">
        <v>216</v>
      </c>
      <c r="E92" s="29"/>
      <c r="F92" s="29"/>
      <c r="G92" s="29"/>
      <c r="H92" s="29"/>
      <c r="I92" s="29"/>
      <c r="J92" s="29">
        <v>214614</v>
      </c>
      <c r="K92" s="29">
        <v>53653</v>
      </c>
      <c r="L92" s="29">
        <v>53653</v>
      </c>
      <c r="M92" s="29">
        <v>80480</v>
      </c>
      <c r="N92" s="29">
        <v>53653</v>
      </c>
      <c r="O92" s="29">
        <v>53653</v>
      </c>
      <c r="P92" s="29">
        <v>214614</v>
      </c>
      <c r="Q92" s="29">
        <v>724565</v>
      </c>
    </row>
    <row r="93" ht="18" customHeight="1" spans="1:17">
      <c r="A93" s="29">
        <v>91</v>
      </c>
      <c r="B93" s="29">
        <v>1320</v>
      </c>
      <c r="C93" s="29">
        <v>29</v>
      </c>
      <c r="D93" s="29">
        <v>216</v>
      </c>
      <c r="E93" s="29"/>
      <c r="F93" s="29"/>
      <c r="G93" s="29"/>
      <c r="H93" s="29"/>
      <c r="I93" s="29"/>
      <c r="J93" s="29">
        <v>236081</v>
      </c>
      <c r="K93" s="29">
        <v>59020</v>
      </c>
      <c r="L93" s="29">
        <v>59020</v>
      </c>
      <c r="M93" s="29">
        <v>88530</v>
      </c>
      <c r="N93" s="29">
        <v>59020</v>
      </c>
      <c r="O93" s="29">
        <v>59020</v>
      </c>
      <c r="P93" s="29">
        <v>236081</v>
      </c>
      <c r="Q93" s="29">
        <v>797017</v>
      </c>
    </row>
    <row r="94" ht="18" customHeight="1" spans="1:17">
      <c r="A94" s="29">
        <v>92</v>
      </c>
      <c r="B94" s="29">
        <v>1340</v>
      </c>
      <c r="C94" s="29">
        <v>29</v>
      </c>
      <c r="D94" s="29">
        <v>216</v>
      </c>
      <c r="E94" s="29"/>
      <c r="F94" s="29"/>
      <c r="G94" s="29"/>
      <c r="H94" s="29"/>
      <c r="I94" s="29"/>
      <c r="J94" s="29">
        <v>259694</v>
      </c>
      <c r="K94" s="29">
        <v>64923</v>
      </c>
      <c r="L94" s="29">
        <v>64923</v>
      </c>
      <c r="M94" s="29">
        <v>97385</v>
      </c>
      <c r="N94" s="29">
        <v>64923</v>
      </c>
      <c r="O94" s="29">
        <v>64923</v>
      </c>
      <c r="P94" s="29">
        <v>259694</v>
      </c>
      <c r="Q94" s="29">
        <v>876710</v>
      </c>
    </row>
    <row r="95" ht="18" customHeight="1" spans="1:17">
      <c r="A95" s="29">
        <v>93</v>
      </c>
      <c r="B95" s="29">
        <v>1360</v>
      </c>
      <c r="C95" s="29">
        <v>29</v>
      </c>
      <c r="D95" s="29">
        <v>216</v>
      </c>
      <c r="E95" s="29"/>
      <c r="F95" s="29"/>
      <c r="G95" s="29"/>
      <c r="H95" s="29"/>
      <c r="I95" s="29"/>
      <c r="J95" s="29">
        <v>285669</v>
      </c>
      <c r="K95" s="29">
        <v>71417</v>
      </c>
      <c r="L95" s="29">
        <v>71417</v>
      </c>
      <c r="M95" s="29">
        <v>107126</v>
      </c>
      <c r="N95" s="29">
        <v>71417</v>
      </c>
      <c r="O95" s="29">
        <v>71417</v>
      </c>
      <c r="P95" s="29">
        <v>285669</v>
      </c>
      <c r="Q95" s="29">
        <v>964377</v>
      </c>
    </row>
    <row r="96" ht="18" customHeight="1" spans="1:17">
      <c r="A96" s="29">
        <v>94</v>
      </c>
      <c r="B96" s="29">
        <v>1380</v>
      </c>
      <c r="C96" s="29">
        <v>29</v>
      </c>
      <c r="D96" s="29">
        <v>216</v>
      </c>
      <c r="E96" s="29"/>
      <c r="F96" s="29"/>
      <c r="G96" s="29"/>
      <c r="H96" s="29"/>
      <c r="I96" s="29"/>
      <c r="J96" s="29">
        <v>314241</v>
      </c>
      <c r="K96" s="29">
        <v>78560</v>
      </c>
      <c r="L96" s="29">
        <v>78560</v>
      </c>
      <c r="M96" s="29">
        <v>117840</v>
      </c>
      <c r="N96" s="29">
        <v>78560</v>
      </c>
      <c r="O96" s="29">
        <v>78560</v>
      </c>
      <c r="P96" s="29">
        <v>314241</v>
      </c>
      <c r="Q96" s="29">
        <v>1060807</v>
      </c>
    </row>
    <row r="97" ht="18" customHeight="1" spans="1:17">
      <c r="A97" s="29">
        <v>95</v>
      </c>
      <c r="B97" s="29">
        <v>1400</v>
      </c>
      <c r="C97" s="29">
        <v>29</v>
      </c>
      <c r="D97" s="29">
        <v>216</v>
      </c>
      <c r="E97" s="29"/>
      <c r="F97" s="29"/>
      <c r="G97" s="29"/>
      <c r="H97" s="29"/>
      <c r="I97" s="29"/>
      <c r="J97" s="29">
        <v>345670</v>
      </c>
      <c r="K97" s="29">
        <v>86418</v>
      </c>
      <c r="L97" s="29">
        <v>86418</v>
      </c>
      <c r="M97" s="29">
        <v>129626</v>
      </c>
      <c r="N97" s="29">
        <v>86418</v>
      </c>
      <c r="O97" s="29">
        <v>86418</v>
      </c>
      <c r="P97" s="29">
        <v>345670</v>
      </c>
      <c r="Q97" s="29">
        <v>1166883</v>
      </c>
    </row>
    <row r="98" ht="18" customHeight="1" spans="1:17">
      <c r="A98" s="29">
        <v>96</v>
      </c>
      <c r="B98" s="29">
        <v>1420</v>
      </c>
      <c r="C98" s="29">
        <v>29</v>
      </c>
      <c r="D98" s="29">
        <v>216</v>
      </c>
      <c r="E98" s="29"/>
      <c r="F98" s="29"/>
      <c r="G98" s="29"/>
      <c r="H98" s="29"/>
      <c r="I98" s="29"/>
      <c r="J98" s="29">
        <v>380243</v>
      </c>
      <c r="K98" s="29">
        <v>95061</v>
      </c>
      <c r="L98" s="29">
        <v>95061</v>
      </c>
      <c r="M98" s="29">
        <v>142591</v>
      </c>
      <c r="N98" s="29">
        <v>95061</v>
      </c>
      <c r="O98" s="29">
        <v>95061</v>
      </c>
      <c r="P98" s="29">
        <v>380243</v>
      </c>
      <c r="Q98" s="29">
        <v>1283566</v>
      </c>
    </row>
    <row r="99" ht="18" customHeight="1" spans="1:17">
      <c r="A99" s="29">
        <v>97</v>
      </c>
      <c r="B99" s="29">
        <v>1440</v>
      </c>
      <c r="C99" s="29">
        <v>29</v>
      </c>
      <c r="D99" s="29">
        <v>216</v>
      </c>
      <c r="E99" s="29"/>
      <c r="F99" s="29"/>
      <c r="G99" s="29"/>
      <c r="H99" s="29"/>
      <c r="I99" s="29"/>
      <c r="J99" s="29">
        <v>418273</v>
      </c>
      <c r="K99" s="29">
        <v>104568</v>
      </c>
      <c r="L99" s="29">
        <v>104568</v>
      </c>
      <c r="M99" s="29">
        <v>156852</v>
      </c>
      <c r="N99" s="29">
        <v>104568</v>
      </c>
      <c r="O99" s="29">
        <v>104568</v>
      </c>
      <c r="P99" s="29">
        <v>418273</v>
      </c>
      <c r="Q99" s="29">
        <v>1411915</v>
      </c>
    </row>
    <row r="100" ht="18" customHeight="1" spans="1:17">
      <c r="A100" s="29">
        <v>98</v>
      </c>
      <c r="B100" s="29">
        <v>1460</v>
      </c>
      <c r="C100" s="29">
        <v>29</v>
      </c>
      <c r="D100" s="29">
        <v>216</v>
      </c>
      <c r="E100" s="29"/>
      <c r="F100" s="29"/>
      <c r="G100" s="29"/>
      <c r="H100" s="29"/>
      <c r="I100" s="29"/>
      <c r="J100" s="29">
        <v>460105</v>
      </c>
      <c r="K100" s="29">
        <v>115026</v>
      </c>
      <c r="L100" s="29">
        <v>115026</v>
      </c>
      <c r="M100" s="29">
        <v>172539</v>
      </c>
      <c r="N100" s="29">
        <v>115026</v>
      </c>
      <c r="O100" s="29">
        <v>115026</v>
      </c>
      <c r="P100" s="29">
        <v>460105</v>
      </c>
      <c r="Q100" s="29">
        <v>1553098</v>
      </c>
    </row>
    <row r="101" ht="18" customHeight="1" spans="1:17">
      <c r="A101" s="29">
        <v>99</v>
      </c>
      <c r="B101" s="29">
        <v>1480</v>
      </c>
      <c r="C101" s="29">
        <v>29</v>
      </c>
      <c r="D101" s="29">
        <v>216</v>
      </c>
      <c r="E101" s="29"/>
      <c r="F101" s="29"/>
      <c r="G101" s="29"/>
      <c r="H101" s="29"/>
      <c r="I101" s="29"/>
      <c r="J101" s="29">
        <v>506121</v>
      </c>
      <c r="K101" s="29">
        <v>126530</v>
      </c>
      <c r="L101" s="29">
        <v>126530</v>
      </c>
      <c r="M101" s="29">
        <v>189795</v>
      </c>
      <c r="N101" s="29">
        <v>126530</v>
      </c>
      <c r="O101" s="29">
        <v>126530</v>
      </c>
      <c r="P101" s="29">
        <v>506121</v>
      </c>
      <c r="Q101" s="29">
        <v>1708402</v>
      </c>
    </row>
  </sheetData>
  <mergeCells count="1">
    <mergeCell ref="A1:Q1"/>
  </mergeCells>
  <pageMargins left="0.75" right="0.75" top="1" bottom="1" header="0.511805555555556" footer="0.511805555555556"/>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rgb="FF00B0F0"/>
  </sheetPr>
  <dimension ref="A1:BZ26"/>
  <sheetViews>
    <sheetView workbookViewId="0">
      <pane xSplit="1" topLeftCell="B1" activePane="topRight" state="frozen"/>
      <selection/>
      <selection pane="topRight" activeCell="P26" sqref="P26"/>
    </sheetView>
  </sheetViews>
  <sheetFormatPr defaultColWidth="9" defaultRowHeight="18"/>
  <cols>
    <col min="1" max="1" width="9" style="1"/>
    <col min="2" max="16384" width="9" style="2"/>
  </cols>
  <sheetData>
    <row r="1" ht="30" customHeight="1" spans="1:78">
      <c r="A1" s="3"/>
      <c r="B1" s="4" t="s">
        <v>536</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row>
    <row r="2" ht="26" customHeight="1" spans="1:78">
      <c r="A2" s="3"/>
      <c r="B2" s="5" t="s">
        <v>537</v>
      </c>
      <c r="C2" s="5"/>
      <c r="D2" s="5"/>
      <c r="E2" s="5"/>
      <c r="F2" s="5"/>
      <c r="G2" s="5"/>
      <c r="H2" s="5"/>
      <c r="I2" s="5"/>
      <c r="J2" s="5"/>
      <c r="K2" s="5"/>
      <c r="L2" s="5"/>
      <c r="M2" s="5"/>
      <c r="N2" s="5"/>
      <c r="O2" s="5"/>
      <c r="P2" s="5"/>
      <c r="Q2" s="5"/>
      <c r="R2" s="5"/>
      <c r="S2" s="5"/>
      <c r="T2" s="5"/>
      <c r="U2" s="5"/>
      <c r="V2" s="5"/>
      <c r="W2" s="5"/>
      <c r="X2" s="5"/>
      <c r="Y2" s="5"/>
      <c r="Z2" s="5"/>
      <c r="AA2" s="5"/>
      <c r="AB2" s="5"/>
      <c r="AC2" s="5"/>
      <c r="AD2" s="5"/>
      <c r="AE2" s="13" t="s">
        <v>538</v>
      </c>
      <c r="AF2" s="13"/>
      <c r="AG2" s="13"/>
      <c r="AH2" s="13"/>
      <c r="AI2" s="13"/>
      <c r="AJ2" s="13"/>
      <c r="AK2" s="13"/>
      <c r="AL2" s="13"/>
      <c r="AM2" s="13"/>
      <c r="AN2" s="13"/>
      <c r="AO2" s="13"/>
      <c r="AP2" s="13"/>
      <c r="AQ2" s="13"/>
      <c r="AR2" s="13"/>
      <c r="AS2" s="13"/>
      <c r="AT2" s="13"/>
      <c r="BG2" s="14" t="s">
        <v>539</v>
      </c>
      <c r="BH2" s="15"/>
      <c r="BI2" s="15"/>
      <c r="BJ2" s="15"/>
      <c r="BK2" s="15"/>
      <c r="BL2" s="15"/>
      <c r="BM2" s="15"/>
      <c r="BN2" s="15"/>
      <c r="BO2" s="15"/>
      <c r="BP2" s="15"/>
      <c r="BQ2" s="15"/>
      <c r="BR2" s="15"/>
      <c r="BS2" s="15"/>
      <c r="BT2" s="15"/>
      <c r="BU2" s="15"/>
      <c r="BV2" s="15"/>
      <c r="BW2" s="15"/>
      <c r="BX2" s="15"/>
      <c r="BY2" s="15"/>
      <c r="BZ2" s="15"/>
    </row>
    <row r="3" spans="1:46">
      <c r="A3" s="6" t="s">
        <v>540</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row>
    <row r="4" spans="1:46">
      <c r="A4" s="6"/>
      <c r="B4" s="7"/>
      <c r="C4" s="7"/>
      <c r="D4" s="7"/>
      <c r="E4" s="7"/>
      <c r="F4" s="7"/>
      <c r="G4" s="7"/>
      <c r="H4" s="7"/>
      <c r="I4" s="7"/>
      <c r="J4" s="7" t="s">
        <v>541</v>
      </c>
      <c r="K4" s="7"/>
      <c r="L4" s="7"/>
      <c r="M4" s="7"/>
      <c r="N4" s="7" t="s">
        <v>542</v>
      </c>
      <c r="O4" s="7"/>
      <c r="P4" s="7"/>
      <c r="Q4" s="7"/>
      <c r="R4" s="7"/>
      <c r="S4" s="7"/>
      <c r="T4" s="7" t="s">
        <v>543</v>
      </c>
      <c r="U4" s="7"/>
      <c r="V4" s="7"/>
      <c r="W4" s="7"/>
      <c r="X4" s="7"/>
      <c r="Y4" s="7"/>
      <c r="Z4" s="7"/>
      <c r="AA4" s="7"/>
      <c r="AB4" s="7"/>
      <c r="AC4" s="7"/>
      <c r="AD4" s="7"/>
      <c r="AE4" s="7"/>
      <c r="AF4" s="7"/>
      <c r="AG4" s="7"/>
      <c r="AH4" s="7"/>
      <c r="AI4" s="7"/>
      <c r="AJ4" s="7"/>
      <c r="AK4" s="7"/>
      <c r="AL4" s="7"/>
      <c r="AM4" s="7"/>
      <c r="AN4" s="7"/>
      <c r="AO4" s="7"/>
      <c r="AP4" s="7"/>
      <c r="AQ4" s="7"/>
      <c r="AR4" s="7"/>
      <c r="AS4" s="7"/>
      <c r="AT4" s="7"/>
    </row>
    <row r="5" spans="1:46">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row>
    <row r="6" spans="1:46">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row>
    <row r="7" spans="1:46">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row>
    <row r="8" spans="1:46">
      <c r="A8" s="6"/>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row>
    <row r="9" spans="1:46">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row>
    <row r="10" spans="1:46">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1:46">
      <c r="A11" s="6"/>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1:46">
      <c r="A12" s="8" t="s">
        <v>544</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row>
    <row r="13" spans="1:46">
      <c r="A13" s="8"/>
      <c r="B13" s="10"/>
      <c r="C13" s="10"/>
      <c r="D13" s="10"/>
      <c r="E13" s="10"/>
      <c r="F13" s="10"/>
      <c r="G13" s="10"/>
      <c r="H13" s="10"/>
      <c r="I13" s="10"/>
      <c r="J13" s="10"/>
      <c r="K13" s="10"/>
      <c r="L13" s="10"/>
      <c r="M13" s="10"/>
      <c r="N13" s="10"/>
      <c r="O13" s="10"/>
      <c r="P13" s="10"/>
      <c r="Q13" s="10"/>
      <c r="R13" s="10"/>
      <c r="S13" s="10"/>
      <c r="T13" s="10" t="s">
        <v>545</v>
      </c>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row>
    <row r="14" spans="1:46">
      <c r="A14" s="8"/>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c r="A15" s="8"/>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c r="A16" s="8"/>
      <c r="B16" s="10"/>
      <c r="C16" s="10"/>
      <c r="D16" s="10"/>
      <c r="E16" s="10"/>
      <c r="F16" s="10"/>
      <c r="G16" s="10"/>
      <c r="H16" s="10"/>
      <c r="I16" s="10"/>
      <c r="J16" s="10"/>
      <c r="K16" s="10"/>
      <c r="L16" s="10"/>
      <c r="M16" s="10"/>
      <c r="N16" s="10"/>
      <c r="O16" s="10"/>
      <c r="P16" s="10"/>
      <c r="Q16" s="10"/>
      <c r="R16" s="10"/>
      <c r="S16" s="10"/>
      <c r="T16" s="10" t="s">
        <v>546</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c r="A17" s="8"/>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c r="A18" s="8"/>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c r="A19" s="8"/>
      <c r="B19" s="10"/>
      <c r="C19" s="10"/>
      <c r="D19" s="10"/>
      <c r="E19" s="10"/>
      <c r="F19" s="10"/>
      <c r="G19" s="10"/>
      <c r="H19" s="10"/>
      <c r="I19" s="10"/>
      <c r="J19" s="10"/>
      <c r="K19" s="10"/>
      <c r="L19" s="10"/>
      <c r="M19" s="10"/>
      <c r="N19" s="10"/>
      <c r="O19" s="10"/>
      <c r="P19" s="10"/>
      <c r="Q19" s="10"/>
      <c r="R19" s="10" t="s">
        <v>547</v>
      </c>
      <c r="S19" s="10"/>
      <c r="T19" s="10" t="s">
        <v>417</v>
      </c>
      <c r="U19" s="10"/>
      <c r="V19" s="10" t="s">
        <v>548</v>
      </c>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c r="A20" s="8"/>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2:46">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8:19">
      <c r="R22" s="12"/>
      <c r="S22" s="12"/>
    </row>
    <row r="25" spans="14:14">
      <c r="N25" s="2" t="s">
        <v>549</v>
      </c>
    </row>
    <row r="26" spans="10:12">
      <c r="J26" s="2" t="s">
        <v>550</v>
      </c>
      <c r="L26" s="2" t="s">
        <v>551</v>
      </c>
    </row>
  </sheetData>
  <mergeCells count="7">
    <mergeCell ref="B1:BZ1"/>
    <mergeCell ref="B2:AD2"/>
    <mergeCell ref="AE2:AT2"/>
    <mergeCell ref="BG2:BZ2"/>
    <mergeCell ref="A1:A2"/>
    <mergeCell ref="A3:A11"/>
    <mergeCell ref="A12:A20"/>
  </mergeCells>
  <pageMargins left="0.75" right="0.75" top="1" bottom="1" header="0.511805555555556" footer="0.511805555555556"/>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8" tint="0.6"/>
  </sheetPr>
  <dimension ref="A1:Z50"/>
  <sheetViews>
    <sheetView zoomScale="80" zoomScaleNormal="80" topLeftCell="A10" workbookViewId="0">
      <selection activeCell="AA42" sqref="AA42"/>
    </sheetView>
  </sheetViews>
  <sheetFormatPr defaultColWidth="8.725" defaultRowHeight="13.5"/>
  <cols>
    <col min="1" max="1" width="19.125" customWidth="1"/>
    <col min="2" max="2" width="6.625" customWidth="1"/>
    <col min="3" max="3" width="7.625" customWidth="1"/>
    <col min="4" max="5" width="11.25" customWidth="1"/>
    <col min="6" max="6" width="6.375" customWidth="1"/>
    <col min="7" max="7" width="13.875" customWidth="1"/>
    <col min="8" max="9" width="6.625" customWidth="1"/>
    <col min="10" max="10" width="8.75" customWidth="1"/>
    <col min="11" max="12" width="6.625" customWidth="1"/>
    <col min="13" max="15" width="8.75" customWidth="1"/>
    <col min="16" max="17" width="13.875" customWidth="1"/>
    <col min="18" max="18" width="6.625" customWidth="1"/>
    <col min="19" max="21" width="13.875" customWidth="1"/>
    <col min="22" max="22" width="11.25" customWidth="1"/>
    <col min="23" max="24" width="13.875" customWidth="1"/>
    <col min="25" max="25" width="10.375"/>
  </cols>
  <sheetData>
    <row r="1" ht="18.75" spans="1:23">
      <c r="A1" s="242" t="s">
        <v>4</v>
      </c>
      <c r="B1" s="243" t="s">
        <v>5</v>
      </c>
      <c r="C1" s="241" t="s">
        <v>6</v>
      </c>
      <c r="D1" s="241" t="s">
        <v>7</v>
      </c>
      <c r="E1" s="241" t="s">
        <v>8</v>
      </c>
      <c r="F1" s="241" t="s">
        <v>9</v>
      </c>
      <c r="G1" s="241" t="s">
        <v>10</v>
      </c>
      <c r="H1" s="241" t="s">
        <v>11</v>
      </c>
      <c r="I1" s="243" t="s">
        <v>12</v>
      </c>
      <c r="J1" s="241" t="s">
        <v>13</v>
      </c>
      <c r="K1" s="243" t="s">
        <v>14</v>
      </c>
      <c r="L1" s="241" t="s">
        <v>15</v>
      </c>
      <c r="M1" s="241" t="s">
        <v>16</v>
      </c>
      <c r="N1" s="241" t="s">
        <v>17</v>
      </c>
      <c r="O1" s="241" t="s">
        <v>18</v>
      </c>
      <c r="P1" s="243" t="s">
        <v>19</v>
      </c>
      <c r="Q1" s="241" t="s">
        <v>20</v>
      </c>
      <c r="R1" s="241" t="s">
        <v>21</v>
      </c>
      <c r="S1" s="241" t="s">
        <v>22</v>
      </c>
      <c r="T1" s="241" t="s">
        <v>23</v>
      </c>
      <c r="U1" s="241" t="s">
        <v>24</v>
      </c>
      <c r="V1" s="243" t="s">
        <v>25</v>
      </c>
      <c r="W1" s="241" t="s">
        <v>1</v>
      </c>
    </row>
    <row r="2" ht="18.75" spans="1:23">
      <c r="A2" s="241" t="s">
        <v>26</v>
      </c>
      <c r="B2" s="243"/>
      <c r="C2" s="241">
        <v>5</v>
      </c>
      <c r="D2" s="241">
        <v>0</v>
      </c>
      <c r="E2" s="241">
        <v>0</v>
      </c>
      <c r="F2" s="241">
        <v>10</v>
      </c>
      <c r="G2" s="241">
        <v>15</v>
      </c>
      <c r="H2" s="241">
        <v>0</v>
      </c>
      <c r="I2" s="243"/>
      <c r="J2" s="241">
        <f>W2*3</f>
        <v>60</v>
      </c>
      <c r="K2" s="243"/>
      <c r="L2" s="241">
        <v>3500</v>
      </c>
      <c r="M2" s="241">
        <v>1000</v>
      </c>
      <c r="N2" s="241">
        <v>0</v>
      </c>
      <c r="O2" s="241">
        <v>0</v>
      </c>
      <c r="P2" s="243"/>
      <c r="Q2" s="241" t="e">
        <f>C2*商品!K6+商品!F12*D2+商品!#REF!*E2+F2*商品!J6+G2*商品!F16+H2*商品!K16</f>
        <v>#REF!</v>
      </c>
      <c r="R2" s="241">
        <f>J2*商品!G8</f>
        <v>1800</v>
      </c>
      <c r="S2" s="241" t="e">
        <f>R2-Q2</f>
        <v>#REF!</v>
      </c>
      <c r="T2" s="293" t="e">
        <f>S2/(L2+M2+N2+O2)</f>
        <v>#REF!</v>
      </c>
      <c r="U2" s="293" t="e">
        <f>S2/Q2</f>
        <v>#REF!</v>
      </c>
      <c r="V2" s="243"/>
      <c r="W2" s="241">
        <v>20</v>
      </c>
    </row>
    <row r="3" ht="18.75" spans="1:23">
      <c r="A3" s="241" t="s">
        <v>27</v>
      </c>
      <c r="B3" s="243"/>
      <c r="C3" s="241">
        <v>10</v>
      </c>
      <c r="D3" s="241">
        <v>0</v>
      </c>
      <c r="E3" s="241">
        <v>0</v>
      </c>
      <c r="F3" s="241">
        <v>20</v>
      </c>
      <c r="G3" s="241">
        <v>25</v>
      </c>
      <c r="H3" s="241">
        <v>0</v>
      </c>
      <c r="I3" s="243"/>
      <c r="J3" s="241">
        <f>W3*3</f>
        <v>120</v>
      </c>
      <c r="K3" s="243"/>
      <c r="L3" s="241">
        <v>2500</v>
      </c>
      <c r="M3" s="241">
        <v>1500</v>
      </c>
      <c r="N3" s="241">
        <v>500</v>
      </c>
      <c r="O3" s="241">
        <v>0</v>
      </c>
      <c r="P3" s="243"/>
      <c r="Q3" s="241" t="e">
        <f>C3*商品!#REF!+商品!#REF!*D3+商品!#REF!*E3+F3*商品!#REF!+G3*商品!#REF!+H3*商品!#REF!</f>
        <v>#REF!</v>
      </c>
      <c r="R3" s="241" t="e">
        <f>J3*商品!#REF!</f>
        <v>#REF!</v>
      </c>
      <c r="S3" s="241" t="e">
        <f>R3-Q3</f>
        <v>#REF!</v>
      </c>
      <c r="T3" s="293" t="e">
        <f>S3/(L3+M3+N3+O3)</f>
        <v>#REF!</v>
      </c>
      <c r="U3" s="293" t="e">
        <f>S3/Q3</f>
        <v>#REF!</v>
      </c>
      <c r="V3" s="243"/>
      <c r="W3" s="241">
        <v>40</v>
      </c>
    </row>
    <row r="4" ht="18.75" spans="1:23">
      <c r="A4" s="241" t="s">
        <v>28</v>
      </c>
      <c r="B4" s="243"/>
      <c r="C4" s="241">
        <v>15</v>
      </c>
      <c r="D4" s="241">
        <v>0</v>
      </c>
      <c r="E4" s="241">
        <v>5</v>
      </c>
      <c r="F4" s="241">
        <v>20</v>
      </c>
      <c r="G4" s="241">
        <v>30</v>
      </c>
      <c r="H4" s="241">
        <v>5</v>
      </c>
      <c r="I4" s="243"/>
      <c r="J4" s="241">
        <f>W4*3</f>
        <v>180</v>
      </c>
      <c r="K4" s="243"/>
      <c r="L4" s="241">
        <v>1500</v>
      </c>
      <c r="M4" s="241">
        <v>2000</v>
      </c>
      <c r="N4" s="241">
        <v>1000</v>
      </c>
      <c r="O4" s="241">
        <v>500</v>
      </c>
      <c r="P4" s="243"/>
      <c r="Q4" s="241" t="e">
        <f>C4*商品!#REF!+商品!#REF!*D4+商品!#REF!*E4+F4*商品!D5+G4*商品!A9+H4*商品!#REF!</f>
        <v>#REF!</v>
      </c>
      <c r="R4" s="241" t="e">
        <f>J4*商品!#REF!</f>
        <v>#REF!</v>
      </c>
      <c r="S4" s="241" t="e">
        <f>R4-Q4</f>
        <v>#REF!</v>
      </c>
      <c r="T4" s="293" t="e">
        <f>S4/(L4+M4+N4+O4)</f>
        <v>#REF!</v>
      </c>
      <c r="U4" s="293" t="e">
        <f>S4/Q4</f>
        <v>#REF!</v>
      </c>
      <c r="V4" s="243"/>
      <c r="W4" s="241">
        <v>60</v>
      </c>
    </row>
    <row r="5" ht="18.75" spans="1:24">
      <c r="A5" s="241"/>
      <c r="B5" s="241"/>
      <c r="C5" s="241"/>
      <c r="D5" s="241"/>
      <c r="E5" s="241"/>
      <c r="F5" s="241"/>
      <c r="G5" s="241"/>
      <c r="H5" s="241"/>
      <c r="I5" s="241"/>
      <c r="J5" s="241"/>
      <c r="K5" s="241"/>
      <c r="L5" s="241"/>
      <c r="M5" s="241"/>
      <c r="N5" s="241"/>
      <c r="O5" s="241"/>
      <c r="P5" s="241"/>
      <c r="Q5" s="241"/>
      <c r="R5" s="241"/>
      <c r="S5" s="241"/>
      <c r="T5" s="241"/>
      <c r="U5" s="241"/>
      <c r="V5" s="241"/>
      <c r="W5" s="241"/>
      <c r="X5" s="241"/>
    </row>
    <row r="6" ht="18.75" spans="1:24">
      <c r="A6" s="242" t="s">
        <v>29</v>
      </c>
      <c r="B6" s="243" t="s">
        <v>5</v>
      </c>
      <c r="C6" s="241" t="s">
        <v>11</v>
      </c>
      <c r="D6" s="241" t="s">
        <v>30</v>
      </c>
      <c r="E6" s="243" t="s">
        <v>12</v>
      </c>
      <c r="F6" s="241" t="s">
        <v>13</v>
      </c>
      <c r="G6" s="243" t="s">
        <v>14</v>
      </c>
      <c r="H6" s="241" t="s">
        <v>15</v>
      </c>
      <c r="I6" s="241" t="s">
        <v>16</v>
      </c>
      <c r="J6" s="241" t="s">
        <v>17</v>
      </c>
      <c r="K6" s="241" t="s">
        <v>18</v>
      </c>
      <c r="L6" s="243" t="s">
        <v>19</v>
      </c>
      <c r="M6" s="241" t="s">
        <v>20</v>
      </c>
      <c r="N6" s="241" t="s">
        <v>21</v>
      </c>
      <c r="O6" s="241" t="s">
        <v>22</v>
      </c>
      <c r="P6" s="241" t="s">
        <v>23</v>
      </c>
      <c r="Q6" s="241" t="s">
        <v>24</v>
      </c>
      <c r="R6" s="243" t="s">
        <v>25</v>
      </c>
      <c r="S6" s="241" t="s">
        <v>1</v>
      </c>
      <c r="U6" s="241"/>
      <c r="V6" s="241"/>
      <c r="W6" s="241"/>
      <c r="X6" s="241"/>
    </row>
    <row r="7" ht="18.75" spans="1:24">
      <c r="A7" s="241" t="s">
        <v>31</v>
      </c>
      <c r="B7" s="243"/>
      <c r="C7" s="241">
        <v>10</v>
      </c>
      <c r="D7" s="241">
        <v>30</v>
      </c>
      <c r="E7" s="243"/>
      <c r="F7" s="241">
        <f>S7*3</f>
        <v>120</v>
      </c>
      <c r="G7" s="243"/>
      <c r="H7" s="241">
        <v>1500</v>
      </c>
      <c r="I7" s="241">
        <v>0</v>
      </c>
      <c r="J7" s="241">
        <v>0</v>
      </c>
      <c r="K7" s="241">
        <v>500</v>
      </c>
      <c r="L7" s="243"/>
      <c r="M7" s="241">
        <f>C7*商品!K16+D7*商品!L16</f>
        <v>2900</v>
      </c>
      <c r="N7" s="241">
        <f>F7*商品!G8</f>
        <v>3600</v>
      </c>
      <c r="O7" s="241">
        <f t="shared" ref="O7:O9" si="0">N7-M7</f>
        <v>700</v>
      </c>
      <c r="P7" s="293">
        <f t="shared" ref="P7:P9" si="1">O7/(H7+I7+J7+K7)</f>
        <v>0.35</v>
      </c>
      <c r="Q7" s="293">
        <f t="shared" ref="Q7:Q9" si="2">O7/M7</f>
        <v>0.241379310344828</v>
      </c>
      <c r="R7" s="243"/>
      <c r="S7" s="241">
        <v>40</v>
      </c>
      <c r="U7" s="241"/>
      <c r="V7" s="241"/>
      <c r="W7" s="241"/>
      <c r="X7" s="241"/>
    </row>
    <row r="8" ht="18.75" spans="1:24">
      <c r="A8" s="241" t="s">
        <v>32</v>
      </c>
      <c r="B8" s="243"/>
      <c r="C8" s="241">
        <v>20</v>
      </c>
      <c r="D8" s="241">
        <v>35</v>
      </c>
      <c r="E8" s="243"/>
      <c r="F8" s="241">
        <f>S8*3</f>
        <v>180</v>
      </c>
      <c r="G8" s="243"/>
      <c r="H8" s="241">
        <v>1000</v>
      </c>
      <c r="I8" s="241">
        <v>0</v>
      </c>
      <c r="J8" s="241">
        <v>0</v>
      </c>
      <c r="K8" s="241">
        <v>1000</v>
      </c>
      <c r="L8" s="243"/>
      <c r="M8" s="241" t="e">
        <f>C8*商品!#REF!+D8*商品!#REF!</f>
        <v>#REF!</v>
      </c>
      <c r="N8" s="241" t="e">
        <f>F8*商品!#REF!</f>
        <v>#REF!</v>
      </c>
      <c r="O8" s="241" t="e">
        <f t="shared" si="0"/>
        <v>#REF!</v>
      </c>
      <c r="P8" s="293" t="e">
        <f t="shared" si="1"/>
        <v>#REF!</v>
      </c>
      <c r="Q8" s="293" t="e">
        <f t="shared" si="2"/>
        <v>#REF!</v>
      </c>
      <c r="R8" s="243"/>
      <c r="S8" s="241">
        <v>60</v>
      </c>
      <c r="U8" s="241"/>
      <c r="V8" s="241"/>
      <c r="W8" s="241"/>
      <c r="X8" s="241"/>
    </row>
    <row r="9" ht="18.75" spans="1:24">
      <c r="A9" s="241" t="s">
        <v>33</v>
      </c>
      <c r="B9" s="243"/>
      <c r="C9" s="241">
        <v>25</v>
      </c>
      <c r="D9" s="241">
        <v>45</v>
      </c>
      <c r="E9" s="243"/>
      <c r="F9" s="241">
        <f>S9*3</f>
        <v>240</v>
      </c>
      <c r="G9" s="243"/>
      <c r="H9" s="241">
        <v>500</v>
      </c>
      <c r="I9" s="241">
        <v>0</v>
      </c>
      <c r="J9" s="241">
        <v>0</v>
      </c>
      <c r="K9" s="241">
        <v>1500</v>
      </c>
      <c r="L9" s="243"/>
      <c r="M9" s="241" t="e">
        <f>C9*商品!#REF!+D9*商品!#REF!</f>
        <v>#REF!</v>
      </c>
      <c r="N9" s="241" t="e">
        <f>F9*商品!#REF!</f>
        <v>#REF!</v>
      </c>
      <c r="O9" s="241" t="e">
        <f t="shared" si="0"/>
        <v>#REF!</v>
      </c>
      <c r="P9" s="293" t="e">
        <f t="shared" si="1"/>
        <v>#REF!</v>
      </c>
      <c r="Q9" s="293" t="e">
        <f t="shared" si="2"/>
        <v>#REF!</v>
      </c>
      <c r="R9" s="243"/>
      <c r="S9" s="241">
        <v>80</v>
      </c>
      <c r="U9" s="241"/>
      <c r="V9" s="241"/>
      <c r="W9" s="241"/>
      <c r="X9" s="241"/>
    </row>
    <row r="10" ht="18.75" spans="1:24">
      <c r="A10" s="241"/>
      <c r="B10" s="241"/>
      <c r="C10" s="241"/>
      <c r="D10" s="241"/>
      <c r="E10" s="241"/>
      <c r="F10" s="241"/>
      <c r="G10" s="241"/>
      <c r="H10" s="241"/>
      <c r="I10" s="241"/>
      <c r="J10" s="241"/>
      <c r="K10" s="241"/>
      <c r="L10" s="241"/>
      <c r="M10" s="241"/>
      <c r="N10" s="241"/>
      <c r="O10" s="241"/>
      <c r="P10" s="241"/>
      <c r="Q10" s="241"/>
      <c r="R10" s="241"/>
      <c r="S10" s="241"/>
      <c r="T10" s="241"/>
      <c r="U10" s="241"/>
      <c r="V10" s="241"/>
      <c r="W10" s="241"/>
      <c r="X10" s="241"/>
    </row>
    <row r="11" ht="18.75" spans="1:24">
      <c r="A11" s="242" t="s">
        <v>34</v>
      </c>
      <c r="B11" s="243" t="s">
        <v>5</v>
      </c>
      <c r="C11" s="241" t="s">
        <v>35</v>
      </c>
      <c r="D11" s="241" t="s">
        <v>10</v>
      </c>
      <c r="E11" s="241" t="s">
        <v>30</v>
      </c>
      <c r="F11" s="241" t="s">
        <v>36</v>
      </c>
      <c r="G11" s="241" t="s">
        <v>37</v>
      </c>
      <c r="H11" s="243" t="s">
        <v>12</v>
      </c>
      <c r="I11" s="241" t="s">
        <v>13</v>
      </c>
      <c r="J11" s="243" t="s">
        <v>14</v>
      </c>
      <c r="K11" s="241" t="s">
        <v>15</v>
      </c>
      <c r="L11" s="241" t="s">
        <v>16</v>
      </c>
      <c r="M11" s="241" t="s">
        <v>17</v>
      </c>
      <c r="N11" s="241" t="s">
        <v>18</v>
      </c>
      <c r="O11" s="243" t="s">
        <v>19</v>
      </c>
      <c r="P11" s="241" t="s">
        <v>20</v>
      </c>
      <c r="Q11" s="241" t="s">
        <v>21</v>
      </c>
      <c r="R11" s="241" t="s">
        <v>22</v>
      </c>
      <c r="S11" s="241" t="s">
        <v>23</v>
      </c>
      <c r="T11" s="241" t="s">
        <v>24</v>
      </c>
      <c r="U11" s="243" t="s">
        <v>25</v>
      </c>
      <c r="V11" s="241" t="s">
        <v>1</v>
      </c>
      <c r="X11" s="241"/>
    </row>
    <row r="12" ht="18.75" spans="1:24">
      <c r="A12" s="241" t="s">
        <v>38</v>
      </c>
      <c r="B12" s="243"/>
      <c r="C12" s="241">
        <v>10</v>
      </c>
      <c r="D12" s="241">
        <v>0</v>
      </c>
      <c r="E12" s="241">
        <v>0</v>
      </c>
      <c r="F12" s="241">
        <v>0</v>
      </c>
      <c r="G12" s="241">
        <v>0</v>
      </c>
      <c r="H12" s="243"/>
      <c r="I12" s="241">
        <f t="shared" ref="I12:I17" si="3">V12*3</f>
        <v>15</v>
      </c>
      <c r="J12" s="243"/>
      <c r="K12" s="241">
        <v>3000</v>
      </c>
      <c r="L12" s="241">
        <v>0</v>
      </c>
      <c r="M12" s="241">
        <v>0</v>
      </c>
      <c r="N12" s="241">
        <v>0</v>
      </c>
      <c r="O12" s="243"/>
      <c r="P12" s="241">
        <f>C12*商品!I4+D12*商品!F16+E12*商品!L16+F12*商品!F10+G12*商品!E25</f>
        <v>400</v>
      </c>
      <c r="Q12" s="241">
        <f>I12*商品!G8</f>
        <v>450</v>
      </c>
      <c r="R12" s="241">
        <f t="shared" ref="R12:R17" si="4">Q12-P12</f>
        <v>50</v>
      </c>
      <c r="S12" s="293">
        <f t="shared" ref="S12:S17" si="5">R12/(K12+L12+M12+N12)</f>
        <v>0.0166666666666667</v>
      </c>
      <c r="T12" s="293">
        <f t="shared" ref="T12:T17" si="6">R12/P12</f>
        <v>0.125</v>
      </c>
      <c r="U12" s="243"/>
      <c r="V12" s="241">
        <v>5</v>
      </c>
      <c r="X12" s="241"/>
    </row>
    <row r="13" ht="18.75" spans="1:24">
      <c r="A13" s="241" t="s">
        <v>39</v>
      </c>
      <c r="B13" s="243"/>
      <c r="C13" s="241">
        <v>19</v>
      </c>
      <c r="D13" s="241">
        <v>0</v>
      </c>
      <c r="E13" s="241">
        <v>0</v>
      </c>
      <c r="F13" s="241"/>
      <c r="G13" s="241">
        <v>0</v>
      </c>
      <c r="H13" s="243"/>
      <c r="I13" s="241">
        <f t="shared" si="3"/>
        <v>30</v>
      </c>
      <c r="J13" s="243"/>
      <c r="K13" s="241">
        <v>2500</v>
      </c>
      <c r="L13" s="241">
        <v>500</v>
      </c>
      <c r="M13" s="241">
        <v>0</v>
      </c>
      <c r="N13" s="241">
        <v>0</v>
      </c>
      <c r="O13" s="243"/>
      <c r="P13" s="241" t="e">
        <f>C13*商品!#REF!+D13*商品!#REF!+E13*商品!#REF!+F13*商品!#REF!+G13*商品!#REF!</f>
        <v>#REF!</v>
      </c>
      <c r="Q13" s="241" t="e">
        <f>I13*商品!#REF!</f>
        <v>#REF!</v>
      </c>
      <c r="R13" s="241" t="e">
        <f t="shared" si="4"/>
        <v>#REF!</v>
      </c>
      <c r="S13" s="293" t="e">
        <f t="shared" si="5"/>
        <v>#REF!</v>
      </c>
      <c r="T13" s="293" t="e">
        <f t="shared" si="6"/>
        <v>#REF!</v>
      </c>
      <c r="U13" s="243"/>
      <c r="V13" s="241">
        <v>10</v>
      </c>
      <c r="X13" s="241"/>
    </row>
    <row r="14" ht="18.75" spans="1:24">
      <c r="A14" s="241" t="s">
        <v>40</v>
      </c>
      <c r="B14" s="243"/>
      <c r="C14" s="241">
        <v>25</v>
      </c>
      <c r="D14" s="241">
        <v>10</v>
      </c>
      <c r="E14" s="241">
        <v>0</v>
      </c>
      <c r="F14" s="241">
        <v>0</v>
      </c>
      <c r="G14" s="241">
        <v>0</v>
      </c>
      <c r="H14" s="243"/>
      <c r="I14" s="241">
        <f t="shared" si="3"/>
        <v>60</v>
      </c>
      <c r="J14" s="243"/>
      <c r="K14" s="241">
        <v>2250</v>
      </c>
      <c r="L14" s="241">
        <v>500</v>
      </c>
      <c r="M14" s="241">
        <v>250</v>
      </c>
      <c r="N14" s="241">
        <v>0</v>
      </c>
      <c r="O14" s="243"/>
      <c r="P14" s="241" t="e">
        <f>C14*商品!#REF!+D14*商品!A9+E14*商品!#REF!+F14*商品!#REF!+G14*商品!#REF!</f>
        <v>#REF!</v>
      </c>
      <c r="Q14" s="241" t="e">
        <f>I14*商品!#REF!</f>
        <v>#REF!</v>
      </c>
      <c r="R14" s="241" t="e">
        <f t="shared" si="4"/>
        <v>#REF!</v>
      </c>
      <c r="S14" s="293" t="e">
        <f t="shared" si="5"/>
        <v>#REF!</v>
      </c>
      <c r="T14" s="293" t="e">
        <f t="shared" si="6"/>
        <v>#REF!</v>
      </c>
      <c r="U14" s="243"/>
      <c r="V14" s="241">
        <v>20</v>
      </c>
      <c r="X14" s="241"/>
    </row>
    <row r="15" ht="18.75" spans="1:24">
      <c r="A15" s="241" t="s">
        <v>41</v>
      </c>
      <c r="B15" s="243"/>
      <c r="C15" s="241">
        <v>5</v>
      </c>
      <c r="D15" s="241">
        <v>0</v>
      </c>
      <c r="E15" s="241">
        <v>0</v>
      </c>
      <c r="F15" s="241">
        <v>10</v>
      </c>
      <c r="G15" s="241">
        <v>0</v>
      </c>
      <c r="H15" s="243"/>
      <c r="I15" s="241">
        <f t="shared" si="3"/>
        <v>15</v>
      </c>
      <c r="J15" s="243"/>
      <c r="K15" s="241">
        <v>2000</v>
      </c>
      <c r="L15" s="241">
        <v>0</v>
      </c>
      <c r="M15" s="241">
        <v>0</v>
      </c>
      <c r="N15" s="241">
        <v>0</v>
      </c>
      <c r="O15" s="243"/>
      <c r="P15" s="241" t="e">
        <f>C15*商品!#REF!+D15*商品!#REF!+E15*商品!#REF!+F15*商品!#REF!+G15*商品!M35</f>
        <v>#REF!</v>
      </c>
      <c r="Q15" s="241">
        <f>I15*商品!J35</f>
        <v>0</v>
      </c>
      <c r="R15" s="241" t="e">
        <f t="shared" si="4"/>
        <v>#REF!</v>
      </c>
      <c r="S15" s="293" t="e">
        <f t="shared" si="5"/>
        <v>#REF!</v>
      </c>
      <c r="T15" s="293" t="e">
        <f t="shared" si="6"/>
        <v>#REF!</v>
      </c>
      <c r="U15" s="243"/>
      <c r="V15" s="241">
        <v>5</v>
      </c>
      <c r="X15" s="241"/>
    </row>
    <row r="16" ht="18.75" spans="1:24">
      <c r="A16" s="241" t="s">
        <v>42</v>
      </c>
      <c r="B16" s="243"/>
      <c r="C16" s="241">
        <v>15</v>
      </c>
      <c r="D16" s="241">
        <v>0</v>
      </c>
      <c r="E16" s="241">
        <v>0</v>
      </c>
      <c r="F16" s="241">
        <v>25</v>
      </c>
      <c r="G16" s="241">
        <v>0</v>
      </c>
      <c r="H16" s="243"/>
      <c r="I16" s="241">
        <f t="shared" si="3"/>
        <v>45</v>
      </c>
      <c r="J16" s="243"/>
      <c r="K16" s="241">
        <v>1500</v>
      </c>
      <c r="L16" s="241">
        <v>0</v>
      </c>
      <c r="M16" s="241">
        <v>0</v>
      </c>
      <c r="N16" s="241">
        <v>0</v>
      </c>
      <c r="O16" s="243"/>
      <c r="P16" s="241" t="e">
        <f>C16*商品!#REF!+D16*商品!#REF!+E16*商品!#REF!+F16*商品!#REF!+G16*商品!M36</f>
        <v>#REF!</v>
      </c>
      <c r="Q16" s="241">
        <f>I16*商品!J36</f>
        <v>0</v>
      </c>
      <c r="R16" s="241" t="e">
        <f t="shared" si="4"/>
        <v>#REF!</v>
      </c>
      <c r="S16" s="293" t="e">
        <f t="shared" si="5"/>
        <v>#REF!</v>
      </c>
      <c r="T16" s="293" t="e">
        <f t="shared" si="6"/>
        <v>#REF!</v>
      </c>
      <c r="U16" s="243"/>
      <c r="V16" s="241">
        <v>15</v>
      </c>
      <c r="X16" s="241"/>
    </row>
    <row r="17" ht="18.75" spans="1:24">
      <c r="A17" s="241" t="s">
        <v>43</v>
      </c>
      <c r="B17" s="243"/>
      <c r="C17" s="241">
        <v>0</v>
      </c>
      <c r="D17" s="241">
        <v>0</v>
      </c>
      <c r="E17" s="241">
        <v>20</v>
      </c>
      <c r="F17" s="241">
        <v>0</v>
      </c>
      <c r="G17" s="241">
        <v>20</v>
      </c>
      <c r="H17" s="243"/>
      <c r="I17" s="241">
        <f t="shared" si="3"/>
        <v>150</v>
      </c>
      <c r="J17" s="243"/>
      <c r="K17" s="241">
        <v>1000</v>
      </c>
      <c r="L17" s="241">
        <v>0</v>
      </c>
      <c r="M17" s="241">
        <v>0</v>
      </c>
      <c r="N17" s="241">
        <v>500</v>
      </c>
      <c r="O17" s="243"/>
      <c r="P17" s="241" t="e">
        <f>C17*商品!#REF!+D17*商品!A15+E17*商品!#REF!+F17*商品!#REF!+G17*商品!M37</f>
        <v>#REF!</v>
      </c>
      <c r="Q17" s="241">
        <f>I17*商品!J37</f>
        <v>0</v>
      </c>
      <c r="R17" s="241" t="e">
        <f t="shared" si="4"/>
        <v>#REF!</v>
      </c>
      <c r="S17" s="293" t="e">
        <f t="shared" si="5"/>
        <v>#REF!</v>
      </c>
      <c r="T17" s="293" t="e">
        <f t="shared" si="6"/>
        <v>#REF!</v>
      </c>
      <c r="U17" s="243"/>
      <c r="V17" s="241">
        <v>50</v>
      </c>
      <c r="X17" s="241"/>
    </row>
    <row r="18" ht="18.75" spans="1:24">
      <c r="A18" s="241"/>
      <c r="B18" s="241"/>
      <c r="C18" s="241"/>
      <c r="D18" s="241"/>
      <c r="E18" s="241"/>
      <c r="F18" s="241"/>
      <c r="G18" s="241"/>
      <c r="H18" s="241"/>
      <c r="I18" s="241"/>
      <c r="J18" s="241"/>
      <c r="K18" s="241"/>
      <c r="L18" s="241"/>
      <c r="M18" s="241"/>
      <c r="N18" s="241"/>
      <c r="O18" s="241"/>
      <c r="P18" s="241"/>
      <c r="Q18" s="241"/>
      <c r="R18" s="241"/>
      <c r="S18" s="241"/>
      <c r="T18" s="241"/>
      <c r="U18" s="241"/>
      <c r="V18" s="241"/>
      <c r="W18" s="241"/>
      <c r="X18" s="241"/>
    </row>
    <row r="19" ht="18.75" spans="1:25">
      <c r="A19" s="242" t="s">
        <v>44</v>
      </c>
      <c r="B19" s="243" t="s">
        <v>5</v>
      </c>
      <c r="C19" s="241" t="s">
        <v>7</v>
      </c>
      <c r="D19" s="241" t="s">
        <v>45</v>
      </c>
      <c r="E19" s="241" t="s">
        <v>9</v>
      </c>
      <c r="F19" s="241" t="s">
        <v>10</v>
      </c>
      <c r="G19" s="241" t="s">
        <v>30</v>
      </c>
      <c r="H19" s="244" t="s">
        <v>46</v>
      </c>
      <c r="I19" s="241" t="s">
        <v>47</v>
      </c>
      <c r="J19" s="241" t="s">
        <v>48</v>
      </c>
      <c r="K19" s="243" t="s">
        <v>12</v>
      </c>
      <c r="L19" s="241" t="s">
        <v>49</v>
      </c>
      <c r="M19" s="243" t="s">
        <v>14</v>
      </c>
      <c r="N19" s="241" t="s">
        <v>15</v>
      </c>
      <c r="O19" s="241" t="s">
        <v>16</v>
      </c>
      <c r="P19" s="241" t="s">
        <v>17</v>
      </c>
      <c r="Q19" s="241" t="s">
        <v>50</v>
      </c>
      <c r="R19" s="241" t="s">
        <v>51</v>
      </c>
      <c r="S19" s="241" t="s">
        <v>18</v>
      </c>
      <c r="T19" s="243" t="s">
        <v>19</v>
      </c>
      <c r="U19" s="241" t="s">
        <v>20</v>
      </c>
      <c r="V19" s="241" t="s">
        <v>21</v>
      </c>
      <c r="W19" s="241" t="s">
        <v>22</v>
      </c>
      <c r="X19" s="241" t="s">
        <v>23</v>
      </c>
      <c r="Y19" s="241" t="s">
        <v>24</v>
      </c>
    </row>
    <row r="20" ht="18.75" spans="1:25">
      <c r="A20" s="241" t="s">
        <v>52</v>
      </c>
      <c r="B20" s="243"/>
      <c r="C20" s="241">
        <v>10</v>
      </c>
      <c r="D20" s="241">
        <v>0</v>
      </c>
      <c r="E20" s="241">
        <v>0</v>
      </c>
      <c r="F20" s="241">
        <v>0</v>
      </c>
      <c r="G20" s="241">
        <v>0</v>
      </c>
      <c r="H20" s="241">
        <v>0</v>
      </c>
      <c r="I20" s="241">
        <v>0</v>
      </c>
      <c r="J20" s="241">
        <v>0</v>
      </c>
      <c r="K20" s="243"/>
      <c r="L20" s="241">
        <v>25</v>
      </c>
      <c r="M20" s="243"/>
      <c r="N20" s="241">
        <v>3500</v>
      </c>
      <c r="O20" s="241">
        <v>0</v>
      </c>
      <c r="P20" s="241">
        <v>0</v>
      </c>
      <c r="Q20" s="241">
        <v>900</v>
      </c>
      <c r="R20" s="241">
        <v>400</v>
      </c>
      <c r="S20" s="241">
        <v>0</v>
      </c>
      <c r="T20" s="243"/>
      <c r="U20" s="241">
        <f>C20*商品!F12+D20*商品!J4+E20*商品!J6+F20*商品!F16+G20*商品!L16+H20*商品!K6+I20*商品!O6+J20*商品!E25</f>
        <v>200</v>
      </c>
      <c r="V20" s="241">
        <f>L20*商品!F8</f>
        <v>750</v>
      </c>
      <c r="W20" s="241">
        <f>V20-U20</f>
        <v>550</v>
      </c>
      <c r="X20" s="293">
        <f>W20/(N20+O20+P20+Q20+R20+S20)</f>
        <v>0.114583333333333</v>
      </c>
      <c r="Y20" s="293">
        <f>W20/U20</f>
        <v>2.75</v>
      </c>
    </row>
    <row r="21" ht="18.75" spans="1:25">
      <c r="A21" s="241" t="s">
        <v>53</v>
      </c>
      <c r="B21" s="243"/>
      <c r="C21" s="241">
        <v>5</v>
      </c>
      <c r="D21" s="241">
        <v>5</v>
      </c>
      <c r="E21" s="241">
        <v>0</v>
      </c>
      <c r="F21" s="241">
        <v>0</v>
      </c>
      <c r="G21" s="241">
        <v>0</v>
      </c>
      <c r="H21" s="241">
        <v>0</v>
      </c>
      <c r="I21" s="241">
        <v>0</v>
      </c>
      <c r="J21" s="241">
        <v>0</v>
      </c>
      <c r="K21" s="243"/>
      <c r="L21" s="241">
        <v>40</v>
      </c>
      <c r="M21" s="243"/>
      <c r="N21" s="241">
        <v>2500</v>
      </c>
      <c r="O21" s="241">
        <v>0</v>
      </c>
      <c r="P21" s="241">
        <v>0</v>
      </c>
      <c r="Q21" s="241">
        <v>1900</v>
      </c>
      <c r="R21" s="241">
        <v>400</v>
      </c>
      <c r="S21" s="241">
        <v>0</v>
      </c>
      <c r="T21" s="243"/>
      <c r="U21" s="241" t="e">
        <f>C21*商品!#REF!+D21*商品!#REF!+E21*商品!#REF!+F21*商品!#REF!+G21*商品!#REF!+H21*商品!#REF!+I21*商品!#REF!+J21*商品!#REF!</f>
        <v>#REF!</v>
      </c>
      <c r="V21" s="241" t="e">
        <f>L21*商品!#REF!</f>
        <v>#REF!</v>
      </c>
      <c r="W21" s="241" t="e">
        <f t="shared" ref="W21:W28" si="7">V21-U21</f>
        <v>#REF!</v>
      </c>
      <c r="X21" s="293" t="e">
        <f t="shared" ref="X21:X28" si="8">W21/(N21+O21+P21+Q21+R21+S21)</f>
        <v>#REF!</v>
      </c>
      <c r="Y21" s="293" t="e">
        <f t="shared" ref="Y21:Y28" si="9">W21/U21</f>
        <v>#REF!</v>
      </c>
    </row>
    <row r="22" ht="18.75" spans="1:25">
      <c r="A22" s="241" t="s">
        <v>54</v>
      </c>
      <c r="B22" s="243"/>
      <c r="C22" s="241">
        <v>0</v>
      </c>
      <c r="D22" s="241">
        <v>5</v>
      </c>
      <c r="E22" s="241">
        <v>5</v>
      </c>
      <c r="F22" s="241">
        <v>0</v>
      </c>
      <c r="G22" s="241">
        <v>0</v>
      </c>
      <c r="H22" s="241">
        <v>0</v>
      </c>
      <c r="I22" s="241">
        <v>0</v>
      </c>
      <c r="J22" s="241">
        <v>0</v>
      </c>
      <c r="K22" s="243"/>
      <c r="L22" s="241">
        <v>60</v>
      </c>
      <c r="M22" s="243"/>
      <c r="N22" s="241">
        <v>2000</v>
      </c>
      <c r="O22" s="241">
        <v>0</v>
      </c>
      <c r="P22" s="241">
        <v>0</v>
      </c>
      <c r="Q22" s="241">
        <v>2400</v>
      </c>
      <c r="R22" s="241">
        <v>400</v>
      </c>
      <c r="S22" s="241">
        <v>0</v>
      </c>
      <c r="T22" s="243"/>
      <c r="U22" s="241" t="e">
        <f>C22*商品!#REF!+D22*商品!#REF!+E22*商品!D5+F22*商品!A9+G22*商品!#REF!+H22*商品!#REF!+I22*商品!#REF!+J22*商品!#REF!</f>
        <v>#REF!</v>
      </c>
      <c r="V22" s="241" t="e">
        <f>L22*商品!#REF!</f>
        <v>#REF!</v>
      </c>
      <c r="W22" s="241" t="e">
        <f t="shared" si="7"/>
        <v>#REF!</v>
      </c>
      <c r="X22" s="293" t="e">
        <f t="shared" si="8"/>
        <v>#REF!</v>
      </c>
      <c r="Y22" s="293" t="e">
        <f t="shared" si="9"/>
        <v>#REF!</v>
      </c>
    </row>
    <row r="23" ht="18.75" spans="1:25">
      <c r="A23" s="241" t="s">
        <v>55</v>
      </c>
      <c r="B23" s="243"/>
      <c r="C23" s="241">
        <v>0</v>
      </c>
      <c r="D23" s="241">
        <v>10</v>
      </c>
      <c r="E23" s="241">
        <v>10</v>
      </c>
      <c r="F23" s="241">
        <v>0</v>
      </c>
      <c r="G23" s="241">
        <v>0</v>
      </c>
      <c r="H23" s="241">
        <v>0</v>
      </c>
      <c r="I23" s="241">
        <v>0</v>
      </c>
      <c r="J23" s="241">
        <v>0</v>
      </c>
      <c r="K23" s="243"/>
      <c r="L23" s="241">
        <v>90</v>
      </c>
      <c r="M23" s="243"/>
      <c r="N23" s="241">
        <v>1000</v>
      </c>
      <c r="O23" s="241">
        <v>0</v>
      </c>
      <c r="P23" s="241">
        <v>0</v>
      </c>
      <c r="Q23" s="241">
        <v>3000</v>
      </c>
      <c r="R23" s="241">
        <v>1000</v>
      </c>
      <c r="S23" s="241">
        <v>0</v>
      </c>
      <c r="T23" s="243"/>
      <c r="U23" s="241" t="e">
        <f>C23*商品!#REF!+D23*商品!#REF!+E23*商品!#REF!+F23*商品!#REF!+G23*商品!#REF!+H23*商品!L35+I23*商品!#REF!+J23*商品!M35</f>
        <v>#REF!</v>
      </c>
      <c r="V23" s="241">
        <f>L23*商品!K35</f>
        <v>0</v>
      </c>
      <c r="W23" s="241" t="e">
        <f t="shared" si="7"/>
        <v>#REF!</v>
      </c>
      <c r="X23" s="293" t="e">
        <f t="shared" si="8"/>
        <v>#REF!</v>
      </c>
      <c r="Y23" s="293" t="e">
        <f t="shared" si="9"/>
        <v>#REF!</v>
      </c>
    </row>
    <row r="24" ht="18.75" spans="1:25">
      <c r="A24" s="241" t="s">
        <v>56</v>
      </c>
      <c r="B24" s="243"/>
      <c r="C24" s="241">
        <v>0</v>
      </c>
      <c r="D24" s="241">
        <v>0</v>
      </c>
      <c r="E24" s="241">
        <v>0</v>
      </c>
      <c r="F24" s="241">
        <v>25</v>
      </c>
      <c r="G24" s="241">
        <v>0</v>
      </c>
      <c r="H24" s="241">
        <v>0</v>
      </c>
      <c r="I24" s="241">
        <v>0</v>
      </c>
      <c r="J24" s="241">
        <v>0</v>
      </c>
      <c r="K24" s="243"/>
      <c r="L24" s="241">
        <v>30</v>
      </c>
      <c r="M24" s="243"/>
      <c r="N24" s="241">
        <v>0</v>
      </c>
      <c r="O24" s="241">
        <v>300</v>
      </c>
      <c r="P24" s="241">
        <v>200</v>
      </c>
      <c r="Q24" s="241">
        <v>0</v>
      </c>
      <c r="R24" s="241">
        <v>0</v>
      </c>
      <c r="S24" s="241">
        <v>0</v>
      </c>
      <c r="T24" s="243"/>
      <c r="U24" s="241" t="e">
        <f>C24*商品!#REF!+D24*商品!#REF!+E24*商品!#REF!+F24*商品!#REF!+G24*商品!#REF!+H24*商品!L36+I24*商品!#REF!+J24*商品!M36</f>
        <v>#REF!</v>
      </c>
      <c r="V24" s="241">
        <f>L24*商品!K36</f>
        <v>0</v>
      </c>
      <c r="W24" s="241" t="e">
        <f t="shared" si="7"/>
        <v>#REF!</v>
      </c>
      <c r="X24" s="293" t="e">
        <f t="shared" si="8"/>
        <v>#REF!</v>
      </c>
      <c r="Y24" s="293" t="e">
        <f t="shared" si="9"/>
        <v>#REF!</v>
      </c>
    </row>
    <row r="25" ht="18.75" spans="1:25">
      <c r="A25" s="241" t="s">
        <v>57</v>
      </c>
      <c r="B25" s="243"/>
      <c r="C25" s="241">
        <v>0</v>
      </c>
      <c r="D25" s="241">
        <v>0</v>
      </c>
      <c r="E25" s="241">
        <v>0</v>
      </c>
      <c r="F25" s="241">
        <v>0</v>
      </c>
      <c r="G25" s="241">
        <v>13</v>
      </c>
      <c r="H25" s="241">
        <v>0</v>
      </c>
      <c r="I25" s="241">
        <v>0</v>
      </c>
      <c r="J25" s="241">
        <v>0</v>
      </c>
      <c r="K25" s="243"/>
      <c r="L25" s="241">
        <v>40</v>
      </c>
      <c r="M25" s="243"/>
      <c r="N25" s="241">
        <v>0</v>
      </c>
      <c r="O25" s="241">
        <v>0</v>
      </c>
      <c r="P25" s="241">
        <v>0</v>
      </c>
      <c r="Q25" s="241">
        <v>0</v>
      </c>
      <c r="R25" s="241">
        <v>0</v>
      </c>
      <c r="S25" s="241">
        <v>300</v>
      </c>
      <c r="T25" s="243"/>
      <c r="U25" s="241" t="e">
        <f>C25*商品!#REF!+D25*商品!#REF!+E25*商品!#REF!+F25*商品!A15+G25*商品!#REF!+H25*商品!L37+I25*商品!M6+J25*商品!M37</f>
        <v>#REF!</v>
      </c>
      <c r="V25" s="241">
        <f>L25*商品!K37</f>
        <v>0</v>
      </c>
      <c r="W25" s="241" t="e">
        <f t="shared" si="7"/>
        <v>#REF!</v>
      </c>
      <c r="X25" s="293" t="e">
        <f t="shared" si="8"/>
        <v>#REF!</v>
      </c>
      <c r="Y25" s="293" t="e">
        <f t="shared" si="9"/>
        <v>#REF!</v>
      </c>
    </row>
    <row r="26" ht="18.75" spans="1:25">
      <c r="A26" s="241" t="s">
        <v>58</v>
      </c>
      <c r="B26" s="243"/>
      <c r="C26" s="241">
        <v>0</v>
      </c>
      <c r="D26" s="241">
        <v>0</v>
      </c>
      <c r="E26" s="241">
        <v>0</v>
      </c>
      <c r="F26" s="241">
        <v>4</v>
      </c>
      <c r="G26" s="241">
        <v>0</v>
      </c>
      <c r="H26" s="241">
        <v>1</v>
      </c>
      <c r="I26" s="241">
        <v>0</v>
      </c>
      <c r="J26" s="241">
        <v>0</v>
      </c>
      <c r="K26" s="243"/>
      <c r="L26" s="241">
        <v>0</v>
      </c>
      <c r="M26" s="243"/>
      <c r="N26" s="241">
        <v>-500</v>
      </c>
      <c r="O26" s="241">
        <v>0</v>
      </c>
      <c r="P26" s="241">
        <v>0</v>
      </c>
      <c r="Q26" s="241"/>
      <c r="R26" s="241">
        <v>0</v>
      </c>
      <c r="S26" s="241">
        <v>0</v>
      </c>
      <c r="T26" s="243"/>
      <c r="U26" s="241" t="e">
        <f>C26*商品!#REF!+D26*商品!#REF!+E26*商品!#REF!+F26*商品!#REF!+G26*商品!#REF!+H26*商品!L38+I26*商品!#REF!+J26*商品!M38</f>
        <v>#REF!</v>
      </c>
      <c r="V26" s="241">
        <f>L26*商品!K38</f>
        <v>0</v>
      </c>
      <c r="W26" s="241" t="e">
        <f t="shared" si="7"/>
        <v>#REF!</v>
      </c>
      <c r="X26" s="293" t="e">
        <f t="shared" si="8"/>
        <v>#REF!</v>
      </c>
      <c r="Y26" s="293" t="e">
        <f t="shared" si="9"/>
        <v>#REF!</v>
      </c>
    </row>
    <row r="27" ht="18.75" spans="1:25">
      <c r="A27" s="241" t="s">
        <v>59</v>
      </c>
      <c r="B27" s="243"/>
      <c r="C27" s="241">
        <v>0</v>
      </c>
      <c r="D27" s="241">
        <v>0</v>
      </c>
      <c r="E27" s="241">
        <v>0</v>
      </c>
      <c r="F27" s="241">
        <v>0</v>
      </c>
      <c r="G27" s="241">
        <v>4</v>
      </c>
      <c r="H27" s="241">
        <v>0</v>
      </c>
      <c r="I27" s="241">
        <v>0</v>
      </c>
      <c r="J27" s="241">
        <v>1</v>
      </c>
      <c r="K27" s="243"/>
      <c r="L27" s="241">
        <v>0</v>
      </c>
      <c r="M27" s="243"/>
      <c r="N27" s="241">
        <v>-1000</v>
      </c>
      <c r="O27" s="241">
        <v>0</v>
      </c>
      <c r="P27" s="241"/>
      <c r="Q27" s="241">
        <v>0</v>
      </c>
      <c r="R27" s="241">
        <v>0</v>
      </c>
      <c r="S27" s="241">
        <v>0</v>
      </c>
      <c r="T27" s="243"/>
      <c r="U27" s="241" t="e">
        <f>C27*商品!#REF!+D27*商品!#REF!+E27*商品!#REF!+F27*商品!#REF!+G27*商品!#REF!+H27*商品!L39+I27*商品!#REF!+J27*商品!M39</f>
        <v>#REF!</v>
      </c>
      <c r="V27" s="241">
        <f>L27*商品!K39</f>
        <v>0</v>
      </c>
      <c r="W27" s="241" t="e">
        <f t="shared" si="7"/>
        <v>#REF!</v>
      </c>
      <c r="X27" s="293" t="e">
        <f t="shared" si="8"/>
        <v>#REF!</v>
      </c>
      <c r="Y27" s="293" t="e">
        <f t="shared" si="9"/>
        <v>#REF!</v>
      </c>
    </row>
    <row r="28" ht="18.75" spans="1:25">
      <c r="A28" s="244" t="s">
        <v>60</v>
      </c>
      <c r="B28" s="243"/>
      <c r="C28" s="241">
        <v>0</v>
      </c>
      <c r="D28" s="241">
        <v>0</v>
      </c>
      <c r="E28" s="241">
        <v>0</v>
      </c>
      <c r="F28" s="241">
        <v>10</v>
      </c>
      <c r="G28" s="241">
        <v>5</v>
      </c>
      <c r="H28" s="241">
        <v>1</v>
      </c>
      <c r="I28" s="241">
        <v>5</v>
      </c>
      <c r="J28" s="241">
        <v>1</v>
      </c>
      <c r="K28" s="243"/>
      <c r="L28" s="241">
        <v>0</v>
      </c>
      <c r="M28" s="243"/>
      <c r="N28" s="241">
        <v>-1000</v>
      </c>
      <c r="O28" s="241">
        <v>0</v>
      </c>
      <c r="P28" s="241">
        <v>0</v>
      </c>
      <c r="Q28" s="241">
        <v>-3000</v>
      </c>
      <c r="R28" s="241">
        <v>0</v>
      </c>
      <c r="S28" s="241">
        <v>500</v>
      </c>
      <c r="T28" s="243"/>
      <c r="U28" s="241" t="e">
        <f>C28*商品!#REF!+D28*商品!#REF!+E28*商品!D20+F28*商品!A17+G28*商品!#REF!+H28*商品!L40+I28*商品!#REF!+J28*商品!M40</f>
        <v>#REF!</v>
      </c>
      <c r="V28" s="241">
        <f>L28*商品!K40</f>
        <v>0</v>
      </c>
      <c r="W28" s="241" t="e">
        <f t="shared" si="7"/>
        <v>#REF!</v>
      </c>
      <c r="X28" s="293" t="e">
        <f t="shared" si="8"/>
        <v>#REF!</v>
      </c>
      <c r="Y28" s="293" t="e">
        <f t="shared" si="9"/>
        <v>#REF!</v>
      </c>
    </row>
    <row r="29" ht="18.75" spans="2:25">
      <c r="B29" s="243"/>
      <c r="C29" s="241"/>
      <c r="D29" s="241"/>
      <c r="E29" s="241"/>
      <c r="F29" s="241"/>
      <c r="G29" s="241"/>
      <c r="H29" s="241"/>
      <c r="I29" s="241"/>
      <c r="J29" s="241"/>
      <c r="K29" s="243"/>
      <c r="L29" s="241"/>
      <c r="M29" s="243"/>
      <c r="N29" s="241"/>
      <c r="O29" s="241"/>
      <c r="P29" s="241"/>
      <c r="Q29" s="241"/>
      <c r="R29" s="241"/>
      <c r="S29" s="241"/>
      <c r="T29" s="243"/>
      <c r="U29" s="241"/>
      <c r="V29" s="241"/>
      <c r="W29" s="241"/>
      <c r="X29" s="293"/>
      <c r="Y29" s="293"/>
    </row>
    <row r="30" ht="18.75" spans="1:26">
      <c r="A30" s="244" t="s">
        <v>61</v>
      </c>
      <c r="B30" s="243"/>
      <c r="C30" s="241">
        <f t="shared" ref="C30:I30" si="10">INT(C37/5)</f>
        <v>0</v>
      </c>
      <c r="D30" s="241">
        <f t="shared" si="10"/>
        <v>1</v>
      </c>
      <c r="E30" s="241">
        <f t="shared" si="10"/>
        <v>0</v>
      </c>
      <c r="F30" s="241">
        <f t="shared" si="10"/>
        <v>0</v>
      </c>
      <c r="G30" s="241">
        <f t="shared" si="10"/>
        <v>0</v>
      </c>
      <c r="H30" s="241">
        <f t="shared" si="10"/>
        <v>2</v>
      </c>
      <c r="I30" s="241">
        <f t="shared" si="10"/>
        <v>0</v>
      </c>
      <c r="J30" s="241">
        <f t="shared" ref="J30:R30" si="11">INT(J37/5)</f>
        <v>0</v>
      </c>
      <c r="K30" s="241">
        <f t="shared" si="11"/>
        <v>0</v>
      </c>
      <c r="L30" s="241"/>
      <c r="M30" s="241">
        <f t="shared" si="11"/>
        <v>7</v>
      </c>
      <c r="N30" s="243"/>
      <c r="O30" s="241">
        <f t="shared" si="11"/>
        <v>0</v>
      </c>
      <c r="P30" s="241">
        <f t="shared" si="11"/>
        <v>0</v>
      </c>
      <c r="Q30" s="241">
        <f t="shared" si="11"/>
        <v>0</v>
      </c>
      <c r="R30" s="241">
        <f t="shared" si="11"/>
        <v>100</v>
      </c>
      <c r="S30" s="241"/>
      <c r="T30" s="241">
        <f t="shared" ref="T30:X30" si="12">INT(T37/5)</f>
        <v>180</v>
      </c>
      <c r="U30" s="241">
        <f t="shared" si="12"/>
        <v>280</v>
      </c>
      <c r="V30" s="241">
        <f t="shared" ref="V30:V35" si="13">U30-T30</f>
        <v>100</v>
      </c>
      <c r="W30" s="293">
        <f t="shared" ref="W30:W35" si="14">V30/(M30+N30+O30+P30+Q30+R30)</f>
        <v>0.934579439252336</v>
      </c>
      <c r="X30" s="293">
        <f t="shared" ref="X30:X35" si="15">V30/T30</f>
        <v>0.555555555555556</v>
      </c>
      <c r="Y30" s="241"/>
      <c r="Z30" s="241">
        <f t="shared" ref="Z30:Z35" si="16">INT(Z37/5)</f>
        <v>7</v>
      </c>
    </row>
    <row r="31" ht="18.75" spans="1:26">
      <c r="A31" s="244" t="s">
        <v>62</v>
      </c>
      <c r="B31" s="243"/>
      <c r="C31" s="241">
        <f t="shared" ref="C31:I31" si="17">INT(C38/5)</f>
        <v>0</v>
      </c>
      <c r="D31" s="241">
        <f t="shared" si="17"/>
        <v>2</v>
      </c>
      <c r="E31" s="241">
        <f t="shared" si="17"/>
        <v>0</v>
      </c>
      <c r="F31" s="241">
        <f t="shared" si="17"/>
        <v>0</v>
      </c>
      <c r="G31" s="241">
        <f t="shared" si="17"/>
        <v>0</v>
      </c>
      <c r="H31" s="241">
        <f t="shared" si="17"/>
        <v>2</v>
      </c>
      <c r="I31" s="241">
        <f t="shared" si="17"/>
        <v>0</v>
      </c>
      <c r="J31" s="241">
        <f t="shared" ref="J31:R31" si="18">INT(J38/5)</f>
        <v>0</v>
      </c>
      <c r="K31" s="241">
        <f t="shared" si="18"/>
        <v>0</v>
      </c>
      <c r="L31" s="241"/>
      <c r="M31" s="241">
        <f t="shared" si="18"/>
        <v>10</v>
      </c>
      <c r="N31" s="243"/>
      <c r="O31" s="241">
        <f t="shared" si="18"/>
        <v>0</v>
      </c>
      <c r="P31" s="241">
        <f t="shared" si="18"/>
        <v>0</v>
      </c>
      <c r="Q31" s="241">
        <f t="shared" si="18"/>
        <v>0</v>
      </c>
      <c r="R31" s="241">
        <f t="shared" si="18"/>
        <v>200</v>
      </c>
      <c r="S31" s="241"/>
      <c r="T31" s="241" t="e">
        <f t="shared" ref="T31:X31" si="19">INT(T38/5)</f>
        <v>#REF!</v>
      </c>
      <c r="U31" s="241">
        <f t="shared" si="19"/>
        <v>0</v>
      </c>
      <c r="V31" s="241" t="e">
        <f t="shared" si="13"/>
        <v>#REF!</v>
      </c>
      <c r="W31" s="293" t="e">
        <f t="shared" si="14"/>
        <v>#REF!</v>
      </c>
      <c r="X31" s="293" t="e">
        <f t="shared" si="15"/>
        <v>#REF!</v>
      </c>
      <c r="Y31" s="241"/>
      <c r="Z31" s="241">
        <f t="shared" si="16"/>
        <v>10</v>
      </c>
    </row>
    <row r="32" ht="18.75" spans="1:26">
      <c r="A32" s="244" t="s">
        <v>63</v>
      </c>
      <c r="B32" s="243"/>
      <c r="C32" s="241">
        <f t="shared" ref="C32:I32" si="20">INT(C39/5)</f>
        <v>0</v>
      </c>
      <c r="D32" s="241">
        <f t="shared" si="20"/>
        <v>2</v>
      </c>
      <c r="E32" s="241">
        <f t="shared" si="20"/>
        <v>1</v>
      </c>
      <c r="F32" s="241">
        <f t="shared" si="20"/>
        <v>0</v>
      </c>
      <c r="G32" s="241">
        <f t="shared" si="20"/>
        <v>0</v>
      </c>
      <c r="H32" s="241">
        <f t="shared" si="20"/>
        <v>3</v>
      </c>
      <c r="I32" s="241">
        <f t="shared" si="20"/>
        <v>0</v>
      </c>
      <c r="J32" s="241">
        <f t="shared" ref="J32:R32" si="21">INT(J39/5)</f>
        <v>0</v>
      </c>
      <c r="K32" s="241">
        <f t="shared" si="21"/>
        <v>0</v>
      </c>
      <c r="L32" s="241"/>
      <c r="M32" s="241">
        <f t="shared" si="21"/>
        <v>15</v>
      </c>
      <c r="N32" s="243"/>
      <c r="O32" s="241">
        <f t="shared" si="21"/>
        <v>0</v>
      </c>
      <c r="P32" s="241">
        <f t="shared" si="21"/>
        <v>0</v>
      </c>
      <c r="Q32" s="241">
        <f t="shared" si="21"/>
        <v>0</v>
      </c>
      <c r="R32" s="241">
        <f t="shared" si="21"/>
        <v>300</v>
      </c>
      <c r="S32" s="241"/>
      <c r="T32" s="241" t="e">
        <f t="shared" ref="T32:X32" si="22">INT(T39/5)</f>
        <v>#REF!</v>
      </c>
      <c r="U32" s="241">
        <f t="shared" si="22"/>
        <v>0</v>
      </c>
      <c r="V32" s="241" t="e">
        <f t="shared" si="13"/>
        <v>#REF!</v>
      </c>
      <c r="W32" s="293" t="e">
        <f t="shared" si="14"/>
        <v>#REF!</v>
      </c>
      <c r="X32" s="293" t="e">
        <f t="shared" si="15"/>
        <v>#REF!</v>
      </c>
      <c r="Y32" s="241"/>
      <c r="Z32" s="241">
        <f t="shared" si="16"/>
        <v>15</v>
      </c>
    </row>
    <row r="33" ht="18.75" spans="1:26">
      <c r="A33" s="244" t="s">
        <v>64</v>
      </c>
      <c r="B33" s="243"/>
      <c r="C33" s="241">
        <f t="shared" ref="C33:I33" si="23">INT(C40/5)</f>
        <v>2</v>
      </c>
      <c r="D33" s="241">
        <f t="shared" si="23"/>
        <v>0</v>
      </c>
      <c r="E33" s="241">
        <f t="shared" si="23"/>
        <v>0</v>
      </c>
      <c r="F33" s="241">
        <f t="shared" si="23"/>
        <v>1</v>
      </c>
      <c r="G33" s="241">
        <f t="shared" si="23"/>
        <v>0</v>
      </c>
      <c r="H33" s="241">
        <f t="shared" si="23"/>
        <v>0</v>
      </c>
      <c r="I33" s="241">
        <f t="shared" si="23"/>
        <v>0</v>
      </c>
      <c r="J33" s="241">
        <f t="shared" ref="J33:R33" si="24">INT(J40/5)</f>
        <v>0</v>
      </c>
      <c r="K33" s="241">
        <f t="shared" si="24"/>
        <v>2</v>
      </c>
      <c r="L33" s="241"/>
      <c r="M33" s="241">
        <f t="shared" si="24"/>
        <v>4</v>
      </c>
      <c r="N33" s="243"/>
      <c r="O33" s="241">
        <f t="shared" si="24"/>
        <v>950</v>
      </c>
      <c r="P33" s="241">
        <f t="shared" si="24"/>
        <v>0</v>
      </c>
      <c r="Q33" s="241">
        <f t="shared" si="24"/>
        <v>0</v>
      </c>
      <c r="R33" s="241">
        <f t="shared" si="24"/>
        <v>0</v>
      </c>
      <c r="S33" s="241"/>
      <c r="T33" s="241" t="e">
        <f t="shared" ref="T33:X33" si="25">INT(T40/5)</f>
        <v>#REF!</v>
      </c>
      <c r="U33" s="241">
        <f t="shared" si="25"/>
        <v>0</v>
      </c>
      <c r="V33" s="241" t="e">
        <f t="shared" si="13"/>
        <v>#REF!</v>
      </c>
      <c r="W33" s="293" t="e">
        <f t="shared" si="14"/>
        <v>#REF!</v>
      </c>
      <c r="X33" s="293" t="e">
        <f t="shared" si="15"/>
        <v>#REF!</v>
      </c>
      <c r="Y33" s="241"/>
      <c r="Z33" s="241">
        <f t="shared" si="16"/>
        <v>4</v>
      </c>
    </row>
    <row r="34" ht="18.75" spans="1:26">
      <c r="A34" s="244" t="s">
        <v>65</v>
      </c>
      <c r="B34" s="243"/>
      <c r="C34" s="241">
        <f t="shared" ref="C34:I34" si="26">INT(C41/5)</f>
        <v>0</v>
      </c>
      <c r="D34" s="241">
        <f t="shared" si="26"/>
        <v>0</v>
      </c>
      <c r="E34" s="241">
        <f t="shared" si="26"/>
        <v>2</v>
      </c>
      <c r="F34" s="241">
        <f t="shared" si="26"/>
        <v>2</v>
      </c>
      <c r="G34" s="241">
        <f t="shared" si="26"/>
        <v>1</v>
      </c>
      <c r="H34" s="241">
        <f t="shared" si="26"/>
        <v>0</v>
      </c>
      <c r="I34" s="241">
        <f t="shared" si="26"/>
        <v>0</v>
      </c>
      <c r="J34" s="241">
        <f t="shared" ref="J34:R34" si="27">INT(J41/5)</f>
        <v>0</v>
      </c>
      <c r="K34" s="241">
        <f t="shared" si="27"/>
        <v>0</v>
      </c>
      <c r="L34" s="241"/>
      <c r="M34" s="241">
        <f t="shared" si="27"/>
        <v>9</v>
      </c>
      <c r="N34" s="243"/>
      <c r="O34" s="241">
        <f t="shared" si="27"/>
        <v>500</v>
      </c>
      <c r="P34" s="241">
        <f t="shared" si="27"/>
        <v>300</v>
      </c>
      <c r="Q34" s="241">
        <f t="shared" si="27"/>
        <v>150</v>
      </c>
      <c r="R34" s="241">
        <f t="shared" si="27"/>
        <v>0</v>
      </c>
      <c r="S34" s="241"/>
      <c r="T34" s="241" t="e">
        <f t="shared" ref="T34:X34" si="28">INT(T41/5)</f>
        <v>#REF!</v>
      </c>
      <c r="U34" s="241">
        <f t="shared" si="28"/>
        <v>0</v>
      </c>
      <c r="V34" s="241" t="e">
        <f t="shared" si="13"/>
        <v>#REF!</v>
      </c>
      <c r="W34" s="293" t="e">
        <f t="shared" si="14"/>
        <v>#REF!</v>
      </c>
      <c r="X34" s="293" t="e">
        <f t="shared" si="15"/>
        <v>#REF!</v>
      </c>
      <c r="Y34" s="241"/>
      <c r="Z34" s="241">
        <f t="shared" si="16"/>
        <v>9</v>
      </c>
    </row>
    <row r="35" ht="18.75" spans="1:26">
      <c r="A35" s="244" t="s">
        <v>66</v>
      </c>
      <c r="B35" s="241"/>
      <c r="C35" s="241">
        <f t="shared" ref="C35:I35" si="29">INT(C42/5)</f>
        <v>0</v>
      </c>
      <c r="D35" s="241">
        <f t="shared" si="29"/>
        <v>0</v>
      </c>
      <c r="E35" s="241">
        <f t="shared" si="29"/>
        <v>2</v>
      </c>
      <c r="F35" s="241">
        <f t="shared" si="29"/>
        <v>2</v>
      </c>
      <c r="G35" s="241">
        <f t="shared" si="29"/>
        <v>1</v>
      </c>
      <c r="H35" s="241">
        <f t="shared" si="29"/>
        <v>0</v>
      </c>
      <c r="I35" s="241">
        <f t="shared" si="29"/>
        <v>1</v>
      </c>
      <c r="J35" s="241">
        <f t="shared" ref="J35:R35" si="30">INT(J42/5)</f>
        <v>1</v>
      </c>
      <c r="K35" s="241">
        <f t="shared" si="30"/>
        <v>0</v>
      </c>
      <c r="L35" s="241"/>
      <c r="M35" s="241">
        <f t="shared" si="30"/>
        <v>12</v>
      </c>
      <c r="N35" s="241"/>
      <c r="O35" s="241">
        <f t="shared" si="30"/>
        <v>300</v>
      </c>
      <c r="P35" s="241">
        <f t="shared" si="30"/>
        <v>400</v>
      </c>
      <c r="Q35" s="241">
        <f t="shared" si="30"/>
        <v>250</v>
      </c>
      <c r="R35" s="241">
        <f t="shared" si="30"/>
        <v>0</v>
      </c>
      <c r="S35" s="241"/>
      <c r="T35" s="241" t="e">
        <f t="shared" ref="T35:X35" si="31">INT(T42/5)</f>
        <v>#REF!</v>
      </c>
      <c r="U35" s="241">
        <f t="shared" si="31"/>
        <v>0</v>
      </c>
      <c r="V35" s="241" t="e">
        <f t="shared" si="13"/>
        <v>#REF!</v>
      </c>
      <c r="W35" s="293" t="e">
        <f t="shared" si="14"/>
        <v>#REF!</v>
      </c>
      <c r="X35" s="293" t="e">
        <f t="shared" si="15"/>
        <v>#REF!</v>
      </c>
      <c r="Y35" s="241"/>
      <c r="Z35" s="241">
        <f t="shared" si="16"/>
        <v>12</v>
      </c>
    </row>
    <row r="36" ht="18.75" spans="1:26">
      <c r="A36" s="242" t="s">
        <v>67</v>
      </c>
      <c r="B36" s="248" t="s">
        <v>5</v>
      </c>
      <c r="C36" s="244" t="s">
        <v>7</v>
      </c>
      <c r="D36" s="244" t="s">
        <v>30</v>
      </c>
      <c r="E36" s="241" t="s">
        <v>9</v>
      </c>
      <c r="F36" s="241" t="s">
        <v>35</v>
      </c>
      <c r="G36" s="241" t="s">
        <v>45</v>
      </c>
      <c r="H36" s="241" t="s">
        <v>11</v>
      </c>
      <c r="I36" s="241" t="s">
        <v>46</v>
      </c>
      <c r="J36" s="241" t="s">
        <v>10</v>
      </c>
      <c r="K36" s="241" t="s">
        <v>68</v>
      </c>
      <c r="L36" s="248" t="s">
        <v>12</v>
      </c>
      <c r="M36" s="244" t="s">
        <v>69</v>
      </c>
      <c r="N36" s="248" t="s">
        <v>14</v>
      </c>
      <c r="O36" s="244" t="s">
        <v>15</v>
      </c>
      <c r="P36" s="244" t="s">
        <v>16</v>
      </c>
      <c r="Q36" s="244" t="s">
        <v>17</v>
      </c>
      <c r="R36" s="244" t="s">
        <v>18</v>
      </c>
      <c r="S36" s="248" t="s">
        <v>19</v>
      </c>
      <c r="T36" s="244" t="s">
        <v>20</v>
      </c>
      <c r="U36" s="244" t="s">
        <v>21</v>
      </c>
      <c r="V36" s="244" t="s">
        <v>22</v>
      </c>
      <c r="W36" s="244" t="s">
        <v>23</v>
      </c>
      <c r="X36" s="244" t="s">
        <v>70</v>
      </c>
      <c r="Y36" s="243" t="s">
        <v>25</v>
      </c>
      <c r="Z36" s="241" t="s">
        <v>71</v>
      </c>
    </row>
    <row r="37" ht="18.75" spans="1:26">
      <c r="A37" s="244" t="s">
        <v>61</v>
      </c>
      <c r="B37" s="248"/>
      <c r="C37" s="241">
        <v>0</v>
      </c>
      <c r="D37" s="241">
        <v>5</v>
      </c>
      <c r="E37" s="241">
        <v>0</v>
      </c>
      <c r="F37" s="241">
        <v>0</v>
      </c>
      <c r="G37" s="241">
        <v>0</v>
      </c>
      <c r="H37" s="241">
        <v>10</v>
      </c>
      <c r="I37" s="241">
        <v>0</v>
      </c>
      <c r="J37" s="241">
        <v>0</v>
      </c>
      <c r="K37" s="241">
        <v>0</v>
      </c>
      <c r="L37" s="248"/>
      <c r="M37" s="241">
        <v>35</v>
      </c>
      <c r="N37" s="248"/>
      <c r="O37" s="241">
        <v>0</v>
      </c>
      <c r="P37" s="241">
        <v>0</v>
      </c>
      <c r="Q37" s="241">
        <v>0</v>
      </c>
      <c r="R37" s="241">
        <v>500</v>
      </c>
      <c r="S37" s="248"/>
      <c r="T37" s="241">
        <f>C37*商品!F12+D37*商品!L16+E37*商品!J6+H37*商品!K16+I37*商品!K6+J37*商品!F16+K37*商品!H10+F37*商品!I4+G37*商品!J4</f>
        <v>900</v>
      </c>
      <c r="U37" s="241">
        <f>M37*商品!F20</f>
        <v>1400</v>
      </c>
      <c r="V37" s="241">
        <f t="shared" ref="V37:V42" si="32">U37-T37</f>
        <v>500</v>
      </c>
      <c r="W37" s="293">
        <f t="shared" ref="W37:W42" si="33">V37/(M37+N37+O37+P37+Q37+R37)</f>
        <v>0.934579439252336</v>
      </c>
      <c r="X37" s="293">
        <f t="shared" ref="X37:X42" si="34">V37/T37</f>
        <v>0.555555555555556</v>
      </c>
      <c r="Y37" s="243"/>
      <c r="Z37" s="241">
        <f t="shared" ref="Z37:Z42" si="35">M37</f>
        <v>35</v>
      </c>
    </row>
    <row r="38" ht="18.75" spans="1:26">
      <c r="A38" s="244" t="s">
        <v>62</v>
      </c>
      <c r="B38" s="248"/>
      <c r="C38" s="241">
        <v>0</v>
      </c>
      <c r="D38" s="241">
        <v>10</v>
      </c>
      <c r="E38" s="241">
        <v>0</v>
      </c>
      <c r="F38" s="241">
        <v>0</v>
      </c>
      <c r="G38" s="241">
        <v>0</v>
      </c>
      <c r="H38" s="241">
        <v>10</v>
      </c>
      <c r="I38" s="241">
        <v>0</v>
      </c>
      <c r="J38" s="241">
        <v>0</v>
      </c>
      <c r="K38" s="241">
        <v>0</v>
      </c>
      <c r="L38" s="248"/>
      <c r="M38" s="241">
        <v>50</v>
      </c>
      <c r="N38" s="248"/>
      <c r="O38" s="241">
        <v>0</v>
      </c>
      <c r="P38" s="241">
        <v>0</v>
      </c>
      <c r="Q38" s="241">
        <v>0</v>
      </c>
      <c r="R38" s="241">
        <v>1000</v>
      </c>
      <c r="S38" s="248"/>
      <c r="T38" s="241" t="e">
        <f>C38*商品!#REF!+D38*商品!#REF!+E38*商品!#REF!+H38*商品!#REF!+I38*商品!#REF!+J38*商品!#REF!+K38*商品!#REF!+F38*商品!#REF!+G38*商品!#REF!</f>
        <v>#REF!</v>
      </c>
      <c r="U38" s="241">
        <f>M38*商品!Y33</f>
        <v>0</v>
      </c>
      <c r="V38" s="241" t="e">
        <f t="shared" si="32"/>
        <v>#REF!</v>
      </c>
      <c r="W38" s="293" t="e">
        <f t="shared" si="33"/>
        <v>#REF!</v>
      </c>
      <c r="X38" s="293" t="e">
        <f t="shared" si="34"/>
        <v>#REF!</v>
      </c>
      <c r="Y38" s="243"/>
      <c r="Z38" s="241">
        <f t="shared" si="35"/>
        <v>50</v>
      </c>
    </row>
    <row r="39" ht="18.75" spans="1:26">
      <c r="A39" s="244" t="s">
        <v>63</v>
      </c>
      <c r="B39" s="248"/>
      <c r="C39" s="241">
        <v>0</v>
      </c>
      <c r="D39" s="241">
        <v>10</v>
      </c>
      <c r="E39" s="241">
        <v>5</v>
      </c>
      <c r="F39" s="241">
        <v>0</v>
      </c>
      <c r="G39" s="241">
        <v>0</v>
      </c>
      <c r="H39" s="241">
        <v>15</v>
      </c>
      <c r="I39" s="241">
        <v>0</v>
      </c>
      <c r="J39" s="241">
        <v>0</v>
      </c>
      <c r="K39" s="241">
        <v>0</v>
      </c>
      <c r="L39" s="248"/>
      <c r="M39" s="241">
        <v>75</v>
      </c>
      <c r="N39" s="248"/>
      <c r="O39" s="241">
        <v>0</v>
      </c>
      <c r="P39" s="241">
        <v>0</v>
      </c>
      <c r="Q39" s="241">
        <v>0</v>
      </c>
      <c r="R39" s="241">
        <v>1500</v>
      </c>
      <c r="S39" s="248"/>
      <c r="T39" s="241" t="e">
        <f>C39*商品!#REF!+D39*商品!#REF!+E39*商品!D5+H39*商品!#REF!+I39*商品!#REF!+J39*商品!A9+K39*商品!#REF!+F39*商品!#REF!+G39*商品!#REF!</f>
        <v>#REF!</v>
      </c>
      <c r="U39" s="241">
        <f>M39*商品!Y34</f>
        <v>0</v>
      </c>
      <c r="V39" s="241" t="e">
        <f t="shared" si="32"/>
        <v>#REF!</v>
      </c>
      <c r="W39" s="293" t="e">
        <f t="shared" si="33"/>
        <v>#REF!</v>
      </c>
      <c r="X39" s="293" t="e">
        <f t="shared" si="34"/>
        <v>#REF!</v>
      </c>
      <c r="Y39" s="243"/>
      <c r="Z39" s="241">
        <f t="shared" si="35"/>
        <v>75</v>
      </c>
    </row>
    <row r="40" ht="18.75" spans="1:26">
      <c r="A40" s="244" t="s">
        <v>64</v>
      </c>
      <c r="B40" s="248"/>
      <c r="C40" s="241">
        <v>10</v>
      </c>
      <c r="D40" s="241">
        <v>0</v>
      </c>
      <c r="E40" s="241">
        <v>0</v>
      </c>
      <c r="F40" s="241">
        <v>5</v>
      </c>
      <c r="G40" s="241">
        <v>0</v>
      </c>
      <c r="H40" s="241">
        <v>0</v>
      </c>
      <c r="I40" s="241">
        <v>0</v>
      </c>
      <c r="J40" s="241">
        <v>0</v>
      </c>
      <c r="K40" s="241">
        <v>10</v>
      </c>
      <c r="L40" s="248"/>
      <c r="M40" s="241">
        <v>20</v>
      </c>
      <c r="N40" s="248"/>
      <c r="O40" s="241">
        <v>4750</v>
      </c>
      <c r="P40" s="241">
        <v>0</v>
      </c>
      <c r="Q40" s="241">
        <v>0</v>
      </c>
      <c r="R40" s="241">
        <v>0</v>
      </c>
      <c r="S40" s="248"/>
      <c r="T40" s="241" t="e">
        <f>C40*商品!#REF!+D40*商品!#REF!+E40*商品!#REF!+H40*商品!#REF!+I40*商品!L35+J40*商品!#REF!+K40*商品!#REF!+F40*商品!#REF!+G40*商品!#REF!</f>
        <v>#REF!</v>
      </c>
      <c r="U40" s="241">
        <f>M40*商品!Y35</f>
        <v>0</v>
      </c>
      <c r="V40" s="241" t="e">
        <f t="shared" si="32"/>
        <v>#REF!</v>
      </c>
      <c r="W40" s="293" t="e">
        <f t="shared" si="33"/>
        <v>#REF!</v>
      </c>
      <c r="X40" s="293" t="e">
        <f t="shared" si="34"/>
        <v>#REF!</v>
      </c>
      <c r="Y40" s="243"/>
      <c r="Z40" s="241">
        <f t="shared" si="35"/>
        <v>20</v>
      </c>
    </row>
    <row r="41" ht="18.75" spans="1:26">
      <c r="A41" s="244" t="s">
        <v>65</v>
      </c>
      <c r="B41" s="248"/>
      <c r="C41" s="241">
        <v>0</v>
      </c>
      <c r="D41" s="241">
        <v>0</v>
      </c>
      <c r="E41" s="241">
        <v>10</v>
      </c>
      <c r="F41" s="241">
        <v>10</v>
      </c>
      <c r="G41" s="241">
        <v>5</v>
      </c>
      <c r="H41" s="241">
        <v>0</v>
      </c>
      <c r="I41" s="241">
        <v>0</v>
      </c>
      <c r="J41" s="241">
        <v>0</v>
      </c>
      <c r="K41" s="241">
        <v>0</v>
      </c>
      <c r="L41" s="248"/>
      <c r="M41" s="241">
        <v>45</v>
      </c>
      <c r="N41" s="248"/>
      <c r="O41" s="241">
        <v>2500</v>
      </c>
      <c r="P41" s="241">
        <v>1500</v>
      </c>
      <c r="Q41" s="241">
        <v>750</v>
      </c>
      <c r="R41" s="241">
        <v>0</v>
      </c>
      <c r="S41" s="248"/>
      <c r="T41" s="241" t="e">
        <f>C41*商品!#REF!+D41*商品!#REF!+E41*商品!#REF!+H41*商品!#REF!+I41*商品!L36+J41*商品!#REF!+K41*商品!#REF!+F41*商品!#REF!+G41*商品!#REF!</f>
        <v>#REF!</v>
      </c>
      <c r="U41" s="241">
        <f>M41*商品!Y36</f>
        <v>0</v>
      </c>
      <c r="V41" s="241" t="e">
        <f t="shared" si="32"/>
        <v>#REF!</v>
      </c>
      <c r="W41" s="293" t="e">
        <f t="shared" si="33"/>
        <v>#REF!</v>
      </c>
      <c r="X41" s="293" t="e">
        <f t="shared" si="34"/>
        <v>#REF!</v>
      </c>
      <c r="Y41" s="243"/>
      <c r="Z41" s="241">
        <f t="shared" si="35"/>
        <v>45</v>
      </c>
    </row>
    <row r="42" ht="18.75" spans="1:26">
      <c r="A42" s="244" t="s">
        <v>66</v>
      </c>
      <c r="B42" s="248"/>
      <c r="C42" s="241">
        <v>0</v>
      </c>
      <c r="D42" s="241">
        <v>0</v>
      </c>
      <c r="E42" s="241">
        <v>10</v>
      </c>
      <c r="F42" s="241">
        <v>10</v>
      </c>
      <c r="G42" s="241">
        <v>5</v>
      </c>
      <c r="H42" s="241">
        <v>0</v>
      </c>
      <c r="I42" s="241">
        <v>5</v>
      </c>
      <c r="J42" s="241">
        <v>5</v>
      </c>
      <c r="K42" s="241">
        <v>0</v>
      </c>
      <c r="L42" s="248"/>
      <c r="M42" s="241">
        <v>60</v>
      </c>
      <c r="N42" s="248"/>
      <c r="O42" s="241">
        <v>1500</v>
      </c>
      <c r="P42" s="241">
        <v>2000</v>
      </c>
      <c r="Q42" s="241">
        <v>1250</v>
      </c>
      <c r="R42" s="241">
        <v>0</v>
      </c>
      <c r="S42" s="248"/>
      <c r="T42" s="241" t="e">
        <f>C42*商品!#REF!+D42*商品!#REF!+E42*商品!#REF!+H42*商品!#REF!+I42*商品!L37+J42*商品!A15+K42*商品!I11+F42*商品!#REF!+G42*商品!#REF!</f>
        <v>#REF!</v>
      </c>
      <c r="U42" s="241">
        <f>M42*商品!Y37</f>
        <v>0</v>
      </c>
      <c r="V42" s="241" t="e">
        <f t="shared" si="32"/>
        <v>#REF!</v>
      </c>
      <c r="W42" s="293" t="e">
        <f t="shared" si="33"/>
        <v>#REF!</v>
      </c>
      <c r="X42" s="293" t="e">
        <f t="shared" si="34"/>
        <v>#REF!</v>
      </c>
      <c r="Y42" s="243"/>
      <c r="Z42" s="241">
        <f t="shared" si="35"/>
        <v>60</v>
      </c>
    </row>
    <row r="43" ht="18.75" spans="1:26">
      <c r="A43" s="241"/>
      <c r="B43" s="241"/>
      <c r="C43" s="241"/>
      <c r="D43" s="241"/>
      <c r="E43" s="241"/>
      <c r="F43" s="241"/>
      <c r="G43" s="241"/>
      <c r="H43" s="241"/>
      <c r="I43" s="241"/>
      <c r="J43" s="241"/>
      <c r="K43" s="241"/>
      <c r="L43" s="241"/>
      <c r="M43" s="241"/>
      <c r="N43" s="241"/>
      <c r="O43" s="241"/>
      <c r="P43" s="241"/>
      <c r="Q43" s="241"/>
      <c r="R43" s="241"/>
      <c r="S43" s="241"/>
      <c r="T43" s="241"/>
      <c r="U43" s="241"/>
      <c r="V43" s="241"/>
      <c r="W43" s="241"/>
      <c r="X43" s="241"/>
      <c r="Y43" s="241"/>
      <c r="Z43" s="241"/>
    </row>
    <row r="44" ht="18.75" spans="1:26">
      <c r="A44" s="241"/>
      <c r="B44" s="241"/>
      <c r="C44" s="241"/>
      <c r="D44" s="241"/>
      <c r="E44" s="241"/>
      <c r="F44" s="241"/>
      <c r="G44" s="241"/>
      <c r="H44" s="241"/>
      <c r="I44" s="241"/>
      <c r="J44" s="241"/>
      <c r="K44" s="241"/>
      <c r="L44" s="241"/>
      <c r="M44" s="241"/>
      <c r="N44" s="241"/>
      <c r="O44" s="241"/>
      <c r="P44" s="241"/>
      <c r="Q44" s="241"/>
      <c r="R44" s="241"/>
      <c r="S44" s="241"/>
      <c r="T44" s="241"/>
      <c r="U44" s="241"/>
      <c r="V44" s="241"/>
      <c r="W44" s="241"/>
      <c r="X44" s="241"/>
      <c r="Y44" s="241"/>
      <c r="Z44" s="241"/>
    </row>
    <row r="45" ht="18.75" spans="1:26">
      <c r="A45" s="241"/>
      <c r="B45" s="241"/>
      <c r="C45" s="241"/>
      <c r="D45" s="241"/>
      <c r="E45" s="241"/>
      <c r="F45" s="241"/>
      <c r="G45" s="241"/>
      <c r="H45" s="241"/>
      <c r="I45" s="241"/>
      <c r="J45" s="241"/>
      <c r="K45" s="241"/>
      <c r="L45" s="241"/>
      <c r="M45" s="241"/>
      <c r="N45" s="241"/>
      <c r="O45" s="241"/>
      <c r="P45" s="241"/>
      <c r="Q45" s="241"/>
      <c r="R45" s="241"/>
      <c r="S45" s="241"/>
      <c r="T45" s="241"/>
      <c r="U45" s="241"/>
      <c r="V45" s="241"/>
      <c r="W45" s="241"/>
      <c r="X45" s="241"/>
      <c r="Y45" s="241"/>
      <c r="Z45" s="241"/>
    </row>
    <row r="46" ht="18.75" spans="1:26">
      <c r="A46" s="241"/>
      <c r="B46" s="241"/>
      <c r="C46" s="241"/>
      <c r="D46" s="241"/>
      <c r="E46" s="241"/>
      <c r="F46" s="241"/>
      <c r="G46" s="241"/>
      <c r="H46" s="241"/>
      <c r="I46" s="241"/>
      <c r="J46" s="241"/>
      <c r="K46" s="241"/>
      <c r="L46" s="241"/>
      <c r="M46" s="241"/>
      <c r="N46" s="241"/>
      <c r="O46" s="241"/>
      <c r="P46" s="241"/>
      <c r="Q46" s="241"/>
      <c r="R46" s="241"/>
      <c r="S46" s="241"/>
      <c r="T46" s="241"/>
      <c r="U46" s="241"/>
      <c r="V46" s="241"/>
      <c r="W46" s="241"/>
      <c r="X46" s="241"/>
      <c r="Y46" s="241"/>
      <c r="Z46" s="241"/>
    </row>
    <row r="47" ht="18.75" spans="1:26">
      <c r="A47" s="241"/>
      <c r="B47" s="241"/>
      <c r="C47" s="241"/>
      <c r="D47" s="241"/>
      <c r="E47" s="241"/>
      <c r="F47" s="241"/>
      <c r="G47" s="241"/>
      <c r="H47" s="241"/>
      <c r="I47" s="241"/>
      <c r="J47" s="241"/>
      <c r="K47" s="241"/>
      <c r="L47" s="241"/>
      <c r="M47" s="241"/>
      <c r="N47" s="241"/>
      <c r="O47" s="241"/>
      <c r="P47" s="241"/>
      <c r="Q47" s="241"/>
      <c r="R47" s="241"/>
      <c r="S47" s="241"/>
      <c r="T47" s="241"/>
      <c r="U47" s="241"/>
      <c r="V47" s="241"/>
      <c r="W47" s="241"/>
      <c r="X47" s="241"/>
      <c r="Y47" s="241"/>
      <c r="Z47" s="241"/>
    </row>
    <row r="48" ht="18.75" spans="1:26">
      <c r="A48" s="241"/>
      <c r="B48" s="241"/>
      <c r="C48" s="241"/>
      <c r="D48" s="241"/>
      <c r="E48" s="241"/>
      <c r="F48" s="241"/>
      <c r="G48" s="241"/>
      <c r="H48" s="241"/>
      <c r="I48" s="241"/>
      <c r="J48" s="241"/>
      <c r="K48" s="241"/>
      <c r="L48" s="241"/>
      <c r="M48" s="241"/>
      <c r="N48" s="241"/>
      <c r="O48" s="241"/>
      <c r="P48" s="241"/>
      <c r="Q48" s="241"/>
      <c r="R48" s="241"/>
      <c r="S48" s="241"/>
      <c r="T48" s="241"/>
      <c r="U48" s="241"/>
      <c r="V48" s="241"/>
      <c r="W48" s="241"/>
      <c r="X48" s="241"/>
      <c r="Y48" s="241"/>
      <c r="Z48" s="241"/>
    </row>
    <row r="49" ht="18.75" spans="1:26">
      <c r="A49" s="241"/>
      <c r="B49" s="241"/>
      <c r="C49" s="241"/>
      <c r="D49" s="241"/>
      <c r="E49" s="241"/>
      <c r="F49" s="241"/>
      <c r="G49" s="241"/>
      <c r="H49" s="241"/>
      <c r="I49" s="241"/>
      <c r="J49" s="241"/>
      <c r="K49" s="241"/>
      <c r="L49" s="241"/>
      <c r="M49" s="241"/>
      <c r="N49" s="241"/>
      <c r="O49" s="241"/>
      <c r="P49" s="241"/>
      <c r="Q49" s="241"/>
      <c r="R49" s="241"/>
      <c r="S49" s="241"/>
      <c r="T49" s="241"/>
      <c r="U49" s="241"/>
      <c r="V49" s="241"/>
      <c r="W49" s="241"/>
      <c r="X49" s="241"/>
      <c r="Y49" s="241"/>
      <c r="Z49" s="241"/>
    </row>
    <row r="50" ht="18.75" spans="1:26">
      <c r="A50" s="241"/>
      <c r="B50" s="241"/>
      <c r="C50" s="241"/>
      <c r="D50" s="241"/>
      <c r="E50" s="241"/>
      <c r="F50" s="241"/>
      <c r="G50" s="241"/>
      <c r="H50" s="241"/>
      <c r="I50" s="241"/>
      <c r="J50" s="241"/>
      <c r="K50" s="241"/>
      <c r="L50" s="241"/>
      <c r="M50" s="241"/>
      <c r="N50" s="241"/>
      <c r="O50" s="241"/>
      <c r="P50" s="241"/>
      <c r="Q50" s="241"/>
      <c r="R50" s="241"/>
      <c r="S50" s="241"/>
      <c r="T50" s="241"/>
      <c r="U50" s="241"/>
      <c r="V50" s="241"/>
      <c r="W50" s="241"/>
      <c r="X50" s="241"/>
      <c r="Y50" s="241"/>
      <c r="Z50" s="241"/>
    </row>
  </sheetData>
  <sheetProtection formatCells="0" insertHyperlinks="0" autoFilter="0"/>
  <mergeCells count="23">
    <mergeCell ref="B1:B4"/>
    <mergeCell ref="B6:B9"/>
    <mergeCell ref="B11:B17"/>
    <mergeCell ref="B19:B28"/>
    <mergeCell ref="B36:B42"/>
    <mergeCell ref="E6:E9"/>
    <mergeCell ref="G6:G9"/>
    <mergeCell ref="H11:H17"/>
    <mergeCell ref="I1:I4"/>
    <mergeCell ref="J11:J17"/>
    <mergeCell ref="K19:K28"/>
    <mergeCell ref="L6:L9"/>
    <mergeCell ref="L36:L42"/>
    <mergeCell ref="M19:M28"/>
    <mergeCell ref="N36:N42"/>
    <mergeCell ref="O11:O17"/>
    <mergeCell ref="P1:P4"/>
    <mergeCell ref="R6:R9"/>
    <mergeCell ref="S36:S42"/>
    <mergeCell ref="T19:T28"/>
    <mergeCell ref="U11:U17"/>
    <mergeCell ref="V1:V4"/>
    <mergeCell ref="Y36:Y4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theme="0" tint="-0.05"/>
  </sheetPr>
  <dimension ref="A1:AS90"/>
  <sheetViews>
    <sheetView tabSelected="1" zoomScale="85" zoomScaleNormal="85" workbookViewId="0">
      <selection activeCell="S22" sqref="S22"/>
    </sheetView>
  </sheetViews>
  <sheetFormatPr defaultColWidth="9" defaultRowHeight="16.5"/>
  <cols>
    <col min="1" max="1" width="16.625" style="251" customWidth="1"/>
    <col min="2" max="2" width="16.625" style="252" customWidth="1"/>
    <col min="3" max="3" width="16.625" style="253" customWidth="1"/>
    <col min="4" max="14" width="8.625" style="251" customWidth="1"/>
    <col min="15" max="18" width="16.625" style="251" customWidth="1"/>
    <col min="19" max="20" width="16.625" style="254" customWidth="1"/>
    <col min="21" max="42" width="8.625" style="251" customWidth="1"/>
    <col min="43" max="16384" width="9" style="251"/>
  </cols>
  <sheetData>
    <row r="1" ht="18" customHeight="1" spans="1:45">
      <c r="A1" s="70" t="s">
        <v>72</v>
      </c>
      <c r="B1" s="70" t="s">
        <v>73</v>
      </c>
      <c r="C1" s="70" t="s">
        <v>74</v>
      </c>
      <c r="D1" s="131" t="s">
        <v>75</v>
      </c>
      <c r="E1" s="132" t="s">
        <v>76</v>
      </c>
      <c r="F1" s="132" t="s">
        <v>77</v>
      </c>
      <c r="G1" s="132" t="s">
        <v>78</v>
      </c>
      <c r="H1" s="255" t="s">
        <v>79</v>
      </c>
      <c r="I1" s="255" t="s">
        <v>80</v>
      </c>
      <c r="J1" s="178" t="s">
        <v>81</v>
      </c>
      <c r="K1" s="179" t="s">
        <v>82</v>
      </c>
      <c r="L1" s="179" t="s">
        <v>83</v>
      </c>
      <c r="M1" s="179" t="s">
        <v>84</v>
      </c>
      <c r="N1" s="179" t="s">
        <v>85</v>
      </c>
      <c r="O1" s="153" t="s">
        <v>86</v>
      </c>
      <c r="P1" s="152" t="s">
        <v>87</v>
      </c>
      <c r="Q1" s="70" t="s">
        <v>88</v>
      </c>
      <c r="R1" s="70" t="s">
        <v>89</v>
      </c>
      <c r="S1" s="279" t="s">
        <v>90</v>
      </c>
      <c r="T1" s="280" t="s">
        <v>91</v>
      </c>
      <c r="U1" s="158"/>
      <c r="V1" s="158"/>
      <c r="W1" s="158"/>
      <c r="X1" s="158"/>
      <c r="Y1" s="158"/>
      <c r="Z1" s="50"/>
      <c r="AA1" s="50"/>
      <c r="AB1" s="50"/>
      <c r="AC1" s="50"/>
      <c r="AD1" s="50"/>
      <c r="AE1" s="158"/>
      <c r="AF1" s="158"/>
      <c r="AG1" s="258"/>
      <c r="AH1" s="258"/>
      <c r="AI1" s="258"/>
      <c r="AJ1" s="257"/>
      <c r="AK1" s="257"/>
      <c r="AL1" s="257"/>
      <c r="AM1" s="257"/>
      <c r="AN1" s="257"/>
      <c r="AO1" s="257"/>
      <c r="AP1" s="257"/>
      <c r="AQ1" s="289"/>
      <c r="AR1" s="289"/>
      <c r="AS1" s="289"/>
    </row>
    <row r="2" ht="18" customHeight="1" spans="1:45">
      <c r="A2" s="70"/>
      <c r="B2" s="70"/>
      <c r="C2" s="70"/>
      <c r="D2" s="133" t="s">
        <v>92</v>
      </c>
      <c r="E2" s="134" t="s">
        <v>30</v>
      </c>
      <c r="F2" s="134" t="s">
        <v>93</v>
      </c>
      <c r="G2" s="134" t="s">
        <v>94</v>
      </c>
      <c r="H2" s="256" t="s">
        <v>95</v>
      </c>
      <c r="I2" s="256" t="s">
        <v>96</v>
      </c>
      <c r="J2" s="181" t="s">
        <v>97</v>
      </c>
      <c r="K2" s="181" t="s">
        <v>98</v>
      </c>
      <c r="L2" s="181" t="s">
        <v>99</v>
      </c>
      <c r="M2" s="181" t="s">
        <v>100</v>
      </c>
      <c r="N2" s="181" t="s">
        <v>101</v>
      </c>
      <c r="O2" s="153"/>
      <c r="P2" s="152"/>
      <c r="Q2" s="70"/>
      <c r="R2" s="70"/>
      <c r="S2" s="279"/>
      <c r="T2" s="281"/>
      <c r="U2" s="50"/>
      <c r="V2" s="50"/>
      <c r="W2" s="50"/>
      <c r="X2" s="50"/>
      <c r="Y2" s="50"/>
      <c r="Z2" s="50"/>
      <c r="AA2" s="50"/>
      <c r="AB2" s="50"/>
      <c r="AC2" s="50"/>
      <c r="AD2" s="50"/>
      <c r="AE2" s="50"/>
      <c r="AF2" s="50"/>
      <c r="AG2" s="258"/>
      <c r="AH2" s="258"/>
      <c r="AI2" s="258"/>
      <c r="AJ2" s="257"/>
      <c r="AK2" s="257"/>
      <c r="AL2" s="257"/>
      <c r="AM2" s="257"/>
      <c r="AN2" s="257"/>
      <c r="AO2" s="257"/>
      <c r="AP2" s="257"/>
      <c r="AQ2" s="289"/>
      <c r="AR2" s="289"/>
      <c r="AS2" s="289"/>
    </row>
    <row r="3" ht="18" customHeight="1" spans="1:45">
      <c r="A3" s="135" t="s">
        <v>102</v>
      </c>
      <c r="B3" s="136" t="s">
        <v>103</v>
      </c>
      <c r="C3" s="173" t="s">
        <v>104</v>
      </c>
      <c r="D3" s="111"/>
      <c r="E3" s="16"/>
      <c r="F3" s="16"/>
      <c r="G3" s="16"/>
      <c r="H3" s="169">
        <v>35</v>
      </c>
      <c r="I3" s="274"/>
      <c r="J3" s="166">
        <v>2500</v>
      </c>
      <c r="K3" s="48"/>
      <c r="L3" s="48"/>
      <c r="M3" s="48"/>
      <c r="N3" s="16"/>
      <c r="O3" s="106">
        <f t="shared" ref="O3:O6" si="0">D3*35+E3*80+F3*60+G3*30</f>
        <v>0</v>
      </c>
      <c r="P3" s="166">
        <f t="shared" ref="P3:P7" si="1">SUM(J3:N3)</f>
        <v>2500</v>
      </c>
      <c r="Q3" s="166">
        <f>J3*1.5+K3*3+L3*2.5+M3*5+N3*6</f>
        <v>3750</v>
      </c>
      <c r="R3" s="189">
        <f>Q3*3/52</f>
        <v>216.346153846154</v>
      </c>
      <c r="S3" s="204">
        <f>H3/J3</f>
        <v>0.014</v>
      </c>
      <c r="T3" s="282">
        <f>P3/H3</f>
        <v>71.4285714285714</v>
      </c>
      <c r="U3" s="50"/>
      <c r="V3" s="50"/>
      <c r="W3" s="50"/>
      <c r="X3" s="50"/>
      <c r="Y3" s="50"/>
      <c r="Z3" s="50"/>
      <c r="AA3" s="50"/>
      <c r="AB3" s="50"/>
      <c r="AC3" s="145"/>
      <c r="AD3" s="145"/>
      <c r="AE3" s="145"/>
      <c r="AF3" s="145"/>
      <c r="AG3" s="145"/>
      <c r="AH3" s="50"/>
      <c r="AI3" s="145"/>
      <c r="AJ3" s="145"/>
      <c r="AK3" s="145"/>
      <c r="AL3" s="145"/>
      <c r="AM3" s="145"/>
      <c r="AN3" s="158"/>
      <c r="AO3" s="258"/>
      <c r="AP3" s="145"/>
      <c r="AQ3" s="289"/>
      <c r="AR3" s="289"/>
      <c r="AS3" s="289"/>
    </row>
    <row r="4" ht="18" customHeight="1" spans="1:45">
      <c r="A4" s="138"/>
      <c r="B4" s="139"/>
      <c r="C4" s="158" t="s">
        <v>105</v>
      </c>
      <c r="D4" s="111">
        <v>10</v>
      </c>
      <c r="E4" s="16"/>
      <c r="F4" s="16"/>
      <c r="G4" s="16"/>
      <c r="H4" s="169">
        <v>50</v>
      </c>
      <c r="I4" s="275">
        <v>-0.05</v>
      </c>
      <c r="J4" s="50">
        <v>2500</v>
      </c>
      <c r="K4" s="16"/>
      <c r="L4" s="16"/>
      <c r="M4" s="16"/>
      <c r="N4" s="16"/>
      <c r="O4" s="111">
        <f t="shared" si="0"/>
        <v>350</v>
      </c>
      <c r="P4" s="50">
        <f t="shared" si="1"/>
        <v>2500</v>
      </c>
      <c r="Q4" s="50">
        <f t="shared" ref="Q4:Q16" si="2">J4*1.5+K4*3+L4*2.5+M4*5+N4*6</f>
        <v>3750</v>
      </c>
      <c r="R4" s="193">
        <f t="shared" ref="R4:R16" si="3">Q4*3/52</f>
        <v>216.346153846154</v>
      </c>
      <c r="S4" s="206">
        <f>H4/J4</f>
        <v>0.02</v>
      </c>
      <c r="T4" s="283">
        <f>P4/H4</f>
        <v>50</v>
      </c>
      <c r="U4" s="50"/>
      <c r="V4" s="50"/>
      <c r="W4" s="50"/>
      <c r="X4" s="50"/>
      <c r="Y4" s="50"/>
      <c r="Z4" s="50"/>
      <c r="AA4" s="50"/>
      <c r="AB4" s="50"/>
      <c r="AC4" s="145"/>
      <c r="AD4" s="145"/>
      <c r="AE4" s="145"/>
      <c r="AF4" s="145"/>
      <c r="AG4" s="145"/>
      <c r="AH4" s="50"/>
      <c r="AI4" s="145"/>
      <c r="AJ4" s="145"/>
      <c r="AK4" s="145"/>
      <c r="AL4" s="145"/>
      <c r="AM4" s="145"/>
      <c r="AN4" s="158"/>
      <c r="AO4" s="258"/>
      <c r="AP4" s="145"/>
      <c r="AQ4" s="289"/>
      <c r="AR4" s="289"/>
      <c r="AS4" s="289"/>
    </row>
    <row r="5" ht="18" customHeight="1" spans="1:45">
      <c r="A5" s="138"/>
      <c r="B5" s="139"/>
      <c r="C5" s="158" t="s">
        <v>106</v>
      </c>
      <c r="D5" s="111">
        <v>20</v>
      </c>
      <c r="E5" s="16"/>
      <c r="F5" s="16"/>
      <c r="G5" s="16"/>
      <c r="H5" s="169">
        <v>65</v>
      </c>
      <c r="I5" s="275">
        <v>-0.1</v>
      </c>
      <c r="J5" s="50">
        <v>2500</v>
      </c>
      <c r="K5" s="16"/>
      <c r="L5" s="16"/>
      <c r="M5" s="16"/>
      <c r="N5" s="16"/>
      <c r="O5" s="111">
        <f t="shared" si="0"/>
        <v>700</v>
      </c>
      <c r="P5" s="50">
        <f t="shared" si="1"/>
        <v>2500</v>
      </c>
      <c r="Q5" s="50">
        <f t="shared" si="2"/>
        <v>3750</v>
      </c>
      <c r="R5" s="193">
        <f t="shared" si="3"/>
        <v>216.346153846154</v>
      </c>
      <c r="S5" s="206">
        <f>H5/J5</f>
        <v>0.026</v>
      </c>
      <c r="T5" s="283">
        <f>P5/H5</f>
        <v>38.4615384615385</v>
      </c>
      <c r="U5" s="50"/>
      <c r="V5" s="50"/>
      <c r="W5" s="50"/>
      <c r="X5" s="50"/>
      <c r="Y5" s="50"/>
      <c r="Z5" s="50"/>
      <c r="AA5" s="50"/>
      <c r="AB5" s="50"/>
      <c r="AC5" s="145"/>
      <c r="AD5" s="145"/>
      <c r="AE5" s="145"/>
      <c r="AF5" s="145"/>
      <c r="AG5" s="145"/>
      <c r="AH5" s="50"/>
      <c r="AI5" s="145"/>
      <c r="AJ5" s="145"/>
      <c r="AK5" s="145"/>
      <c r="AL5" s="145"/>
      <c r="AM5" s="145"/>
      <c r="AN5" s="158"/>
      <c r="AO5" s="258"/>
      <c r="AP5" s="145"/>
      <c r="AQ5" s="289"/>
      <c r="AR5" s="289"/>
      <c r="AS5" s="289"/>
    </row>
    <row r="6" ht="18" customHeight="1" spans="1:45">
      <c r="A6" s="138"/>
      <c r="B6" s="141"/>
      <c r="C6" s="175" t="s">
        <v>107</v>
      </c>
      <c r="D6" s="111">
        <v>20</v>
      </c>
      <c r="E6" s="16">
        <v>3</v>
      </c>
      <c r="F6" s="16"/>
      <c r="G6" s="16"/>
      <c r="H6" s="169">
        <v>120</v>
      </c>
      <c r="I6" s="275">
        <v>-0.15</v>
      </c>
      <c r="J6" s="50">
        <v>1500</v>
      </c>
      <c r="K6" s="16">
        <v>1000</v>
      </c>
      <c r="L6" s="16"/>
      <c r="M6" s="16"/>
      <c r="N6" s="16"/>
      <c r="O6" s="111">
        <f t="shared" ref="O6:O12" si="4">D6*35+E6*80+F6*60+G6*30</f>
        <v>940</v>
      </c>
      <c r="P6" s="50">
        <f t="shared" si="1"/>
        <v>2500</v>
      </c>
      <c r="Q6" s="50">
        <f t="shared" si="2"/>
        <v>5250</v>
      </c>
      <c r="R6" s="193">
        <f t="shared" si="3"/>
        <v>302.884615384615</v>
      </c>
      <c r="S6" s="206">
        <f>H6/J6</f>
        <v>0.08</v>
      </c>
      <c r="T6" s="284">
        <f>P6/H6</f>
        <v>20.8333333333333</v>
      </c>
      <c r="U6" s="50"/>
      <c r="V6" s="50"/>
      <c r="W6" s="50"/>
      <c r="X6" s="50"/>
      <c r="Y6" s="50"/>
      <c r="Z6" s="50"/>
      <c r="AA6" s="50"/>
      <c r="AB6" s="50"/>
      <c r="AC6" s="145"/>
      <c r="AD6" s="145"/>
      <c r="AE6" s="145"/>
      <c r="AF6" s="145"/>
      <c r="AG6" s="145"/>
      <c r="AH6" s="50"/>
      <c r="AI6" s="145"/>
      <c r="AJ6" s="145"/>
      <c r="AK6" s="145"/>
      <c r="AL6" s="145"/>
      <c r="AM6" s="291"/>
      <c r="AN6" s="158"/>
      <c r="AO6" s="258"/>
      <c r="AP6" s="145"/>
      <c r="AQ6" s="289"/>
      <c r="AR6" s="289"/>
      <c r="AS6" s="289"/>
    </row>
    <row r="7" ht="18" customHeight="1" spans="1:45">
      <c r="A7" s="138"/>
      <c r="B7" s="139" t="s">
        <v>108</v>
      </c>
      <c r="C7" s="16" t="s">
        <v>109</v>
      </c>
      <c r="D7" s="106"/>
      <c r="E7" s="48"/>
      <c r="F7" s="48"/>
      <c r="G7" s="48"/>
      <c r="H7" s="168"/>
      <c r="I7" s="144"/>
      <c r="J7" s="166"/>
      <c r="K7" s="48"/>
      <c r="L7" s="48"/>
      <c r="M7" s="48"/>
      <c r="N7" s="48"/>
      <c r="O7" s="106">
        <f t="shared" si="4"/>
        <v>0</v>
      </c>
      <c r="P7" s="166">
        <f t="shared" si="1"/>
        <v>0</v>
      </c>
      <c r="Q7" s="166">
        <f t="shared" si="2"/>
        <v>0</v>
      </c>
      <c r="R7" s="189">
        <f t="shared" si="3"/>
        <v>0</v>
      </c>
      <c r="S7" s="204"/>
      <c r="T7" s="283"/>
      <c r="U7" s="50"/>
      <c r="V7" s="50"/>
      <c r="W7" s="50"/>
      <c r="X7" s="50"/>
      <c r="Y7" s="50"/>
      <c r="Z7" s="50"/>
      <c r="AA7" s="50"/>
      <c r="AB7" s="50"/>
      <c r="AC7" s="145"/>
      <c r="AD7" s="145"/>
      <c r="AE7" s="145"/>
      <c r="AF7" s="145"/>
      <c r="AG7" s="145"/>
      <c r="AH7" s="50"/>
      <c r="AI7" s="145"/>
      <c r="AJ7" s="145"/>
      <c r="AK7" s="145"/>
      <c r="AL7" s="145"/>
      <c r="AM7" s="145"/>
      <c r="AN7" s="50"/>
      <c r="AO7" s="258"/>
      <c r="AP7" s="145"/>
      <c r="AQ7" s="289"/>
      <c r="AR7" s="289"/>
      <c r="AS7" s="289"/>
    </row>
    <row r="8" ht="18" customHeight="1" spans="1:45">
      <c r="A8" s="138"/>
      <c r="B8" s="139"/>
      <c r="C8" s="16" t="s">
        <v>110</v>
      </c>
      <c r="D8" s="111">
        <v>5</v>
      </c>
      <c r="E8" s="16"/>
      <c r="F8" s="16">
        <v>1</v>
      </c>
      <c r="G8" s="16"/>
      <c r="H8" s="169">
        <v>30</v>
      </c>
      <c r="I8" s="275">
        <v>-0.05</v>
      </c>
      <c r="J8" s="50">
        <v>-750</v>
      </c>
      <c r="K8" s="16">
        <v>500</v>
      </c>
      <c r="L8" s="16"/>
      <c r="M8" s="16"/>
      <c r="N8" s="16"/>
      <c r="O8" s="111">
        <f t="shared" si="4"/>
        <v>235</v>
      </c>
      <c r="P8" s="50">
        <f t="shared" ref="P8:P16" si="5">SUM(J8:N8)</f>
        <v>-250</v>
      </c>
      <c r="Q8" s="50">
        <f t="shared" si="2"/>
        <v>375</v>
      </c>
      <c r="R8" s="193">
        <f t="shared" si="3"/>
        <v>21.6346153846154</v>
      </c>
      <c r="S8" s="206"/>
      <c r="T8" s="283"/>
      <c r="U8" s="50"/>
      <c r="V8" s="50"/>
      <c r="W8" s="50"/>
      <c r="X8" s="50"/>
      <c r="Y8" s="50"/>
      <c r="Z8" s="50"/>
      <c r="AA8" s="50"/>
      <c r="AB8" s="50"/>
      <c r="AC8" s="145"/>
      <c r="AD8" s="145"/>
      <c r="AE8" s="145"/>
      <c r="AF8" s="145"/>
      <c r="AG8" s="145"/>
      <c r="AH8" s="50"/>
      <c r="AI8" s="145"/>
      <c r="AJ8" s="145"/>
      <c r="AK8" s="145"/>
      <c r="AL8" s="145"/>
      <c r="AM8" s="145"/>
      <c r="AN8" s="50"/>
      <c r="AO8" s="258"/>
      <c r="AP8" s="145"/>
      <c r="AQ8" s="289"/>
      <c r="AR8" s="289"/>
      <c r="AS8" s="289"/>
    </row>
    <row r="9" ht="18" customHeight="1" spans="1:45">
      <c r="A9" s="138"/>
      <c r="B9" s="139"/>
      <c r="C9" s="16" t="s">
        <v>111</v>
      </c>
      <c r="D9" s="116">
        <v>10</v>
      </c>
      <c r="E9" s="61">
        <v>2</v>
      </c>
      <c r="F9" s="61">
        <v>1</v>
      </c>
      <c r="G9" s="61">
        <v>5</v>
      </c>
      <c r="H9" s="170">
        <v>80</v>
      </c>
      <c r="I9" s="276">
        <v>-0.1</v>
      </c>
      <c r="J9" s="167">
        <v>-1500</v>
      </c>
      <c r="K9" s="61">
        <v>1000</v>
      </c>
      <c r="L9" s="61"/>
      <c r="M9" s="61"/>
      <c r="N9" s="61"/>
      <c r="O9" s="111">
        <f t="shared" ref="O9:O16" si="6">D9*35+E9*80+F9*60+G9*30</f>
        <v>720</v>
      </c>
      <c r="P9" s="50">
        <f t="shared" si="5"/>
        <v>-500</v>
      </c>
      <c r="Q9" s="50">
        <f t="shared" si="2"/>
        <v>750</v>
      </c>
      <c r="R9" s="193">
        <f t="shared" si="3"/>
        <v>43.2692307692308</v>
      </c>
      <c r="S9" s="207"/>
      <c r="T9" s="283"/>
      <c r="U9" s="50"/>
      <c r="V9" s="50"/>
      <c r="W9" s="50"/>
      <c r="X9" s="50"/>
      <c r="Y9" s="50"/>
      <c r="Z9" s="50"/>
      <c r="AA9" s="50"/>
      <c r="AB9" s="50"/>
      <c r="AC9" s="145"/>
      <c r="AD9" s="145"/>
      <c r="AE9" s="145"/>
      <c r="AF9" s="145"/>
      <c r="AG9" s="145"/>
      <c r="AH9" s="50"/>
      <c r="AI9" s="145"/>
      <c r="AJ9" s="145"/>
      <c r="AK9" s="145"/>
      <c r="AL9" s="145"/>
      <c r="AM9" s="145"/>
      <c r="AN9" s="50"/>
      <c r="AO9" s="258"/>
      <c r="AP9" s="145"/>
      <c r="AQ9" s="289"/>
      <c r="AR9" s="289"/>
      <c r="AS9" s="289"/>
    </row>
    <row r="10" ht="18" customHeight="1" spans="1:45">
      <c r="A10" s="138"/>
      <c r="B10" s="136" t="s">
        <v>112</v>
      </c>
      <c r="C10" s="48" t="s">
        <v>113</v>
      </c>
      <c r="D10" s="111"/>
      <c r="E10" s="16"/>
      <c r="F10" s="16"/>
      <c r="G10" s="16"/>
      <c r="H10" s="169"/>
      <c r="I10" s="155"/>
      <c r="J10" s="50">
        <v>1500</v>
      </c>
      <c r="K10" s="16"/>
      <c r="L10" s="16"/>
      <c r="M10" s="16"/>
      <c r="N10" s="16"/>
      <c r="O10" s="106">
        <f t="shared" si="4"/>
        <v>0</v>
      </c>
      <c r="P10" s="166">
        <f t="shared" si="5"/>
        <v>1500</v>
      </c>
      <c r="Q10" s="166">
        <f t="shared" si="2"/>
        <v>2250</v>
      </c>
      <c r="R10" s="189">
        <f t="shared" si="3"/>
        <v>129.807692307692</v>
      </c>
      <c r="S10" s="206"/>
      <c r="T10" s="282"/>
      <c r="U10" s="50"/>
      <c r="V10" s="50"/>
      <c r="W10" s="50"/>
      <c r="X10" s="50"/>
      <c r="Y10" s="50"/>
      <c r="Z10" s="50"/>
      <c r="AA10" s="50"/>
      <c r="AB10" s="50"/>
      <c r="AC10" s="145"/>
      <c r="AD10" s="145"/>
      <c r="AE10" s="145"/>
      <c r="AF10" s="145"/>
      <c r="AG10" s="145"/>
      <c r="AH10" s="50"/>
      <c r="AI10" s="145"/>
      <c r="AJ10" s="145"/>
      <c r="AK10" s="145"/>
      <c r="AL10" s="145"/>
      <c r="AM10" s="145"/>
      <c r="AN10" s="50"/>
      <c r="AO10" s="258"/>
      <c r="AP10" s="145"/>
      <c r="AQ10" s="289"/>
      <c r="AR10" s="289"/>
      <c r="AS10" s="289"/>
    </row>
    <row r="11" ht="18" customHeight="1" spans="1:45">
      <c r="A11" s="138"/>
      <c r="B11" s="139"/>
      <c r="C11" s="158" t="s">
        <v>114</v>
      </c>
      <c r="D11" s="111"/>
      <c r="E11" s="16">
        <v>2</v>
      </c>
      <c r="F11" s="16"/>
      <c r="G11" s="16"/>
      <c r="H11" s="169">
        <v>25</v>
      </c>
      <c r="I11" s="275">
        <v>-0.05</v>
      </c>
      <c r="J11" s="50">
        <v>500</v>
      </c>
      <c r="K11" s="16">
        <v>250</v>
      </c>
      <c r="L11" s="16"/>
      <c r="M11" s="16"/>
      <c r="N11" s="16"/>
      <c r="O11" s="111">
        <f t="shared" si="4"/>
        <v>160</v>
      </c>
      <c r="P11" s="50">
        <f t="shared" si="5"/>
        <v>750</v>
      </c>
      <c r="Q11" s="50">
        <f t="shared" si="2"/>
        <v>1500</v>
      </c>
      <c r="R11" s="193">
        <f t="shared" si="3"/>
        <v>86.5384615384615</v>
      </c>
      <c r="S11" s="206">
        <f>H11/J11</f>
        <v>0.05</v>
      </c>
      <c r="T11" s="283">
        <f>P11/H11</f>
        <v>30</v>
      </c>
      <c r="U11" s="50"/>
      <c r="V11" s="50"/>
      <c r="W11" s="50"/>
      <c r="X11" s="50"/>
      <c r="Y11" s="50"/>
      <c r="Z11" s="50"/>
      <c r="AA11" s="50"/>
      <c r="AB11" s="50"/>
      <c r="AC11" s="145"/>
      <c r="AD11" s="145"/>
      <c r="AE11" s="145"/>
      <c r="AF11" s="145"/>
      <c r="AG11" s="145"/>
      <c r="AH11" s="50"/>
      <c r="AI11" s="145"/>
      <c r="AJ11" s="145"/>
      <c r="AK11" s="145"/>
      <c r="AL11" s="145"/>
      <c r="AM11" s="145"/>
      <c r="AN11" s="158"/>
      <c r="AO11" s="258"/>
      <c r="AP11" s="145"/>
      <c r="AQ11" s="289"/>
      <c r="AR11" s="289"/>
      <c r="AS11" s="289"/>
    </row>
    <row r="12" ht="18" customHeight="1" spans="1:45">
      <c r="A12" s="138"/>
      <c r="B12" s="141"/>
      <c r="C12" s="61" t="s">
        <v>115</v>
      </c>
      <c r="D12" s="111">
        <v>5</v>
      </c>
      <c r="E12" s="16">
        <v>5</v>
      </c>
      <c r="F12" s="16"/>
      <c r="G12" s="16"/>
      <c r="H12" s="169">
        <v>50</v>
      </c>
      <c r="I12" s="276">
        <v>-0.1</v>
      </c>
      <c r="J12" s="50"/>
      <c r="K12" s="16">
        <v>500</v>
      </c>
      <c r="L12" s="16"/>
      <c r="M12" s="16"/>
      <c r="N12" s="16"/>
      <c r="O12" s="111">
        <f t="shared" si="6"/>
        <v>575</v>
      </c>
      <c r="P12" s="167">
        <f t="shared" si="5"/>
        <v>500</v>
      </c>
      <c r="Q12" s="50">
        <f t="shared" si="2"/>
        <v>1500</v>
      </c>
      <c r="R12" s="193">
        <f t="shared" si="3"/>
        <v>86.5384615384615</v>
      </c>
      <c r="S12" s="206">
        <f>H12/P12</f>
        <v>0.1</v>
      </c>
      <c r="T12" s="284">
        <f>P12/H12</f>
        <v>10</v>
      </c>
      <c r="U12" s="50"/>
      <c r="V12" s="50"/>
      <c r="W12" s="50"/>
      <c r="X12" s="50"/>
      <c r="Y12" s="50"/>
      <c r="Z12" s="50"/>
      <c r="AA12" s="50"/>
      <c r="AB12" s="50"/>
      <c r="AC12" s="145"/>
      <c r="AD12" s="145"/>
      <c r="AE12" s="145"/>
      <c r="AF12" s="145"/>
      <c r="AG12" s="145"/>
      <c r="AH12" s="50"/>
      <c r="AI12" s="145"/>
      <c r="AJ12" s="145"/>
      <c r="AK12" s="145"/>
      <c r="AL12" s="145"/>
      <c r="AM12" s="145"/>
      <c r="AN12" s="50"/>
      <c r="AO12" s="258"/>
      <c r="AP12" s="145"/>
      <c r="AQ12" s="289"/>
      <c r="AR12" s="289"/>
      <c r="AS12" s="289"/>
    </row>
    <row r="13" ht="18" customHeight="1" spans="1:45">
      <c r="A13" s="138"/>
      <c r="B13" s="152" t="s">
        <v>116</v>
      </c>
      <c r="C13" s="16" t="s">
        <v>117</v>
      </c>
      <c r="D13" s="106"/>
      <c r="E13" s="48"/>
      <c r="F13" s="48"/>
      <c r="G13" s="48"/>
      <c r="H13" s="168"/>
      <c r="I13" s="274"/>
      <c r="J13" s="166"/>
      <c r="K13" s="48">
        <v>250</v>
      </c>
      <c r="L13" s="48"/>
      <c r="M13" s="48"/>
      <c r="N13" s="48">
        <v>250</v>
      </c>
      <c r="O13" s="106">
        <f t="shared" si="6"/>
        <v>0</v>
      </c>
      <c r="P13" s="50">
        <f t="shared" si="5"/>
        <v>500</v>
      </c>
      <c r="Q13" s="166">
        <f t="shared" si="2"/>
        <v>2250</v>
      </c>
      <c r="R13" s="189">
        <f t="shared" si="3"/>
        <v>129.807692307692</v>
      </c>
      <c r="S13" s="204"/>
      <c r="T13" s="283"/>
      <c r="U13" s="50"/>
      <c r="V13" s="50"/>
      <c r="W13" s="50"/>
      <c r="X13" s="50"/>
      <c r="Y13" s="50"/>
      <c r="Z13" s="50"/>
      <c r="AA13" s="50"/>
      <c r="AB13" s="50"/>
      <c r="AC13" s="145"/>
      <c r="AD13" s="145"/>
      <c r="AE13" s="145"/>
      <c r="AF13" s="145"/>
      <c r="AG13" s="145"/>
      <c r="AH13" s="50"/>
      <c r="AI13" s="145"/>
      <c r="AJ13" s="145"/>
      <c r="AK13" s="145"/>
      <c r="AL13" s="145"/>
      <c r="AM13" s="145"/>
      <c r="AN13" s="50"/>
      <c r="AO13" s="258"/>
      <c r="AP13" s="145"/>
      <c r="AQ13" s="289"/>
      <c r="AR13" s="289"/>
      <c r="AS13" s="289"/>
    </row>
    <row r="14" ht="18" customHeight="1" spans="1:45">
      <c r="A14" s="138"/>
      <c r="B14" s="152"/>
      <c r="C14" s="16" t="s">
        <v>118</v>
      </c>
      <c r="D14" s="111"/>
      <c r="E14" s="16"/>
      <c r="F14" s="16"/>
      <c r="G14" s="16"/>
      <c r="H14" s="169"/>
      <c r="I14" s="155"/>
      <c r="J14" s="50"/>
      <c r="K14" s="16">
        <v>500</v>
      </c>
      <c r="L14" s="16"/>
      <c r="M14" s="61"/>
      <c r="N14" s="16"/>
      <c r="O14" s="116">
        <f t="shared" si="6"/>
        <v>0</v>
      </c>
      <c r="P14" s="50">
        <f t="shared" si="5"/>
        <v>500</v>
      </c>
      <c r="Q14" s="50">
        <f t="shared" si="2"/>
        <v>1500</v>
      </c>
      <c r="R14" s="193">
        <f t="shared" si="3"/>
        <v>86.5384615384615</v>
      </c>
      <c r="S14" s="207"/>
      <c r="T14" s="283"/>
      <c r="U14" s="50"/>
      <c r="V14" s="50"/>
      <c r="W14" s="50"/>
      <c r="X14" s="50"/>
      <c r="Y14" s="50"/>
      <c r="Z14" s="50"/>
      <c r="AA14" s="50"/>
      <c r="AB14" s="50"/>
      <c r="AC14" s="145"/>
      <c r="AD14" s="145"/>
      <c r="AE14" s="145"/>
      <c r="AF14" s="145"/>
      <c r="AG14" s="145"/>
      <c r="AH14" s="50"/>
      <c r="AI14" s="145"/>
      <c r="AJ14" s="145"/>
      <c r="AK14" s="145"/>
      <c r="AL14" s="145"/>
      <c r="AM14" s="145"/>
      <c r="AN14" s="50"/>
      <c r="AO14" s="258"/>
      <c r="AP14" s="145"/>
      <c r="AQ14" s="289"/>
      <c r="AR14" s="289"/>
      <c r="AS14" s="289"/>
    </row>
    <row r="15" ht="18" customHeight="1" spans="1:45">
      <c r="A15" s="138"/>
      <c r="B15" s="143" t="s">
        <v>119</v>
      </c>
      <c r="C15" s="48" t="s">
        <v>120</v>
      </c>
      <c r="D15" s="106"/>
      <c r="E15" s="48"/>
      <c r="F15" s="48"/>
      <c r="G15" s="48"/>
      <c r="H15" s="168"/>
      <c r="I15" s="144"/>
      <c r="J15" s="166"/>
      <c r="K15" s="48">
        <v>200</v>
      </c>
      <c r="L15" s="48">
        <v>200</v>
      </c>
      <c r="M15" s="16">
        <v>100</v>
      </c>
      <c r="N15" s="48"/>
      <c r="O15" s="111">
        <f t="shared" si="6"/>
        <v>0</v>
      </c>
      <c r="P15" s="166">
        <f t="shared" si="5"/>
        <v>500</v>
      </c>
      <c r="Q15" s="166">
        <f t="shared" si="2"/>
        <v>1600</v>
      </c>
      <c r="R15" s="189">
        <f t="shared" si="3"/>
        <v>92.3076923076923</v>
      </c>
      <c r="S15" s="206"/>
      <c r="T15" s="282"/>
      <c r="U15" s="50"/>
      <c r="V15" s="50"/>
      <c r="W15" s="50"/>
      <c r="X15" s="50"/>
      <c r="Y15" s="50"/>
      <c r="Z15" s="50"/>
      <c r="AA15" s="50"/>
      <c r="AB15" s="50"/>
      <c r="AC15" s="145"/>
      <c r="AD15" s="145"/>
      <c r="AE15" s="145"/>
      <c r="AF15" s="145"/>
      <c r="AG15" s="145"/>
      <c r="AH15" s="50"/>
      <c r="AI15" s="145"/>
      <c r="AJ15" s="145"/>
      <c r="AK15" s="145"/>
      <c r="AL15" s="145"/>
      <c r="AM15" s="145"/>
      <c r="AN15" s="50"/>
      <c r="AO15" s="258"/>
      <c r="AP15" s="145"/>
      <c r="AQ15" s="289"/>
      <c r="AR15" s="289"/>
      <c r="AS15" s="289"/>
    </row>
    <row r="16" ht="18" customHeight="1" spans="1:45">
      <c r="A16" s="138"/>
      <c r="B16" s="70"/>
      <c r="C16" s="158" t="s">
        <v>121</v>
      </c>
      <c r="D16" s="111"/>
      <c r="E16" s="16"/>
      <c r="F16" s="16"/>
      <c r="G16" s="16"/>
      <c r="H16" s="169"/>
      <c r="I16" s="277"/>
      <c r="J16" s="50"/>
      <c r="K16" s="16">
        <v>500</v>
      </c>
      <c r="L16" s="16"/>
      <c r="M16" s="16"/>
      <c r="N16" s="16"/>
      <c r="O16" s="111">
        <f t="shared" si="6"/>
        <v>0</v>
      </c>
      <c r="P16" s="50">
        <f t="shared" si="5"/>
        <v>500</v>
      </c>
      <c r="Q16" s="50">
        <f t="shared" si="2"/>
        <v>1500</v>
      </c>
      <c r="R16" s="193">
        <f t="shared" si="3"/>
        <v>86.5384615384615</v>
      </c>
      <c r="S16" s="206"/>
      <c r="T16" s="284"/>
      <c r="U16" s="50"/>
      <c r="V16" s="50"/>
      <c r="W16" s="50"/>
      <c r="X16" s="50"/>
      <c r="Y16" s="50"/>
      <c r="Z16" s="50"/>
      <c r="AA16" s="50"/>
      <c r="AB16" s="50"/>
      <c r="AC16" s="145"/>
      <c r="AD16" s="145"/>
      <c r="AE16" s="145"/>
      <c r="AF16" s="145"/>
      <c r="AG16" s="145"/>
      <c r="AH16" s="50"/>
      <c r="AI16" s="145"/>
      <c r="AJ16" s="145"/>
      <c r="AK16" s="145"/>
      <c r="AL16" s="145"/>
      <c r="AM16" s="145"/>
      <c r="AN16" s="50"/>
      <c r="AO16" s="145"/>
      <c r="AP16" s="145"/>
      <c r="AQ16" s="289"/>
      <c r="AR16" s="289"/>
      <c r="AS16" s="289"/>
    </row>
    <row r="17" ht="18" customHeight="1" spans="1:45">
      <c r="A17" s="156" t="s">
        <v>122</v>
      </c>
      <c r="B17" s="156"/>
      <c r="C17" s="157"/>
      <c r="D17" s="159">
        <f t="shared" ref="D17:J17" si="7">D3+D7+D10+D13+D15</f>
        <v>0</v>
      </c>
      <c r="E17" s="159">
        <f t="shared" si="7"/>
        <v>0</v>
      </c>
      <c r="F17" s="159">
        <f t="shared" si="7"/>
        <v>0</v>
      </c>
      <c r="G17" s="159">
        <f t="shared" si="7"/>
        <v>0</v>
      </c>
      <c r="H17" s="159">
        <f t="shared" si="7"/>
        <v>35</v>
      </c>
      <c r="I17" s="199">
        <f t="shared" si="7"/>
        <v>0</v>
      </c>
      <c r="J17" s="278">
        <f t="shared" si="7"/>
        <v>4000</v>
      </c>
      <c r="K17" s="278">
        <f t="shared" ref="K17:R17" si="8">K3+K7+K10+K13+K15</f>
        <v>450</v>
      </c>
      <c r="L17" s="278">
        <f t="shared" si="8"/>
        <v>200</v>
      </c>
      <c r="M17" s="278">
        <f t="shared" si="8"/>
        <v>100</v>
      </c>
      <c r="N17" s="278">
        <f t="shared" si="8"/>
        <v>250</v>
      </c>
      <c r="O17" s="278">
        <f t="shared" si="8"/>
        <v>0</v>
      </c>
      <c r="P17" s="278">
        <f t="shared" si="8"/>
        <v>5000</v>
      </c>
      <c r="Q17" s="278">
        <f t="shared" si="8"/>
        <v>9850</v>
      </c>
      <c r="R17" s="285">
        <f t="shared" si="8"/>
        <v>568.269230769231</v>
      </c>
      <c r="S17" s="286">
        <f>H17/P17</f>
        <v>0.007</v>
      </c>
      <c r="T17" s="287">
        <f>P17/H17</f>
        <v>142.857142857143</v>
      </c>
      <c r="U17" s="50"/>
      <c r="V17" s="50"/>
      <c r="W17" s="50"/>
      <c r="X17" s="50"/>
      <c r="Y17" s="50"/>
      <c r="Z17" s="50"/>
      <c r="AA17" s="50"/>
      <c r="AB17" s="50"/>
      <c r="AC17" s="145"/>
      <c r="AD17" s="145"/>
      <c r="AE17" s="145"/>
      <c r="AF17" s="145"/>
      <c r="AG17" s="145"/>
      <c r="AH17" s="50"/>
      <c r="AI17" s="145"/>
      <c r="AJ17" s="145"/>
      <c r="AK17" s="145"/>
      <c r="AL17" s="145"/>
      <c r="AM17" s="145"/>
      <c r="AN17" s="158"/>
      <c r="AO17" s="145"/>
      <c r="AP17" s="145"/>
      <c r="AQ17" s="289"/>
      <c r="AR17" s="289"/>
      <c r="AS17" s="289"/>
    </row>
    <row r="18" ht="18" customHeight="1" spans="1:45">
      <c r="A18" s="156" t="s">
        <v>123</v>
      </c>
      <c r="B18" s="156"/>
      <c r="C18" s="157"/>
      <c r="D18" s="159">
        <f>SUM(D6,D9,D12,D14,D16)</f>
        <v>35</v>
      </c>
      <c r="E18" s="159">
        <f t="shared" ref="E18:K18" si="9">SUM(E6,E9,E12,E14,E16)</f>
        <v>10</v>
      </c>
      <c r="F18" s="159">
        <f t="shared" si="9"/>
        <v>1</v>
      </c>
      <c r="G18" s="159">
        <f t="shared" si="9"/>
        <v>5</v>
      </c>
      <c r="H18" s="159">
        <f t="shared" si="9"/>
        <v>250</v>
      </c>
      <c r="I18" s="199">
        <f t="shared" si="9"/>
        <v>-0.35</v>
      </c>
      <c r="J18" s="159">
        <f t="shared" si="9"/>
        <v>0</v>
      </c>
      <c r="K18" s="159">
        <f t="shared" si="9"/>
        <v>3500</v>
      </c>
      <c r="L18" s="159">
        <f t="shared" ref="L18:S18" si="10">SUM(L6,L9,L12,L14,L16)</f>
        <v>0</v>
      </c>
      <c r="M18" s="159">
        <f t="shared" si="10"/>
        <v>0</v>
      </c>
      <c r="N18" s="159">
        <f t="shared" si="10"/>
        <v>0</v>
      </c>
      <c r="O18" s="159">
        <f t="shared" si="10"/>
        <v>2235</v>
      </c>
      <c r="P18" s="159">
        <f>P6+P9+P12+P14+P16</f>
        <v>3500</v>
      </c>
      <c r="Q18" s="159">
        <f t="shared" si="10"/>
        <v>10500</v>
      </c>
      <c r="R18" s="285">
        <f t="shared" si="10"/>
        <v>605.769230769231</v>
      </c>
      <c r="S18" s="286">
        <f>H18/P18</f>
        <v>0.0714285714285714</v>
      </c>
      <c r="T18" s="287">
        <f>P18/H18</f>
        <v>14</v>
      </c>
      <c r="U18" s="50"/>
      <c r="V18" s="50"/>
      <c r="W18" s="50"/>
      <c r="X18" s="50"/>
      <c r="Y18" s="50"/>
      <c r="Z18" s="50"/>
      <c r="AA18" s="50"/>
      <c r="AB18" s="50"/>
      <c r="AC18" s="145"/>
      <c r="AD18" s="145"/>
      <c r="AE18" s="145"/>
      <c r="AF18" s="145"/>
      <c r="AG18" s="145"/>
      <c r="AH18" s="50"/>
      <c r="AI18" s="145"/>
      <c r="AJ18" s="145"/>
      <c r="AK18" s="145"/>
      <c r="AL18" s="145"/>
      <c r="AM18" s="145"/>
      <c r="AN18" s="158"/>
      <c r="AO18" s="145"/>
      <c r="AP18" s="145"/>
      <c r="AQ18" s="289"/>
      <c r="AR18" s="289"/>
      <c r="AS18" s="289"/>
    </row>
    <row r="19" ht="18" customHeight="1" spans="19:45">
      <c r="S19" s="206"/>
      <c r="T19" s="206"/>
      <c r="U19" s="50"/>
      <c r="V19" s="50"/>
      <c r="W19" s="50"/>
      <c r="X19" s="50"/>
      <c r="Y19" s="50"/>
      <c r="Z19" s="50"/>
      <c r="AA19" s="50"/>
      <c r="AB19" s="145"/>
      <c r="AC19" s="145"/>
      <c r="AD19" s="145"/>
      <c r="AE19" s="145"/>
      <c r="AF19" s="145"/>
      <c r="AG19" s="145"/>
      <c r="AH19" s="50"/>
      <c r="AI19" s="291"/>
      <c r="AJ19" s="145"/>
      <c r="AK19" s="145"/>
      <c r="AL19" s="145"/>
      <c r="AM19" s="145"/>
      <c r="AN19" s="192"/>
      <c r="AO19" s="145"/>
      <c r="AP19" s="145"/>
      <c r="AQ19" s="289"/>
      <c r="AR19" s="289"/>
      <c r="AS19" s="289"/>
    </row>
    <row r="20" ht="18" customHeight="1" spans="1:45">
      <c r="A20" s="139"/>
      <c r="B20" s="257"/>
      <c r="C20" s="158"/>
      <c r="D20" s="47"/>
      <c r="E20" s="47"/>
      <c r="F20" s="47"/>
      <c r="G20" s="47"/>
      <c r="H20" s="47"/>
      <c r="I20" s="47"/>
      <c r="J20" s="47"/>
      <c r="K20" s="50"/>
      <c r="L20" s="50"/>
      <c r="M20" s="50"/>
      <c r="N20" s="50"/>
      <c r="O20" s="50"/>
      <c r="P20" s="50"/>
      <c r="Q20" s="50"/>
      <c r="R20" s="50"/>
      <c r="S20" s="206"/>
      <c r="T20" s="206"/>
      <c r="U20" s="50"/>
      <c r="V20" s="50"/>
      <c r="W20" s="50"/>
      <c r="X20" s="50"/>
      <c r="Y20" s="50"/>
      <c r="Z20" s="50"/>
      <c r="AA20" s="50"/>
      <c r="AB20" s="145"/>
      <c r="AC20" s="145"/>
      <c r="AD20" s="145"/>
      <c r="AE20" s="145"/>
      <c r="AF20" s="145"/>
      <c r="AG20" s="145"/>
      <c r="AH20" s="50"/>
      <c r="AI20" s="145"/>
      <c r="AJ20" s="145"/>
      <c r="AK20" s="145"/>
      <c r="AL20" s="145"/>
      <c r="AM20" s="145"/>
      <c r="AN20" s="158"/>
      <c r="AO20" s="145"/>
      <c r="AP20" s="145"/>
      <c r="AQ20" s="289"/>
      <c r="AR20" s="289"/>
      <c r="AS20" s="289"/>
    </row>
    <row r="21" ht="18" customHeight="1" spans="1:45">
      <c r="A21" s="139"/>
      <c r="B21" s="258"/>
      <c r="C21" s="50"/>
      <c r="D21" s="47"/>
      <c r="E21" s="47"/>
      <c r="F21" s="47"/>
      <c r="G21" s="47"/>
      <c r="H21" s="47"/>
      <c r="I21" s="47"/>
      <c r="J21" s="47"/>
      <c r="K21" s="50"/>
      <c r="L21" s="50"/>
      <c r="M21" s="50"/>
      <c r="N21" s="50"/>
      <c r="O21" s="50"/>
      <c r="P21" s="50"/>
      <c r="Q21" s="50"/>
      <c r="R21" s="50"/>
      <c r="S21" s="206"/>
      <c r="T21" s="206"/>
      <c r="U21" s="50"/>
      <c r="V21" s="50"/>
      <c r="W21" s="50"/>
      <c r="X21" s="50"/>
      <c r="Y21" s="50"/>
      <c r="Z21" s="50"/>
      <c r="AA21" s="50"/>
      <c r="AB21" s="145"/>
      <c r="AC21" s="145"/>
      <c r="AD21" s="145"/>
      <c r="AE21" s="145"/>
      <c r="AF21" s="145"/>
      <c r="AG21" s="145"/>
      <c r="AH21" s="50"/>
      <c r="AI21" s="145"/>
      <c r="AJ21" s="145"/>
      <c r="AK21" s="145"/>
      <c r="AL21" s="145"/>
      <c r="AM21" s="145"/>
      <c r="AN21" s="50"/>
      <c r="AO21" s="145"/>
      <c r="AP21" s="145"/>
      <c r="AQ21" s="289"/>
      <c r="AR21" s="289"/>
      <c r="AS21" s="289"/>
    </row>
    <row r="22" spans="1:45">
      <c r="A22" s="259"/>
      <c r="B22" s="260"/>
      <c r="C22" s="261"/>
      <c r="D22" s="259"/>
      <c r="E22" s="259"/>
      <c r="F22" s="259"/>
      <c r="G22" s="259"/>
      <c r="H22" s="259"/>
      <c r="I22" s="259"/>
      <c r="J22" s="259"/>
      <c r="K22" s="259"/>
      <c r="L22" s="259"/>
      <c r="M22" s="259"/>
      <c r="N22" s="259"/>
      <c r="O22" s="259"/>
      <c r="P22" s="259"/>
      <c r="Q22" s="259"/>
      <c r="R22" s="259"/>
      <c r="S22" s="288"/>
      <c r="T22" s="288"/>
      <c r="U22" s="289"/>
      <c r="V22" s="289"/>
      <c r="W22" s="289"/>
      <c r="X22" s="289"/>
      <c r="Y22" s="289"/>
      <c r="Z22" s="289"/>
      <c r="AA22" s="289"/>
      <c r="AB22" s="289"/>
      <c r="AC22" s="289"/>
      <c r="AD22" s="289"/>
      <c r="AE22" s="289"/>
      <c r="AF22" s="289"/>
      <c r="AG22" s="289"/>
      <c r="AH22" s="289"/>
      <c r="AI22" s="289"/>
      <c r="AJ22" s="289"/>
      <c r="AK22" s="289"/>
      <c r="AL22" s="289"/>
      <c r="AM22" s="289"/>
      <c r="AN22" s="289"/>
      <c r="AO22" s="289"/>
      <c r="AP22" s="289"/>
      <c r="AQ22" s="289"/>
      <c r="AR22" s="289"/>
      <c r="AS22" s="289"/>
    </row>
    <row r="23" spans="1:45">
      <c r="A23" s="259"/>
      <c r="B23" s="260"/>
      <c r="C23" s="261"/>
      <c r="D23" s="259"/>
      <c r="E23" s="259"/>
      <c r="F23" s="259"/>
      <c r="G23" s="259"/>
      <c r="H23" s="259"/>
      <c r="I23" s="259"/>
      <c r="J23" s="259"/>
      <c r="K23" s="259"/>
      <c r="L23" s="259"/>
      <c r="M23" s="259"/>
      <c r="N23" s="259"/>
      <c r="O23" s="259"/>
      <c r="P23" s="259"/>
      <c r="Q23" s="259"/>
      <c r="R23" s="259"/>
      <c r="S23" s="288"/>
      <c r="T23" s="288"/>
      <c r="U23" s="289"/>
      <c r="V23" s="289"/>
      <c r="W23" s="289"/>
      <c r="X23" s="289"/>
      <c r="Y23" s="289"/>
      <c r="Z23" s="289"/>
      <c r="AA23" s="289"/>
      <c r="AB23" s="289"/>
      <c r="AC23" s="289"/>
      <c r="AD23" s="289"/>
      <c r="AE23" s="289"/>
      <c r="AF23" s="289"/>
      <c r="AG23" s="289"/>
      <c r="AH23" s="289"/>
      <c r="AI23" s="289"/>
      <c r="AJ23" s="289"/>
      <c r="AK23" s="289"/>
      <c r="AL23" s="289"/>
      <c r="AM23" s="289"/>
      <c r="AN23" s="289"/>
      <c r="AO23" s="289"/>
      <c r="AP23" s="289"/>
      <c r="AQ23" s="289"/>
      <c r="AR23" s="289"/>
      <c r="AS23" s="289"/>
    </row>
    <row r="25" ht="17.25" customHeight="1"/>
    <row r="26" customHeight="1"/>
    <row r="27" ht="17.25" customHeight="1"/>
    <row r="28" ht="15" customHeight="1"/>
    <row r="32" spans="1:19">
      <c r="A32" s="262" t="s">
        <v>124</v>
      </c>
      <c r="B32" s="263" t="s">
        <v>5</v>
      </c>
      <c r="C32" s="264" t="s">
        <v>30</v>
      </c>
      <c r="D32" s="265" t="s">
        <v>11</v>
      </c>
      <c r="E32" s="265" t="s">
        <v>46</v>
      </c>
      <c r="F32" s="265" t="s">
        <v>10</v>
      </c>
      <c r="G32" s="265" t="s">
        <v>35</v>
      </c>
      <c r="H32" s="265" t="s">
        <v>9</v>
      </c>
      <c r="I32" s="267" t="s">
        <v>12</v>
      </c>
      <c r="J32" s="265" t="s">
        <v>125</v>
      </c>
      <c r="K32" s="265" t="s">
        <v>2</v>
      </c>
      <c r="L32" s="267" t="s">
        <v>14</v>
      </c>
      <c r="M32" s="251" t="s">
        <v>15</v>
      </c>
      <c r="N32" s="265" t="s">
        <v>97</v>
      </c>
      <c r="O32" s="265" t="s">
        <v>98</v>
      </c>
      <c r="P32" s="265" t="s">
        <v>126</v>
      </c>
      <c r="Q32" s="267" t="s">
        <v>19</v>
      </c>
      <c r="R32" s="265" t="s">
        <v>20</v>
      </c>
      <c r="S32" s="290" t="s">
        <v>23</v>
      </c>
    </row>
    <row r="33" spans="1:19">
      <c r="A33" s="265" t="s">
        <v>127</v>
      </c>
      <c r="B33" s="263"/>
      <c r="I33" s="267"/>
      <c r="L33" s="267"/>
      <c r="Q33" s="267"/>
      <c r="R33" s="251">
        <f>C33*商品!L16+D33*商品!K16+E33*商品!K6+F33*商品!F16+G33*商品!I4+H33*商品!J6</f>
        <v>0</v>
      </c>
      <c r="S33" s="254" t="e">
        <f>J33/(M33+N33+O33)</f>
        <v>#DIV/0!</v>
      </c>
    </row>
    <row r="34" spans="1:18">
      <c r="A34" s="265" t="s">
        <v>128</v>
      </c>
      <c r="B34" s="263"/>
      <c r="I34" s="267"/>
      <c r="L34" s="267"/>
      <c r="Q34" s="267"/>
      <c r="R34" s="251" t="e">
        <f>C34*商品!#REF!+D34*商品!#REF!+E34*商品!#REF!+F34*商品!#REF!+G34*商品!#REF!+H34*商品!#REF!</f>
        <v>#REF!</v>
      </c>
    </row>
    <row r="35" spans="1:18">
      <c r="A35" s="265" t="s">
        <v>129</v>
      </c>
      <c r="B35" s="263"/>
      <c r="I35" s="267"/>
      <c r="L35" s="267"/>
      <c r="Q35" s="267"/>
      <c r="R35" s="251" t="e">
        <f>C35*商品!#REF!+D35*商品!#REF!+E35*商品!#REF!+F35*商品!A9+G35*商品!#REF!+H35*商品!D5</f>
        <v>#REF!</v>
      </c>
    </row>
    <row r="36" spans="1:18">
      <c r="A36" s="265" t="s">
        <v>130</v>
      </c>
      <c r="B36" s="263"/>
      <c r="I36" s="267"/>
      <c r="L36" s="267"/>
      <c r="Q36" s="267"/>
      <c r="R36" s="251" t="e">
        <f>C36*商品!#REF!+D36*商品!#REF!+E36*商品!L35+F36*商品!#REF!+G36*商品!#REF!+H36*商品!#REF!</f>
        <v>#REF!</v>
      </c>
    </row>
    <row r="37" spans="1:18">
      <c r="A37" s="265" t="s">
        <v>131</v>
      </c>
      <c r="B37" s="263"/>
      <c r="I37" s="267"/>
      <c r="L37" s="267"/>
      <c r="Q37" s="267"/>
      <c r="R37" s="251" t="e">
        <f>C37*商品!#REF!+D37*商品!#REF!+E37*商品!L36+F37*商品!#REF!+G37*商品!#REF!+H37*商品!#REF!</f>
        <v>#REF!</v>
      </c>
    </row>
    <row r="38" spans="1:18">
      <c r="A38" s="265" t="s">
        <v>132</v>
      </c>
      <c r="B38" s="263"/>
      <c r="I38" s="267"/>
      <c r="L38" s="267"/>
      <c r="Q38" s="267"/>
      <c r="R38" s="251" t="e">
        <f>C38*商品!#REF!+D38*商品!#REF!+E38*商品!L37+F38*商品!A15+G38*商品!#REF!+H38*商品!#REF!</f>
        <v>#REF!</v>
      </c>
    </row>
    <row r="39" spans="2:2">
      <c r="B39" s="266"/>
    </row>
    <row r="40" spans="1:19">
      <c r="A40" s="262" t="s">
        <v>102</v>
      </c>
      <c r="B40" s="263" t="s">
        <v>5</v>
      </c>
      <c r="C40" s="264" t="s">
        <v>30</v>
      </c>
      <c r="D40" s="265" t="s">
        <v>11</v>
      </c>
      <c r="E40" s="265" t="s">
        <v>46</v>
      </c>
      <c r="F40" s="265" t="s">
        <v>133</v>
      </c>
      <c r="G40" s="267" t="s">
        <v>12</v>
      </c>
      <c r="H40" s="265" t="s">
        <v>134</v>
      </c>
      <c r="I40" s="265" t="s">
        <v>135</v>
      </c>
      <c r="J40" s="265" t="s">
        <v>2</v>
      </c>
      <c r="K40" s="267" t="s">
        <v>14</v>
      </c>
      <c r="L40" s="265" t="s">
        <v>98</v>
      </c>
      <c r="M40" s="265" t="s">
        <v>99</v>
      </c>
      <c r="N40" s="265" t="s">
        <v>97</v>
      </c>
      <c r="O40" s="265" t="s">
        <v>136</v>
      </c>
      <c r="P40" s="265" t="s">
        <v>126</v>
      </c>
      <c r="Q40" s="267" t="s">
        <v>19</v>
      </c>
      <c r="R40" s="265" t="s">
        <v>20</v>
      </c>
      <c r="S40" s="290" t="s">
        <v>23</v>
      </c>
    </row>
    <row r="41" spans="1:19">
      <c r="A41" s="268" t="s">
        <v>137</v>
      </c>
      <c r="B41" s="263"/>
      <c r="C41" s="269"/>
      <c r="D41" s="270"/>
      <c r="E41" s="270"/>
      <c r="F41" s="270"/>
      <c r="G41" s="267"/>
      <c r="H41" s="270"/>
      <c r="I41" s="270"/>
      <c r="J41" s="270"/>
      <c r="K41" s="267"/>
      <c r="L41" s="270"/>
      <c r="M41" s="270"/>
      <c r="N41" s="270"/>
      <c r="Q41" s="267"/>
      <c r="R41" s="251">
        <f>C41*商品!L16+D41*商品!K16+E41*商品!K6+F41*商品!H4</f>
        <v>0</v>
      </c>
      <c r="S41" s="254" t="e">
        <f>H41/(L41+M41+N41+P41)</f>
        <v>#DIV/0!</v>
      </c>
    </row>
    <row r="42" ht="33" spans="1:19">
      <c r="A42" s="268" t="s">
        <v>138</v>
      </c>
      <c r="B42" s="263"/>
      <c r="C42" s="269"/>
      <c r="D42" s="270"/>
      <c r="E42" s="270"/>
      <c r="F42" s="270"/>
      <c r="G42" s="267"/>
      <c r="H42" s="270"/>
      <c r="I42" s="270"/>
      <c r="J42" s="270"/>
      <c r="K42" s="267"/>
      <c r="L42" s="270"/>
      <c r="M42" s="270"/>
      <c r="N42" s="270"/>
      <c r="Q42" s="267"/>
      <c r="R42" s="251" t="e">
        <f>C42*商品!#REF!+D42*商品!#REF!+E42*商品!#REF!+F42*商品!B33</f>
        <v>#REF!</v>
      </c>
      <c r="S42" s="254" t="e">
        <f t="shared" ref="S42:S50" si="11">H42/(L42+M42+N42+P42)</f>
        <v>#DIV/0!</v>
      </c>
    </row>
    <row r="43" spans="1:19">
      <c r="A43" s="268" t="s">
        <v>139</v>
      </c>
      <c r="B43" s="263"/>
      <c r="G43" s="267"/>
      <c r="K43" s="267"/>
      <c r="Q43" s="267"/>
      <c r="R43" s="251" t="e">
        <f>C43*商品!#REF!+D43*商品!#REF!+E43*商品!#REF!+F43*商品!B34</f>
        <v>#REF!</v>
      </c>
      <c r="S43" s="254" t="e">
        <f t="shared" si="11"/>
        <v>#DIV/0!</v>
      </c>
    </row>
    <row r="44" spans="1:19">
      <c r="A44" s="271" t="s">
        <v>140</v>
      </c>
      <c r="B44" s="263"/>
      <c r="G44" s="267"/>
      <c r="K44" s="267"/>
      <c r="Q44" s="267"/>
      <c r="R44" s="251" t="e">
        <f>C44*商品!#REF!+D44*商品!#REF!+E44*商品!L35+F44*商品!B35</f>
        <v>#REF!</v>
      </c>
      <c r="S44" s="254" t="e">
        <f t="shared" si="11"/>
        <v>#DIV/0!</v>
      </c>
    </row>
    <row r="45" spans="1:19">
      <c r="A45" s="271" t="s">
        <v>141</v>
      </c>
      <c r="B45" s="263"/>
      <c r="G45" s="267"/>
      <c r="K45" s="267"/>
      <c r="Q45" s="267"/>
      <c r="R45" s="251" t="e">
        <f>C45*商品!#REF!+D45*商品!#REF!+E45*商品!L36+F45*商品!B36</f>
        <v>#REF!</v>
      </c>
      <c r="S45" s="254" t="e">
        <f t="shared" si="11"/>
        <v>#DIV/0!</v>
      </c>
    </row>
    <row r="46" spans="1:19">
      <c r="A46" s="271" t="s">
        <v>142</v>
      </c>
      <c r="B46" s="263"/>
      <c r="G46" s="267"/>
      <c r="K46" s="267"/>
      <c r="Q46" s="267"/>
      <c r="R46" s="251" t="e">
        <f>C46*商品!#REF!+D46*商品!#REF!+E46*商品!L37+F46*商品!B37</f>
        <v>#REF!</v>
      </c>
      <c r="S46" s="254" t="e">
        <f t="shared" si="11"/>
        <v>#DIV/0!</v>
      </c>
    </row>
    <row r="47" spans="1:19">
      <c r="A47" s="271" t="s">
        <v>143</v>
      </c>
      <c r="B47" s="263"/>
      <c r="G47" s="267"/>
      <c r="K47" s="267"/>
      <c r="Q47" s="267"/>
      <c r="R47" s="251" t="e">
        <f>C47*商品!#REF!+D47*商品!#REF!+E47*商品!L38+F47*商品!B38</f>
        <v>#REF!</v>
      </c>
      <c r="S47" s="254" t="e">
        <f t="shared" si="11"/>
        <v>#DIV/0!</v>
      </c>
    </row>
    <row r="48" spans="1:19">
      <c r="A48" s="271" t="s">
        <v>144</v>
      </c>
      <c r="B48" s="263"/>
      <c r="G48" s="267"/>
      <c r="K48" s="267"/>
      <c r="Q48" s="267"/>
      <c r="R48" s="251" t="e">
        <f>C48*商品!#REF!+D48*商品!#REF!+E48*商品!L39+F48*商品!B39</f>
        <v>#REF!</v>
      </c>
      <c r="S48" s="254" t="e">
        <f t="shared" si="11"/>
        <v>#DIV/0!</v>
      </c>
    </row>
    <row r="49" spans="1:19">
      <c r="A49" s="271" t="s">
        <v>145</v>
      </c>
      <c r="B49" s="263"/>
      <c r="G49" s="267"/>
      <c r="K49" s="267"/>
      <c r="Q49" s="267"/>
      <c r="R49" s="251" t="e">
        <f>C49*商品!#REF!+D49*商品!#REF!+E49*商品!L40+F49*商品!B40</f>
        <v>#REF!</v>
      </c>
      <c r="S49" s="254" t="e">
        <f t="shared" si="11"/>
        <v>#DIV/0!</v>
      </c>
    </row>
    <row r="50" spans="1:19">
      <c r="A50" s="271" t="s">
        <v>146</v>
      </c>
      <c r="B50" s="263"/>
      <c r="G50" s="267"/>
      <c r="K50" s="267"/>
      <c r="Q50" s="267"/>
      <c r="R50" s="251" t="e">
        <f>C50*商品!#REF!+D50*商品!#REF!+E50*商品!L41+F50*商品!B41</f>
        <v>#REF!</v>
      </c>
      <c r="S50" s="254" t="e">
        <f t="shared" si="11"/>
        <v>#DIV/0!</v>
      </c>
    </row>
    <row r="51" spans="1:17">
      <c r="A51" s="265" t="s">
        <v>147</v>
      </c>
      <c r="B51" s="263"/>
      <c r="G51" s="267"/>
      <c r="K51" s="267"/>
      <c r="Q51" s="267"/>
    </row>
    <row r="52" spans="1:17">
      <c r="A52" s="265" t="s">
        <v>148</v>
      </c>
      <c r="B52" s="263"/>
      <c r="G52" s="267"/>
      <c r="K52" s="267"/>
      <c r="Q52" s="267"/>
    </row>
    <row r="53" spans="1:17">
      <c r="A53" s="272" t="s">
        <v>149</v>
      </c>
      <c r="B53" s="263"/>
      <c r="G53" s="267"/>
      <c r="K53" s="267"/>
      <c r="Q53" s="267"/>
    </row>
    <row r="54" spans="1:17">
      <c r="A54" s="272" t="s">
        <v>150</v>
      </c>
      <c r="B54" s="263"/>
      <c r="G54" s="267"/>
      <c r="K54" s="267"/>
      <c r="Q54" s="267"/>
    </row>
    <row r="55" spans="2:9">
      <c r="B55" s="266"/>
      <c r="I55" s="267"/>
    </row>
    <row r="56" spans="1:17">
      <c r="A56" s="262" t="s">
        <v>151</v>
      </c>
      <c r="B56" s="263" t="s">
        <v>5</v>
      </c>
      <c r="C56" s="264" t="s">
        <v>30</v>
      </c>
      <c r="D56" s="265" t="s">
        <v>11</v>
      </c>
      <c r="E56" s="265" t="s">
        <v>133</v>
      </c>
      <c r="F56" s="267" t="s">
        <v>12</v>
      </c>
      <c r="G56" s="265" t="s">
        <v>152</v>
      </c>
      <c r="H56" s="265" t="s">
        <v>153</v>
      </c>
      <c r="I56" s="265" t="s">
        <v>2</v>
      </c>
      <c r="J56" s="267" t="s">
        <v>14</v>
      </c>
      <c r="K56" s="265" t="s">
        <v>154</v>
      </c>
      <c r="L56" s="265" t="s">
        <v>15</v>
      </c>
      <c r="M56" s="265" t="s">
        <v>97</v>
      </c>
      <c r="N56" s="265" t="s">
        <v>126</v>
      </c>
      <c r="O56" s="267" t="s">
        <v>19</v>
      </c>
      <c r="P56" s="265" t="s">
        <v>20</v>
      </c>
      <c r="Q56" s="265" t="s">
        <v>23</v>
      </c>
    </row>
    <row r="57" spans="1:17">
      <c r="A57" s="268" t="s">
        <v>155</v>
      </c>
      <c r="B57" s="263"/>
      <c r="C57" s="269"/>
      <c r="D57" s="270"/>
      <c r="E57" s="270"/>
      <c r="F57" s="267"/>
      <c r="G57" s="270"/>
      <c r="H57" s="270"/>
      <c r="I57" s="270"/>
      <c r="J57" s="267"/>
      <c r="K57" s="270"/>
      <c r="L57" s="270"/>
      <c r="M57" s="270"/>
      <c r="O57" s="267"/>
      <c r="P57" s="251">
        <f>C57*商品!L16+D57*商品!K16+E57*商品!H4</f>
        <v>0</v>
      </c>
      <c r="Q57" s="251" t="e">
        <f t="shared" ref="Q57:Q62" si="12">G57/(K57+L57+M57+N57)</f>
        <v>#DIV/0!</v>
      </c>
    </row>
    <row r="58" spans="1:17">
      <c r="A58" s="268" t="s">
        <v>156</v>
      </c>
      <c r="B58" s="263"/>
      <c r="C58" s="269"/>
      <c r="D58" s="270"/>
      <c r="E58" s="270"/>
      <c r="F58" s="267"/>
      <c r="G58" s="270"/>
      <c r="H58" s="270"/>
      <c r="I58" s="270"/>
      <c r="J58" s="267"/>
      <c r="K58" s="270"/>
      <c r="L58" s="270"/>
      <c r="M58" s="270"/>
      <c r="O58" s="267"/>
      <c r="P58" s="251" t="e">
        <f>C58*商品!#REF!+D58*商品!#REF!+E58*商品!B33</f>
        <v>#REF!</v>
      </c>
      <c r="Q58" s="251" t="e">
        <f t="shared" si="12"/>
        <v>#DIV/0!</v>
      </c>
    </row>
    <row r="59" spans="1:17">
      <c r="A59" s="268" t="s">
        <v>157</v>
      </c>
      <c r="B59" s="263"/>
      <c r="F59" s="267"/>
      <c r="J59" s="267"/>
      <c r="O59" s="267"/>
      <c r="P59" s="251" t="e">
        <f>C59*商品!#REF!+D59*商品!#REF!+E59*商品!B34</f>
        <v>#REF!</v>
      </c>
      <c r="Q59" s="251" t="e">
        <f t="shared" si="12"/>
        <v>#DIV/0!</v>
      </c>
    </row>
    <row r="60" spans="1:17">
      <c r="A60" s="271" t="s">
        <v>158</v>
      </c>
      <c r="B60" s="263"/>
      <c r="F60" s="267"/>
      <c r="J60" s="267"/>
      <c r="O60" s="267"/>
      <c r="P60" s="251" t="e">
        <f>C60*商品!#REF!+D60*商品!#REF!+E60*商品!B35</f>
        <v>#REF!</v>
      </c>
      <c r="Q60" s="251" t="e">
        <f t="shared" si="12"/>
        <v>#DIV/0!</v>
      </c>
    </row>
    <row r="61" spans="1:17">
      <c r="A61" s="271" t="s">
        <v>159</v>
      </c>
      <c r="B61" s="263"/>
      <c r="F61" s="267"/>
      <c r="J61" s="267"/>
      <c r="O61" s="267"/>
      <c r="P61" s="251" t="e">
        <f>C61*商品!#REF!+D61*商品!#REF!+E61*商品!B36</f>
        <v>#REF!</v>
      </c>
      <c r="Q61" s="251" t="e">
        <f t="shared" si="12"/>
        <v>#DIV/0!</v>
      </c>
    </row>
    <row r="62" spans="1:17">
      <c r="A62" s="271" t="s">
        <v>160</v>
      </c>
      <c r="B62" s="263"/>
      <c r="F62" s="267"/>
      <c r="J62" s="267"/>
      <c r="O62" s="267"/>
      <c r="P62" s="251" t="e">
        <f>C62*商品!#REF!+D62*商品!#REF!+E62*商品!B37</f>
        <v>#REF!</v>
      </c>
      <c r="Q62" s="251" t="e">
        <f t="shared" si="12"/>
        <v>#DIV/0!</v>
      </c>
    </row>
    <row r="64" s="16" customFormat="1" ht="17.25" spans="1:20">
      <c r="A64" s="154" t="s">
        <v>72</v>
      </c>
      <c r="B64" s="143" t="s">
        <v>73</v>
      </c>
      <c r="C64" s="273" t="s">
        <v>74</v>
      </c>
      <c r="S64" s="130"/>
      <c r="T64" s="130"/>
    </row>
    <row r="65" s="16" customFormat="1" ht="17.25" spans="1:20">
      <c r="A65" s="153"/>
      <c r="B65" s="70"/>
      <c r="C65" s="292"/>
      <c r="S65" s="130"/>
      <c r="T65" s="130"/>
    </row>
    <row r="66" s="16" customFormat="1" ht="17.25" spans="1:20">
      <c r="A66" s="135" t="s">
        <v>161</v>
      </c>
      <c r="B66" s="136" t="s">
        <v>162</v>
      </c>
      <c r="C66" s="137" t="s">
        <v>163</v>
      </c>
      <c r="S66" s="130"/>
      <c r="T66" s="130"/>
    </row>
    <row r="67" s="16" customFormat="1" ht="17.25" spans="1:20">
      <c r="A67" s="138"/>
      <c r="B67" s="152"/>
      <c r="C67" s="140" t="s">
        <v>164</v>
      </c>
      <c r="S67" s="130"/>
      <c r="T67" s="130"/>
    </row>
    <row r="68" s="16" customFormat="1" ht="17.25" spans="1:20">
      <c r="A68" s="138"/>
      <c r="B68" s="152"/>
      <c r="C68" s="140" t="s">
        <v>165</v>
      </c>
      <c r="S68" s="130"/>
      <c r="T68" s="130"/>
    </row>
    <row r="69" s="16" customFormat="1" ht="17.25" spans="1:20">
      <c r="A69" s="138"/>
      <c r="B69" s="152"/>
      <c r="C69" s="82" t="s">
        <v>166</v>
      </c>
      <c r="S69" s="130"/>
      <c r="T69" s="130"/>
    </row>
    <row r="70" s="16" customFormat="1" ht="17.25" spans="1:20">
      <c r="A70" s="138"/>
      <c r="B70" s="152"/>
      <c r="C70" s="140" t="s">
        <v>167</v>
      </c>
      <c r="S70" s="130"/>
      <c r="T70" s="130"/>
    </row>
    <row r="71" s="16" customFormat="1" ht="17.25" spans="1:20">
      <c r="A71" s="138"/>
      <c r="B71" s="152"/>
      <c r="C71" s="82" t="s">
        <v>168</v>
      </c>
      <c r="S71" s="130"/>
      <c r="T71" s="130"/>
    </row>
    <row r="72" s="16" customFormat="1" ht="17.25" spans="1:20">
      <c r="A72" s="138"/>
      <c r="B72" s="141"/>
      <c r="C72" s="79" t="s">
        <v>169</v>
      </c>
      <c r="S72" s="130"/>
      <c r="T72" s="130"/>
    </row>
    <row r="73" s="16" customFormat="1" ht="17.25" spans="1:20">
      <c r="A73" s="138"/>
      <c r="B73" s="152" t="s">
        <v>170</v>
      </c>
      <c r="C73" s="82" t="s">
        <v>171</v>
      </c>
      <c r="S73" s="130"/>
      <c r="T73" s="130"/>
    </row>
    <row r="74" s="16" customFormat="1" ht="17.25" spans="1:20">
      <c r="A74" s="138"/>
      <c r="B74" s="152"/>
      <c r="C74" s="82" t="s">
        <v>172</v>
      </c>
      <c r="S74" s="130"/>
      <c r="T74" s="130"/>
    </row>
    <row r="75" s="16" customFormat="1" ht="17.25" spans="1:20">
      <c r="A75" s="138"/>
      <c r="B75" s="152"/>
      <c r="C75" s="82" t="s">
        <v>173</v>
      </c>
      <c r="S75" s="130"/>
      <c r="T75" s="130"/>
    </row>
    <row r="76" s="16" customFormat="1" ht="17.25" spans="1:20">
      <c r="A76" s="138"/>
      <c r="B76" s="152"/>
      <c r="C76" s="82" t="s">
        <v>174</v>
      </c>
      <c r="S76" s="130"/>
      <c r="T76" s="130"/>
    </row>
    <row r="77" s="16" customFormat="1" ht="17.25" spans="1:20">
      <c r="A77" s="138"/>
      <c r="B77" s="152"/>
      <c r="C77" s="79" t="s">
        <v>175</v>
      </c>
      <c r="S77" s="130"/>
      <c r="T77" s="130"/>
    </row>
    <row r="78" s="16" customFormat="1" ht="17.25" spans="1:20">
      <c r="A78" s="138"/>
      <c r="B78" s="136" t="s">
        <v>176</v>
      </c>
      <c r="C78" s="140" t="s">
        <v>177</v>
      </c>
      <c r="S78" s="130"/>
      <c r="T78" s="130"/>
    </row>
    <row r="79" s="16" customFormat="1" ht="17.25" spans="1:20">
      <c r="A79" s="138"/>
      <c r="B79" s="152"/>
      <c r="C79" s="82" t="s">
        <v>178</v>
      </c>
      <c r="S79" s="130"/>
      <c r="T79" s="130"/>
    </row>
    <row r="80" s="16" customFormat="1" ht="17.25" spans="1:20">
      <c r="A80" s="138"/>
      <c r="B80" s="152"/>
      <c r="C80" s="82" t="s">
        <v>179</v>
      </c>
      <c r="S80" s="130"/>
      <c r="T80" s="130"/>
    </row>
    <row r="81" s="16" customFormat="1" ht="17.25" spans="1:20">
      <c r="A81" s="138"/>
      <c r="B81" s="141"/>
      <c r="C81" s="79" t="s">
        <v>180</v>
      </c>
      <c r="S81" s="130"/>
      <c r="T81" s="130"/>
    </row>
    <row r="82" s="16" customFormat="1" ht="17.25" spans="1:20">
      <c r="A82" s="138"/>
      <c r="B82" s="152" t="s">
        <v>181</v>
      </c>
      <c r="C82" s="82" t="s">
        <v>182</v>
      </c>
      <c r="S82" s="130"/>
      <c r="T82" s="130"/>
    </row>
    <row r="83" s="16" customFormat="1" ht="17.25" spans="1:20">
      <c r="A83" s="138"/>
      <c r="B83" s="152"/>
      <c r="C83" s="82" t="s">
        <v>183</v>
      </c>
      <c r="S83" s="130"/>
      <c r="T83" s="130"/>
    </row>
    <row r="84" s="16" customFormat="1" ht="17.25" spans="1:20">
      <c r="A84" s="138"/>
      <c r="B84" s="152"/>
      <c r="C84" s="82" t="s">
        <v>184</v>
      </c>
      <c r="S84" s="130"/>
      <c r="T84" s="130"/>
    </row>
    <row r="85" s="16" customFormat="1" ht="17.25" spans="1:20">
      <c r="A85" s="138"/>
      <c r="B85" s="152"/>
      <c r="C85" s="82" t="s">
        <v>185</v>
      </c>
      <c r="S85" s="130"/>
      <c r="T85" s="130"/>
    </row>
    <row r="86" s="16" customFormat="1" ht="17.25" spans="1:20">
      <c r="A86" s="138"/>
      <c r="B86" s="152"/>
      <c r="C86" s="82" t="s">
        <v>186</v>
      </c>
      <c r="S86" s="130"/>
      <c r="T86" s="130"/>
    </row>
    <row r="87" s="16" customFormat="1" ht="17.25" spans="1:20">
      <c r="A87" s="138"/>
      <c r="B87" s="143" t="s">
        <v>187</v>
      </c>
      <c r="C87" s="78" t="s">
        <v>188</v>
      </c>
      <c r="S87" s="130"/>
      <c r="T87" s="130"/>
    </row>
    <row r="88" s="16" customFormat="1" ht="17.25" spans="1:20">
      <c r="A88" s="138"/>
      <c r="B88" s="70"/>
      <c r="C88" s="140" t="s">
        <v>189</v>
      </c>
      <c r="S88" s="130"/>
      <c r="T88" s="130"/>
    </row>
    <row r="89" s="16" customFormat="1" ht="17.25" spans="1:20">
      <c r="A89" s="138"/>
      <c r="B89" s="70"/>
      <c r="C89" s="82" t="s">
        <v>190</v>
      </c>
      <c r="S89" s="130"/>
      <c r="T89" s="130"/>
    </row>
    <row r="90" ht="17.25" spans="1:3">
      <c r="A90" s="146"/>
      <c r="B90" s="147"/>
      <c r="C90" s="79" t="s">
        <v>191</v>
      </c>
    </row>
  </sheetData>
  <sheetProtection formatCells="0" insertHyperlinks="0" autoFilter="0"/>
  <mergeCells count="35">
    <mergeCell ref="A17:C17"/>
    <mergeCell ref="A18:C18"/>
    <mergeCell ref="A1:A2"/>
    <mergeCell ref="A3:A16"/>
    <mergeCell ref="A64:A65"/>
    <mergeCell ref="A66:A90"/>
    <mergeCell ref="B1:B2"/>
    <mergeCell ref="B3:B6"/>
    <mergeCell ref="B7:B9"/>
    <mergeCell ref="B10:B12"/>
    <mergeCell ref="B13:B14"/>
    <mergeCell ref="B15:B16"/>
    <mergeCell ref="B64:B65"/>
    <mergeCell ref="B66:B72"/>
    <mergeCell ref="B73:B77"/>
    <mergeCell ref="B78:B81"/>
    <mergeCell ref="B82:B86"/>
    <mergeCell ref="B87:B90"/>
    <mergeCell ref="C1:C2"/>
    <mergeCell ref="C64:C65"/>
    <mergeCell ref="F56:F62"/>
    <mergeCell ref="G40:G54"/>
    <mergeCell ref="I32:I38"/>
    <mergeCell ref="J56:J62"/>
    <mergeCell ref="K40:K54"/>
    <mergeCell ref="L32:L38"/>
    <mergeCell ref="O1:O2"/>
    <mergeCell ref="O56:O62"/>
    <mergeCell ref="P1:P2"/>
    <mergeCell ref="Q1:Q2"/>
    <mergeCell ref="Q32:Q38"/>
    <mergeCell ref="Q40:Q54"/>
    <mergeCell ref="R1:R2"/>
    <mergeCell ref="S1:S2"/>
    <mergeCell ref="T1:T2"/>
  </mergeCells>
  <pageMargins left="0.75" right="0.75" top="1" bottom="1" header="0.5" footer="0.5"/>
  <pageSetup paperSize="9" orientation="portrait"/>
  <headerFooter/>
  <ignoredErrors>
    <ignoredError sqref="P18" formula="1"/>
    <ignoredError sqref="P6:P12 P4:P5" formulaRange="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Y173"/>
  <sheetViews>
    <sheetView topLeftCell="A118" workbookViewId="0">
      <selection activeCell="M144" sqref="M144"/>
    </sheetView>
  </sheetViews>
  <sheetFormatPr defaultColWidth="8.725" defaultRowHeight="18.75"/>
  <cols>
    <col min="1" max="1" width="23.6333333333333" style="241" customWidth="1"/>
    <col min="2" max="2" width="7" style="241" customWidth="1"/>
    <col min="3" max="3" width="8.09166666666667" style="241" customWidth="1"/>
    <col min="4" max="6" width="12.1833333333333" style="241" customWidth="1"/>
    <col min="7" max="7" width="15.0916666666667" style="241" customWidth="1"/>
    <col min="8" max="10" width="12.1833333333333" style="241" customWidth="1"/>
    <col min="11" max="11" width="9.36666666666667" style="241" customWidth="1"/>
    <col min="12" max="13" width="12.1833333333333" style="241" customWidth="1"/>
    <col min="14" max="16" width="9.36666666666667" style="241" customWidth="1"/>
    <col min="17" max="18" width="16.3666666666667" style="241" customWidth="1"/>
    <col min="19" max="19" width="9.36666666666667" style="241" customWidth="1"/>
    <col min="20" max="25" width="16.3666666666667" style="241" customWidth="1"/>
  </cols>
  <sheetData>
    <row r="1" spans="1:21">
      <c r="A1" s="242" t="s">
        <v>192</v>
      </c>
      <c r="B1" s="243" t="s">
        <v>5</v>
      </c>
      <c r="C1" s="241" t="s">
        <v>193</v>
      </c>
      <c r="D1" s="241" t="s">
        <v>10</v>
      </c>
      <c r="E1" s="241" t="s">
        <v>194</v>
      </c>
      <c r="F1" s="241" t="s">
        <v>35</v>
      </c>
      <c r="G1" s="241" t="s">
        <v>47</v>
      </c>
      <c r="H1" s="241" t="s">
        <v>30</v>
      </c>
      <c r="I1" s="243" t="s">
        <v>12</v>
      </c>
      <c r="J1" s="241" t="s">
        <v>9</v>
      </c>
      <c r="K1" s="241" t="s">
        <v>195</v>
      </c>
      <c r="L1" s="241" t="s">
        <v>14</v>
      </c>
      <c r="M1" s="241" t="s">
        <v>15</v>
      </c>
      <c r="N1" s="241" t="s">
        <v>196</v>
      </c>
      <c r="O1" s="241" t="s">
        <v>17</v>
      </c>
      <c r="P1" s="244" t="s">
        <v>18</v>
      </c>
      <c r="Q1" s="243" t="s">
        <v>19</v>
      </c>
      <c r="R1" s="241" t="s">
        <v>20</v>
      </c>
      <c r="S1" s="241" t="s">
        <v>21</v>
      </c>
      <c r="T1" s="241" t="s">
        <v>22</v>
      </c>
      <c r="U1" s="244" t="s">
        <v>23</v>
      </c>
    </row>
    <row r="2" spans="1:21">
      <c r="A2" s="241" t="s">
        <v>197</v>
      </c>
      <c r="B2" s="243"/>
      <c r="C2" s="241">
        <v>0</v>
      </c>
      <c r="D2" s="241">
        <v>20</v>
      </c>
      <c r="E2" s="241">
        <v>20</v>
      </c>
      <c r="F2" s="241">
        <v>0</v>
      </c>
      <c r="G2" s="241">
        <v>0</v>
      </c>
      <c r="H2" s="241">
        <v>0</v>
      </c>
      <c r="I2" s="243"/>
      <c r="J2" s="241">
        <v>0</v>
      </c>
      <c r="K2" s="241">
        <v>40</v>
      </c>
      <c r="M2" s="241">
        <v>4500</v>
      </c>
      <c r="N2" s="241">
        <v>0</v>
      </c>
      <c r="O2" s="241">
        <v>0</v>
      </c>
      <c r="P2" s="241">
        <v>0</v>
      </c>
      <c r="Q2" s="243"/>
      <c r="R2" s="241" t="e">
        <f>PRODUCT(D2,商品!F16)+PRODUCT(E2,商品!#REF!)+PRODUCT(F2,商品!I3)+PRODUCT(H2,商品!L15)+PRODUCT(C2,商品!P10)+G2*商品!O6</f>
        <v>#REF!</v>
      </c>
      <c r="S2" s="241">
        <f>PRODUCT(J2,商品!J6)+PRODUCT(K2,商品!H16)</f>
        <v>2000</v>
      </c>
      <c r="T2" s="241" t="e">
        <f>SUM(-R2,S2)</f>
        <v>#REF!</v>
      </c>
      <c r="U2" s="247" t="e">
        <f>T2/(M2+N2+O2+P2)</f>
        <v>#REF!</v>
      </c>
    </row>
    <row r="3" spans="1:21">
      <c r="A3" s="241" t="s">
        <v>198</v>
      </c>
      <c r="B3" s="243"/>
      <c r="C3" s="241">
        <v>0</v>
      </c>
      <c r="D3" s="241">
        <v>25</v>
      </c>
      <c r="E3" s="241">
        <v>40</v>
      </c>
      <c r="F3" s="241">
        <v>0</v>
      </c>
      <c r="G3" s="241">
        <v>0</v>
      </c>
      <c r="H3" s="241">
        <v>0</v>
      </c>
      <c r="I3" s="243"/>
      <c r="J3" s="241">
        <v>40</v>
      </c>
      <c r="K3" s="241">
        <v>30</v>
      </c>
      <c r="M3" s="241">
        <v>4000</v>
      </c>
      <c r="N3" s="241">
        <v>300</v>
      </c>
      <c r="O3" s="241">
        <v>200</v>
      </c>
      <c r="P3" s="241">
        <v>0</v>
      </c>
      <c r="Q3" s="243"/>
      <c r="R3" s="241" t="e">
        <f>PRODUCT(D3,商品!#REF!)+PRODUCT(E3,商品!#REF!)+PRODUCT(F3,商品!I4)+PRODUCT(H3,商品!L16)+PRODUCT(C3,商品!#REF!)+G3*商品!#REF!</f>
        <v>#REF!</v>
      </c>
      <c r="S3" s="241">
        <f>PRODUCT(J3,商品!J6)+PRODUCT(K3,商品!H16)</f>
        <v>4300</v>
      </c>
      <c r="T3" s="241" t="e">
        <f t="shared" ref="T2:T8" si="0">SUM(-R3,S3)</f>
        <v>#REF!</v>
      </c>
      <c r="U3" s="247" t="e">
        <f t="shared" ref="U3:U8" si="1">T3/(M3+N3+O3+P3)</f>
        <v>#REF!</v>
      </c>
    </row>
    <row r="4" spans="1:21">
      <c r="A4" s="241" t="s">
        <v>199</v>
      </c>
      <c r="B4" s="243"/>
      <c r="C4" s="241">
        <v>0</v>
      </c>
      <c r="D4" s="241">
        <v>30</v>
      </c>
      <c r="E4" s="241">
        <v>60</v>
      </c>
      <c r="F4" s="241">
        <v>0</v>
      </c>
      <c r="G4" s="241">
        <v>0</v>
      </c>
      <c r="H4" s="241">
        <v>0</v>
      </c>
      <c r="I4" s="243"/>
      <c r="J4" s="241">
        <v>60</v>
      </c>
      <c r="K4" s="241">
        <v>35</v>
      </c>
      <c r="M4" s="241">
        <v>3500</v>
      </c>
      <c r="N4" s="241">
        <v>600</v>
      </c>
      <c r="O4" s="241">
        <v>400</v>
      </c>
      <c r="P4" s="241">
        <v>0</v>
      </c>
      <c r="Q4" s="243"/>
      <c r="R4" s="241" t="e">
        <f>PRODUCT(D4,商品!A9)+PRODUCT(E4,商品!B9)+PRODUCT(F4,商品!#REF!)+PRODUCT(H4,商品!#REF!)+PRODUCT(C4,商品!#REF!)+G4*商品!#REF!</f>
        <v>#REF!</v>
      </c>
      <c r="S4" s="241" t="e">
        <f>PRODUCT(J4,商品!#REF!)+PRODUCT(K4,商品!#REF!)</f>
        <v>#REF!</v>
      </c>
      <c r="T4" s="241" t="e">
        <f t="shared" si="0"/>
        <v>#REF!</v>
      </c>
      <c r="U4" s="247" t="e">
        <f t="shared" si="1"/>
        <v>#REF!</v>
      </c>
    </row>
    <row r="5" spans="1:21">
      <c r="A5" s="241" t="s">
        <v>200</v>
      </c>
      <c r="B5" s="243"/>
      <c r="C5" s="241">
        <v>0</v>
      </c>
      <c r="D5" s="241">
        <v>35</v>
      </c>
      <c r="E5" s="241">
        <v>80</v>
      </c>
      <c r="F5" s="241">
        <v>0</v>
      </c>
      <c r="G5" s="241">
        <v>0</v>
      </c>
      <c r="H5" s="241">
        <v>0</v>
      </c>
      <c r="I5" s="243"/>
      <c r="J5" s="241">
        <v>80</v>
      </c>
      <c r="K5" s="241">
        <v>40</v>
      </c>
      <c r="M5" s="241">
        <v>3000</v>
      </c>
      <c r="N5" s="241">
        <v>800</v>
      </c>
      <c r="O5" s="241">
        <v>600</v>
      </c>
      <c r="P5" s="241">
        <v>0</v>
      </c>
      <c r="Q5" s="243"/>
      <c r="R5" s="241" t="e">
        <f>PRODUCT(D5,商品!#REF!)+PRODUCT(E5,商品!#REF!)+PRODUCT(F5,商品!#REF!)+PRODUCT(H5,商品!#REF!)+PRODUCT(C5,商品!#REF!)+G5*商品!#REF!</f>
        <v>#REF!</v>
      </c>
      <c r="S5" s="241">
        <f>PRODUCT(J5,商品!D5)+PRODUCT(K5,商品!C9)</f>
        <v>1400</v>
      </c>
      <c r="T5" s="241" t="e">
        <f t="shared" si="0"/>
        <v>#REF!</v>
      </c>
      <c r="U5" s="247" t="e">
        <f t="shared" si="1"/>
        <v>#REF!</v>
      </c>
    </row>
    <row r="6" spans="1:21">
      <c r="A6" s="241" t="s">
        <v>201</v>
      </c>
      <c r="B6" s="243"/>
      <c r="C6" s="241">
        <v>0</v>
      </c>
      <c r="D6" s="241">
        <v>0</v>
      </c>
      <c r="E6" s="241">
        <v>40</v>
      </c>
      <c r="F6" s="241">
        <v>0</v>
      </c>
      <c r="G6" s="241">
        <v>0</v>
      </c>
      <c r="H6" s="241">
        <v>30</v>
      </c>
      <c r="I6" s="243"/>
      <c r="J6" s="241">
        <v>60</v>
      </c>
      <c r="K6" s="241">
        <v>35</v>
      </c>
      <c r="M6" s="241">
        <v>4000</v>
      </c>
      <c r="N6" s="241">
        <v>0</v>
      </c>
      <c r="O6" s="241">
        <v>0</v>
      </c>
      <c r="P6" s="241">
        <v>500</v>
      </c>
      <c r="Q6" s="243"/>
      <c r="R6" s="241" t="e">
        <f>PRODUCT(D6,商品!#REF!)+PRODUCT(E6,商品!#REF!)+PRODUCT(F6,商品!#REF!)+PRODUCT(H6,商品!#REF!)+PRODUCT(C6,商品!#REF!)+G6*商品!#REF!</f>
        <v>#REF!</v>
      </c>
      <c r="S6" s="241" t="e">
        <f>PRODUCT(J6,商品!#REF!)+PRODUCT(K6,商品!#REF!)</f>
        <v>#REF!</v>
      </c>
      <c r="T6" s="241" t="e">
        <f t="shared" si="0"/>
        <v>#REF!</v>
      </c>
      <c r="U6" s="247" t="e">
        <f t="shared" si="1"/>
        <v>#REF!</v>
      </c>
    </row>
    <row r="7" spans="1:21">
      <c r="A7" s="241" t="s">
        <v>202</v>
      </c>
      <c r="B7" s="243"/>
      <c r="C7" s="241">
        <v>0</v>
      </c>
      <c r="D7" s="241">
        <v>0</v>
      </c>
      <c r="E7" s="241">
        <v>50</v>
      </c>
      <c r="F7" s="241">
        <v>0</v>
      </c>
      <c r="G7" s="241">
        <v>0</v>
      </c>
      <c r="H7" s="241">
        <v>40</v>
      </c>
      <c r="I7" s="243"/>
      <c r="J7" s="241">
        <v>80</v>
      </c>
      <c r="K7" s="241">
        <v>40</v>
      </c>
      <c r="M7" s="241">
        <v>3500</v>
      </c>
      <c r="N7" s="241">
        <v>0</v>
      </c>
      <c r="O7" s="241">
        <v>0</v>
      </c>
      <c r="P7" s="241">
        <v>750</v>
      </c>
      <c r="Q7" s="243"/>
      <c r="R7" s="241" t="e">
        <f>PRODUCT(D7,商品!A15)+PRODUCT(E7,商品!B15)+PRODUCT(F7,商品!#REF!)+PRODUCT(H7,商品!#REF!)+PRODUCT(C7,商品!#REF!)+G7*商品!M6</f>
        <v>#REF!</v>
      </c>
      <c r="S7" s="241" t="e">
        <f>PRODUCT(J7,商品!#REF!)+PRODUCT(K7,商品!#REF!)</f>
        <v>#REF!</v>
      </c>
      <c r="T7" s="241" t="e">
        <f t="shared" si="0"/>
        <v>#REF!</v>
      </c>
      <c r="U7" s="247" t="e">
        <f t="shared" si="1"/>
        <v>#REF!</v>
      </c>
    </row>
    <row r="8" spans="1:21">
      <c r="A8" s="241" t="s">
        <v>203</v>
      </c>
      <c r="B8" s="243"/>
      <c r="C8" s="241">
        <v>0</v>
      </c>
      <c r="D8" s="241">
        <v>0</v>
      </c>
      <c r="E8" s="241">
        <v>60</v>
      </c>
      <c r="F8" s="241">
        <v>0</v>
      </c>
      <c r="G8" s="241">
        <v>0</v>
      </c>
      <c r="H8" s="241">
        <v>50</v>
      </c>
      <c r="I8" s="243"/>
      <c r="J8" s="241">
        <v>100</v>
      </c>
      <c r="K8" s="241">
        <v>45</v>
      </c>
      <c r="M8" s="241">
        <v>3000</v>
      </c>
      <c r="N8" s="241">
        <v>0</v>
      </c>
      <c r="O8" s="241">
        <v>0</v>
      </c>
      <c r="P8" s="241">
        <v>1000</v>
      </c>
      <c r="Q8" s="243"/>
      <c r="R8" s="241" t="e">
        <f>PRODUCT(D8,商品!#REF!)+PRODUCT(E8,商品!#REF!)+PRODUCT(F8,商品!#REF!)+PRODUCT(H8,商品!#REF!)+PRODUCT(C8,商品!#REF!)+G8*商品!#REF!</f>
        <v>#REF!</v>
      </c>
      <c r="S8" s="241" t="e">
        <f>PRODUCT(J8,商品!#REF!)+PRODUCT(K8,商品!C15)</f>
        <v>#REF!</v>
      </c>
      <c r="T8" s="241" t="e">
        <f t="shared" si="0"/>
        <v>#REF!</v>
      </c>
      <c r="U8" s="247" t="e">
        <f t="shared" si="1"/>
        <v>#REF!</v>
      </c>
    </row>
    <row r="9" spans="1:21">
      <c r="A9" s="241" t="s">
        <v>204</v>
      </c>
      <c r="B9" s="243"/>
      <c r="C9" s="241">
        <v>0</v>
      </c>
      <c r="D9" s="241">
        <v>5</v>
      </c>
      <c r="E9" s="241">
        <v>0</v>
      </c>
      <c r="F9" s="241">
        <v>5</v>
      </c>
      <c r="G9" s="241">
        <v>0</v>
      </c>
      <c r="H9" s="241">
        <v>0</v>
      </c>
      <c r="I9" s="243"/>
      <c r="J9" s="241">
        <v>0</v>
      </c>
      <c r="K9" s="241">
        <v>0</v>
      </c>
      <c r="M9" s="241">
        <v>-500</v>
      </c>
      <c r="N9" s="241">
        <v>350</v>
      </c>
      <c r="O9" s="241">
        <v>150</v>
      </c>
      <c r="P9" s="241">
        <v>0</v>
      </c>
      <c r="Q9" s="243"/>
      <c r="R9" s="241" t="e">
        <f>PRODUCT(D9,商品!#REF!)+PRODUCT(E9,商品!#REF!)+PRODUCT(F9,商品!#REF!)+PRODUCT(H9,商品!#REF!)+PRODUCT(C9,商品!#REF!)+G9*商品!#REF!</f>
        <v>#REF!</v>
      </c>
      <c r="S9" s="241" t="e">
        <f>PRODUCT(J9,商品!#REF!)+PRODUCT(K9,商品!#REF!)</f>
        <v>#REF!</v>
      </c>
      <c r="T9" s="241" t="e">
        <f t="shared" ref="T9:T14" si="2">SUM(-R9,S9)</f>
        <v>#REF!</v>
      </c>
      <c r="U9" s="247" t="e">
        <f t="shared" ref="U9:U14" si="3">T9/(M9+N9+O9+P9)</f>
        <v>#REF!</v>
      </c>
    </row>
    <row r="10" spans="1:21">
      <c r="A10" s="241" t="s">
        <v>205</v>
      </c>
      <c r="B10" s="243"/>
      <c r="C10" s="241">
        <v>0</v>
      </c>
      <c r="D10" s="241">
        <v>10</v>
      </c>
      <c r="E10" s="241">
        <v>0</v>
      </c>
      <c r="F10" s="241">
        <v>5</v>
      </c>
      <c r="G10" s="241">
        <v>0</v>
      </c>
      <c r="H10" s="241">
        <v>0</v>
      </c>
      <c r="I10" s="243"/>
      <c r="J10" s="241">
        <v>0</v>
      </c>
      <c r="K10" s="241">
        <v>0</v>
      </c>
      <c r="M10" s="241">
        <v>-1250</v>
      </c>
      <c r="N10" s="241">
        <v>250</v>
      </c>
      <c r="O10" s="241">
        <v>250</v>
      </c>
      <c r="P10" s="241">
        <v>0</v>
      </c>
      <c r="Q10" s="243"/>
      <c r="R10" s="241" t="e">
        <f>PRODUCT(D10,商品!A17)+PRODUCT(E10,商品!B17)+PRODUCT(F10,商品!#REF!)+PRODUCT(H10,商品!#REF!)+PRODUCT(C10,商品!#REF!)+G10*商品!#REF!</f>
        <v>#REF!</v>
      </c>
      <c r="S10" s="241">
        <f>PRODUCT(J10,商品!D20)+PRODUCT(K10,商品!C17)</f>
        <v>0</v>
      </c>
      <c r="T10" s="241" t="e">
        <f t="shared" si="2"/>
        <v>#REF!</v>
      </c>
      <c r="U10" s="247" t="e">
        <f t="shared" si="3"/>
        <v>#REF!</v>
      </c>
    </row>
    <row r="11" spans="1:21">
      <c r="A11" s="241" t="s">
        <v>206</v>
      </c>
      <c r="B11" s="243"/>
      <c r="C11" s="241">
        <v>0</v>
      </c>
      <c r="D11" s="241">
        <v>0</v>
      </c>
      <c r="E11" s="241">
        <v>0</v>
      </c>
      <c r="F11" s="241">
        <v>2</v>
      </c>
      <c r="G11" s="241">
        <v>1</v>
      </c>
      <c r="H11" s="241">
        <v>2</v>
      </c>
      <c r="I11" s="243"/>
      <c r="J11" s="241">
        <v>0</v>
      </c>
      <c r="K11" s="241">
        <v>0</v>
      </c>
      <c r="M11" s="241">
        <v>-500</v>
      </c>
      <c r="N11" s="241">
        <v>0</v>
      </c>
      <c r="O11" s="241">
        <v>0</v>
      </c>
      <c r="P11" s="241">
        <v>200</v>
      </c>
      <c r="Q11" s="243"/>
      <c r="R11" s="241" t="e">
        <f>PRODUCT(D11,商品!#REF!)+PRODUCT(E11,商品!#REF!)+PRODUCT(F11,商品!#REF!)+PRODUCT(H11,商品!#REF!)+PRODUCT(C11,商品!#REF!)+G11*商品!#REF!</f>
        <v>#REF!</v>
      </c>
      <c r="S11" s="241" t="e">
        <f>PRODUCT(J11,商品!#REF!)+PRODUCT(K11,商品!#REF!)</f>
        <v>#REF!</v>
      </c>
      <c r="T11" s="241" t="e">
        <f t="shared" si="2"/>
        <v>#REF!</v>
      </c>
      <c r="U11" s="247" t="e">
        <f t="shared" si="3"/>
        <v>#REF!</v>
      </c>
    </row>
    <row r="12" spans="1:21">
      <c r="A12" s="241" t="s">
        <v>207</v>
      </c>
      <c r="B12" s="243"/>
      <c r="C12" s="241">
        <v>0</v>
      </c>
      <c r="D12" s="241">
        <v>0</v>
      </c>
      <c r="E12" s="241">
        <v>0</v>
      </c>
      <c r="F12" s="241">
        <v>2</v>
      </c>
      <c r="G12" s="241">
        <v>2</v>
      </c>
      <c r="H12" s="241">
        <v>4</v>
      </c>
      <c r="I12" s="243"/>
      <c r="J12" s="241">
        <v>0</v>
      </c>
      <c r="K12" s="241">
        <v>0</v>
      </c>
      <c r="M12" s="241">
        <v>-1250</v>
      </c>
      <c r="N12" s="241">
        <v>0</v>
      </c>
      <c r="O12" s="241">
        <v>0</v>
      </c>
      <c r="P12" s="241">
        <v>400</v>
      </c>
      <c r="Q12" s="243"/>
      <c r="R12" s="241" t="e">
        <f>PRODUCT(D12,商品!#REF!)+PRODUCT(E12,商品!#REF!)+PRODUCT(F12,商品!#REF!)+PRODUCT(H12,商品!#REF!)+PRODUCT(C12,商品!N19)+G12*商品!H19</f>
        <v>#REF!</v>
      </c>
      <c r="S12" s="241" t="e">
        <f>PRODUCT(J12,商品!#REF!)+PRODUCT(K12,商品!#REF!)</f>
        <v>#REF!</v>
      </c>
      <c r="T12" s="241" t="e">
        <f t="shared" si="2"/>
        <v>#REF!</v>
      </c>
      <c r="U12" s="247" t="e">
        <f t="shared" si="3"/>
        <v>#REF!</v>
      </c>
    </row>
    <row r="13" spans="1:21">
      <c r="A13" s="241" t="s">
        <v>208</v>
      </c>
      <c r="B13" s="243"/>
      <c r="C13" s="241">
        <v>0</v>
      </c>
      <c r="D13" s="241">
        <v>0</v>
      </c>
      <c r="E13" s="241">
        <v>0</v>
      </c>
      <c r="F13" s="241">
        <v>2</v>
      </c>
      <c r="G13" s="241">
        <v>3</v>
      </c>
      <c r="H13" s="241">
        <v>6</v>
      </c>
      <c r="I13" s="243"/>
      <c r="J13" s="241">
        <v>0</v>
      </c>
      <c r="K13" s="241">
        <v>0</v>
      </c>
      <c r="M13" s="241">
        <v>-1750</v>
      </c>
      <c r="N13" s="241">
        <v>0</v>
      </c>
      <c r="O13" s="241">
        <v>0</v>
      </c>
      <c r="P13" s="241">
        <v>600</v>
      </c>
      <c r="Q13" s="243"/>
      <c r="R13" s="241" t="e">
        <f>PRODUCT(D13,商品!#REF!)+PRODUCT(E13,商品!#REF!)+PRODUCT(F13,商品!#REF!)+PRODUCT(H13,商品!#REF!)+PRODUCT(C13,商品!N20)+G13*商品!H20</f>
        <v>#REF!</v>
      </c>
      <c r="S13" s="241" t="e">
        <f>PRODUCT(J13,商品!D23)+PRODUCT(K13,商品!#REF!)</f>
        <v>#REF!</v>
      </c>
      <c r="T13" s="241" t="e">
        <f t="shared" si="2"/>
        <v>#REF!</v>
      </c>
      <c r="U13" s="247" t="e">
        <f t="shared" si="3"/>
        <v>#REF!</v>
      </c>
    </row>
    <row r="14" spans="1:21">
      <c r="A14" s="241" t="s">
        <v>209</v>
      </c>
      <c r="B14" s="243"/>
      <c r="C14" s="241">
        <v>5</v>
      </c>
      <c r="D14" s="241">
        <v>8</v>
      </c>
      <c r="E14" s="241">
        <v>0</v>
      </c>
      <c r="F14" s="241">
        <v>5</v>
      </c>
      <c r="G14" s="241">
        <v>2</v>
      </c>
      <c r="H14" s="241">
        <v>3</v>
      </c>
      <c r="I14" s="243"/>
      <c r="J14" s="241">
        <v>0</v>
      </c>
      <c r="K14" s="241">
        <v>0</v>
      </c>
      <c r="M14" s="241">
        <v>-3000</v>
      </c>
      <c r="N14" s="241">
        <v>150</v>
      </c>
      <c r="O14" s="241">
        <v>350</v>
      </c>
      <c r="P14" s="241">
        <v>400</v>
      </c>
      <c r="Q14" s="243"/>
      <c r="R14" s="241" t="e">
        <f>PRODUCT(D14,商品!A24)+PRODUCT(E14,商品!B24)+PRODUCT(F14,商品!E23)+PRODUCT(H14,商品!F23)+PRODUCT(C14,商品!N21)+G14*商品!#REF!</f>
        <v>#REF!</v>
      </c>
      <c r="S14" s="241" t="e">
        <f>PRODUCT(J14,商品!#REF!)+PRODUCT(K14,商品!#REF!)</f>
        <v>#REF!</v>
      </c>
      <c r="T14" s="241" t="e">
        <f t="shared" si="2"/>
        <v>#REF!</v>
      </c>
      <c r="U14" s="247" t="e">
        <f t="shared" si="3"/>
        <v>#REF!</v>
      </c>
    </row>
    <row r="16" spans="1:24">
      <c r="A16" s="242" t="s">
        <v>210</v>
      </c>
      <c r="B16" s="243" t="s">
        <v>5</v>
      </c>
      <c r="C16" s="241" t="s">
        <v>193</v>
      </c>
      <c r="D16" s="241" t="s">
        <v>211</v>
      </c>
      <c r="E16" s="241" t="s">
        <v>10</v>
      </c>
      <c r="F16" s="241" t="s">
        <v>68</v>
      </c>
      <c r="G16" s="241" t="s">
        <v>35</v>
      </c>
      <c r="H16" s="241" t="s">
        <v>47</v>
      </c>
      <c r="I16" s="241" t="s">
        <v>30</v>
      </c>
      <c r="J16" s="241" t="s">
        <v>212</v>
      </c>
      <c r="K16" s="243" t="s">
        <v>12</v>
      </c>
      <c r="L16" s="241" t="s">
        <v>213</v>
      </c>
      <c r="M16" s="241" t="s">
        <v>214</v>
      </c>
      <c r="N16" s="241" t="s">
        <v>14</v>
      </c>
      <c r="O16" s="241" t="s">
        <v>51</v>
      </c>
      <c r="P16" s="241" t="s">
        <v>15</v>
      </c>
      <c r="Q16" s="241" t="s">
        <v>16</v>
      </c>
      <c r="R16" s="241" t="s">
        <v>17</v>
      </c>
      <c r="S16" s="244" t="s">
        <v>18</v>
      </c>
      <c r="T16" s="243" t="s">
        <v>19</v>
      </c>
      <c r="U16" s="241" t="s">
        <v>20</v>
      </c>
      <c r="V16" s="241" t="s">
        <v>21</v>
      </c>
      <c r="W16" s="241" t="s">
        <v>22</v>
      </c>
      <c r="X16" s="244" t="s">
        <v>23</v>
      </c>
    </row>
    <row r="17" spans="1:24">
      <c r="A17" s="241" t="s">
        <v>215</v>
      </c>
      <c r="B17" s="243"/>
      <c r="C17" s="241">
        <v>0</v>
      </c>
      <c r="D17" s="241">
        <v>0</v>
      </c>
      <c r="E17" s="241">
        <v>0</v>
      </c>
      <c r="F17" s="241">
        <v>50</v>
      </c>
      <c r="G17" s="241">
        <v>0</v>
      </c>
      <c r="H17" s="241">
        <v>0</v>
      </c>
      <c r="I17" s="241">
        <v>0</v>
      </c>
      <c r="J17" s="241">
        <v>0</v>
      </c>
      <c r="K17" s="243"/>
      <c r="L17" s="241">
        <v>50</v>
      </c>
      <c r="M17" s="241">
        <v>0</v>
      </c>
      <c r="O17" s="241">
        <v>0</v>
      </c>
      <c r="P17" s="241">
        <v>4500</v>
      </c>
      <c r="Q17" s="241">
        <v>0</v>
      </c>
      <c r="R17" s="241">
        <v>0</v>
      </c>
      <c r="S17" s="241">
        <v>0</v>
      </c>
      <c r="T17" s="243"/>
      <c r="U17" s="241">
        <f>PRODUCT(E17,商品!F16)+PRODUCT(F17,商品!H10)+PRODUCT(G17,商品!I4)+PRODUCT(H17,商品!O6)+PRODUCT(I17,商品!L16)+PRODUCT(J17,商品!M10)+PRODUCT(D17,商品!L10)+PRODUCT(C17,商品!P10)</f>
        <v>1000</v>
      </c>
      <c r="V17" s="241">
        <f>PRODUCT(L17,商品!L4)+PRODUCT(商品!M4,M17)</f>
        <v>1500</v>
      </c>
      <c r="W17" s="241">
        <f t="shared" ref="W17:W25" si="4">SUM(-U17,V17)</f>
        <v>500</v>
      </c>
      <c r="X17" s="247">
        <f>W17/(P17+Q17+R17+S17+O17)</f>
        <v>0.111111111111111</v>
      </c>
    </row>
    <row r="18" spans="1:24">
      <c r="A18" s="241" t="s">
        <v>216</v>
      </c>
      <c r="B18" s="243"/>
      <c r="C18" s="241">
        <v>0</v>
      </c>
      <c r="D18" s="241">
        <v>10</v>
      </c>
      <c r="E18" s="241">
        <v>0</v>
      </c>
      <c r="F18" s="241">
        <v>90</v>
      </c>
      <c r="G18" s="241">
        <v>0</v>
      </c>
      <c r="H18" s="241">
        <v>0</v>
      </c>
      <c r="I18" s="241">
        <v>0</v>
      </c>
      <c r="J18" s="241">
        <v>0</v>
      </c>
      <c r="K18" s="243"/>
      <c r="L18" s="241">
        <v>120</v>
      </c>
      <c r="M18" s="241">
        <v>0</v>
      </c>
      <c r="O18" s="241">
        <v>0</v>
      </c>
      <c r="P18" s="241">
        <v>4000</v>
      </c>
      <c r="Q18" s="241">
        <v>500</v>
      </c>
      <c r="R18" s="241">
        <v>0</v>
      </c>
      <c r="S18" s="241">
        <v>0</v>
      </c>
      <c r="T18" s="243"/>
      <c r="U18" s="241" t="e">
        <f>PRODUCT(E18,商品!#REF!)+PRODUCT(F18,商品!#REF!)+PRODUCT(G18,商品!#REF!)+PRODUCT(H18,商品!#REF!)+PRODUCT(I18,商品!#REF!)+PRODUCT(J18,商品!#REF!)+PRODUCT(D18,商品!#REF!)</f>
        <v>#REF!</v>
      </c>
      <c r="V18" s="241" t="e">
        <f>PRODUCT(L18,商品!#REF!)+PRODUCT(商品!#REF!,M18)</f>
        <v>#REF!</v>
      </c>
      <c r="W18" s="241" t="e">
        <f t="shared" si="4"/>
        <v>#REF!</v>
      </c>
      <c r="X18" s="247" t="e">
        <f>W18/(P18+Q18+R18+S18+O18)</f>
        <v>#REF!</v>
      </c>
    </row>
    <row r="19" spans="1:24">
      <c r="A19" s="241" t="s">
        <v>217</v>
      </c>
      <c r="B19" s="243"/>
      <c r="C19" s="241">
        <v>0</v>
      </c>
      <c r="D19" s="241">
        <v>20</v>
      </c>
      <c r="E19" s="241">
        <v>0</v>
      </c>
      <c r="F19" s="241">
        <v>160</v>
      </c>
      <c r="G19" s="241">
        <v>0</v>
      </c>
      <c r="H19" s="241">
        <v>0</v>
      </c>
      <c r="I19" s="241">
        <v>0</v>
      </c>
      <c r="J19" s="241">
        <v>0</v>
      </c>
      <c r="K19" s="243"/>
      <c r="L19" s="241">
        <v>180</v>
      </c>
      <c r="M19" s="241">
        <v>0</v>
      </c>
      <c r="O19" s="241">
        <v>0</v>
      </c>
      <c r="P19" s="241">
        <v>3350</v>
      </c>
      <c r="Q19" s="241">
        <v>300</v>
      </c>
      <c r="R19" s="241">
        <v>200</v>
      </c>
      <c r="S19" s="241">
        <v>0</v>
      </c>
      <c r="T19" s="243"/>
      <c r="U19" s="241" t="e">
        <f>PRODUCT(E19,商品!A9)+PRODUCT(F19,商品!#REF!)+PRODUCT(G19,商品!#REF!)+PRODUCT(H19,商品!#REF!)+PRODUCT(I19,商品!#REF!)+PRODUCT(J19,商品!#REF!)+PRODUCT(D19,商品!#REF!)</f>
        <v>#REF!</v>
      </c>
      <c r="V19" s="241" t="e">
        <f>PRODUCT(L19,商品!#REF!)+PRODUCT(商品!#REF!,M19)</f>
        <v>#REF!</v>
      </c>
      <c r="W19" s="241" t="e">
        <f t="shared" si="4"/>
        <v>#REF!</v>
      </c>
      <c r="X19" s="247" t="e">
        <f>W19/(P19+Q19+R19+S19+O19)</f>
        <v>#REF!</v>
      </c>
    </row>
    <row r="20" spans="1:24">
      <c r="A20" s="241" t="s">
        <v>218</v>
      </c>
      <c r="B20" s="243"/>
      <c r="C20" s="241">
        <v>0</v>
      </c>
      <c r="D20" s="241">
        <v>0</v>
      </c>
      <c r="E20" s="241">
        <v>0</v>
      </c>
      <c r="F20" s="241">
        <v>-10</v>
      </c>
      <c r="G20" s="241">
        <v>0</v>
      </c>
      <c r="H20" s="241">
        <v>0</v>
      </c>
      <c r="I20" s="241">
        <v>0</v>
      </c>
      <c r="J20" s="241">
        <v>10</v>
      </c>
      <c r="K20" s="243"/>
      <c r="L20" s="241">
        <v>-20</v>
      </c>
      <c r="M20" s="241">
        <v>40</v>
      </c>
      <c r="O20" s="241">
        <v>100</v>
      </c>
      <c r="P20" s="241">
        <v>-100</v>
      </c>
      <c r="Q20" s="241">
        <v>0</v>
      </c>
      <c r="R20" s="241">
        <v>0</v>
      </c>
      <c r="S20" s="241">
        <v>0</v>
      </c>
      <c r="T20" s="243"/>
      <c r="U20" s="241" t="e">
        <f>PRODUCT(E20,商品!#REF!)+PRODUCT(F20,商品!#REF!)+PRODUCT(G20,商品!#REF!)+PRODUCT(H20,商品!#REF!)+PRODUCT(I20,商品!#REF!)+PRODUCT(J20,商品!#REF!)+PRODUCT(D20,商品!#REF!)</f>
        <v>#REF!</v>
      </c>
      <c r="V20" s="241" t="e">
        <f>PRODUCT(L20,商品!#REF!)+PRODUCT(商品!#REF!,M20)</f>
        <v>#REF!</v>
      </c>
      <c r="W20" s="241" t="e">
        <f t="shared" si="4"/>
        <v>#REF!</v>
      </c>
      <c r="X20" s="247"/>
    </row>
    <row r="21" spans="1:24">
      <c r="A21" s="241" t="s">
        <v>219</v>
      </c>
      <c r="B21" s="243"/>
      <c r="C21" s="241">
        <v>15</v>
      </c>
      <c r="D21" s="241">
        <v>15</v>
      </c>
      <c r="E21" s="241">
        <v>0</v>
      </c>
      <c r="F21" s="241">
        <v>-20</v>
      </c>
      <c r="G21" s="241">
        <v>0</v>
      </c>
      <c r="H21" s="241">
        <v>0</v>
      </c>
      <c r="I21" s="241">
        <v>0</v>
      </c>
      <c r="J21" s="241">
        <v>0</v>
      </c>
      <c r="K21" s="243"/>
      <c r="L21" s="241">
        <v>-40</v>
      </c>
      <c r="M21" s="241">
        <v>60</v>
      </c>
      <c r="O21" s="241">
        <v>250</v>
      </c>
      <c r="P21" s="241">
        <v>-250</v>
      </c>
      <c r="Q21" s="241">
        <v>0</v>
      </c>
      <c r="R21" s="241">
        <v>0</v>
      </c>
      <c r="S21" s="241">
        <v>0</v>
      </c>
      <c r="T21" s="243"/>
      <c r="U21" s="241" t="e">
        <f>PRODUCT(E21,商品!#REF!)+PRODUCT(F21,商品!#REF!)+PRODUCT(G21,商品!#REF!)+PRODUCT(H21,商品!#REF!)+PRODUCT(I21,商品!#REF!)+PRODUCT(J21,商品!#REF!)+PRODUCT(D21,商品!#REF!)+PRODUCT(C21,商品!#REF!)</f>
        <v>#REF!</v>
      </c>
      <c r="V21" s="241" t="e">
        <f>PRODUCT(L21,商品!#REF!)+PRODUCT(商品!#REF!,M21)</f>
        <v>#REF!</v>
      </c>
      <c r="W21" s="241" t="e">
        <f t="shared" si="4"/>
        <v>#REF!</v>
      </c>
      <c r="X21" s="247"/>
    </row>
    <row r="22" spans="1:24">
      <c r="A22" s="241" t="s">
        <v>220</v>
      </c>
      <c r="B22" s="243"/>
      <c r="C22" s="241">
        <v>0</v>
      </c>
      <c r="D22" s="241">
        <v>0</v>
      </c>
      <c r="E22" s="241">
        <v>0</v>
      </c>
      <c r="F22" s="241">
        <v>0</v>
      </c>
      <c r="G22" s="241">
        <v>10</v>
      </c>
      <c r="H22" s="241">
        <v>0</v>
      </c>
      <c r="I22" s="241">
        <v>0</v>
      </c>
      <c r="J22" s="241">
        <v>0</v>
      </c>
      <c r="K22" s="243"/>
      <c r="L22" s="241">
        <v>0</v>
      </c>
      <c r="M22" s="241">
        <v>0</v>
      </c>
      <c r="O22" s="241">
        <v>0</v>
      </c>
      <c r="P22" s="241">
        <v>-500</v>
      </c>
      <c r="Q22" s="241">
        <v>0</v>
      </c>
      <c r="R22" s="241">
        <v>0</v>
      </c>
      <c r="S22" s="241">
        <v>0</v>
      </c>
      <c r="T22" s="243"/>
      <c r="U22" s="241" t="e">
        <f>PRODUCT(E22,商品!#REF!)+PRODUCT(F22,商品!#REF!)+PRODUCT(G22,商品!#REF!)+PRODUCT(H22,商品!#REF!)+PRODUCT(I22,商品!#REF!)+PRODUCT(J22,商品!#REF!)+PRODUCT(D22,商品!#REF!)</f>
        <v>#REF!</v>
      </c>
      <c r="V22" s="241" t="e">
        <f>PRODUCT(L22,商品!#REF!)+PRODUCT(商品!#REF!,M22)</f>
        <v>#REF!</v>
      </c>
      <c r="W22" s="241" t="e">
        <f t="shared" si="4"/>
        <v>#REF!</v>
      </c>
      <c r="X22" s="247"/>
    </row>
    <row r="23" spans="1:24">
      <c r="A23" s="241" t="s">
        <v>221</v>
      </c>
      <c r="B23" s="243"/>
      <c r="C23" s="241">
        <v>0</v>
      </c>
      <c r="D23" s="241">
        <v>0</v>
      </c>
      <c r="E23" s="241">
        <v>10</v>
      </c>
      <c r="F23" s="241">
        <v>0</v>
      </c>
      <c r="G23" s="241">
        <v>15</v>
      </c>
      <c r="H23" s="241">
        <v>0</v>
      </c>
      <c r="I23" s="241">
        <v>0</v>
      </c>
      <c r="J23" s="241">
        <v>0</v>
      </c>
      <c r="K23" s="243"/>
      <c r="L23" s="241">
        <v>0</v>
      </c>
      <c r="M23" s="241">
        <v>0</v>
      </c>
      <c r="O23" s="241">
        <v>0</v>
      </c>
      <c r="P23" s="241">
        <v>-1000</v>
      </c>
      <c r="Q23" s="241">
        <v>0</v>
      </c>
      <c r="R23" s="241">
        <v>0</v>
      </c>
      <c r="S23" s="241">
        <v>0</v>
      </c>
      <c r="T23" s="243"/>
      <c r="U23" s="241" t="e">
        <f>PRODUCT(E23,商品!#REF!)+PRODUCT(F23,商品!#REF!)+PRODUCT(G23,商品!#REF!)+PRODUCT(H23,商品!#REF!)+PRODUCT(I23,商品!#REF!)+PRODUCT(J23,商品!#REF!)+PRODUCT(D23,商品!#REF!)</f>
        <v>#REF!</v>
      </c>
      <c r="V23" s="241" t="e">
        <f>PRODUCT(L23,商品!#REF!)+PRODUCT(商品!#REF!,M23)</f>
        <v>#REF!</v>
      </c>
      <c r="W23" s="241" t="e">
        <f t="shared" si="4"/>
        <v>#REF!</v>
      </c>
      <c r="X23" s="247"/>
    </row>
    <row r="24" spans="1:23">
      <c r="A24" s="241" t="s">
        <v>206</v>
      </c>
      <c r="B24" s="243"/>
      <c r="C24" s="241">
        <v>0</v>
      </c>
      <c r="D24" s="241">
        <v>0</v>
      </c>
      <c r="E24" s="241">
        <v>0</v>
      </c>
      <c r="F24" s="241">
        <v>0</v>
      </c>
      <c r="G24" s="241">
        <v>5</v>
      </c>
      <c r="H24" s="241">
        <v>1</v>
      </c>
      <c r="I24" s="241">
        <v>3</v>
      </c>
      <c r="J24" s="241">
        <v>0</v>
      </c>
      <c r="K24" s="243"/>
      <c r="L24" s="241">
        <v>0</v>
      </c>
      <c r="M24" s="241">
        <v>0</v>
      </c>
      <c r="O24" s="241">
        <v>0</v>
      </c>
      <c r="P24" s="241">
        <v>-1500</v>
      </c>
      <c r="Q24" s="241">
        <v>0</v>
      </c>
      <c r="R24" s="241">
        <v>0</v>
      </c>
      <c r="S24" s="241">
        <v>500</v>
      </c>
      <c r="T24" s="243"/>
      <c r="U24" s="241" t="e">
        <f>PRODUCT(E24,商品!A17)+PRODUCT(F24,商品!#REF!)+PRODUCT(G24,商品!#REF!)+PRODUCT(H24,商品!#REF!)+PRODUCT(I24,商品!#REF!)+PRODUCT(J24,商品!H17)+PRODUCT(D24,商品!L17)</f>
        <v>#REF!</v>
      </c>
      <c r="V24" s="241" t="e">
        <f>PRODUCT(L24,商品!M17)+PRODUCT(商品!#REF!,M24)</f>
        <v>#REF!</v>
      </c>
      <c r="W24" s="241" t="e">
        <f t="shared" si="4"/>
        <v>#REF!</v>
      </c>
    </row>
    <row r="25" spans="1:23">
      <c r="A25" s="241" t="s">
        <v>208</v>
      </c>
      <c r="B25" s="243"/>
      <c r="C25" s="241">
        <v>0</v>
      </c>
      <c r="D25" s="241">
        <v>0</v>
      </c>
      <c r="E25" s="241">
        <v>0</v>
      </c>
      <c r="F25" s="241">
        <v>0</v>
      </c>
      <c r="G25" s="241">
        <v>5</v>
      </c>
      <c r="H25" s="241">
        <v>3</v>
      </c>
      <c r="I25" s="241">
        <v>6</v>
      </c>
      <c r="J25" s="241">
        <v>0</v>
      </c>
      <c r="K25" s="243"/>
      <c r="L25" s="241">
        <v>0</v>
      </c>
      <c r="M25" s="241">
        <v>0</v>
      </c>
      <c r="O25" s="241">
        <v>0</v>
      </c>
      <c r="P25" s="241">
        <v>-2000</v>
      </c>
      <c r="Q25" s="241">
        <v>0</v>
      </c>
      <c r="R25" s="241">
        <v>0</v>
      </c>
      <c r="S25" s="241">
        <v>1000</v>
      </c>
      <c r="T25" s="243"/>
      <c r="U25" s="241" t="e">
        <f>PRODUCT(E25,商品!#REF!)+PRODUCT(F25,商品!#REF!)+PRODUCT(G25,商品!#REF!)+PRODUCT(H25,商品!#REF!)+PRODUCT(I25,商品!#REF!)+PRODUCT(J25,商品!H18)+PRODUCT(D25,商品!L18)</f>
        <v>#REF!</v>
      </c>
      <c r="V25" s="241" t="e">
        <f>PRODUCT(L25,商品!M18)+PRODUCT(商品!#REF!,M25)</f>
        <v>#REF!</v>
      </c>
      <c r="W25" s="241" t="e">
        <f t="shared" si="4"/>
        <v>#REF!</v>
      </c>
    </row>
    <row r="27" ht="15" customHeight="1" spans="1:24">
      <c r="A27" s="242" t="s">
        <v>222</v>
      </c>
      <c r="B27" s="243" t="s">
        <v>5</v>
      </c>
      <c r="C27" s="241" t="s">
        <v>193</v>
      </c>
      <c r="D27" s="241" t="s">
        <v>7</v>
      </c>
      <c r="E27" s="241" t="s">
        <v>68</v>
      </c>
      <c r="F27" s="241" t="s">
        <v>223</v>
      </c>
      <c r="G27" s="241" t="s">
        <v>35</v>
      </c>
      <c r="H27" s="241" t="s">
        <v>10</v>
      </c>
      <c r="I27" s="241" t="s">
        <v>47</v>
      </c>
      <c r="J27" s="244" t="s">
        <v>30</v>
      </c>
      <c r="K27" s="243" t="s">
        <v>12</v>
      </c>
      <c r="L27" s="241" t="s">
        <v>224</v>
      </c>
      <c r="M27" s="241" t="s">
        <v>225</v>
      </c>
      <c r="N27" s="241" t="s">
        <v>14</v>
      </c>
      <c r="O27" s="241" t="s">
        <v>51</v>
      </c>
      <c r="P27" s="241" t="s">
        <v>15</v>
      </c>
      <c r="Q27" s="241" t="s">
        <v>16</v>
      </c>
      <c r="R27" s="241" t="s">
        <v>17</v>
      </c>
      <c r="S27" s="244" t="s">
        <v>18</v>
      </c>
      <c r="T27" s="243" t="s">
        <v>19</v>
      </c>
      <c r="U27" s="241" t="s">
        <v>20</v>
      </c>
      <c r="V27" s="241" t="s">
        <v>21</v>
      </c>
      <c r="W27" s="241" t="s">
        <v>22</v>
      </c>
      <c r="X27" s="244" t="s">
        <v>23</v>
      </c>
    </row>
    <row r="28" spans="1:24">
      <c r="A28" s="241" t="s">
        <v>226</v>
      </c>
      <c r="B28" s="243"/>
      <c r="C28" s="241">
        <v>0</v>
      </c>
      <c r="D28" s="241">
        <v>40</v>
      </c>
      <c r="E28" s="241">
        <v>10</v>
      </c>
      <c r="F28" s="241">
        <v>0</v>
      </c>
      <c r="G28" s="241">
        <v>0</v>
      </c>
      <c r="H28" s="241">
        <v>0</v>
      </c>
      <c r="I28" s="241">
        <v>0</v>
      </c>
      <c r="J28" s="241">
        <v>0</v>
      </c>
      <c r="K28" s="243"/>
      <c r="L28" s="241">
        <v>50</v>
      </c>
      <c r="M28" s="241">
        <v>0</v>
      </c>
      <c r="O28" s="241">
        <v>0</v>
      </c>
      <c r="P28" s="241">
        <v>4500</v>
      </c>
      <c r="Q28" s="241">
        <v>0</v>
      </c>
      <c r="R28" s="241">
        <v>0</v>
      </c>
      <c r="S28" s="241">
        <v>0</v>
      </c>
      <c r="T28" s="243"/>
      <c r="U28" s="241">
        <f>PRODUCT(D28,商品!F12)+PRODUCT(商品!G12,F28)+PRODUCT(E28,商品!H10)+PRODUCT(G28,商品!I4)+PRODUCT(H28,商品!F16)+PRODUCT(I28,商品!O6)+PRODUCT(J28,商品!L16)+PRODUCT(C28,商品!P10)</f>
        <v>1000</v>
      </c>
      <c r="V28" s="241">
        <f>PRODUCT(L28,商品!N4)+PRODUCT(商品!O4,M28)</f>
        <v>1500</v>
      </c>
      <c r="W28" s="241">
        <f>SUM(-U28,V28)</f>
        <v>500</v>
      </c>
      <c r="X28" s="241">
        <f>W28/(P28+Q28+R28+S28)</f>
        <v>0.111111111111111</v>
      </c>
    </row>
    <row r="29" spans="1:24">
      <c r="A29" s="241" t="s">
        <v>227</v>
      </c>
      <c r="B29" s="243"/>
      <c r="C29" s="241">
        <v>0</v>
      </c>
      <c r="D29" s="241">
        <v>60</v>
      </c>
      <c r="E29" s="241">
        <v>30</v>
      </c>
      <c r="F29" s="241">
        <v>0</v>
      </c>
      <c r="G29" s="241">
        <v>5</v>
      </c>
      <c r="H29" s="241">
        <v>5</v>
      </c>
      <c r="I29" s="241">
        <v>0</v>
      </c>
      <c r="J29" s="241">
        <v>0</v>
      </c>
      <c r="K29" s="243"/>
      <c r="L29" s="241">
        <v>100</v>
      </c>
      <c r="M29" s="241">
        <v>0</v>
      </c>
      <c r="O29" s="241">
        <v>0</v>
      </c>
      <c r="P29" s="241">
        <v>4000</v>
      </c>
      <c r="Q29" s="241">
        <v>500</v>
      </c>
      <c r="R29" s="241">
        <v>0</v>
      </c>
      <c r="S29" s="241">
        <v>0</v>
      </c>
      <c r="T29" s="243"/>
      <c r="U29" s="241" t="e">
        <f>PRODUCT(D29,商品!#REF!)+PRODUCT(商品!#REF!,F29)+PRODUCT(E29,商品!#REF!)+PRODUCT(G29,商品!#REF!)+PRODUCT(H29,商品!#REF!)+PRODUCT(I29,商品!#REF!)+PRODUCT(J29,商品!#REF!)+PRODUCT(C29,商品!#REF!)</f>
        <v>#REF!</v>
      </c>
      <c r="V29" s="241" t="e">
        <f>PRODUCT(L29,商品!#REF!)+PRODUCT(商品!#REF!,M29)</f>
        <v>#REF!</v>
      </c>
      <c r="W29" s="241" t="e">
        <f t="shared" ref="W29:W39" si="5">SUM(-U29,V29)</f>
        <v>#REF!</v>
      </c>
      <c r="X29" s="241" t="e">
        <f>W29/(P29+Q29+R29+S29)</f>
        <v>#REF!</v>
      </c>
    </row>
    <row r="30" spans="1:24">
      <c r="A30" s="241" t="s">
        <v>228</v>
      </c>
      <c r="B30" s="243"/>
      <c r="C30" s="241">
        <v>0</v>
      </c>
      <c r="D30" s="241">
        <v>90</v>
      </c>
      <c r="E30" s="241">
        <v>50</v>
      </c>
      <c r="F30" s="241">
        <v>0</v>
      </c>
      <c r="G30" s="241">
        <v>10</v>
      </c>
      <c r="H30" s="241">
        <v>20</v>
      </c>
      <c r="I30" s="241">
        <v>0</v>
      </c>
      <c r="J30" s="241">
        <v>0</v>
      </c>
      <c r="K30" s="243"/>
      <c r="L30" s="241">
        <v>180</v>
      </c>
      <c r="M30" s="241">
        <v>0</v>
      </c>
      <c r="O30" s="241">
        <v>0</v>
      </c>
      <c r="P30" s="241">
        <v>3350</v>
      </c>
      <c r="Q30" s="241">
        <v>300</v>
      </c>
      <c r="R30" s="241">
        <v>200</v>
      </c>
      <c r="S30" s="241">
        <v>0</v>
      </c>
      <c r="T30" s="243"/>
      <c r="U30" s="241" t="e">
        <f>PRODUCT(D30,商品!#REF!)+PRODUCT(商品!#REF!,F30)+PRODUCT(E30,商品!#REF!)+PRODUCT(G30,商品!#REF!)+PRODUCT(H30,商品!A9)+PRODUCT(I30,商品!#REF!)+PRODUCT(J30,商品!#REF!)+PRODUCT(C30,商品!#REF!)</f>
        <v>#REF!</v>
      </c>
      <c r="V30" s="241" t="e">
        <f>PRODUCT(L30,商品!#REF!)+PRODUCT(商品!#REF!,M30)</f>
        <v>#REF!</v>
      </c>
      <c r="W30" s="241" t="e">
        <f t="shared" si="5"/>
        <v>#REF!</v>
      </c>
      <c r="X30" s="241" t="e">
        <f>W30/(P30+Q30+R30+S30)</f>
        <v>#REF!</v>
      </c>
    </row>
    <row r="31" spans="1:24">
      <c r="A31" s="241" t="s">
        <v>229</v>
      </c>
      <c r="B31" s="243"/>
      <c r="C31" s="241">
        <v>0</v>
      </c>
      <c r="D31" s="241">
        <v>-10</v>
      </c>
      <c r="E31" s="241">
        <v>0</v>
      </c>
      <c r="F31" s="241">
        <v>10</v>
      </c>
      <c r="G31" s="241">
        <v>0</v>
      </c>
      <c r="H31" s="241">
        <v>0</v>
      </c>
      <c r="I31" s="241">
        <v>0</v>
      </c>
      <c r="J31" s="241">
        <v>0</v>
      </c>
      <c r="K31" s="243"/>
      <c r="L31" s="241">
        <v>-20</v>
      </c>
      <c r="M31" s="241">
        <v>40</v>
      </c>
      <c r="O31" s="241">
        <v>100</v>
      </c>
      <c r="P31" s="241">
        <v>-100</v>
      </c>
      <c r="Q31" s="241">
        <v>0</v>
      </c>
      <c r="R31" s="241">
        <v>0</v>
      </c>
      <c r="S31" s="241">
        <v>0</v>
      </c>
      <c r="T31" s="243"/>
      <c r="U31" s="241" t="e">
        <f>PRODUCT(D31,商品!#REF!)+PRODUCT(商品!#REF!,F31)+PRODUCT(E31,商品!#REF!)+PRODUCT(G31,商品!#REF!)+PRODUCT(H31,商品!#REF!)+PRODUCT(I31,商品!#REF!)+PRODUCT(J31,商品!#REF!)+PRODUCT(C31,商品!#REF!)</f>
        <v>#REF!</v>
      </c>
      <c r="V31" s="241" t="e">
        <f>PRODUCT(L31,商品!#REF!)+PRODUCT(商品!#REF!,M31)</f>
        <v>#REF!</v>
      </c>
      <c r="W31" s="241" t="e">
        <f t="shared" si="5"/>
        <v>#REF!</v>
      </c>
      <c r="X31" s="241" t="e">
        <f t="shared" ref="X31:X39" si="6">W31/(P31+Q31+R31+S31)</f>
        <v>#REF!</v>
      </c>
    </row>
    <row r="32" spans="1:24">
      <c r="A32" s="241" t="s">
        <v>230</v>
      </c>
      <c r="B32" s="243"/>
      <c r="C32" s="241">
        <v>0</v>
      </c>
      <c r="D32" s="241">
        <v>-15</v>
      </c>
      <c r="E32" s="241">
        <v>0</v>
      </c>
      <c r="F32" s="241">
        <v>20</v>
      </c>
      <c r="G32" s="241">
        <v>5</v>
      </c>
      <c r="H32" s="241">
        <v>0</v>
      </c>
      <c r="I32" s="241">
        <v>0</v>
      </c>
      <c r="J32" s="241">
        <v>0</v>
      </c>
      <c r="K32" s="243"/>
      <c r="L32" s="241">
        <v>-40</v>
      </c>
      <c r="M32" s="241">
        <v>60</v>
      </c>
      <c r="O32" s="241">
        <v>250</v>
      </c>
      <c r="P32" s="241">
        <v>-250</v>
      </c>
      <c r="Q32" s="241">
        <v>0</v>
      </c>
      <c r="R32" s="241">
        <v>0</v>
      </c>
      <c r="S32" s="241">
        <v>0</v>
      </c>
      <c r="T32" s="243"/>
      <c r="U32" s="241" t="e">
        <f>PRODUCT(D32,商品!#REF!)+PRODUCT(商品!#REF!,F32)+PRODUCT(E32,商品!#REF!)+PRODUCT(G32,商品!#REF!)+PRODUCT(H32,商品!#REF!)+PRODUCT(I32,商品!#REF!)+PRODUCT(J32,商品!#REF!)+PRODUCT(C32,商品!#REF!)</f>
        <v>#REF!</v>
      </c>
      <c r="V32" s="241" t="e">
        <f>PRODUCT(L32,商品!#REF!)+PRODUCT(商品!#REF!,M32)</f>
        <v>#REF!</v>
      </c>
      <c r="W32" s="241" t="e">
        <f t="shared" si="5"/>
        <v>#REF!</v>
      </c>
      <c r="X32" s="241" t="e">
        <f t="shared" si="6"/>
        <v>#REF!</v>
      </c>
    </row>
    <row r="33" spans="1:24">
      <c r="A33" s="241" t="s">
        <v>204</v>
      </c>
      <c r="B33" s="243"/>
      <c r="C33" s="241">
        <v>0</v>
      </c>
      <c r="D33" s="241">
        <v>0</v>
      </c>
      <c r="E33" s="241">
        <v>0</v>
      </c>
      <c r="F33" s="241">
        <v>0</v>
      </c>
      <c r="G33" s="241">
        <v>10</v>
      </c>
      <c r="H33" s="241">
        <v>10</v>
      </c>
      <c r="I33" s="241">
        <v>0</v>
      </c>
      <c r="J33" s="241">
        <v>0</v>
      </c>
      <c r="K33" s="243"/>
      <c r="L33" s="241">
        <v>0</v>
      </c>
      <c r="M33" s="241">
        <v>0</v>
      </c>
      <c r="O33" s="241">
        <v>0</v>
      </c>
      <c r="P33" s="241">
        <v>-450</v>
      </c>
      <c r="Q33" s="241">
        <v>250</v>
      </c>
      <c r="R33" s="241">
        <v>150</v>
      </c>
      <c r="S33" s="241">
        <v>0</v>
      </c>
      <c r="T33" s="243"/>
      <c r="U33" s="241" t="e">
        <f>PRODUCT(D33,商品!#REF!)+PRODUCT(商品!O11,F33)+PRODUCT(E33,商品!I11)+PRODUCT(G33,商品!#REF!)+PRODUCT(H33,商品!A15)+PRODUCT(I33,商品!M6)+PRODUCT(J33,商品!#REF!)+PRODUCT(C33,商品!#REF!)</f>
        <v>#REF!</v>
      </c>
      <c r="V33" s="241">
        <f>PRODUCT(L33,商品!P11)+PRODUCT(商品!Q11,M33)</f>
        <v>0</v>
      </c>
      <c r="W33" s="241" t="e">
        <f t="shared" si="5"/>
        <v>#REF!</v>
      </c>
      <c r="X33" s="241" t="e">
        <f t="shared" si="6"/>
        <v>#REF!</v>
      </c>
    </row>
    <row r="34" spans="1:24">
      <c r="A34" s="241" t="s">
        <v>205</v>
      </c>
      <c r="B34" s="243"/>
      <c r="C34" s="241">
        <v>0</v>
      </c>
      <c r="D34" s="241">
        <v>0</v>
      </c>
      <c r="E34" s="241">
        <v>0</v>
      </c>
      <c r="F34" s="241">
        <v>0</v>
      </c>
      <c r="G34" s="241">
        <v>15</v>
      </c>
      <c r="H34" s="241">
        <v>10</v>
      </c>
      <c r="I34" s="241">
        <v>0</v>
      </c>
      <c r="J34" s="241">
        <v>0</v>
      </c>
      <c r="K34" s="243"/>
      <c r="L34" s="241">
        <v>0</v>
      </c>
      <c r="M34" s="241">
        <v>0</v>
      </c>
      <c r="O34" s="241">
        <v>0</v>
      </c>
      <c r="P34" s="241">
        <v>-750</v>
      </c>
      <c r="Q34" s="241">
        <v>150</v>
      </c>
      <c r="R34" s="241">
        <v>250</v>
      </c>
      <c r="S34" s="241">
        <v>0</v>
      </c>
      <c r="T34" s="243"/>
      <c r="U34" s="241" t="e">
        <f>PRODUCT(D34,商品!#REF!)+PRODUCT(商品!#REF!,F34)+PRODUCT(E34,商品!#REF!)+PRODUCT(G34,商品!#REF!)+PRODUCT(H34,商品!#REF!)+PRODUCT(I34,商品!#REF!)+PRODUCT(J34,商品!#REF!)+PRODUCT(C34,商品!#REF!)</f>
        <v>#REF!</v>
      </c>
      <c r="V34" s="241" t="e">
        <f>PRODUCT(L34,商品!#REF!)+PRODUCT(商品!#REF!,M34)</f>
        <v>#REF!</v>
      </c>
      <c r="W34" s="241" t="e">
        <f t="shared" si="5"/>
        <v>#REF!</v>
      </c>
      <c r="X34" s="241" t="e">
        <f t="shared" si="6"/>
        <v>#REF!</v>
      </c>
    </row>
    <row r="35" spans="1:24">
      <c r="A35" s="241" t="s">
        <v>231</v>
      </c>
      <c r="B35" s="243"/>
      <c r="C35" s="241">
        <v>5</v>
      </c>
      <c r="D35" s="241">
        <v>0</v>
      </c>
      <c r="E35" s="241">
        <v>0</v>
      </c>
      <c r="F35" s="241">
        <v>0</v>
      </c>
      <c r="G35" s="241">
        <v>20</v>
      </c>
      <c r="H35" s="241">
        <v>15</v>
      </c>
      <c r="I35" s="241">
        <v>0</v>
      </c>
      <c r="J35" s="241">
        <v>0</v>
      </c>
      <c r="K35" s="243"/>
      <c r="L35" s="241">
        <v>0</v>
      </c>
      <c r="M35" s="241">
        <v>0</v>
      </c>
      <c r="O35" s="241">
        <v>0</v>
      </c>
      <c r="P35" s="241">
        <v>-1250</v>
      </c>
      <c r="Q35" s="241">
        <v>150</v>
      </c>
      <c r="R35" s="241">
        <v>350</v>
      </c>
      <c r="S35" s="241">
        <v>0</v>
      </c>
      <c r="T35" s="243"/>
      <c r="U35" s="241" t="e">
        <f>PRODUCT(D35,商品!#REF!)+PRODUCT(商品!#REF!,F35)+PRODUCT(E35,商品!#REF!)+PRODUCT(G35,商品!#REF!)+PRODUCT(H35,商品!#REF!)+PRODUCT(I35,商品!#REF!)+PRODUCT(J35,商品!#REF!)+PRODUCT(C35,商品!#REF!)</f>
        <v>#REF!</v>
      </c>
      <c r="V35" s="241" t="e">
        <f>PRODUCT(L35,商品!#REF!)+PRODUCT(商品!#REF!,M35)</f>
        <v>#REF!</v>
      </c>
      <c r="W35" s="241" t="e">
        <f t="shared" si="5"/>
        <v>#REF!</v>
      </c>
      <c r="X35" s="241" t="e">
        <f t="shared" si="6"/>
        <v>#REF!</v>
      </c>
    </row>
    <row r="36" spans="1:24">
      <c r="A36" s="241" t="s">
        <v>206</v>
      </c>
      <c r="B36" s="243"/>
      <c r="C36" s="241">
        <v>0</v>
      </c>
      <c r="D36" s="241">
        <v>0</v>
      </c>
      <c r="E36" s="241">
        <v>0</v>
      </c>
      <c r="F36" s="241">
        <v>0</v>
      </c>
      <c r="G36" s="241">
        <v>2</v>
      </c>
      <c r="H36" s="241">
        <v>0</v>
      </c>
      <c r="I36" s="241">
        <v>1</v>
      </c>
      <c r="J36" s="241">
        <v>2</v>
      </c>
      <c r="K36" s="243"/>
      <c r="L36" s="241">
        <v>0</v>
      </c>
      <c r="M36" s="241">
        <v>0</v>
      </c>
      <c r="O36" s="241">
        <v>0</v>
      </c>
      <c r="P36" s="241">
        <v>-500</v>
      </c>
      <c r="Q36" s="241">
        <v>0</v>
      </c>
      <c r="R36" s="241">
        <v>0</v>
      </c>
      <c r="S36" s="241">
        <v>200</v>
      </c>
      <c r="T36" s="243"/>
      <c r="U36" s="241" t="e">
        <f>PRODUCT(D36,商品!#REF!)+PRODUCT(商品!#REF!,F36)+PRODUCT(E36,商品!#REF!)+PRODUCT(G36,商品!#REF!)+PRODUCT(H36,商品!A17)+PRODUCT(I36,商品!#REF!)+PRODUCT(J36,商品!#REF!)+PRODUCT(C36,商品!#REF!)</f>
        <v>#REF!</v>
      </c>
      <c r="V36" s="241" t="e">
        <f>PRODUCT(L36,商品!N17)+PRODUCT(商品!#REF!,M36)</f>
        <v>#REF!</v>
      </c>
      <c r="W36" s="241" t="e">
        <f t="shared" si="5"/>
        <v>#REF!</v>
      </c>
      <c r="X36" s="241" t="e">
        <f t="shared" si="6"/>
        <v>#REF!</v>
      </c>
    </row>
    <row r="37" spans="1:24">
      <c r="A37" s="241" t="s">
        <v>207</v>
      </c>
      <c r="B37" s="243"/>
      <c r="C37" s="241">
        <v>0</v>
      </c>
      <c r="D37" s="241">
        <v>0</v>
      </c>
      <c r="E37" s="241">
        <v>0</v>
      </c>
      <c r="F37" s="241">
        <v>0</v>
      </c>
      <c r="G37" s="241">
        <v>2</v>
      </c>
      <c r="H37" s="241">
        <v>0</v>
      </c>
      <c r="I37" s="241">
        <v>2</v>
      </c>
      <c r="J37" s="241">
        <v>4</v>
      </c>
      <c r="K37" s="243"/>
      <c r="L37" s="241">
        <v>0</v>
      </c>
      <c r="M37" s="241">
        <v>0</v>
      </c>
      <c r="O37" s="241">
        <v>0</v>
      </c>
      <c r="P37" s="241">
        <v>-1250</v>
      </c>
      <c r="Q37" s="241">
        <v>0</v>
      </c>
      <c r="R37" s="241">
        <v>0</v>
      </c>
      <c r="S37" s="241">
        <v>400</v>
      </c>
      <c r="T37" s="243"/>
      <c r="U37" s="241" t="e">
        <f>PRODUCT(D37,商品!#REF!)+PRODUCT(商品!#REF!,F37)+PRODUCT(E37,商品!#REF!)+PRODUCT(G37,商品!#REF!)+PRODUCT(H37,商品!#REF!)+PRODUCT(I37,商品!#REF!)+PRODUCT(J37,商品!#REF!)+PRODUCT(C37,商品!#REF!)</f>
        <v>#REF!</v>
      </c>
      <c r="V37" s="241" t="e">
        <f>PRODUCT(L37,商品!N18)+PRODUCT(商品!#REF!,M37)</f>
        <v>#REF!</v>
      </c>
      <c r="W37" s="241" t="e">
        <f t="shared" si="5"/>
        <v>#REF!</v>
      </c>
      <c r="X37" s="241" t="e">
        <f t="shared" si="6"/>
        <v>#REF!</v>
      </c>
    </row>
    <row r="38" spans="1:24">
      <c r="A38" s="241" t="s">
        <v>208</v>
      </c>
      <c r="B38" s="243"/>
      <c r="C38" s="241">
        <v>0</v>
      </c>
      <c r="D38" s="241">
        <v>0</v>
      </c>
      <c r="E38" s="241">
        <v>0</v>
      </c>
      <c r="F38" s="241">
        <v>0</v>
      </c>
      <c r="G38" s="241">
        <v>2</v>
      </c>
      <c r="H38" s="241">
        <v>0</v>
      </c>
      <c r="I38" s="241">
        <v>3</v>
      </c>
      <c r="J38" s="241">
        <v>6</v>
      </c>
      <c r="K38" s="243"/>
      <c r="L38" s="241">
        <v>0</v>
      </c>
      <c r="M38" s="241">
        <v>0</v>
      </c>
      <c r="O38" s="241">
        <v>0</v>
      </c>
      <c r="P38" s="241">
        <v>-1750</v>
      </c>
      <c r="Q38" s="241">
        <v>0</v>
      </c>
      <c r="R38" s="241">
        <v>0</v>
      </c>
      <c r="S38" s="241">
        <v>600</v>
      </c>
      <c r="T38" s="243"/>
      <c r="U38" s="241" t="e">
        <f>PRODUCT(D38,商品!#REF!)+PRODUCT(商品!O19,F38)+PRODUCT(E38,商品!I19)+PRODUCT(G38,商品!#REF!)+PRODUCT(H38,商品!#REF!)+PRODUCT(I38,商品!H19)+PRODUCT(J38,商品!#REF!)+PRODUCT(C38,商品!N19)</f>
        <v>#REF!</v>
      </c>
      <c r="V38" s="241">
        <f>PRODUCT(L38,商品!P19)+PRODUCT(商品!Q19,M38)</f>
        <v>0</v>
      </c>
      <c r="W38" s="241" t="e">
        <f t="shared" si="5"/>
        <v>#REF!</v>
      </c>
      <c r="X38" s="241" t="e">
        <f t="shared" si="6"/>
        <v>#REF!</v>
      </c>
    </row>
    <row r="39" spans="1:24">
      <c r="A39" s="241" t="s">
        <v>209</v>
      </c>
      <c r="B39" s="243"/>
      <c r="C39" s="241">
        <f>C14</f>
        <v>5</v>
      </c>
      <c r="D39" s="241">
        <v>0</v>
      </c>
      <c r="E39" s="241">
        <v>0</v>
      </c>
      <c r="F39" s="241">
        <v>0</v>
      </c>
      <c r="G39" s="241">
        <f>F14</f>
        <v>5</v>
      </c>
      <c r="H39" s="241">
        <f>D14</f>
        <v>8</v>
      </c>
      <c r="I39" s="241">
        <v>2</v>
      </c>
      <c r="J39" s="241">
        <v>3</v>
      </c>
      <c r="K39" s="243"/>
      <c r="L39" s="241">
        <v>0</v>
      </c>
      <c r="M39" s="241">
        <v>0</v>
      </c>
      <c r="O39" s="241">
        <v>0</v>
      </c>
      <c r="P39" s="241">
        <v>-3000</v>
      </c>
      <c r="Q39" s="241">
        <v>150</v>
      </c>
      <c r="R39" s="241">
        <v>350</v>
      </c>
      <c r="S39" s="241">
        <v>400</v>
      </c>
      <c r="T39" s="243"/>
      <c r="U39" s="241" t="e">
        <f>PRODUCT(D39,商品!#REF!)+PRODUCT(商品!O20,F39)+PRODUCT(E39,商品!I20)+PRODUCT(G39,商品!E23)+PRODUCT(H39,商品!#REF!)+PRODUCT(I39,商品!H20)+PRODUCT(J39,商品!F23)+PRODUCT(C39,商品!N20)</f>
        <v>#REF!</v>
      </c>
      <c r="V39" s="241">
        <f>PRODUCT(L39,商品!P20)+PRODUCT(商品!Q20,M39)</f>
        <v>0</v>
      </c>
      <c r="W39" s="241" t="e">
        <f t="shared" si="5"/>
        <v>#REF!</v>
      </c>
      <c r="X39" s="241" t="e">
        <f t="shared" si="6"/>
        <v>#REF!</v>
      </c>
    </row>
    <row r="41" spans="1:24">
      <c r="A41" s="242" t="s">
        <v>232</v>
      </c>
      <c r="B41" s="243" t="s">
        <v>5</v>
      </c>
      <c r="C41" s="241" t="s">
        <v>7</v>
      </c>
      <c r="D41" s="241" t="s">
        <v>233</v>
      </c>
      <c r="E41" s="241" t="s">
        <v>10</v>
      </c>
      <c r="F41" s="241" t="s">
        <v>35</v>
      </c>
      <c r="G41" s="241" t="s">
        <v>193</v>
      </c>
      <c r="H41" s="241" t="s">
        <v>47</v>
      </c>
      <c r="I41" s="244" t="s">
        <v>30</v>
      </c>
      <c r="J41" s="241" t="s">
        <v>211</v>
      </c>
      <c r="K41" s="243" t="s">
        <v>12</v>
      </c>
      <c r="L41" s="241" t="s">
        <v>45</v>
      </c>
      <c r="M41" s="241" t="s">
        <v>234</v>
      </c>
      <c r="N41" s="241" t="s">
        <v>14</v>
      </c>
      <c r="O41" s="241" t="s">
        <v>51</v>
      </c>
      <c r="P41" s="241" t="s">
        <v>15</v>
      </c>
      <c r="Q41" s="241" t="s">
        <v>16</v>
      </c>
      <c r="R41" s="241" t="s">
        <v>17</v>
      </c>
      <c r="S41" s="244" t="s">
        <v>18</v>
      </c>
      <c r="T41" s="243" t="s">
        <v>19</v>
      </c>
      <c r="U41" s="241" t="s">
        <v>20</v>
      </c>
      <c r="V41" s="241" t="s">
        <v>21</v>
      </c>
      <c r="W41" s="241" t="s">
        <v>22</v>
      </c>
      <c r="X41" s="244" t="s">
        <v>23</v>
      </c>
    </row>
    <row r="42" spans="1:24">
      <c r="A42" s="241" t="s">
        <v>235</v>
      </c>
      <c r="B42" s="243"/>
      <c r="C42" s="241">
        <v>40</v>
      </c>
      <c r="D42" s="241">
        <v>0</v>
      </c>
      <c r="E42" s="241">
        <v>0</v>
      </c>
      <c r="F42" s="241">
        <v>0</v>
      </c>
      <c r="G42" s="241">
        <v>0</v>
      </c>
      <c r="H42" s="241">
        <v>0</v>
      </c>
      <c r="I42" s="241">
        <v>0</v>
      </c>
      <c r="J42" s="241">
        <v>0</v>
      </c>
      <c r="K42" s="243"/>
      <c r="L42" s="241">
        <v>35</v>
      </c>
      <c r="M42" s="241">
        <v>0</v>
      </c>
      <c r="O42" s="241">
        <v>0</v>
      </c>
      <c r="P42" s="241">
        <v>4500</v>
      </c>
      <c r="Q42" s="241">
        <v>0</v>
      </c>
      <c r="R42" s="241">
        <v>0</v>
      </c>
      <c r="S42" s="241">
        <v>0</v>
      </c>
      <c r="T42" s="243"/>
      <c r="U42" s="241">
        <f>PRODUCT(C42,商品!F12)+PRODUCT(D42,商品!I16)+PRODUCT(E42,商品!F16)+PRODUCT(F42,商品!I4)+PRODUCT(商品!P10,G42)+PRODUCT(J42,商品!L10)+H42*商品!O6+I42*商品!L16</f>
        <v>800</v>
      </c>
      <c r="V42" s="241">
        <f>PRODUCT(L42,商品!J4)+PRODUCT(M42,商品!K4)</f>
        <v>1400</v>
      </c>
      <c r="W42" s="241">
        <f>SUM(-U42,V42)</f>
        <v>600</v>
      </c>
      <c r="X42" s="241">
        <f>W42/(P42+Q42+R42+S42+O42)</f>
        <v>0.133333333333333</v>
      </c>
    </row>
    <row r="43" spans="1:24">
      <c r="A43" s="241" t="s">
        <v>236</v>
      </c>
      <c r="B43" s="243"/>
      <c r="C43" s="241">
        <v>15</v>
      </c>
      <c r="D43" s="241">
        <v>15</v>
      </c>
      <c r="E43" s="241">
        <v>0</v>
      </c>
      <c r="F43" s="241">
        <v>0</v>
      </c>
      <c r="G43" s="241">
        <v>0</v>
      </c>
      <c r="H43" s="241">
        <v>0</v>
      </c>
      <c r="I43" s="241">
        <v>0</v>
      </c>
      <c r="J43" s="241">
        <v>0</v>
      </c>
      <c r="K43" s="243"/>
      <c r="L43" s="241">
        <v>60</v>
      </c>
      <c r="M43" s="241">
        <v>0</v>
      </c>
      <c r="O43" s="241">
        <v>0</v>
      </c>
      <c r="P43" s="241">
        <v>4000</v>
      </c>
      <c r="Q43" s="241">
        <v>500</v>
      </c>
      <c r="R43" s="241">
        <v>0</v>
      </c>
      <c r="S43" s="241">
        <v>0</v>
      </c>
      <c r="T43" s="243"/>
      <c r="U43" s="241" t="e">
        <f>PRODUCT(C43,商品!#REF!)+PRODUCT(D43,商品!#REF!)+PRODUCT(E43,商品!#REF!)+PRODUCT(F43,商品!#REF!)+PRODUCT(商品!#REF!,G43)+PRODUCT(J43,商品!#REF!)+H43*商品!#REF!+I43*商品!#REF!</f>
        <v>#REF!</v>
      </c>
      <c r="V43" s="241" t="e">
        <f>PRODUCT(L43,商品!#REF!)+PRODUCT(M43,商品!#REF!)</f>
        <v>#REF!</v>
      </c>
      <c r="W43" s="241" t="e">
        <f t="shared" ref="W43:W48" si="7">SUM(-U43,V43)</f>
        <v>#REF!</v>
      </c>
      <c r="X43" s="241" t="e">
        <f t="shared" ref="X43:X48" si="8">W43/(P43+Q43+R43+S43+O43)</f>
        <v>#REF!</v>
      </c>
    </row>
    <row r="44" spans="1:24">
      <c r="A44" s="241" t="s">
        <v>237</v>
      </c>
      <c r="B44" s="243"/>
      <c r="C44" s="241">
        <v>0</v>
      </c>
      <c r="D44" s="241">
        <v>50</v>
      </c>
      <c r="E44" s="241">
        <v>0</v>
      </c>
      <c r="F44" s="241">
        <v>0</v>
      </c>
      <c r="G44" s="241">
        <v>0</v>
      </c>
      <c r="H44" s="241">
        <v>0</v>
      </c>
      <c r="I44" s="241">
        <v>0</v>
      </c>
      <c r="J44" s="241">
        <v>0</v>
      </c>
      <c r="K44" s="243"/>
      <c r="L44" s="241">
        <v>100</v>
      </c>
      <c r="M44" s="241">
        <v>0</v>
      </c>
      <c r="O44" s="241">
        <v>0</v>
      </c>
      <c r="P44" s="241">
        <v>3350</v>
      </c>
      <c r="Q44" s="241">
        <v>300</v>
      </c>
      <c r="R44" s="241">
        <v>200</v>
      </c>
      <c r="S44" s="241">
        <v>0</v>
      </c>
      <c r="T44" s="243"/>
      <c r="U44" s="241" t="e">
        <f>PRODUCT(C44,商品!#REF!)+PRODUCT(D44,商品!#REF!)+PRODUCT(E44,商品!A9)+PRODUCT(F44,商品!#REF!)+PRODUCT(商品!#REF!,G44)+PRODUCT(J44,商品!#REF!)+H44*商品!#REF!+I44*商品!#REF!</f>
        <v>#REF!</v>
      </c>
      <c r="V44" s="241" t="e">
        <f>PRODUCT(L44,商品!#REF!)+PRODUCT(M44,商品!#REF!)</f>
        <v>#REF!</v>
      </c>
      <c r="W44" s="241" t="e">
        <f t="shared" si="7"/>
        <v>#REF!</v>
      </c>
      <c r="X44" s="241" t="e">
        <f t="shared" si="8"/>
        <v>#REF!</v>
      </c>
    </row>
    <row r="45" spans="1:24">
      <c r="A45" s="241" t="s">
        <v>234</v>
      </c>
      <c r="B45" s="243"/>
      <c r="C45" s="241">
        <v>0</v>
      </c>
      <c r="D45" s="241">
        <v>0</v>
      </c>
      <c r="E45" s="241">
        <v>0</v>
      </c>
      <c r="F45" s="241">
        <v>0</v>
      </c>
      <c r="G45" s="241">
        <v>0</v>
      </c>
      <c r="H45" s="241">
        <v>0</v>
      </c>
      <c r="I45" s="241">
        <v>0</v>
      </c>
      <c r="J45" s="241">
        <v>20</v>
      </c>
      <c r="K45" s="243"/>
      <c r="L45" s="241">
        <v>-20</v>
      </c>
      <c r="M45" s="241">
        <v>40</v>
      </c>
      <c r="O45" s="241">
        <v>100</v>
      </c>
      <c r="P45" s="241">
        <v>-100</v>
      </c>
      <c r="Q45" s="241">
        <v>0</v>
      </c>
      <c r="R45" s="241">
        <v>0</v>
      </c>
      <c r="S45" s="241">
        <v>0</v>
      </c>
      <c r="T45" s="243"/>
      <c r="U45" s="241" t="e">
        <f>PRODUCT(C45,商品!#REF!)+PRODUCT(D45,商品!#REF!)+PRODUCT(E45,商品!#REF!)+PRODUCT(F45,商品!#REF!)+PRODUCT(商品!#REF!,G45)+PRODUCT(J45,商品!#REF!)+H45*商品!#REF!+I45*商品!#REF!</f>
        <v>#REF!</v>
      </c>
      <c r="V45" s="241" t="e">
        <f>PRODUCT(L45,商品!#REF!)+PRODUCT(M45,商品!#REF!)</f>
        <v>#REF!</v>
      </c>
      <c r="W45" s="241" t="e">
        <f t="shared" si="7"/>
        <v>#REF!</v>
      </c>
      <c r="X45" s="241" t="e">
        <f t="shared" si="8"/>
        <v>#REF!</v>
      </c>
    </row>
    <row r="46" spans="1:24">
      <c r="A46" s="241" t="s">
        <v>238</v>
      </c>
      <c r="B46" s="243"/>
      <c r="C46" s="241">
        <v>0</v>
      </c>
      <c r="D46" s="241">
        <v>0</v>
      </c>
      <c r="E46" s="241">
        <v>0</v>
      </c>
      <c r="F46" s="241">
        <v>0</v>
      </c>
      <c r="G46" s="241">
        <v>0</v>
      </c>
      <c r="H46" s="241">
        <v>0</v>
      </c>
      <c r="I46" s="241">
        <v>0</v>
      </c>
      <c r="J46" s="241">
        <v>30</v>
      </c>
      <c r="K46" s="243"/>
      <c r="L46" s="241">
        <v>-40</v>
      </c>
      <c r="M46" s="241">
        <v>60</v>
      </c>
      <c r="O46" s="241">
        <v>250</v>
      </c>
      <c r="P46" s="241">
        <v>-250</v>
      </c>
      <c r="Q46" s="241">
        <v>0</v>
      </c>
      <c r="R46" s="241">
        <v>0</v>
      </c>
      <c r="S46" s="241">
        <v>0</v>
      </c>
      <c r="T46" s="243"/>
      <c r="U46" s="241" t="e">
        <f>PRODUCT(C46,商品!#REF!)+PRODUCT(D46,商品!#REF!)+PRODUCT(E46,商品!#REF!)+PRODUCT(F46,商品!#REF!)+PRODUCT(商品!#REF!,G46)+PRODUCT(J46,商品!#REF!)+H46*商品!#REF!+I46*商品!#REF!</f>
        <v>#REF!</v>
      </c>
      <c r="V46" s="241" t="e">
        <f>PRODUCT(L46,商品!#REF!)+PRODUCT(M46,商品!#REF!)</f>
        <v>#REF!</v>
      </c>
      <c r="W46" s="241" t="e">
        <f t="shared" si="7"/>
        <v>#REF!</v>
      </c>
      <c r="X46" s="241" t="e">
        <f t="shared" si="8"/>
        <v>#REF!</v>
      </c>
    </row>
    <row r="47" spans="1:24">
      <c r="A47" s="241" t="s">
        <v>239</v>
      </c>
      <c r="B47" s="243"/>
      <c r="C47" s="241">
        <v>0</v>
      </c>
      <c r="D47" s="241">
        <v>0</v>
      </c>
      <c r="E47" s="241">
        <v>8</v>
      </c>
      <c r="F47" s="241">
        <v>8</v>
      </c>
      <c r="G47" s="241">
        <v>0</v>
      </c>
      <c r="H47" s="241">
        <v>0</v>
      </c>
      <c r="I47" s="241">
        <v>0</v>
      </c>
      <c r="J47" s="241">
        <v>0</v>
      </c>
      <c r="K47" s="243"/>
      <c r="L47" s="241">
        <v>0</v>
      </c>
      <c r="M47" s="241">
        <v>0</v>
      </c>
      <c r="O47" s="241">
        <v>0</v>
      </c>
      <c r="P47" s="241">
        <v>-1500</v>
      </c>
      <c r="Q47" s="241">
        <v>150</v>
      </c>
      <c r="R47" s="241">
        <v>350</v>
      </c>
      <c r="S47" s="241">
        <v>0</v>
      </c>
      <c r="T47" s="243"/>
      <c r="U47" s="241" t="e">
        <f>PRODUCT(C47,商品!#REF!)+PRODUCT(D47,商品!#REF!)+PRODUCT(E47,商品!A15)+PRODUCT(F47,商品!#REF!)+PRODUCT(商品!#REF!,G47)+PRODUCT(J47,商品!M11)+H47*商品!M6+I47*商品!#REF!</f>
        <v>#REF!</v>
      </c>
      <c r="V47" s="241" t="e">
        <f>PRODUCT(L47,商品!#REF!)+PRODUCT(M47,商品!#REF!)</f>
        <v>#REF!</v>
      </c>
      <c r="W47" s="241" t="e">
        <f t="shared" si="7"/>
        <v>#REF!</v>
      </c>
      <c r="X47" s="241" t="e">
        <f t="shared" si="8"/>
        <v>#REF!</v>
      </c>
    </row>
    <row r="48" spans="1:24">
      <c r="A48" s="241" t="s">
        <v>208</v>
      </c>
      <c r="B48" s="243"/>
      <c r="C48" s="241">
        <v>0</v>
      </c>
      <c r="D48" s="241">
        <v>0</v>
      </c>
      <c r="E48" s="241">
        <v>0</v>
      </c>
      <c r="F48" s="241">
        <v>2</v>
      </c>
      <c r="G48" s="241">
        <v>0</v>
      </c>
      <c r="H48" s="241">
        <v>3</v>
      </c>
      <c r="I48" s="241">
        <v>6</v>
      </c>
      <c r="J48" s="241">
        <v>0</v>
      </c>
      <c r="K48" s="243"/>
      <c r="L48" s="241">
        <v>0</v>
      </c>
      <c r="M48" s="241">
        <v>0</v>
      </c>
      <c r="O48" s="241">
        <v>0</v>
      </c>
      <c r="P48" s="241">
        <v>-2000</v>
      </c>
      <c r="Q48" s="241">
        <v>0</v>
      </c>
      <c r="R48" s="241">
        <v>0</v>
      </c>
      <c r="S48" s="241">
        <v>500</v>
      </c>
      <c r="T48" s="243"/>
      <c r="U48" s="241" t="e">
        <f>PRODUCT(C48,商品!#REF!)+PRODUCT(D48,商品!#REF!)+PRODUCT(E48,商品!#REF!)+PRODUCT(F48,商品!#REF!)+PRODUCT(商品!#REF!,G48)+PRODUCT(J48,商品!#REF!)+H48*商品!#REF!+I48*商品!#REF!</f>
        <v>#REF!</v>
      </c>
      <c r="V48" s="241">
        <v>0</v>
      </c>
      <c r="W48" s="241" t="e">
        <f t="shared" si="7"/>
        <v>#REF!</v>
      </c>
      <c r="X48" s="241" t="e">
        <f t="shared" si="8"/>
        <v>#REF!</v>
      </c>
    </row>
    <row r="49" spans="1:1">
      <c r="A49" s="244"/>
    </row>
    <row r="50" spans="1:23">
      <c r="A50" s="245" t="s">
        <v>240</v>
      </c>
      <c r="B50" s="243" t="s">
        <v>5</v>
      </c>
      <c r="C50" s="244" t="s">
        <v>193</v>
      </c>
      <c r="D50" s="244" t="s">
        <v>223</v>
      </c>
      <c r="E50" s="244" t="s">
        <v>11</v>
      </c>
      <c r="F50" s="244" t="s">
        <v>30</v>
      </c>
      <c r="G50" s="244" t="s">
        <v>10</v>
      </c>
      <c r="H50" s="241" t="s">
        <v>35</v>
      </c>
      <c r="I50" s="244" t="s">
        <v>9</v>
      </c>
      <c r="J50" s="244" t="s">
        <v>47</v>
      </c>
      <c r="K50" s="244" t="s">
        <v>195</v>
      </c>
      <c r="L50" s="243" t="s">
        <v>12</v>
      </c>
      <c r="M50" s="244" t="s">
        <v>241</v>
      </c>
      <c r="N50" s="243" t="s">
        <v>14</v>
      </c>
      <c r="O50" s="241" t="s">
        <v>15</v>
      </c>
      <c r="P50" s="241" t="s">
        <v>16</v>
      </c>
      <c r="Q50" s="241" t="s">
        <v>17</v>
      </c>
      <c r="R50" s="244" t="s">
        <v>18</v>
      </c>
      <c r="T50" s="241" t="s">
        <v>20</v>
      </c>
      <c r="U50" s="241" t="s">
        <v>21</v>
      </c>
      <c r="V50" s="241" t="s">
        <v>22</v>
      </c>
      <c r="W50" s="244" t="s">
        <v>23</v>
      </c>
    </row>
    <row r="51" spans="1:23">
      <c r="A51" s="241" t="s">
        <v>242</v>
      </c>
      <c r="B51" s="243"/>
      <c r="C51" s="241">
        <v>0</v>
      </c>
      <c r="D51" s="241">
        <v>10</v>
      </c>
      <c r="E51" s="241">
        <v>5</v>
      </c>
      <c r="F51" s="241">
        <v>0</v>
      </c>
      <c r="G51" s="241">
        <v>0</v>
      </c>
      <c r="H51" s="241">
        <v>5</v>
      </c>
      <c r="I51" s="241">
        <v>0</v>
      </c>
      <c r="J51" s="241">
        <v>0</v>
      </c>
      <c r="K51" s="241">
        <v>10</v>
      </c>
      <c r="L51" s="243"/>
      <c r="M51" s="241">
        <v>30</v>
      </c>
      <c r="N51" s="243"/>
      <c r="O51" s="241">
        <v>2400</v>
      </c>
      <c r="P51" s="241">
        <v>0</v>
      </c>
      <c r="Q51" s="241">
        <v>0</v>
      </c>
      <c r="R51" s="241">
        <v>100</v>
      </c>
      <c r="T51" s="241">
        <f>PRODUCT(D51,商品!G12)+PRODUCT(E51,商品!K16)+PRODUCT(H51,商品!I4)+PRODUCT(I51,商品!J6)+PRODUCT(商品!H16,K51)+PRODUCT(F51,商品!O6)+G51*商品!F16+J51*商品!O6+C51*商品!P10</f>
        <v>1350</v>
      </c>
      <c r="U51" s="241">
        <f>PRODUCT(M51,商品!P6)</f>
        <v>1500</v>
      </c>
      <c r="V51" s="241">
        <f>SUM(-T51,U51)</f>
        <v>150</v>
      </c>
      <c r="W51" s="241">
        <f t="shared" ref="W51:W58" si="9">V51/(O51+P51+Q51+R51)</f>
        <v>0.06</v>
      </c>
    </row>
    <row r="52" spans="1:23">
      <c r="A52" s="246" t="s">
        <v>243</v>
      </c>
      <c r="B52" s="243"/>
      <c r="C52" s="241">
        <v>0</v>
      </c>
      <c r="D52" s="241">
        <v>15</v>
      </c>
      <c r="E52" s="241">
        <v>10</v>
      </c>
      <c r="F52" s="241">
        <v>0</v>
      </c>
      <c r="G52" s="241">
        <v>0</v>
      </c>
      <c r="H52" s="241">
        <v>5</v>
      </c>
      <c r="J52" s="241">
        <v>0</v>
      </c>
      <c r="K52" s="241">
        <v>15</v>
      </c>
      <c r="L52" s="243"/>
      <c r="M52" s="241">
        <v>50</v>
      </c>
      <c r="N52" s="243"/>
      <c r="O52" s="241">
        <v>3500</v>
      </c>
      <c r="P52" s="241">
        <v>300</v>
      </c>
      <c r="Q52" s="241">
        <v>200</v>
      </c>
      <c r="R52" s="241">
        <v>500</v>
      </c>
      <c r="T52" s="241" t="e">
        <f>PRODUCT(D52,商品!#REF!)+PRODUCT(E52,商品!#REF!)+PRODUCT(H52,商品!#REF!)+PRODUCT(I52,商品!#REF!)+PRODUCT(商品!#REF!,K52)+PRODUCT(F52,商品!#REF!)+G52*商品!#REF!+J52*商品!#REF!+C52*商品!#REF!</f>
        <v>#REF!</v>
      </c>
      <c r="U52" s="241" t="e">
        <f>PRODUCT(M52,商品!#REF!)</f>
        <v>#REF!</v>
      </c>
      <c r="V52" s="241" t="e">
        <f t="shared" ref="V52:V58" si="10">SUM(-T52,U52)</f>
        <v>#REF!</v>
      </c>
      <c r="W52" s="241" t="e">
        <f t="shared" si="9"/>
        <v>#REF!</v>
      </c>
    </row>
    <row r="53" spans="1:23">
      <c r="A53" s="246" t="s">
        <v>244</v>
      </c>
      <c r="B53" s="243"/>
      <c r="C53" s="241">
        <v>0</v>
      </c>
      <c r="D53" s="241">
        <v>10</v>
      </c>
      <c r="E53" s="241">
        <v>15</v>
      </c>
      <c r="F53" s="241">
        <v>5</v>
      </c>
      <c r="G53" s="241">
        <v>0</v>
      </c>
      <c r="H53" s="241">
        <v>5</v>
      </c>
      <c r="I53" s="241">
        <v>5</v>
      </c>
      <c r="J53" s="241">
        <v>0</v>
      </c>
      <c r="K53" s="241">
        <v>0</v>
      </c>
      <c r="L53" s="243"/>
      <c r="M53" s="241">
        <v>70</v>
      </c>
      <c r="N53" s="243"/>
      <c r="O53" s="241">
        <v>3350</v>
      </c>
      <c r="P53" s="241">
        <v>200</v>
      </c>
      <c r="Q53" s="241">
        <v>300</v>
      </c>
      <c r="R53" s="241">
        <v>750</v>
      </c>
      <c r="T53" s="241" t="e">
        <f>PRODUCT(D53,商品!#REF!)+PRODUCT(E53,商品!#REF!)+PRODUCT(H53,商品!#REF!)+PRODUCT(I53,商品!D5)+PRODUCT(商品!C9,K53)+PRODUCT(F53,商品!#REF!)+G53*商品!A9+J53*商品!#REF!+C53*商品!#REF!</f>
        <v>#REF!</v>
      </c>
      <c r="U53" s="241" t="e">
        <f>PRODUCT(M53,商品!#REF!)</f>
        <v>#REF!</v>
      </c>
      <c r="V53" s="241" t="e">
        <f t="shared" si="10"/>
        <v>#REF!</v>
      </c>
      <c r="W53" s="241" t="e">
        <f t="shared" si="9"/>
        <v>#REF!</v>
      </c>
    </row>
    <row r="54" spans="1:23">
      <c r="A54" s="244" t="s">
        <v>245</v>
      </c>
      <c r="B54" s="243"/>
      <c r="C54" s="241">
        <v>0</v>
      </c>
      <c r="D54" s="241">
        <v>10</v>
      </c>
      <c r="E54" s="241">
        <v>20</v>
      </c>
      <c r="F54" s="241">
        <v>10</v>
      </c>
      <c r="G54" s="241">
        <v>0</v>
      </c>
      <c r="H54" s="241">
        <v>10</v>
      </c>
      <c r="I54" s="241">
        <v>10</v>
      </c>
      <c r="J54" s="241">
        <v>0</v>
      </c>
      <c r="K54" s="241">
        <v>0</v>
      </c>
      <c r="L54" s="243"/>
      <c r="M54" s="241">
        <v>100</v>
      </c>
      <c r="N54" s="243"/>
      <c r="O54" s="241">
        <v>3000</v>
      </c>
      <c r="P54" s="241">
        <v>100</v>
      </c>
      <c r="Q54" s="241">
        <v>400</v>
      </c>
      <c r="R54" s="241">
        <v>1000</v>
      </c>
      <c r="T54" s="241" t="e">
        <f>PRODUCT(D54,商品!#REF!)+PRODUCT(E54,商品!#REF!)+PRODUCT(H54,商品!#REF!)+PRODUCT(I54,商品!#REF!)+PRODUCT(商品!#REF!,K54)+PRODUCT(F54,商品!#REF!)+G54*商品!#REF!+J54*商品!#REF!+C54*商品!#REF!</f>
        <v>#REF!</v>
      </c>
      <c r="U54" s="241" t="e">
        <f>PRODUCT(M54,商品!#REF!)</f>
        <v>#REF!</v>
      </c>
      <c r="V54" s="241" t="e">
        <f t="shared" si="10"/>
        <v>#REF!</v>
      </c>
      <c r="W54" s="241" t="e">
        <f t="shared" si="9"/>
        <v>#REF!</v>
      </c>
    </row>
    <row r="55" spans="1:23">
      <c r="A55" s="241" t="s">
        <v>206</v>
      </c>
      <c r="B55" s="243"/>
      <c r="C55" s="241">
        <v>0</v>
      </c>
      <c r="D55" s="241">
        <v>0</v>
      </c>
      <c r="E55" s="241">
        <v>0</v>
      </c>
      <c r="F55" s="241">
        <v>2</v>
      </c>
      <c r="G55" s="241">
        <v>0</v>
      </c>
      <c r="H55" s="241">
        <v>2</v>
      </c>
      <c r="I55" s="241">
        <v>0</v>
      </c>
      <c r="J55" s="241">
        <v>1</v>
      </c>
      <c r="K55" s="241">
        <v>0</v>
      </c>
      <c r="L55" s="243"/>
      <c r="M55" s="241">
        <v>0</v>
      </c>
      <c r="N55" s="243"/>
      <c r="O55" s="241">
        <v>-500</v>
      </c>
      <c r="P55" s="241">
        <v>0</v>
      </c>
      <c r="Q55" s="241">
        <v>0</v>
      </c>
      <c r="R55" s="241">
        <v>500</v>
      </c>
      <c r="T55" s="241" t="e">
        <f>PRODUCT(D55,商品!#REF!)+PRODUCT(E55,商品!#REF!)+PRODUCT(H55,商品!#REF!)+PRODUCT(I55,商品!#REF!)+PRODUCT(商品!#REF!,K55)+PRODUCT(F55,商品!#REF!)+G55*商品!#REF!+J55*商品!#REF!+C55*商品!#REF!</f>
        <v>#REF!</v>
      </c>
      <c r="U55" s="241">
        <v>0</v>
      </c>
      <c r="V55" s="241" t="e">
        <f t="shared" si="10"/>
        <v>#REF!</v>
      </c>
      <c r="W55" s="241" t="e">
        <f t="shared" si="9"/>
        <v>#REF!</v>
      </c>
    </row>
    <row r="56" spans="1:23">
      <c r="A56" s="241" t="s">
        <v>207</v>
      </c>
      <c r="B56" s="243"/>
      <c r="C56" s="241">
        <v>0</v>
      </c>
      <c r="D56" s="241">
        <v>0</v>
      </c>
      <c r="E56" s="241">
        <v>0</v>
      </c>
      <c r="F56" s="241">
        <v>4</v>
      </c>
      <c r="G56" s="241">
        <v>0</v>
      </c>
      <c r="H56" s="241">
        <v>2</v>
      </c>
      <c r="I56" s="241">
        <v>0</v>
      </c>
      <c r="J56" s="241">
        <v>2</v>
      </c>
      <c r="K56" s="241">
        <v>0</v>
      </c>
      <c r="L56" s="243"/>
      <c r="M56" s="241">
        <v>0</v>
      </c>
      <c r="N56" s="243"/>
      <c r="O56" s="241">
        <v>-1250</v>
      </c>
      <c r="P56" s="241">
        <v>0</v>
      </c>
      <c r="Q56" s="241">
        <v>0</v>
      </c>
      <c r="R56" s="241">
        <v>750</v>
      </c>
      <c r="T56" s="241" t="e">
        <f>PRODUCT(D56,商品!O11)+PRODUCT(E56,商品!#REF!)+PRODUCT(H56,商品!#REF!)+PRODUCT(I56,商品!#REF!)+PRODUCT(商品!C15,K56)+PRODUCT(F56,商品!M6)+G56*商品!A15+J56*商品!M6+C56*商品!#REF!</f>
        <v>#REF!</v>
      </c>
      <c r="U56" s="241">
        <v>0</v>
      </c>
      <c r="V56" s="241" t="e">
        <f t="shared" si="10"/>
        <v>#REF!</v>
      </c>
      <c r="W56" s="241" t="e">
        <f t="shared" si="9"/>
        <v>#REF!</v>
      </c>
    </row>
    <row r="57" spans="1:23">
      <c r="A57" s="241" t="s">
        <v>208</v>
      </c>
      <c r="B57" s="243"/>
      <c r="C57" s="241">
        <v>0</v>
      </c>
      <c r="D57" s="241">
        <v>0</v>
      </c>
      <c r="E57" s="241">
        <v>0</v>
      </c>
      <c r="F57" s="241">
        <v>6</v>
      </c>
      <c r="G57" s="241">
        <v>0</v>
      </c>
      <c r="H57" s="241">
        <v>2</v>
      </c>
      <c r="I57" s="241">
        <v>0</v>
      </c>
      <c r="J57" s="241">
        <v>3</v>
      </c>
      <c r="K57" s="241">
        <v>0</v>
      </c>
      <c r="L57" s="243"/>
      <c r="M57" s="241">
        <v>0</v>
      </c>
      <c r="N57" s="243"/>
      <c r="O57" s="241">
        <v>-1750</v>
      </c>
      <c r="P57" s="241">
        <v>0</v>
      </c>
      <c r="Q57" s="241">
        <v>0</v>
      </c>
      <c r="R57" s="241">
        <v>1000</v>
      </c>
      <c r="T57" s="241" t="e">
        <f>PRODUCT(D57,商品!#REF!)+PRODUCT(E57,商品!#REF!)+PRODUCT(H57,商品!#REF!)+PRODUCT(I57,商品!#REF!)+PRODUCT(商品!#REF!,K57)+PRODUCT(F57,商品!#REF!)+G57*商品!#REF!+J57*商品!#REF!+C57*商品!#REF!</f>
        <v>#REF!</v>
      </c>
      <c r="U57" s="241">
        <v>0</v>
      </c>
      <c r="V57" s="241" t="e">
        <f t="shared" si="10"/>
        <v>#REF!</v>
      </c>
      <c r="W57" s="241" t="e">
        <f t="shared" si="9"/>
        <v>#REF!</v>
      </c>
    </row>
    <row r="58" spans="1:23">
      <c r="A58" s="241" t="s">
        <v>209</v>
      </c>
      <c r="B58" s="243"/>
      <c r="C58" s="241">
        <v>5</v>
      </c>
      <c r="D58" s="241">
        <v>0</v>
      </c>
      <c r="E58" s="241">
        <v>0</v>
      </c>
      <c r="F58" s="241">
        <v>3</v>
      </c>
      <c r="G58" s="241">
        <v>8</v>
      </c>
      <c r="H58" s="241">
        <v>5</v>
      </c>
      <c r="I58" s="241">
        <v>0</v>
      </c>
      <c r="J58" s="241">
        <v>2</v>
      </c>
      <c r="K58" s="241">
        <v>0</v>
      </c>
      <c r="L58" s="243"/>
      <c r="M58" s="241">
        <v>0</v>
      </c>
      <c r="N58" s="243"/>
      <c r="O58" s="241">
        <v>-3000</v>
      </c>
      <c r="P58" s="241">
        <v>150</v>
      </c>
      <c r="Q58" s="241">
        <v>350</v>
      </c>
      <c r="R58" s="241">
        <v>400</v>
      </c>
      <c r="T58" s="241" t="e">
        <f>PRODUCT(D58,商品!#REF!)+PRODUCT(E58,商品!#REF!)+PRODUCT(H58,商品!#REF!)+PRODUCT(I58,商品!#REF!)+PRODUCT(商品!#REF!,K58)+PRODUCT(F58,商品!#REF!)+G58*商品!#REF!+J58*商品!#REF!+C58*商品!#REF!</f>
        <v>#REF!</v>
      </c>
      <c r="U58" s="241">
        <v>0</v>
      </c>
      <c r="V58" s="241" t="e">
        <f t="shared" si="10"/>
        <v>#REF!</v>
      </c>
      <c r="W58" s="241" t="e">
        <f t="shared" si="9"/>
        <v>#REF!</v>
      </c>
    </row>
    <row r="60" spans="1:25">
      <c r="A60" s="242" t="s">
        <v>246</v>
      </c>
      <c r="B60" s="243" t="s">
        <v>5</v>
      </c>
      <c r="C60" s="241" t="s">
        <v>193</v>
      </c>
      <c r="D60" s="241" t="s">
        <v>35</v>
      </c>
      <c r="E60" s="241" t="s">
        <v>10</v>
      </c>
      <c r="F60" s="241" t="s">
        <v>47</v>
      </c>
      <c r="G60" s="241" t="s">
        <v>30</v>
      </c>
      <c r="H60" s="241" t="s">
        <v>223</v>
      </c>
      <c r="I60" s="241" t="s">
        <v>9</v>
      </c>
      <c r="J60" s="241" t="s">
        <v>247</v>
      </c>
      <c r="K60" s="241" t="s">
        <v>233</v>
      </c>
      <c r="L60" s="243" t="s">
        <v>12</v>
      </c>
      <c r="M60" s="241" t="s">
        <v>248</v>
      </c>
      <c r="N60" s="241" t="s">
        <v>249</v>
      </c>
      <c r="O60" s="241" t="s">
        <v>250</v>
      </c>
      <c r="P60" s="243" t="s">
        <v>14</v>
      </c>
      <c r="Q60" s="241" t="s">
        <v>15</v>
      </c>
      <c r="R60" s="241" t="s">
        <v>16</v>
      </c>
      <c r="S60" s="241" t="s">
        <v>17</v>
      </c>
      <c r="T60" s="241" t="s">
        <v>18</v>
      </c>
      <c r="U60" s="243" t="s">
        <v>251</v>
      </c>
      <c r="V60" s="241" t="s">
        <v>252</v>
      </c>
      <c r="W60" s="241" t="s">
        <v>21</v>
      </c>
      <c r="X60" s="241" t="s">
        <v>22</v>
      </c>
      <c r="Y60" s="241" t="s">
        <v>23</v>
      </c>
    </row>
    <row r="61" spans="1:25">
      <c r="A61" s="241" t="s">
        <v>248</v>
      </c>
      <c r="B61" s="243"/>
      <c r="C61" s="241">
        <v>0</v>
      </c>
      <c r="D61" s="241">
        <v>5</v>
      </c>
      <c r="E61" s="241">
        <v>0</v>
      </c>
      <c r="F61" s="241">
        <v>0</v>
      </c>
      <c r="G61" s="241">
        <v>0</v>
      </c>
      <c r="H61" s="241">
        <v>10</v>
      </c>
      <c r="I61" s="241">
        <v>10</v>
      </c>
      <c r="J61" s="241">
        <v>0</v>
      </c>
      <c r="K61" s="241">
        <v>0</v>
      </c>
      <c r="L61" s="243"/>
      <c r="M61" s="241">
        <v>35</v>
      </c>
      <c r="N61" s="241">
        <v>0</v>
      </c>
      <c r="O61" s="241">
        <v>0</v>
      </c>
      <c r="P61" s="243"/>
      <c r="Q61" s="241">
        <v>4000</v>
      </c>
      <c r="R61" s="241">
        <v>400</v>
      </c>
      <c r="S61" s="241">
        <v>200</v>
      </c>
      <c r="T61" s="241">
        <v>0</v>
      </c>
      <c r="U61" s="243"/>
      <c r="V61" s="241">
        <f>C61*商品!P10+D61*商品!I4+E61*商品!F16+商品!O6*F61+G61*商品!L16+I61*商品!J6+J61*商品!G6+K61*商品!I16+H61*商品!G12</f>
        <v>1300</v>
      </c>
      <c r="W61" s="241" t="e">
        <f>M61*商品!#REF!+N61*商品!#REF!+O61*商品!#REF!</f>
        <v>#REF!</v>
      </c>
      <c r="X61" s="241" t="e">
        <f>SUM(-V61,W61)</f>
        <v>#REF!</v>
      </c>
      <c r="Y61" s="241" t="e">
        <f>X61/(Q61+R61+S61+T61)</f>
        <v>#REF!</v>
      </c>
    </row>
    <row r="62" spans="1:25">
      <c r="A62" s="241" t="s">
        <v>253</v>
      </c>
      <c r="B62" s="243"/>
      <c r="C62" s="241">
        <v>0</v>
      </c>
      <c r="D62" s="241">
        <v>10</v>
      </c>
      <c r="E62" s="241">
        <v>0</v>
      </c>
      <c r="F62" s="241">
        <v>0</v>
      </c>
      <c r="G62" s="241">
        <v>0</v>
      </c>
      <c r="H62" s="241">
        <v>10</v>
      </c>
      <c r="I62" s="241">
        <v>10</v>
      </c>
      <c r="J62" s="241">
        <v>0</v>
      </c>
      <c r="K62" s="241">
        <v>0</v>
      </c>
      <c r="L62" s="243"/>
      <c r="M62" s="241">
        <v>50</v>
      </c>
      <c r="N62" s="241">
        <v>0</v>
      </c>
      <c r="O62" s="241">
        <v>0</v>
      </c>
      <c r="P62" s="243"/>
      <c r="Q62" s="241">
        <v>3500</v>
      </c>
      <c r="R62" s="241">
        <v>300</v>
      </c>
      <c r="S62" s="241">
        <v>300</v>
      </c>
      <c r="T62" s="241">
        <v>0</v>
      </c>
      <c r="U62" s="243"/>
      <c r="V62" s="241" t="e">
        <f>C62*商品!#REF!+D62*商品!#REF!+E62*商品!#REF!+商品!#REF!*F62+G62*商品!#REF!+I62*商品!#REF!+J62*商品!F33+K62*商品!#REF!+H62*商品!#REF!</f>
        <v>#REF!</v>
      </c>
      <c r="W62" s="241" t="e">
        <f>M62*商品!G33+N62*商品!H33+O62*商品!#REF!</f>
        <v>#REF!</v>
      </c>
      <c r="X62" s="241" t="e">
        <f t="shared" ref="X62:X73" si="11">SUM(-V62,W62)</f>
        <v>#REF!</v>
      </c>
      <c r="Y62" s="241" t="e">
        <f>X62/(Q62+R62+S62+T62)</f>
        <v>#REF!</v>
      </c>
    </row>
    <row r="63" spans="1:25">
      <c r="A63" s="241" t="s">
        <v>254</v>
      </c>
      <c r="B63" s="243"/>
      <c r="C63" s="241">
        <v>0</v>
      </c>
      <c r="D63" s="241">
        <v>15</v>
      </c>
      <c r="E63" s="241">
        <v>0</v>
      </c>
      <c r="F63" s="241">
        <v>0</v>
      </c>
      <c r="G63" s="241">
        <v>0</v>
      </c>
      <c r="H63" s="241">
        <v>20</v>
      </c>
      <c r="I63" s="241">
        <v>20</v>
      </c>
      <c r="J63" s="241">
        <v>0</v>
      </c>
      <c r="K63" s="241">
        <v>0</v>
      </c>
      <c r="L63" s="243"/>
      <c r="M63" s="241">
        <v>80</v>
      </c>
      <c r="N63" s="241">
        <v>0</v>
      </c>
      <c r="O63" s="241">
        <v>0</v>
      </c>
      <c r="P63" s="243"/>
      <c r="Q63" s="241">
        <v>3000</v>
      </c>
      <c r="R63" s="241">
        <v>200</v>
      </c>
      <c r="S63" s="241">
        <v>400</v>
      </c>
      <c r="T63" s="241">
        <v>0</v>
      </c>
      <c r="U63" s="243"/>
      <c r="V63" s="241" t="e">
        <f>C63*商品!#REF!+D63*商品!#REF!+E63*商品!A9+商品!#REF!*F63+G63*商品!#REF!+I63*商品!D5+J63*商品!F34+K63*商品!#REF!+H63*商品!#REF!</f>
        <v>#REF!</v>
      </c>
      <c r="W63" s="241" t="e">
        <f>M63*商品!G34+N63*商品!H34+O63*商品!#REF!</f>
        <v>#REF!</v>
      </c>
      <c r="X63" s="241" t="e">
        <f t="shared" si="11"/>
        <v>#REF!</v>
      </c>
      <c r="Y63" s="241" t="e">
        <f>X63/(Q63+R63+S63+T63)</f>
        <v>#REF!</v>
      </c>
    </row>
    <row r="64" spans="1:21">
      <c r="A64" s="241" t="s">
        <v>255</v>
      </c>
      <c r="B64" s="243"/>
      <c r="C64" s="241">
        <v>0</v>
      </c>
      <c r="D64" s="241">
        <v>0</v>
      </c>
      <c r="E64" s="241">
        <v>0</v>
      </c>
      <c r="F64" s="241">
        <v>0</v>
      </c>
      <c r="G64" s="241">
        <v>0</v>
      </c>
      <c r="H64" s="241">
        <v>0</v>
      </c>
      <c r="I64" s="241">
        <v>0</v>
      </c>
      <c r="J64" s="241">
        <v>0</v>
      </c>
      <c r="K64" s="241">
        <v>0</v>
      </c>
      <c r="L64" s="243"/>
      <c r="M64" s="241">
        <v>0</v>
      </c>
      <c r="N64" s="241">
        <v>0</v>
      </c>
      <c r="O64" s="241">
        <v>0</v>
      </c>
      <c r="P64" s="243"/>
      <c r="Q64" s="241">
        <v>0</v>
      </c>
      <c r="R64" s="241">
        <v>0</v>
      </c>
      <c r="S64" s="241">
        <v>0</v>
      </c>
      <c r="T64" s="241">
        <v>0</v>
      </c>
      <c r="U64" s="243"/>
    </row>
    <row r="65" spans="1:25">
      <c r="A65" s="241" t="s">
        <v>256</v>
      </c>
      <c r="B65" s="243"/>
      <c r="C65" s="241">
        <v>0</v>
      </c>
      <c r="D65" s="241">
        <v>0</v>
      </c>
      <c r="E65" s="241">
        <v>0</v>
      </c>
      <c r="F65" s="241">
        <v>0</v>
      </c>
      <c r="G65" s="241">
        <v>0</v>
      </c>
      <c r="H65" s="241">
        <v>0</v>
      </c>
      <c r="I65" s="241">
        <v>0</v>
      </c>
      <c r="J65" s="241">
        <v>0</v>
      </c>
      <c r="K65" s="241">
        <v>0</v>
      </c>
      <c r="L65" s="243"/>
      <c r="M65" s="241">
        <v>-10</v>
      </c>
      <c r="N65" s="241">
        <v>0</v>
      </c>
      <c r="O65" s="241">
        <v>15</v>
      </c>
      <c r="P65" s="243"/>
      <c r="Q65" s="241">
        <v>0</v>
      </c>
      <c r="R65" s="241">
        <v>300</v>
      </c>
      <c r="S65" s="241">
        <v>500</v>
      </c>
      <c r="U65" s="243"/>
      <c r="V65" s="241" t="e">
        <f>C65*商品!#REF!+D65*商品!#REF!+E65*商品!#REF!+商品!#REF!*F65+G65*商品!#REF!+I65*商品!#REF!+J65*商品!F36+K65*商品!#REF!+H65*商品!#REF!</f>
        <v>#REF!</v>
      </c>
      <c r="W65" s="241">
        <f>M65*商品!G36+N65*商品!H36+O65*商品!I36</f>
        <v>0</v>
      </c>
      <c r="X65" s="241" t="e">
        <f t="shared" si="11"/>
        <v>#REF!</v>
      </c>
      <c r="Y65" s="241" t="e">
        <f t="shared" ref="Y64:Y69" si="12">X65/(Q65+R65+S65+T65)</f>
        <v>#REF!</v>
      </c>
    </row>
    <row r="66" spans="1:25">
      <c r="A66" s="241" t="s">
        <v>257</v>
      </c>
      <c r="B66" s="243"/>
      <c r="C66" s="241">
        <v>0</v>
      </c>
      <c r="D66" s="241">
        <v>0</v>
      </c>
      <c r="E66" s="241">
        <v>0</v>
      </c>
      <c r="F66" s="241">
        <v>0</v>
      </c>
      <c r="G66" s="241">
        <v>0</v>
      </c>
      <c r="H66" s="241">
        <v>0</v>
      </c>
      <c r="I66" s="241">
        <v>4</v>
      </c>
      <c r="J66" s="241">
        <v>10</v>
      </c>
      <c r="K66" s="241">
        <v>0</v>
      </c>
      <c r="L66" s="243"/>
      <c r="M66" s="241">
        <v>-15</v>
      </c>
      <c r="N66" s="241">
        <v>0</v>
      </c>
      <c r="O66" s="241">
        <v>30</v>
      </c>
      <c r="P66" s="243"/>
      <c r="Q66" s="241">
        <v>0</v>
      </c>
      <c r="R66" s="241">
        <v>400</v>
      </c>
      <c r="S66" s="241">
        <v>400</v>
      </c>
      <c r="U66" s="243"/>
      <c r="V66" s="241" t="e">
        <f>C66*商品!#REF!+D66*商品!#REF!+E66*商品!A15+商品!M6*F66+G66*商品!#REF!+I66*商品!#REF!+J66*商品!F37+K66*商品!#REF!+H66*商品!O11</f>
        <v>#REF!</v>
      </c>
      <c r="W66" s="241">
        <f>M66*商品!G37+N66*商品!H37+O66*商品!I37</f>
        <v>0</v>
      </c>
      <c r="X66" s="241" t="e">
        <f t="shared" si="11"/>
        <v>#REF!</v>
      </c>
      <c r="Y66" s="241" t="e">
        <f t="shared" si="12"/>
        <v>#REF!</v>
      </c>
    </row>
    <row r="67" spans="1:25">
      <c r="A67" s="241" t="s">
        <v>258</v>
      </c>
      <c r="B67" s="243"/>
      <c r="C67" s="241">
        <v>0</v>
      </c>
      <c r="D67" s="241">
        <v>0</v>
      </c>
      <c r="E67" s="241">
        <v>0</v>
      </c>
      <c r="F67" s="241">
        <v>0</v>
      </c>
      <c r="G67" s="241">
        <v>0</v>
      </c>
      <c r="H67" s="241">
        <v>0</v>
      </c>
      <c r="I67" s="241">
        <v>8</v>
      </c>
      <c r="J67" s="241">
        <v>20</v>
      </c>
      <c r="K67" s="241">
        <v>0</v>
      </c>
      <c r="L67" s="243"/>
      <c r="M67" s="241">
        <v>-25</v>
      </c>
      <c r="N67" s="241">
        <v>0</v>
      </c>
      <c r="O67" s="241">
        <v>60</v>
      </c>
      <c r="P67" s="243"/>
      <c r="Q67" s="241">
        <v>0</v>
      </c>
      <c r="R67" s="241">
        <v>500</v>
      </c>
      <c r="S67" s="241">
        <v>300</v>
      </c>
      <c r="U67" s="243"/>
      <c r="V67" s="241" t="e">
        <f>C67*商品!#REF!+D67*商品!#REF!+E67*商品!#REF!+商品!#REF!*F67+G67*商品!#REF!+I67*商品!#REF!+J67*商品!F38+K67*商品!#REF!+H67*商品!#REF!</f>
        <v>#REF!</v>
      </c>
      <c r="W67" s="241">
        <f>M67*商品!G38+N67*商品!H38+O67*商品!I38</f>
        <v>0</v>
      </c>
      <c r="X67" s="241" t="e">
        <f t="shared" si="11"/>
        <v>#REF!</v>
      </c>
      <c r="Y67" s="241" t="e">
        <f t="shared" si="12"/>
        <v>#REF!</v>
      </c>
    </row>
    <row r="68" spans="1:25">
      <c r="A68" s="241" t="s">
        <v>259</v>
      </c>
      <c r="B68" s="243"/>
      <c r="C68" s="241">
        <v>0</v>
      </c>
      <c r="D68" s="241">
        <v>0</v>
      </c>
      <c r="E68" s="241">
        <v>0</v>
      </c>
      <c r="F68" s="241">
        <v>0</v>
      </c>
      <c r="G68" s="241">
        <v>0</v>
      </c>
      <c r="H68" s="241">
        <v>0</v>
      </c>
      <c r="I68" s="241">
        <v>0</v>
      </c>
      <c r="J68" s="241">
        <v>20</v>
      </c>
      <c r="K68" s="241">
        <v>25</v>
      </c>
      <c r="L68" s="243"/>
      <c r="M68" s="241">
        <v>0</v>
      </c>
      <c r="N68" s="241">
        <v>50</v>
      </c>
      <c r="O68" s="241">
        <v>0</v>
      </c>
      <c r="P68" s="243"/>
      <c r="Q68" s="241">
        <v>0</v>
      </c>
      <c r="R68" s="241">
        <v>600</v>
      </c>
      <c r="S68" s="241">
        <v>400</v>
      </c>
      <c r="U68" s="243"/>
      <c r="V68" s="241" t="e">
        <f>C68*商品!#REF!+D68*商品!#REF!+E68*商品!#REF!+商品!#REF!*F68+G68*商品!#REF!+I68*商品!#REF!+J68*商品!F39+K68*商品!#REF!+H68*商品!#REF!</f>
        <v>#REF!</v>
      </c>
      <c r="W68" s="241">
        <f>M68*商品!G39+N68*商品!H39+O68*商品!I39</f>
        <v>0</v>
      </c>
      <c r="X68" s="241" t="e">
        <f t="shared" si="11"/>
        <v>#REF!</v>
      </c>
      <c r="Y68" s="241" t="e">
        <f t="shared" si="12"/>
        <v>#REF!</v>
      </c>
    </row>
    <row r="69" spans="1:25">
      <c r="A69" s="241" t="s">
        <v>260</v>
      </c>
      <c r="B69" s="243"/>
      <c r="C69" s="241">
        <v>0</v>
      </c>
      <c r="D69" s="241">
        <v>0</v>
      </c>
      <c r="E69" s="241">
        <v>0</v>
      </c>
      <c r="F69" s="241">
        <v>0</v>
      </c>
      <c r="G69" s="241">
        <v>0</v>
      </c>
      <c r="H69" s="241">
        <v>0</v>
      </c>
      <c r="I69" s="241">
        <v>0</v>
      </c>
      <c r="J69" s="241">
        <v>40</v>
      </c>
      <c r="K69" s="241">
        <v>50</v>
      </c>
      <c r="L69" s="243"/>
      <c r="M69" s="241">
        <v>0</v>
      </c>
      <c r="N69" s="241">
        <v>100</v>
      </c>
      <c r="O69" s="241">
        <v>0</v>
      </c>
      <c r="P69" s="243"/>
      <c r="Q69" s="241">
        <v>0</v>
      </c>
      <c r="R69" s="241">
        <v>400</v>
      </c>
      <c r="S69" s="241">
        <v>600</v>
      </c>
      <c r="U69" s="243"/>
      <c r="V69" s="241" t="e">
        <f>C69*商品!#REF!+D69*商品!#REF!+E69*商品!A17+商品!#REF!*F69+G69*商品!#REF!+I69*商品!D20+J69*商品!F40+K69*商品!#REF!+H69*商品!#REF!</f>
        <v>#REF!</v>
      </c>
      <c r="W69" s="241">
        <f>M69*商品!G40+N69*商品!H40+O69*商品!I40</f>
        <v>0</v>
      </c>
      <c r="X69" s="241" t="e">
        <f t="shared" si="11"/>
        <v>#REF!</v>
      </c>
      <c r="Y69" s="241" t="e">
        <f t="shared" si="12"/>
        <v>#REF!</v>
      </c>
    </row>
    <row r="70" spans="1:24">
      <c r="A70" s="241" t="s">
        <v>204</v>
      </c>
      <c r="B70" s="243"/>
      <c r="C70" s="241">
        <v>0</v>
      </c>
      <c r="D70" s="241">
        <v>10</v>
      </c>
      <c r="E70" s="241">
        <v>10</v>
      </c>
      <c r="F70" s="241">
        <v>0</v>
      </c>
      <c r="G70" s="241">
        <v>0</v>
      </c>
      <c r="H70" s="241">
        <v>0</v>
      </c>
      <c r="I70" s="241">
        <v>0</v>
      </c>
      <c r="J70" s="241">
        <v>0</v>
      </c>
      <c r="K70" s="241">
        <v>0</v>
      </c>
      <c r="L70" s="243"/>
      <c r="M70" s="241">
        <v>0</v>
      </c>
      <c r="N70" s="241">
        <v>0</v>
      </c>
      <c r="O70" s="241">
        <v>0</v>
      </c>
      <c r="P70" s="243"/>
      <c r="Q70" s="241">
        <v>-450</v>
      </c>
      <c r="R70" s="241">
        <v>350</v>
      </c>
      <c r="S70" s="241">
        <v>150</v>
      </c>
      <c r="T70" s="241">
        <v>0</v>
      </c>
      <c r="U70" s="243"/>
      <c r="V70" s="241" t="e">
        <f>C70*商品!#REF!+D70*商品!#REF!+E70*商品!#REF!+商品!#REF!*F70+G70*商品!#REF!+I70*商品!#REF!+J70*商品!F41+K70*商品!#REF!+H70*商品!#REF!</f>
        <v>#REF!</v>
      </c>
      <c r="W70" s="241">
        <f>M70*商品!G41+N70*商品!H41+O70*商品!I41</f>
        <v>0</v>
      </c>
      <c r="X70" s="241" t="e">
        <f t="shared" si="11"/>
        <v>#REF!</v>
      </c>
    </row>
    <row r="71" spans="1:24">
      <c r="A71" s="241" t="s">
        <v>205</v>
      </c>
      <c r="B71" s="243"/>
      <c r="C71" s="241">
        <v>0</v>
      </c>
      <c r="D71" s="241">
        <v>15</v>
      </c>
      <c r="E71" s="241">
        <v>10</v>
      </c>
      <c r="F71" s="241">
        <v>0</v>
      </c>
      <c r="G71" s="241">
        <v>0</v>
      </c>
      <c r="H71" s="241">
        <v>0</v>
      </c>
      <c r="I71" s="241">
        <v>0</v>
      </c>
      <c r="J71" s="241">
        <v>0</v>
      </c>
      <c r="K71" s="241">
        <v>0</v>
      </c>
      <c r="L71" s="243"/>
      <c r="M71" s="241">
        <v>0</v>
      </c>
      <c r="N71" s="241">
        <v>0</v>
      </c>
      <c r="O71" s="241">
        <v>0</v>
      </c>
      <c r="P71" s="243"/>
      <c r="Q71" s="241">
        <v>-750</v>
      </c>
      <c r="R71" s="241">
        <v>250</v>
      </c>
      <c r="S71" s="241">
        <v>250</v>
      </c>
      <c r="T71" s="241">
        <v>0</v>
      </c>
      <c r="U71" s="243"/>
      <c r="V71" s="241" t="e">
        <f>C71*商品!N19+D71*商品!#REF!+E71*商品!#REF!+商品!H19*F71+G71*商品!#REF!+I71*商品!#REF!+J71*商品!F42+K71*商品!#REF!+H71*商品!O19</f>
        <v>#REF!</v>
      </c>
      <c r="W71" s="241">
        <f>M71*商品!G42+N71*商品!H42+O71*商品!I42</f>
        <v>0</v>
      </c>
      <c r="X71" s="241" t="e">
        <f t="shared" si="11"/>
        <v>#REF!</v>
      </c>
    </row>
    <row r="72" spans="1:24">
      <c r="A72" s="241" t="s">
        <v>231</v>
      </c>
      <c r="B72" s="243"/>
      <c r="C72" s="241">
        <v>5</v>
      </c>
      <c r="D72" s="241">
        <v>20</v>
      </c>
      <c r="E72" s="241">
        <v>15</v>
      </c>
      <c r="F72" s="241">
        <v>0</v>
      </c>
      <c r="G72" s="241">
        <v>0</v>
      </c>
      <c r="H72" s="241">
        <v>0</v>
      </c>
      <c r="I72" s="241">
        <v>0</v>
      </c>
      <c r="J72" s="241">
        <v>0</v>
      </c>
      <c r="K72" s="241">
        <v>0</v>
      </c>
      <c r="L72" s="243"/>
      <c r="M72" s="241">
        <v>0</v>
      </c>
      <c r="N72" s="241">
        <v>0</v>
      </c>
      <c r="O72" s="241">
        <v>0</v>
      </c>
      <c r="P72" s="243"/>
      <c r="Q72" s="241">
        <v>-1250</v>
      </c>
      <c r="R72" s="241">
        <v>150</v>
      </c>
      <c r="S72" s="241">
        <v>350</v>
      </c>
      <c r="T72" s="241">
        <v>0</v>
      </c>
      <c r="U72" s="243"/>
      <c r="V72" s="241" t="e">
        <f>C72*商品!N20+D72*商品!E23+E72*商品!#REF!+商品!H20*F72+G72*商品!F23+I72*商品!D23+J72*商品!F43+K72*商品!#REF!+H72*商品!O20</f>
        <v>#REF!</v>
      </c>
      <c r="W72" s="241">
        <f>M72*商品!G43+N72*商品!H43+O72*商品!I43</f>
        <v>0</v>
      </c>
      <c r="X72" s="241" t="e">
        <f t="shared" si="11"/>
        <v>#REF!</v>
      </c>
    </row>
    <row r="73" spans="1:21">
      <c r="A73" s="241" t="s">
        <v>209</v>
      </c>
      <c r="B73" s="243"/>
      <c r="L73" s="243"/>
      <c r="M73" s="241">
        <v>0</v>
      </c>
      <c r="N73" s="241">
        <v>0</v>
      </c>
      <c r="O73" s="241">
        <v>0</v>
      </c>
      <c r="P73" s="243"/>
      <c r="Q73" s="241">
        <v>-3000</v>
      </c>
      <c r="R73" s="241">
        <v>150</v>
      </c>
      <c r="S73" s="241">
        <v>350</v>
      </c>
      <c r="T73" s="241">
        <v>400</v>
      </c>
      <c r="U73" s="243"/>
    </row>
    <row r="75" spans="1:23">
      <c r="A75" s="245" t="s">
        <v>261</v>
      </c>
      <c r="B75" s="248" t="s">
        <v>5</v>
      </c>
      <c r="C75" s="244" t="s">
        <v>262</v>
      </c>
      <c r="D75" s="244" t="s">
        <v>263</v>
      </c>
      <c r="E75" s="244" t="s">
        <v>45</v>
      </c>
      <c r="F75" s="244" t="s">
        <v>35</v>
      </c>
      <c r="G75" s="244" t="s">
        <v>9</v>
      </c>
      <c r="H75" s="244" t="s">
        <v>10</v>
      </c>
      <c r="I75" s="244" t="s">
        <v>30</v>
      </c>
      <c r="J75" s="244" t="s">
        <v>47</v>
      </c>
      <c r="K75" s="244" t="s">
        <v>193</v>
      </c>
      <c r="L75" s="248" t="s">
        <v>12</v>
      </c>
      <c r="M75" s="244" t="s">
        <v>264</v>
      </c>
      <c r="N75" s="241" t="s">
        <v>14</v>
      </c>
      <c r="O75" s="244" t="s">
        <v>15</v>
      </c>
      <c r="P75" s="244" t="s">
        <v>16</v>
      </c>
      <c r="Q75" s="244" t="s">
        <v>17</v>
      </c>
      <c r="R75" s="244" t="s">
        <v>18</v>
      </c>
      <c r="S75" s="243" t="s">
        <v>19</v>
      </c>
      <c r="T75" s="241" t="s">
        <v>20</v>
      </c>
      <c r="U75" s="241" t="s">
        <v>21</v>
      </c>
      <c r="V75" s="241" t="s">
        <v>22</v>
      </c>
      <c r="W75" s="244" t="s">
        <v>23</v>
      </c>
    </row>
    <row r="76" spans="1:23">
      <c r="A76" s="244" t="s">
        <v>265</v>
      </c>
      <c r="B76" s="248"/>
      <c r="C76" s="241">
        <v>20</v>
      </c>
      <c r="D76" s="241">
        <v>20</v>
      </c>
      <c r="E76" s="241">
        <v>5</v>
      </c>
      <c r="F76" s="241">
        <v>0</v>
      </c>
      <c r="G76" s="241">
        <v>0</v>
      </c>
      <c r="H76" s="241">
        <v>0</v>
      </c>
      <c r="I76" s="241">
        <v>0</v>
      </c>
      <c r="J76" s="241">
        <v>0</v>
      </c>
      <c r="K76" s="241">
        <v>0</v>
      </c>
      <c r="L76" s="248"/>
      <c r="M76" s="241">
        <v>90</v>
      </c>
      <c r="O76" s="241">
        <v>4500</v>
      </c>
      <c r="P76" s="241">
        <v>0</v>
      </c>
      <c r="Q76" s="241">
        <v>0</v>
      </c>
      <c r="R76" s="241">
        <v>0</v>
      </c>
      <c r="S76" s="243"/>
      <c r="T76" s="241">
        <f>PRODUCT(C76,商品!K10)+PRODUCT(D76,商品!F10)+PRODUCT(E76,商品!J4)+F76*商品!I4+G76*商品!J6+H76*商品!F16+I76*商品!L16+J76*商品!O6+K76*商品!P10</f>
        <v>1200</v>
      </c>
      <c r="U76" s="241">
        <f>PRODUCT(M76,商品!G10)</f>
        <v>2700</v>
      </c>
      <c r="V76" s="241">
        <f t="shared" ref="V76:V81" si="13">SUM(-T76,U76)</f>
        <v>1500</v>
      </c>
      <c r="W76" s="241">
        <f t="shared" ref="W76:W79" si="14">V76/(O76+P76+Q76+R76)</f>
        <v>0.333333333333333</v>
      </c>
    </row>
    <row r="77" spans="1:23">
      <c r="A77" s="244" t="s">
        <v>266</v>
      </c>
      <c r="B77" s="248"/>
      <c r="C77" s="241">
        <v>20</v>
      </c>
      <c r="D77" s="241">
        <v>40</v>
      </c>
      <c r="E77" s="241">
        <v>10</v>
      </c>
      <c r="F77" s="241">
        <v>0</v>
      </c>
      <c r="G77" s="241">
        <v>0</v>
      </c>
      <c r="H77" s="241">
        <v>0</v>
      </c>
      <c r="I77" s="241">
        <v>0</v>
      </c>
      <c r="J77" s="241">
        <v>0</v>
      </c>
      <c r="K77" s="241">
        <v>0</v>
      </c>
      <c r="L77" s="248"/>
      <c r="M77" s="241">
        <v>140</v>
      </c>
      <c r="O77" s="241">
        <v>3000</v>
      </c>
      <c r="P77" s="241">
        <v>250</v>
      </c>
      <c r="Q77" s="241">
        <v>250</v>
      </c>
      <c r="R77" s="241">
        <v>0</v>
      </c>
      <c r="S77" s="243"/>
      <c r="T77" s="241" t="e">
        <f>PRODUCT(C77,商品!#REF!)+PRODUCT(D77,商品!#REF!)+PRODUCT(E77,商品!#REF!)+F77*商品!#REF!+G77*商品!#REF!+H77*商品!#REF!+I77*商品!#REF!+J77*商品!#REF!+K77*商品!#REF!</f>
        <v>#REF!</v>
      </c>
      <c r="U77" s="241" t="e">
        <f>PRODUCT(M77,商品!#REF!)</f>
        <v>#REF!</v>
      </c>
      <c r="V77" s="241" t="e">
        <f t="shared" si="13"/>
        <v>#REF!</v>
      </c>
      <c r="W77" s="241" t="e">
        <f t="shared" si="14"/>
        <v>#REF!</v>
      </c>
    </row>
    <row r="78" spans="1:22">
      <c r="A78" s="241" t="s">
        <v>206</v>
      </c>
      <c r="B78" s="248"/>
      <c r="C78" s="241">
        <v>0</v>
      </c>
      <c r="D78" s="241">
        <v>0</v>
      </c>
      <c r="E78" s="241">
        <v>0</v>
      </c>
      <c r="F78" s="241">
        <v>5</v>
      </c>
      <c r="G78" s="241">
        <v>0</v>
      </c>
      <c r="H78" s="241">
        <v>0</v>
      </c>
      <c r="I78" s="241">
        <v>3</v>
      </c>
      <c r="J78" s="241">
        <v>1</v>
      </c>
      <c r="K78" s="241">
        <v>0</v>
      </c>
      <c r="L78" s="248"/>
      <c r="N78" s="241">
        <v>0</v>
      </c>
      <c r="O78" s="241">
        <v>-500</v>
      </c>
      <c r="P78" s="241">
        <v>0</v>
      </c>
      <c r="Q78" s="241">
        <v>0</v>
      </c>
      <c r="R78" s="241">
        <v>500</v>
      </c>
      <c r="S78" s="243"/>
      <c r="T78" s="241" t="e">
        <f>PRODUCT(C78,商品!#REF!)+PRODUCT(D78,商品!#REF!)+PRODUCT(E78,商品!#REF!)+F78*商品!#REF!+G78*商品!D5+H78*商品!A9+I78*商品!#REF!+J78*商品!#REF!+K78*商品!#REF!</f>
        <v>#REF!</v>
      </c>
      <c r="U78" s="241">
        <v>0</v>
      </c>
      <c r="V78" s="241" t="e">
        <f t="shared" si="13"/>
        <v>#REF!</v>
      </c>
    </row>
    <row r="79" spans="1:22">
      <c r="A79" s="241" t="s">
        <v>207</v>
      </c>
      <c r="B79" s="248"/>
      <c r="C79" s="241">
        <v>0</v>
      </c>
      <c r="D79" s="241">
        <v>0</v>
      </c>
      <c r="E79" s="241">
        <v>0</v>
      </c>
      <c r="F79" s="241">
        <v>2</v>
      </c>
      <c r="G79" s="241">
        <v>0</v>
      </c>
      <c r="H79" s="241">
        <v>0</v>
      </c>
      <c r="I79" s="241">
        <v>4</v>
      </c>
      <c r="J79" s="241">
        <v>2</v>
      </c>
      <c r="K79" s="241">
        <v>0</v>
      </c>
      <c r="L79" s="248"/>
      <c r="N79" s="241">
        <v>0</v>
      </c>
      <c r="O79" s="241">
        <v>-1250</v>
      </c>
      <c r="P79" s="241">
        <v>0</v>
      </c>
      <c r="Q79" s="241">
        <v>0</v>
      </c>
      <c r="R79" s="241">
        <v>750</v>
      </c>
      <c r="S79" s="243"/>
      <c r="T79" s="241" t="e">
        <f>PRODUCT(C79,商品!#REF!)+PRODUCT(D79,商品!#REF!)+PRODUCT(E79,商品!#REF!)+F79*商品!#REF!+G79*商品!#REF!+H79*商品!#REF!+I79*商品!#REF!+J79*商品!#REF!+K79*商品!#REF!</f>
        <v>#REF!</v>
      </c>
      <c r="U79" s="241">
        <v>0</v>
      </c>
      <c r="V79" s="241" t="e">
        <f t="shared" si="13"/>
        <v>#REF!</v>
      </c>
    </row>
    <row r="80" spans="1:22">
      <c r="A80" s="241" t="s">
        <v>208</v>
      </c>
      <c r="B80" s="248"/>
      <c r="C80" s="241">
        <v>0</v>
      </c>
      <c r="D80" s="241">
        <v>0</v>
      </c>
      <c r="E80" s="241">
        <v>0</v>
      </c>
      <c r="F80" s="241">
        <v>2</v>
      </c>
      <c r="G80" s="241">
        <v>0</v>
      </c>
      <c r="H80" s="241">
        <v>0</v>
      </c>
      <c r="I80" s="241">
        <v>6</v>
      </c>
      <c r="J80" s="241">
        <v>3</v>
      </c>
      <c r="K80" s="241">
        <v>0</v>
      </c>
      <c r="L80" s="248"/>
      <c r="N80" s="241">
        <v>0</v>
      </c>
      <c r="O80" s="241">
        <v>-1750</v>
      </c>
      <c r="P80" s="241">
        <v>0</v>
      </c>
      <c r="Q80" s="241">
        <v>0</v>
      </c>
      <c r="R80" s="241">
        <v>1000</v>
      </c>
      <c r="S80" s="243"/>
      <c r="T80" s="241" t="e">
        <f>PRODUCT(C80,商品!#REF!)+PRODUCT(D80,商品!#REF!)+PRODUCT(E80,商品!#REF!)+F80*商品!#REF!+G80*商品!#REF!+H80*商品!#REF!+I80*商品!#REF!+J80*商品!#REF!+K80*商品!#REF!</f>
        <v>#REF!</v>
      </c>
      <c r="U80" s="241">
        <v>0</v>
      </c>
      <c r="V80" s="241" t="e">
        <f t="shared" si="13"/>
        <v>#REF!</v>
      </c>
    </row>
    <row r="81" spans="1:22">
      <c r="A81" s="241" t="s">
        <v>209</v>
      </c>
      <c r="B81" s="248"/>
      <c r="C81" s="241">
        <v>0</v>
      </c>
      <c r="D81" s="241">
        <v>0</v>
      </c>
      <c r="E81" s="241">
        <v>0</v>
      </c>
      <c r="F81" s="241">
        <v>5</v>
      </c>
      <c r="G81" s="241">
        <v>0</v>
      </c>
      <c r="H81" s="241">
        <v>8</v>
      </c>
      <c r="I81" s="241">
        <v>3</v>
      </c>
      <c r="J81" s="241">
        <v>2</v>
      </c>
      <c r="K81" s="241">
        <v>5</v>
      </c>
      <c r="L81" s="248"/>
      <c r="N81" s="241">
        <v>0</v>
      </c>
      <c r="O81" s="241">
        <v>-3000</v>
      </c>
      <c r="P81" s="241">
        <v>150</v>
      </c>
      <c r="Q81" s="241">
        <v>350</v>
      </c>
      <c r="R81" s="241">
        <v>400</v>
      </c>
      <c r="S81" s="243"/>
      <c r="T81" s="241" t="e">
        <f>PRODUCT(C81,商品!#REF!)+PRODUCT(D81,商品!#REF!)+PRODUCT(E81,商品!#REF!)+F81*商品!#REF!+G81*商品!#REF!+H81*商品!A15+I81*商品!#REF!+J81*商品!M6+K81*商品!#REF!</f>
        <v>#REF!</v>
      </c>
      <c r="U81" s="241">
        <v>0</v>
      </c>
      <c r="V81" s="241" t="e">
        <f t="shared" si="13"/>
        <v>#REF!</v>
      </c>
    </row>
    <row r="83" spans="1:23">
      <c r="A83" s="245" t="s">
        <v>267</v>
      </c>
      <c r="B83" s="243" t="s">
        <v>5</v>
      </c>
      <c r="C83" s="241" t="s">
        <v>7</v>
      </c>
      <c r="D83" s="241" t="s">
        <v>268</v>
      </c>
      <c r="E83" s="241" t="s">
        <v>211</v>
      </c>
      <c r="F83" s="241" t="s">
        <v>35</v>
      </c>
      <c r="G83" s="241" t="s">
        <v>10</v>
      </c>
      <c r="H83" s="241" t="s">
        <v>47</v>
      </c>
      <c r="I83" s="241" t="s">
        <v>30</v>
      </c>
      <c r="J83" s="241" t="s">
        <v>193</v>
      </c>
      <c r="K83" s="243" t="s">
        <v>12</v>
      </c>
      <c r="L83" s="241" t="s">
        <v>92</v>
      </c>
      <c r="M83" s="243" t="s">
        <v>14</v>
      </c>
      <c r="N83" s="241" t="s">
        <v>15</v>
      </c>
      <c r="O83" s="241" t="s">
        <v>16</v>
      </c>
      <c r="P83" s="241" t="s">
        <v>17</v>
      </c>
      <c r="Q83" s="241" t="s">
        <v>18</v>
      </c>
      <c r="R83" s="243" t="s">
        <v>19</v>
      </c>
      <c r="S83" s="241" t="s">
        <v>20</v>
      </c>
      <c r="T83" s="241" t="s">
        <v>21</v>
      </c>
      <c r="U83" s="241" t="s">
        <v>22</v>
      </c>
      <c r="V83" s="241" t="s">
        <v>23</v>
      </c>
      <c r="W83" s="244" t="s">
        <v>24</v>
      </c>
    </row>
    <row r="84" spans="1:23">
      <c r="A84" s="246" t="s">
        <v>269</v>
      </c>
      <c r="B84" s="243"/>
      <c r="C84" s="241">
        <v>40</v>
      </c>
      <c r="D84" s="241">
        <v>0</v>
      </c>
      <c r="E84" s="241">
        <v>0</v>
      </c>
      <c r="F84" s="241">
        <v>0</v>
      </c>
      <c r="G84" s="241">
        <v>0</v>
      </c>
      <c r="H84" s="241">
        <v>0</v>
      </c>
      <c r="I84" s="241">
        <v>0</v>
      </c>
      <c r="J84" s="241">
        <v>0</v>
      </c>
      <c r="K84" s="243"/>
      <c r="L84" s="241">
        <v>45</v>
      </c>
      <c r="M84" s="243"/>
      <c r="N84" s="241">
        <v>4500</v>
      </c>
      <c r="O84" s="241">
        <v>0</v>
      </c>
      <c r="P84" s="241">
        <v>0</v>
      </c>
      <c r="Q84" s="241">
        <v>0</v>
      </c>
      <c r="R84" s="243"/>
      <c r="S84" s="241">
        <f>C84*商品!F12+D84*商品!G16+E84*商品!L10+F84*商品!I4+G84*商品!F16+H84*商品!O6+I84*商品!L16+J84*商品!P10</f>
        <v>800</v>
      </c>
      <c r="T84" s="241">
        <f>L84*商品!H4</f>
        <v>1575</v>
      </c>
      <c r="U84" s="241">
        <f t="shared" ref="U84:U93" si="15">SUM(-S84,T84)</f>
        <v>775</v>
      </c>
      <c r="V84" s="241">
        <f>U84/(N84+O84+P84+Q84)</f>
        <v>0.172222222222222</v>
      </c>
      <c r="W84" s="241">
        <f>U84/S84</f>
        <v>0.96875</v>
      </c>
    </row>
    <row r="85" spans="1:23">
      <c r="A85" s="241" t="s">
        <v>270</v>
      </c>
      <c r="B85" s="243"/>
      <c r="C85" s="241">
        <v>60</v>
      </c>
      <c r="D85" s="241">
        <v>30</v>
      </c>
      <c r="E85" s="241">
        <v>0</v>
      </c>
      <c r="F85" s="241">
        <v>0</v>
      </c>
      <c r="G85" s="241">
        <v>0</v>
      </c>
      <c r="H85" s="241">
        <v>0</v>
      </c>
      <c r="I85" s="241">
        <v>0</v>
      </c>
      <c r="J85" s="241">
        <v>0</v>
      </c>
      <c r="K85" s="243"/>
      <c r="L85" s="241">
        <v>120</v>
      </c>
      <c r="M85" s="243"/>
      <c r="N85" s="241">
        <v>3500</v>
      </c>
      <c r="O85" s="241">
        <v>300</v>
      </c>
      <c r="P85" s="241">
        <v>200</v>
      </c>
      <c r="Q85" s="241">
        <v>0</v>
      </c>
      <c r="R85" s="243"/>
      <c r="S85" s="241" t="e">
        <f>C85*商品!#REF!+D85*商品!C33+E85*商品!#REF!+F85*商品!#REF!+G85*商品!#REF!+H85*商品!#REF!+I85*商品!#REF!+J85*商品!#REF!</f>
        <v>#REF!</v>
      </c>
      <c r="T85" s="241">
        <f>L85*商品!B33</f>
        <v>0</v>
      </c>
      <c r="U85" s="241" t="e">
        <f t="shared" si="15"/>
        <v>#REF!</v>
      </c>
      <c r="V85" s="241" t="e">
        <f>U85/(N85+O85+P85+Q85)</f>
        <v>#REF!</v>
      </c>
      <c r="W85" s="241" t="e">
        <f t="shared" ref="W85:W93" si="16">U85/S85</f>
        <v>#REF!</v>
      </c>
    </row>
    <row r="86" spans="1:23">
      <c r="A86" s="241" t="s">
        <v>271</v>
      </c>
      <c r="B86" s="243"/>
      <c r="C86" s="241">
        <v>60</v>
      </c>
      <c r="D86" s="241">
        <v>30</v>
      </c>
      <c r="E86" s="241">
        <v>15</v>
      </c>
      <c r="F86" s="241">
        <v>0</v>
      </c>
      <c r="G86" s="241">
        <v>0</v>
      </c>
      <c r="H86" s="241">
        <v>0</v>
      </c>
      <c r="I86" s="241">
        <v>0</v>
      </c>
      <c r="J86" s="241">
        <v>0</v>
      </c>
      <c r="K86" s="243"/>
      <c r="L86" s="241">
        <v>160</v>
      </c>
      <c r="M86" s="243"/>
      <c r="N86" s="241">
        <v>3000</v>
      </c>
      <c r="O86" s="241">
        <v>200</v>
      </c>
      <c r="P86" s="241">
        <v>300</v>
      </c>
      <c r="Q86" s="241">
        <v>0</v>
      </c>
      <c r="R86" s="243"/>
      <c r="S86" s="241" t="e">
        <f>C86*商品!#REF!+D86*商品!C34+E86*商品!#REF!+F86*商品!#REF!+G86*商品!A9+H86*商品!#REF!+I86*商品!#REF!+J86*商品!#REF!</f>
        <v>#REF!</v>
      </c>
      <c r="T86" s="241">
        <f>L86*商品!B34</f>
        <v>0</v>
      </c>
      <c r="U86" s="241" t="e">
        <f t="shared" si="15"/>
        <v>#REF!</v>
      </c>
      <c r="V86" s="241" t="e">
        <f>U86/(N86+O86+P86+Q86)</f>
        <v>#REF!</v>
      </c>
      <c r="W86" s="241" t="e">
        <f t="shared" si="16"/>
        <v>#REF!</v>
      </c>
    </row>
    <row r="87" spans="1:23">
      <c r="A87" s="241" t="s">
        <v>204</v>
      </c>
      <c r="B87" s="243"/>
      <c r="C87" s="241">
        <v>0</v>
      </c>
      <c r="D87" s="241">
        <v>0</v>
      </c>
      <c r="E87" s="241">
        <v>0</v>
      </c>
      <c r="F87" s="241">
        <v>5</v>
      </c>
      <c r="G87" s="241">
        <v>5</v>
      </c>
      <c r="H87" s="241">
        <v>0</v>
      </c>
      <c r="I87" s="241">
        <v>0</v>
      </c>
      <c r="J87" s="241">
        <v>0</v>
      </c>
      <c r="K87" s="243"/>
      <c r="L87" s="241">
        <v>0</v>
      </c>
      <c r="M87" s="243"/>
      <c r="N87" s="241">
        <v>-500</v>
      </c>
      <c r="O87" s="241">
        <v>350</v>
      </c>
      <c r="P87" s="241">
        <v>150</v>
      </c>
      <c r="Q87" s="241">
        <v>0</v>
      </c>
      <c r="R87" s="243"/>
      <c r="S87" s="241" t="e">
        <f>C87*商品!#REF!+D87*商品!C35+E87*商品!#REF!+F87*商品!#REF!+G87*商品!#REF!+H87*商品!#REF!+I87*商品!#REF!+J87*商品!#REF!</f>
        <v>#REF!</v>
      </c>
      <c r="T87" s="241">
        <f>L87*商品!B35</f>
        <v>0</v>
      </c>
      <c r="U87" s="241" t="e">
        <f t="shared" si="15"/>
        <v>#REF!</v>
      </c>
      <c r="V87" s="241" t="e">
        <f t="shared" ref="V87:V93" si="17">U87/(N87+O87+P87+Q87)</f>
        <v>#REF!</v>
      </c>
      <c r="W87" s="241" t="e">
        <f t="shared" si="16"/>
        <v>#REF!</v>
      </c>
    </row>
    <row r="88" spans="1:23">
      <c r="A88" s="241" t="s">
        <v>205</v>
      </c>
      <c r="B88" s="243"/>
      <c r="C88" s="241">
        <v>0</v>
      </c>
      <c r="D88" s="241">
        <v>0</v>
      </c>
      <c r="E88" s="241">
        <v>0</v>
      </c>
      <c r="F88" s="241">
        <v>5</v>
      </c>
      <c r="G88" s="241">
        <v>5</v>
      </c>
      <c r="H88" s="241">
        <v>0</v>
      </c>
      <c r="I88" s="241">
        <v>0</v>
      </c>
      <c r="J88" s="241">
        <v>0</v>
      </c>
      <c r="K88" s="243"/>
      <c r="L88" s="241">
        <v>0</v>
      </c>
      <c r="M88" s="243"/>
      <c r="N88" s="241">
        <v>-750</v>
      </c>
      <c r="O88" s="241">
        <v>250</v>
      </c>
      <c r="P88" s="241">
        <v>250</v>
      </c>
      <c r="Q88" s="241">
        <v>0</v>
      </c>
      <c r="R88" s="243"/>
      <c r="S88" s="241" t="e">
        <f>C88*商品!#REF!+D88*商品!C36+E88*商品!#REF!+F88*商品!#REF!+G88*商品!#REF!+H88*商品!#REF!+I88*商品!#REF!+J88*商品!#REF!</f>
        <v>#REF!</v>
      </c>
      <c r="T88" s="241">
        <f>L88*商品!B36</f>
        <v>0</v>
      </c>
      <c r="U88" s="241" t="e">
        <f t="shared" si="15"/>
        <v>#REF!</v>
      </c>
      <c r="V88" s="241" t="e">
        <f t="shared" si="17"/>
        <v>#REF!</v>
      </c>
      <c r="W88" s="241" t="e">
        <f t="shared" si="16"/>
        <v>#REF!</v>
      </c>
    </row>
    <row r="89" spans="1:23">
      <c r="A89" s="241" t="s">
        <v>231</v>
      </c>
      <c r="B89" s="243"/>
      <c r="C89" s="241">
        <v>0</v>
      </c>
      <c r="D89" s="241">
        <v>0</v>
      </c>
      <c r="E89" s="241">
        <v>0</v>
      </c>
      <c r="F89" s="241">
        <v>10</v>
      </c>
      <c r="G89" s="241">
        <v>10</v>
      </c>
      <c r="H89" s="241">
        <v>0</v>
      </c>
      <c r="I89" s="241">
        <v>0</v>
      </c>
      <c r="J89" s="241">
        <v>5</v>
      </c>
      <c r="K89" s="243"/>
      <c r="L89" s="241">
        <v>0</v>
      </c>
      <c r="M89" s="243"/>
      <c r="N89" s="241">
        <v>-1250</v>
      </c>
      <c r="O89" s="241">
        <v>150</v>
      </c>
      <c r="P89" s="241">
        <v>350</v>
      </c>
      <c r="Q89" s="241">
        <v>0</v>
      </c>
      <c r="R89" s="243"/>
      <c r="S89" s="241" t="e">
        <f>C89*商品!#REF!+D89*商品!C37+E89*商品!M11+F89*商品!#REF!+G89*商品!A15+H89*商品!M6+I89*商品!#REF!+J89*商品!#REF!</f>
        <v>#REF!</v>
      </c>
      <c r="T89" s="241">
        <f>L89*商品!B37</f>
        <v>0</v>
      </c>
      <c r="U89" s="241" t="e">
        <f t="shared" si="15"/>
        <v>#REF!</v>
      </c>
      <c r="V89" s="241" t="e">
        <f t="shared" si="17"/>
        <v>#REF!</v>
      </c>
      <c r="W89" s="241" t="e">
        <f t="shared" si="16"/>
        <v>#REF!</v>
      </c>
    </row>
    <row r="90" spans="1:23">
      <c r="A90" s="241" t="s">
        <v>206</v>
      </c>
      <c r="B90" s="243"/>
      <c r="C90" s="241">
        <v>0</v>
      </c>
      <c r="D90" s="241">
        <v>0</v>
      </c>
      <c r="E90" s="241">
        <v>0</v>
      </c>
      <c r="F90" s="241">
        <v>5</v>
      </c>
      <c r="G90" s="241">
        <v>0</v>
      </c>
      <c r="H90" s="241">
        <v>1</v>
      </c>
      <c r="I90" s="241">
        <v>3</v>
      </c>
      <c r="J90" s="241">
        <v>0</v>
      </c>
      <c r="K90" s="243"/>
      <c r="L90" s="241">
        <v>0</v>
      </c>
      <c r="M90" s="243"/>
      <c r="N90" s="241">
        <v>-500</v>
      </c>
      <c r="O90" s="241">
        <v>0</v>
      </c>
      <c r="P90" s="241">
        <v>0</v>
      </c>
      <c r="Q90" s="241">
        <v>500</v>
      </c>
      <c r="R90" s="243"/>
      <c r="S90" s="241" t="e">
        <f>C90*商品!#REF!+D90*商品!C38+E90*商品!#REF!+F90*商品!#REF!+G90*商品!#REF!+H90*商品!#REF!+I90*商品!#REF!+J90*商品!#REF!</f>
        <v>#REF!</v>
      </c>
      <c r="T90" s="241">
        <f>L90*商品!B38</f>
        <v>0</v>
      </c>
      <c r="U90" s="241" t="e">
        <f t="shared" si="15"/>
        <v>#REF!</v>
      </c>
      <c r="V90" s="241" t="e">
        <f t="shared" si="17"/>
        <v>#REF!</v>
      </c>
      <c r="W90" s="241" t="e">
        <f t="shared" si="16"/>
        <v>#REF!</v>
      </c>
    </row>
    <row r="91" spans="1:23">
      <c r="A91" s="241" t="s">
        <v>207</v>
      </c>
      <c r="B91" s="243"/>
      <c r="C91" s="241">
        <v>0</v>
      </c>
      <c r="D91" s="241">
        <v>0</v>
      </c>
      <c r="E91" s="241">
        <v>0</v>
      </c>
      <c r="F91" s="241">
        <v>5</v>
      </c>
      <c r="G91" s="241">
        <v>0</v>
      </c>
      <c r="H91" s="241">
        <v>2</v>
      </c>
      <c r="I91" s="241">
        <v>5</v>
      </c>
      <c r="J91" s="241">
        <v>0</v>
      </c>
      <c r="K91" s="243"/>
      <c r="L91" s="241">
        <v>0</v>
      </c>
      <c r="M91" s="243"/>
      <c r="N91" s="241">
        <v>-1250</v>
      </c>
      <c r="O91" s="241">
        <v>0</v>
      </c>
      <c r="P91" s="241">
        <v>0</v>
      </c>
      <c r="Q91" s="241">
        <v>750</v>
      </c>
      <c r="R91" s="243"/>
      <c r="S91" s="241" t="e">
        <f>C91*商品!#REF!+D91*商品!C39+E91*商品!#REF!+F91*商品!#REF!+G91*商品!#REF!+H91*商品!#REF!+I91*商品!#REF!+J91*商品!#REF!</f>
        <v>#REF!</v>
      </c>
      <c r="T91" s="241">
        <f>L91*商品!B39</f>
        <v>0</v>
      </c>
      <c r="U91" s="241" t="e">
        <f t="shared" si="15"/>
        <v>#REF!</v>
      </c>
      <c r="V91" s="241" t="e">
        <f t="shared" si="17"/>
        <v>#REF!</v>
      </c>
      <c r="W91" s="241" t="e">
        <f t="shared" si="16"/>
        <v>#REF!</v>
      </c>
    </row>
    <row r="92" spans="1:23">
      <c r="A92" s="241" t="s">
        <v>208</v>
      </c>
      <c r="B92" s="243"/>
      <c r="C92" s="241">
        <v>0</v>
      </c>
      <c r="D92" s="241">
        <v>0</v>
      </c>
      <c r="E92" s="241">
        <v>0</v>
      </c>
      <c r="F92" s="241">
        <v>5</v>
      </c>
      <c r="G92" s="241">
        <v>0</v>
      </c>
      <c r="H92" s="241">
        <v>3</v>
      </c>
      <c r="I92" s="241">
        <v>7</v>
      </c>
      <c r="J92" s="241">
        <v>0</v>
      </c>
      <c r="K92" s="243"/>
      <c r="L92" s="241">
        <v>0</v>
      </c>
      <c r="M92" s="243"/>
      <c r="N92" s="241">
        <v>-1750</v>
      </c>
      <c r="O92" s="241">
        <v>0</v>
      </c>
      <c r="P92" s="241">
        <v>0</v>
      </c>
      <c r="Q92" s="241">
        <v>1000</v>
      </c>
      <c r="R92" s="243"/>
      <c r="S92" s="241" t="e">
        <f>C92*商品!#REF!+D92*商品!C39+E92*商品!#REF!+F92*商品!#REF!+G92*商品!#REF!+H92*商品!#REF!+I92*商品!#REF!+J92*商品!#REF!</f>
        <v>#REF!</v>
      </c>
      <c r="T92" s="241">
        <f>L92*商品!B39</f>
        <v>0</v>
      </c>
      <c r="U92" s="241" t="e">
        <f t="shared" si="15"/>
        <v>#REF!</v>
      </c>
      <c r="V92" s="241" t="e">
        <f t="shared" si="17"/>
        <v>#REF!</v>
      </c>
      <c r="W92" s="241" t="e">
        <f t="shared" si="16"/>
        <v>#REF!</v>
      </c>
    </row>
    <row r="93" spans="1:23">
      <c r="A93" s="241" t="s">
        <v>209</v>
      </c>
      <c r="B93" s="243"/>
      <c r="C93" s="241">
        <v>0</v>
      </c>
      <c r="D93" s="241">
        <v>0</v>
      </c>
      <c r="E93" s="241">
        <v>0</v>
      </c>
      <c r="F93" s="241">
        <v>10</v>
      </c>
      <c r="G93" s="241">
        <v>10</v>
      </c>
      <c r="H93" s="241">
        <v>2</v>
      </c>
      <c r="I93" s="241">
        <v>4</v>
      </c>
      <c r="J93" s="241">
        <v>5</v>
      </c>
      <c r="K93" s="243"/>
      <c r="L93" s="241">
        <v>0</v>
      </c>
      <c r="M93" s="243"/>
      <c r="N93" s="241">
        <v>-3000</v>
      </c>
      <c r="O93" s="241">
        <v>150</v>
      </c>
      <c r="P93" s="241">
        <v>350</v>
      </c>
      <c r="Q93" s="241">
        <v>400</v>
      </c>
      <c r="R93" s="243"/>
      <c r="S93" s="241" t="e">
        <f>C93*商品!#REF!+D93*商品!C40+E93*商品!L17+F93*商品!#REF!+G93*商品!A17+H93*商品!#REF!+I93*商品!#REF!+J93*商品!#REF!</f>
        <v>#REF!</v>
      </c>
      <c r="T93" s="241">
        <f>L93*商品!B40</f>
        <v>0</v>
      </c>
      <c r="U93" s="241" t="e">
        <f t="shared" si="15"/>
        <v>#REF!</v>
      </c>
      <c r="V93" s="241" t="e">
        <f t="shared" si="17"/>
        <v>#REF!</v>
      </c>
      <c r="W93" s="241" t="e">
        <f t="shared" si="16"/>
        <v>#REF!</v>
      </c>
    </row>
    <row r="95" spans="1:23">
      <c r="A95" s="249" t="s">
        <v>272</v>
      </c>
      <c r="B95" s="243" t="s">
        <v>5</v>
      </c>
      <c r="C95" s="241" t="s">
        <v>193</v>
      </c>
      <c r="D95" s="244" t="s">
        <v>36</v>
      </c>
      <c r="E95" s="244" t="s">
        <v>262</v>
      </c>
      <c r="F95" s="244" t="s">
        <v>10</v>
      </c>
      <c r="G95" s="244" t="s">
        <v>35</v>
      </c>
      <c r="H95" s="241" t="s">
        <v>47</v>
      </c>
      <c r="I95" s="241" t="s">
        <v>30</v>
      </c>
      <c r="J95" s="244" t="s">
        <v>273</v>
      </c>
      <c r="K95" s="244" t="s">
        <v>195</v>
      </c>
      <c r="L95" s="243" t="s">
        <v>12</v>
      </c>
      <c r="M95" s="244" t="s">
        <v>274</v>
      </c>
      <c r="N95" s="243" t="s">
        <v>14</v>
      </c>
      <c r="O95" s="244" t="s">
        <v>196</v>
      </c>
      <c r="P95" s="244" t="s">
        <v>17</v>
      </c>
      <c r="Q95" s="241" t="s">
        <v>15</v>
      </c>
      <c r="R95" s="244" t="s">
        <v>18</v>
      </c>
      <c r="S95" s="243" t="s">
        <v>19</v>
      </c>
      <c r="T95" s="241" t="s">
        <v>20</v>
      </c>
      <c r="U95" s="241" t="s">
        <v>21</v>
      </c>
      <c r="V95" s="241" t="s">
        <v>22</v>
      </c>
      <c r="W95" s="244" t="s">
        <v>23</v>
      </c>
    </row>
    <row r="96" spans="1:23">
      <c r="A96" s="244" t="s">
        <v>275</v>
      </c>
      <c r="B96" s="243"/>
      <c r="C96" s="241">
        <v>0</v>
      </c>
      <c r="D96" s="241">
        <v>40</v>
      </c>
      <c r="E96" s="241">
        <v>0</v>
      </c>
      <c r="F96" s="241">
        <v>0</v>
      </c>
      <c r="G96" s="241">
        <v>0</v>
      </c>
      <c r="H96" s="241">
        <v>0</v>
      </c>
      <c r="I96" s="241">
        <v>0</v>
      </c>
      <c r="J96" s="241">
        <v>0</v>
      </c>
      <c r="K96" s="241">
        <v>0</v>
      </c>
      <c r="L96" s="243"/>
      <c r="M96" s="241">
        <v>45</v>
      </c>
      <c r="N96" s="243"/>
      <c r="O96" s="241">
        <v>0</v>
      </c>
      <c r="P96" s="241">
        <v>0</v>
      </c>
      <c r="Q96" s="241">
        <v>4500</v>
      </c>
      <c r="R96" s="241">
        <v>0</v>
      </c>
      <c r="S96" s="243"/>
      <c r="T96" s="241">
        <f>PRODUCT(C96,商品!P10)+PRODUCT(D96,商品!F10)+PRODUCT(E96,商品!K10)+PRODUCT(F96,商品!F16)+PRODUCT(G96,商品!I4)+PRODUCT(H96,商品!O6)+PRODUCT(I96,商品!L16)+PRODUCT(J96,商品!A35)+PRODUCT(K96,商品!H16)</f>
        <v>800</v>
      </c>
      <c r="U96" s="241">
        <f>PRODUCT(M96,商品!F4)</f>
        <v>1350</v>
      </c>
      <c r="V96" s="241">
        <f t="shared" ref="V96:V105" si="18">SUM(-T96,U96)</f>
        <v>550</v>
      </c>
      <c r="W96" s="241">
        <f t="shared" ref="W96:W99" si="19">V96/(O96+P96+Q96+R96)</f>
        <v>0.122222222222222</v>
      </c>
    </row>
    <row r="97" spans="1:23">
      <c r="A97" s="244" t="s">
        <v>276</v>
      </c>
      <c r="B97" s="243"/>
      <c r="C97" s="241">
        <v>0</v>
      </c>
      <c r="D97" s="241">
        <v>40</v>
      </c>
      <c r="E97" s="241">
        <v>15</v>
      </c>
      <c r="F97" s="241">
        <v>0</v>
      </c>
      <c r="G97" s="241">
        <v>0</v>
      </c>
      <c r="H97" s="241">
        <v>0</v>
      </c>
      <c r="I97" s="241">
        <v>0</v>
      </c>
      <c r="J97" s="241">
        <v>0</v>
      </c>
      <c r="K97" s="241">
        <v>0</v>
      </c>
      <c r="L97" s="243"/>
      <c r="M97" s="241">
        <v>70</v>
      </c>
      <c r="N97" s="243"/>
      <c r="O97" s="241">
        <v>300</v>
      </c>
      <c r="P97" s="241">
        <v>200</v>
      </c>
      <c r="Q97" s="241">
        <v>3500</v>
      </c>
      <c r="R97" s="241">
        <v>0</v>
      </c>
      <c r="S97" s="243"/>
      <c r="T97" s="241" t="e">
        <f>PRODUCT(C97,商品!#REF!)+PRODUCT(D97,商品!#REF!)+PRODUCT(E97,商品!#REF!)+PRODUCT(F97,商品!#REF!)+PRODUCT(G97,商品!#REF!)+PRODUCT(H97,商品!#REF!)+PRODUCT(I97,商品!#REF!)+PRODUCT(J97,商品!A36)+PRODUCT(K97,商品!#REF!)</f>
        <v>#REF!</v>
      </c>
      <c r="U97" s="241">
        <f>PRODUCT(M97,商品!D33)</f>
        <v>70</v>
      </c>
      <c r="V97" s="241" t="e">
        <f t="shared" si="18"/>
        <v>#REF!</v>
      </c>
      <c r="W97" s="241" t="e">
        <f t="shared" si="19"/>
        <v>#REF!</v>
      </c>
    </row>
    <row r="98" spans="1:23">
      <c r="A98" s="244" t="s">
        <v>277</v>
      </c>
      <c r="B98" s="243"/>
      <c r="C98" s="241">
        <v>0</v>
      </c>
      <c r="D98" s="241">
        <v>65</v>
      </c>
      <c r="E98" s="241">
        <v>30</v>
      </c>
      <c r="F98" s="241">
        <v>0</v>
      </c>
      <c r="G98" s="241">
        <v>0</v>
      </c>
      <c r="H98" s="241">
        <v>0</v>
      </c>
      <c r="I98" s="241">
        <v>0</v>
      </c>
      <c r="J98" s="241">
        <v>0</v>
      </c>
      <c r="K98" s="241">
        <v>0</v>
      </c>
      <c r="L98" s="243"/>
      <c r="M98" s="241">
        <v>120</v>
      </c>
      <c r="N98" s="243"/>
      <c r="O98" s="241">
        <v>200</v>
      </c>
      <c r="P98" s="241">
        <v>300</v>
      </c>
      <c r="Q98" s="241">
        <v>3000</v>
      </c>
      <c r="R98" s="241">
        <v>0</v>
      </c>
      <c r="S98" s="243"/>
      <c r="T98" s="241" t="e">
        <f>PRODUCT(C98,商品!#REF!)+PRODUCT(D98,商品!#REF!)+PRODUCT(E98,商品!#REF!)+PRODUCT(F98,商品!A9)+PRODUCT(G98,商品!#REF!)+PRODUCT(H98,商品!#REF!)+PRODUCT(I98,商品!#REF!)+PRODUCT(J98,商品!A37)+PRODUCT(K98,商品!C9)</f>
        <v>#REF!</v>
      </c>
      <c r="U98" s="241">
        <f>PRODUCT(M98,商品!D34)</f>
        <v>120</v>
      </c>
      <c r="V98" s="241" t="e">
        <f t="shared" si="18"/>
        <v>#REF!</v>
      </c>
      <c r="W98" s="241" t="e">
        <f t="shared" si="19"/>
        <v>#REF!</v>
      </c>
    </row>
    <row r="99" spans="1:23">
      <c r="A99" s="244" t="s">
        <v>278</v>
      </c>
      <c r="B99" s="243"/>
      <c r="C99" s="241">
        <v>0</v>
      </c>
      <c r="D99" s="241">
        <v>0</v>
      </c>
      <c r="E99" s="241">
        <v>0</v>
      </c>
      <c r="F99" s="241">
        <v>0</v>
      </c>
      <c r="G99" s="241">
        <v>0</v>
      </c>
      <c r="H99" s="241">
        <v>0</v>
      </c>
      <c r="I99" s="241">
        <v>0</v>
      </c>
      <c r="J99" s="241">
        <v>0</v>
      </c>
      <c r="K99" s="241">
        <v>0</v>
      </c>
      <c r="L99" s="243"/>
      <c r="M99" s="241">
        <v>0</v>
      </c>
      <c r="N99" s="243"/>
      <c r="O99" s="241">
        <v>0</v>
      </c>
      <c r="P99" s="241">
        <v>0</v>
      </c>
      <c r="Q99" s="241">
        <v>0</v>
      </c>
      <c r="R99" s="241">
        <v>0</v>
      </c>
      <c r="S99" s="243"/>
      <c r="T99" s="241" t="e">
        <f>PRODUCT(C99,商品!#REF!)+PRODUCT(D99,商品!#REF!)+PRODUCT(E99,商品!#REF!)+PRODUCT(F99,商品!#REF!)+PRODUCT(G99,商品!#REF!)+PRODUCT(H99,商品!#REF!)+PRODUCT(I99,商品!#REF!)+PRODUCT(J99,商品!A38)+PRODUCT(K99,商品!#REF!)</f>
        <v>#REF!</v>
      </c>
      <c r="U99" s="241">
        <f>PRODUCT(M99,商品!D35)</f>
        <v>0</v>
      </c>
      <c r="V99" s="241" t="e">
        <f t="shared" si="18"/>
        <v>#REF!</v>
      </c>
      <c r="W99" s="241">
        <v>0</v>
      </c>
    </row>
    <row r="100" spans="1:23">
      <c r="A100" s="244" t="s">
        <v>279</v>
      </c>
      <c r="B100" s="243"/>
      <c r="C100" s="241">
        <v>0</v>
      </c>
      <c r="D100" s="241">
        <v>0</v>
      </c>
      <c r="E100" s="241">
        <v>0</v>
      </c>
      <c r="F100" s="241">
        <v>0</v>
      </c>
      <c r="G100" s="241">
        <v>0</v>
      </c>
      <c r="H100" s="241">
        <v>0</v>
      </c>
      <c r="I100" s="241">
        <v>0</v>
      </c>
      <c r="J100" s="241">
        <v>15</v>
      </c>
      <c r="K100" s="241">
        <v>0</v>
      </c>
      <c r="L100" s="243"/>
      <c r="M100" s="241">
        <v>25</v>
      </c>
      <c r="N100" s="243"/>
      <c r="O100" s="241">
        <v>200</v>
      </c>
      <c r="P100" s="241">
        <v>100</v>
      </c>
      <c r="Q100" s="241">
        <v>0</v>
      </c>
      <c r="R100" s="241">
        <v>0</v>
      </c>
      <c r="S100" s="243"/>
      <c r="T100" s="241" t="e">
        <f>PRODUCT(C100,商品!#REF!)+PRODUCT(D100,商品!#REF!)+PRODUCT(E100,商品!#REF!)+PRODUCT(F100,商品!#REF!)+PRODUCT(G100,商品!#REF!)+PRODUCT(H100,商品!#REF!)+PRODUCT(I100,商品!#REF!)+PRODUCT(J100,商品!A39)+PRODUCT(K100,商品!#REF!)</f>
        <v>#REF!</v>
      </c>
      <c r="U100" s="241">
        <f>PRODUCT(M100,商品!D36)</f>
        <v>25</v>
      </c>
      <c r="V100" s="241" t="e">
        <f t="shared" si="18"/>
        <v>#REF!</v>
      </c>
      <c r="W100" s="241" t="e">
        <f>V100/(O100+P100+Q100+R100)</f>
        <v>#REF!</v>
      </c>
    </row>
    <row r="101" spans="1:23">
      <c r="A101" s="244" t="s">
        <v>280</v>
      </c>
      <c r="B101" s="243"/>
      <c r="C101" s="241">
        <v>0</v>
      </c>
      <c r="D101" s="241">
        <v>0</v>
      </c>
      <c r="E101" s="241">
        <v>0</v>
      </c>
      <c r="F101" s="241">
        <v>0</v>
      </c>
      <c r="G101" s="241">
        <v>0</v>
      </c>
      <c r="H101" s="241">
        <v>0</v>
      </c>
      <c r="I101" s="241">
        <v>0</v>
      </c>
      <c r="J101" s="241">
        <v>30</v>
      </c>
      <c r="K101" s="241">
        <v>10</v>
      </c>
      <c r="L101" s="243"/>
      <c r="M101" s="241">
        <v>60</v>
      </c>
      <c r="N101" s="243"/>
      <c r="O101" s="241">
        <v>100</v>
      </c>
      <c r="P101" s="241">
        <v>200</v>
      </c>
      <c r="Q101" s="241">
        <v>0</v>
      </c>
      <c r="R101" s="241">
        <v>0</v>
      </c>
      <c r="S101" s="243"/>
      <c r="T101" s="241" t="e">
        <f>PRODUCT(C101,商品!#REF!)+PRODUCT(D101,商品!#REF!)+PRODUCT(E101,商品!#REF!)+PRODUCT(F101,商品!A15)+PRODUCT(G101,商品!#REF!)+PRODUCT(H101,商品!M6)+PRODUCT(I101,商品!#REF!)+PRODUCT(J101,商品!A40)+PRODUCT(K101,商品!C15)</f>
        <v>#REF!</v>
      </c>
      <c r="U101" s="241">
        <f>PRODUCT(M101,商品!D37)</f>
        <v>60</v>
      </c>
      <c r="V101" s="241" t="e">
        <f t="shared" si="18"/>
        <v>#REF!</v>
      </c>
      <c r="W101" s="241" t="e">
        <f>V101/(O101+P101+Q101+R101)</f>
        <v>#REF!</v>
      </c>
    </row>
    <row r="102" spans="1:22">
      <c r="A102" s="244" t="s">
        <v>281</v>
      </c>
      <c r="B102" s="243"/>
      <c r="C102" s="241">
        <v>0</v>
      </c>
      <c r="D102" s="241">
        <v>0</v>
      </c>
      <c r="E102" s="241">
        <v>0</v>
      </c>
      <c r="F102" s="241">
        <v>0</v>
      </c>
      <c r="G102" s="241">
        <v>0</v>
      </c>
      <c r="H102" s="241">
        <v>0</v>
      </c>
      <c r="I102" s="241">
        <v>0</v>
      </c>
      <c r="J102" s="241">
        <v>0</v>
      </c>
      <c r="K102" s="241">
        <v>0</v>
      </c>
      <c r="L102" s="243"/>
      <c r="M102" s="241">
        <v>0</v>
      </c>
      <c r="N102" s="243"/>
      <c r="O102" s="241">
        <v>0</v>
      </c>
      <c r="P102" s="241">
        <v>0</v>
      </c>
      <c r="Q102" s="241">
        <v>0</v>
      </c>
      <c r="R102" s="241">
        <v>0</v>
      </c>
      <c r="S102" s="243"/>
      <c r="T102" s="241" t="e">
        <f>PRODUCT(C102,商品!#REF!)+PRODUCT(D102,商品!#REF!)+PRODUCT(E102,商品!#REF!)+PRODUCT(F102,商品!#REF!)+PRODUCT(G102,商品!#REF!)+PRODUCT(H102,商品!#REF!)+PRODUCT(I102,商品!#REF!)+PRODUCT(J102,商品!A41)+PRODUCT(K102,商品!#REF!)</f>
        <v>#REF!</v>
      </c>
      <c r="U102" s="241">
        <f>PRODUCT(M102,商品!D38)</f>
        <v>0</v>
      </c>
      <c r="V102" s="241" t="e">
        <f t="shared" si="18"/>
        <v>#REF!</v>
      </c>
    </row>
    <row r="103" spans="1:22">
      <c r="A103" s="244" t="s">
        <v>282</v>
      </c>
      <c r="B103" s="243"/>
      <c r="C103" s="241">
        <v>0</v>
      </c>
      <c r="D103" s="241">
        <v>0</v>
      </c>
      <c r="E103" s="241">
        <v>0</v>
      </c>
      <c r="F103" s="241">
        <v>0</v>
      </c>
      <c r="G103" s="241">
        <v>10</v>
      </c>
      <c r="H103" s="241">
        <v>0</v>
      </c>
      <c r="I103" s="241">
        <v>0</v>
      </c>
      <c r="J103" s="241">
        <v>0</v>
      </c>
      <c r="K103" s="241">
        <v>0</v>
      </c>
      <c r="L103" s="243"/>
      <c r="M103" s="241">
        <v>10</v>
      </c>
      <c r="N103" s="243"/>
      <c r="O103" s="241">
        <v>150</v>
      </c>
      <c r="P103" s="241">
        <v>100</v>
      </c>
      <c r="Q103" s="241">
        <v>-1000</v>
      </c>
      <c r="R103" s="241">
        <v>0</v>
      </c>
      <c r="S103" s="243"/>
      <c r="T103" s="241" t="e">
        <f>PRODUCT(C103,商品!#REF!)+PRODUCT(D103,商品!#REF!)+PRODUCT(E103,商品!#REF!)+PRODUCT(F103,商品!#REF!)+PRODUCT(G103,商品!#REF!)+PRODUCT(H103,商品!#REF!)+PRODUCT(I103,商品!#REF!)+PRODUCT(J103,商品!A42)+PRODUCT(K103,商品!#REF!)</f>
        <v>#REF!</v>
      </c>
      <c r="U103" s="241">
        <f>PRODUCT(M103,商品!D39)</f>
        <v>10</v>
      </c>
      <c r="V103" s="241" t="e">
        <f t="shared" si="18"/>
        <v>#REF!</v>
      </c>
    </row>
    <row r="104" spans="1:22">
      <c r="A104" s="241" t="s">
        <v>207</v>
      </c>
      <c r="B104" s="243"/>
      <c r="C104" s="241">
        <v>0</v>
      </c>
      <c r="D104" s="241">
        <v>0</v>
      </c>
      <c r="E104" s="241">
        <v>0</v>
      </c>
      <c r="F104" s="241">
        <v>0</v>
      </c>
      <c r="G104" s="241">
        <v>5</v>
      </c>
      <c r="H104" s="241">
        <v>2</v>
      </c>
      <c r="I104" s="241">
        <v>5</v>
      </c>
      <c r="J104" s="241">
        <v>0</v>
      </c>
      <c r="K104" s="241">
        <v>0</v>
      </c>
      <c r="L104" s="243"/>
      <c r="M104" s="241">
        <v>0</v>
      </c>
      <c r="N104" s="243"/>
      <c r="O104" s="241">
        <v>0</v>
      </c>
      <c r="P104" s="241">
        <v>0</v>
      </c>
      <c r="Q104" s="241">
        <v>-1250</v>
      </c>
      <c r="R104" s="241">
        <v>0</v>
      </c>
      <c r="S104" s="243"/>
      <c r="T104" s="241" t="e">
        <f>PRODUCT(C104,商品!#REF!)+PRODUCT(D104,商品!#REF!)+PRODUCT(E104,商品!#REF!)+PRODUCT(F104,商品!A17)+PRODUCT(G104,商品!#REF!)+PRODUCT(H104,商品!#REF!)+PRODUCT(I104,商品!#REF!)+PRODUCT(J104,商品!A43)+PRODUCT(K104,商品!C17)</f>
        <v>#REF!</v>
      </c>
      <c r="U104" s="241">
        <f>PRODUCT(M104,商品!D40)</f>
        <v>0</v>
      </c>
      <c r="V104" s="241" t="e">
        <f t="shared" si="18"/>
        <v>#REF!</v>
      </c>
    </row>
    <row r="105" spans="1:22">
      <c r="A105" s="241" t="s">
        <v>209</v>
      </c>
      <c r="B105" s="243"/>
      <c r="C105" s="241">
        <v>5</v>
      </c>
      <c r="D105" s="241">
        <v>0</v>
      </c>
      <c r="E105" s="241">
        <v>0</v>
      </c>
      <c r="F105" s="241">
        <v>10</v>
      </c>
      <c r="G105" s="241">
        <v>10</v>
      </c>
      <c r="H105" s="241">
        <v>2</v>
      </c>
      <c r="I105" s="241">
        <v>4</v>
      </c>
      <c r="J105" s="241">
        <v>0</v>
      </c>
      <c r="K105" s="241">
        <v>0</v>
      </c>
      <c r="L105" s="243"/>
      <c r="M105" s="241">
        <v>0</v>
      </c>
      <c r="N105" s="243"/>
      <c r="O105" s="241">
        <v>150</v>
      </c>
      <c r="P105" s="241">
        <v>350</v>
      </c>
      <c r="Q105" s="241">
        <v>-3000</v>
      </c>
      <c r="R105" s="241">
        <v>400</v>
      </c>
      <c r="S105" s="243"/>
      <c r="T105" s="241" t="e">
        <f>PRODUCT(C105,商品!#REF!)+PRODUCT(D105,商品!#REF!)+PRODUCT(E105,商品!#REF!)+PRODUCT(F105,商品!#REF!)+PRODUCT(G105,商品!#REF!)+PRODUCT(H105,商品!#REF!)+PRODUCT(I105,商品!#REF!)+PRODUCT(J105,商品!A44)+PRODUCT(K105,商品!#REF!)</f>
        <v>#REF!</v>
      </c>
      <c r="U105" s="241">
        <f>PRODUCT(M105,商品!D41)</f>
        <v>0</v>
      </c>
      <c r="V105" s="241" t="e">
        <f t="shared" si="18"/>
        <v>#REF!</v>
      </c>
    </row>
    <row r="107" spans="1:21">
      <c r="A107" s="242" t="s">
        <v>283</v>
      </c>
      <c r="B107" s="243" t="s">
        <v>5</v>
      </c>
      <c r="C107" s="241" t="s">
        <v>193</v>
      </c>
      <c r="D107" s="241" t="s">
        <v>10</v>
      </c>
      <c r="E107" s="241" t="s">
        <v>35</v>
      </c>
      <c r="F107" s="241" t="s">
        <v>47</v>
      </c>
      <c r="G107" s="241" t="s">
        <v>30</v>
      </c>
      <c r="H107" s="241" t="s">
        <v>11</v>
      </c>
      <c r="I107" s="241" t="s">
        <v>9</v>
      </c>
      <c r="J107" s="243" t="s">
        <v>12</v>
      </c>
      <c r="K107" s="241" t="s">
        <v>8</v>
      </c>
      <c r="L107" s="243" t="s">
        <v>14</v>
      </c>
      <c r="M107" s="241" t="s">
        <v>15</v>
      </c>
      <c r="N107" s="241" t="s">
        <v>16</v>
      </c>
      <c r="O107" s="241" t="s">
        <v>17</v>
      </c>
      <c r="P107" s="241" t="s">
        <v>18</v>
      </c>
      <c r="Q107" s="243" t="s">
        <v>19</v>
      </c>
      <c r="R107" s="241" t="s">
        <v>20</v>
      </c>
      <c r="S107" s="241" t="s">
        <v>19</v>
      </c>
      <c r="T107" s="241" t="s">
        <v>22</v>
      </c>
      <c r="U107" s="241" t="s">
        <v>23</v>
      </c>
    </row>
    <row r="108" spans="1:21">
      <c r="A108" s="241" t="s">
        <v>284</v>
      </c>
      <c r="B108" s="243"/>
      <c r="C108" s="241">
        <v>0</v>
      </c>
      <c r="D108" s="241">
        <v>0</v>
      </c>
      <c r="E108" s="241">
        <v>0</v>
      </c>
      <c r="F108" s="241">
        <v>0</v>
      </c>
      <c r="G108" s="241">
        <v>25</v>
      </c>
      <c r="H108" s="241">
        <v>15</v>
      </c>
      <c r="I108" s="241">
        <v>30</v>
      </c>
      <c r="J108" s="243"/>
      <c r="K108" s="241">
        <v>60</v>
      </c>
      <c r="L108" s="243"/>
      <c r="M108" s="241">
        <v>4000</v>
      </c>
      <c r="N108" s="241">
        <v>0</v>
      </c>
      <c r="O108" s="241">
        <v>0</v>
      </c>
      <c r="P108" s="241">
        <v>500</v>
      </c>
      <c r="Q108" s="250"/>
      <c r="R108" s="241">
        <f>商品!P10*C108+E108*商品!I4+F108*商品!O6+G108*商品!L16+H108*商品!K16+I108*商品!J6</f>
        <v>4850</v>
      </c>
      <c r="S108" s="241">
        <f>K108*商品!I6</f>
        <v>5400</v>
      </c>
      <c r="T108" s="241">
        <f t="shared" ref="T108:T115" si="20">SUM(-R108,S108)</f>
        <v>550</v>
      </c>
      <c r="U108" s="241">
        <f>T108/(M108+N108+O108+P108)</f>
        <v>0.122222222222222</v>
      </c>
    </row>
    <row r="109" spans="1:21">
      <c r="A109" s="241" t="s">
        <v>285</v>
      </c>
      <c r="B109" s="243"/>
      <c r="C109" s="241">
        <v>0</v>
      </c>
      <c r="D109" s="241">
        <v>0</v>
      </c>
      <c r="E109" s="241">
        <v>0</v>
      </c>
      <c r="F109" s="241">
        <v>0</v>
      </c>
      <c r="G109" s="241">
        <v>20</v>
      </c>
      <c r="H109" s="241">
        <v>20</v>
      </c>
      <c r="I109" s="241">
        <v>40</v>
      </c>
      <c r="J109" s="243"/>
      <c r="K109" s="241">
        <v>80</v>
      </c>
      <c r="L109" s="243"/>
      <c r="M109" s="241">
        <v>3500</v>
      </c>
      <c r="N109" s="241">
        <v>0</v>
      </c>
      <c r="O109" s="241">
        <v>0</v>
      </c>
      <c r="P109" s="241">
        <v>1000</v>
      </c>
      <c r="Q109" s="250"/>
      <c r="R109" s="241" t="e">
        <f>商品!#REF!*C109+E109*商品!#REF!+F109*商品!#REF!+G109*商品!#REF!+H109*商品!#REF!+I109*商品!#REF!</f>
        <v>#REF!</v>
      </c>
      <c r="S109" s="241">
        <f>K109*商品!E33</f>
        <v>0</v>
      </c>
      <c r="T109" s="241" t="e">
        <f t="shared" si="20"/>
        <v>#REF!</v>
      </c>
      <c r="U109" s="241" t="e">
        <f>T109/(M109+N109+O109+P109)</f>
        <v>#REF!</v>
      </c>
    </row>
    <row r="110" spans="1:21">
      <c r="A110" s="241" t="s">
        <v>286</v>
      </c>
      <c r="B110" s="243"/>
      <c r="C110" s="241">
        <v>0</v>
      </c>
      <c r="D110" s="241">
        <v>0</v>
      </c>
      <c r="E110" s="241">
        <v>0</v>
      </c>
      <c r="F110" s="241">
        <v>0</v>
      </c>
      <c r="G110" s="241">
        <v>15</v>
      </c>
      <c r="H110" s="241">
        <v>25</v>
      </c>
      <c r="I110" s="241">
        <v>50</v>
      </c>
      <c r="J110" s="243"/>
      <c r="K110" s="241">
        <v>100</v>
      </c>
      <c r="L110" s="243"/>
      <c r="M110" s="241">
        <v>3000</v>
      </c>
      <c r="N110" s="241">
        <v>0</v>
      </c>
      <c r="O110" s="241">
        <v>0</v>
      </c>
      <c r="P110" s="241">
        <v>1500</v>
      </c>
      <c r="Q110" s="250"/>
      <c r="R110" s="241" t="e">
        <f>商品!#REF!*C110+E110*商品!#REF!+F110*商品!#REF!+G110*商品!#REF!+H110*商品!#REF!+I110*商品!D5</f>
        <v>#REF!</v>
      </c>
      <c r="S110" s="241">
        <f>K110*商品!E34</f>
        <v>0</v>
      </c>
      <c r="T110" s="241" t="e">
        <f t="shared" si="20"/>
        <v>#REF!</v>
      </c>
      <c r="U110" s="241" t="e">
        <f>T110/(M110+N110+O110+P110)</f>
        <v>#REF!</v>
      </c>
    </row>
    <row r="111" spans="1:20">
      <c r="A111" s="241" t="s">
        <v>287</v>
      </c>
      <c r="B111" s="243"/>
      <c r="C111" s="241">
        <v>0</v>
      </c>
      <c r="D111" s="241">
        <v>0</v>
      </c>
      <c r="E111" s="241">
        <v>0</v>
      </c>
      <c r="F111" s="241">
        <v>0</v>
      </c>
      <c r="G111" s="241">
        <v>0</v>
      </c>
      <c r="H111" s="241">
        <v>0</v>
      </c>
      <c r="I111" s="241">
        <v>0</v>
      </c>
      <c r="J111" s="243"/>
      <c r="K111" s="241">
        <v>0</v>
      </c>
      <c r="L111" s="243"/>
      <c r="M111" s="241">
        <v>0</v>
      </c>
      <c r="N111" s="241">
        <v>0</v>
      </c>
      <c r="O111" s="241">
        <v>0</v>
      </c>
      <c r="P111" s="241">
        <v>0</v>
      </c>
      <c r="Q111" s="250"/>
      <c r="R111" s="241" t="e">
        <f>商品!#REF!*C111+E111*商品!#REF!+F111*商品!#REF!+G111*商品!#REF!+H111*商品!#REF!+I111*商品!#REF!</f>
        <v>#REF!</v>
      </c>
      <c r="S111" s="241">
        <f>K111*商品!E35</f>
        <v>0</v>
      </c>
      <c r="T111" s="241" t="e">
        <f t="shared" si="20"/>
        <v>#REF!</v>
      </c>
    </row>
    <row r="112" spans="1:20">
      <c r="A112" s="241" t="s">
        <v>206</v>
      </c>
      <c r="B112" s="243"/>
      <c r="C112" s="241">
        <v>0</v>
      </c>
      <c r="D112" s="241">
        <v>0</v>
      </c>
      <c r="E112" s="241">
        <v>0</v>
      </c>
      <c r="F112" s="241">
        <v>1</v>
      </c>
      <c r="G112" s="241">
        <v>3</v>
      </c>
      <c r="H112" s="241">
        <v>0</v>
      </c>
      <c r="I112" s="241">
        <v>0</v>
      </c>
      <c r="J112" s="243"/>
      <c r="K112" s="241">
        <v>0</v>
      </c>
      <c r="L112" s="243"/>
      <c r="M112" s="241">
        <v>-500</v>
      </c>
      <c r="N112" s="241">
        <v>0</v>
      </c>
      <c r="O112" s="241">
        <v>0</v>
      </c>
      <c r="P112" s="241">
        <v>0</v>
      </c>
      <c r="Q112" s="250"/>
      <c r="R112" s="241" t="e">
        <f>商品!#REF!*C112+E112*商品!#REF!+F112*商品!#REF!+G112*商品!#REF!+H112*商品!#REF!+I112*商品!#REF!</f>
        <v>#REF!</v>
      </c>
      <c r="S112" s="241">
        <f>K112*商品!E36</f>
        <v>0</v>
      </c>
      <c r="T112" s="241" t="e">
        <f t="shared" si="20"/>
        <v>#REF!</v>
      </c>
    </row>
    <row r="113" spans="1:20">
      <c r="A113" s="241" t="s">
        <v>207</v>
      </c>
      <c r="B113" s="243"/>
      <c r="C113" s="241">
        <v>0</v>
      </c>
      <c r="D113" s="241">
        <v>0</v>
      </c>
      <c r="E113" s="241">
        <v>0</v>
      </c>
      <c r="F113" s="241">
        <v>2</v>
      </c>
      <c r="G113" s="241">
        <v>5</v>
      </c>
      <c r="H113" s="241">
        <v>0</v>
      </c>
      <c r="I113" s="241">
        <v>0</v>
      </c>
      <c r="J113" s="243"/>
      <c r="K113" s="241">
        <v>0</v>
      </c>
      <c r="L113" s="243"/>
      <c r="M113" s="241">
        <v>-1250</v>
      </c>
      <c r="N113" s="241">
        <v>0</v>
      </c>
      <c r="O113" s="241">
        <v>0</v>
      </c>
      <c r="P113" s="241">
        <v>0</v>
      </c>
      <c r="Q113" s="250"/>
      <c r="R113" s="241" t="e">
        <f>商品!#REF!*C113+E113*商品!#REF!+F113*商品!M6+G113*商品!#REF!+H113*商品!#REF!+I113*商品!#REF!</f>
        <v>#REF!</v>
      </c>
      <c r="S113" s="241">
        <f>K113*商品!E37</f>
        <v>0</v>
      </c>
      <c r="T113" s="241" t="e">
        <f t="shared" si="20"/>
        <v>#REF!</v>
      </c>
    </row>
    <row r="114" spans="1:20">
      <c r="A114" s="241" t="s">
        <v>288</v>
      </c>
      <c r="B114" s="243"/>
      <c r="C114" s="241">
        <v>0</v>
      </c>
      <c r="D114" s="241">
        <v>0</v>
      </c>
      <c r="E114" s="241">
        <v>0</v>
      </c>
      <c r="F114" s="241">
        <v>3</v>
      </c>
      <c r="G114" s="241">
        <v>7</v>
      </c>
      <c r="H114" s="241">
        <v>0</v>
      </c>
      <c r="I114" s="241">
        <v>0</v>
      </c>
      <c r="J114" s="243"/>
      <c r="K114" s="241">
        <v>0</v>
      </c>
      <c r="L114" s="243"/>
      <c r="M114" s="241">
        <v>-1750</v>
      </c>
      <c r="N114" s="241">
        <v>0</v>
      </c>
      <c r="O114" s="241">
        <v>0</v>
      </c>
      <c r="P114" s="241">
        <v>0</v>
      </c>
      <c r="Q114" s="250"/>
      <c r="R114" s="241" t="e">
        <f>商品!#REF!*C114+E114*商品!#REF!+F114*商品!#REF!+G114*商品!#REF!+H114*商品!#REF!+I114*商品!#REF!</f>
        <v>#REF!</v>
      </c>
      <c r="S114" s="241">
        <f>K114*商品!E38</f>
        <v>0</v>
      </c>
      <c r="T114" s="241" t="e">
        <f t="shared" si="20"/>
        <v>#REF!</v>
      </c>
    </row>
    <row r="115" spans="1:20">
      <c r="A115" s="241" t="s">
        <v>209</v>
      </c>
      <c r="B115" s="243"/>
      <c r="C115" s="241">
        <v>5</v>
      </c>
      <c r="D115" s="241">
        <v>10</v>
      </c>
      <c r="E115" s="241">
        <v>10</v>
      </c>
      <c r="F115" s="241">
        <v>2</v>
      </c>
      <c r="G115" s="241">
        <v>4</v>
      </c>
      <c r="H115" s="241">
        <v>0</v>
      </c>
      <c r="I115" s="241">
        <v>0</v>
      </c>
      <c r="J115" s="243"/>
      <c r="K115" s="241">
        <v>0</v>
      </c>
      <c r="L115" s="243"/>
      <c r="M115" s="241">
        <v>-3000</v>
      </c>
      <c r="N115" s="241">
        <v>150</v>
      </c>
      <c r="O115" s="241">
        <v>350</v>
      </c>
      <c r="P115" s="241">
        <v>400</v>
      </c>
      <c r="Q115" s="250"/>
      <c r="R115" s="241" t="e">
        <f>商品!#REF!*C115+E115*商品!#REF!+F115*商品!#REF!+G115*商品!#REF!+H115*商品!#REF!+I115*商品!#REF!+D115*商品!#REF!</f>
        <v>#REF!</v>
      </c>
      <c r="S115" s="241">
        <f>K115*商品!E39</f>
        <v>0</v>
      </c>
      <c r="T115" s="241" t="e">
        <f t="shared" si="20"/>
        <v>#REF!</v>
      </c>
    </row>
    <row r="117" spans="1:18">
      <c r="A117" s="245" t="s">
        <v>289</v>
      </c>
      <c r="B117" s="245" t="s">
        <v>5</v>
      </c>
      <c r="C117" s="244" t="s">
        <v>8</v>
      </c>
      <c r="D117" s="244" t="s">
        <v>9</v>
      </c>
      <c r="E117" s="244" t="s">
        <v>223</v>
      </c>
      <c r="F117" s="244" t="s">
        <v>30</v>
      </c>
      <c r="G117" s="244" t="s">
        <v>47</v>
      </c>
      <c r="H117" s="244" t="s">
        <v>290</v>
      </c>
      <c r="I117" s="244" t="s">
        <v>47</v>
      </c>
      <c r="J117" s="244" t="s">
        <v>291</v>
      </c>
      <c r="K117" s="244" t="s">
        <v>15</v>
      </c>
      <c r="L117" s="244" t="s">
        <v>16</v>
      </c>
      <c r="M117" s="244" t="s">
        <v>18</v>
      </c>
      <c r="N117" s="244" t="s">
        <v>292</v>
      </c>
      <c r="O117" s="244" t="s">
        <v>20</v>
      </c>
      <c r="P117" s="244" t="s">
        <v>19</v>
      </c>
      <c r="Q117" s="244" t="s">
        <v>22</v>
      </c>
      <c r="R117" s="244" t="s">
        <v>23</v>
      </c>
    </row>
    <row r="118" spans="1:18">
      <c r="A118" s="241" t="s">
        <v>206</v>
      </c>
      <c r="B118" s="244"/>
      <c r="H118" s="244"/>
      <c r="J118" s="244"/>
      <c r="O118" s="241" t="e">
        <f>商品!I6*C118+商品!D5*D118+商品!O21*E118+F118+商品!#REF!*G118</f>
        <v>#REF!</v>
      </c>
      <c r="P118" s="241" t="e">
        <f>商品!#REF!*I118</f>
        <v>#REF!</v>
      </c>
      <c r="Q118" s="241" t="e">
        <f t="shared" ref="Q118:Q121" si="21">P118-O118</f>
        <v>#REF!</v>
      </c>
      <c r="R118" s="241" t="e">
        <f t="shared" ref="R118:R121" si="22">Q118/(K118+L118+M118)</f>
        <v>#REF!</v>
      </c>
    </row>
    <row r="119" spans="1:18">
      <c r="A119" s="241" t="s">
        <v>207</v>
      </c>
      <c r="B119" s="244"/>
      <c r="C119" s="244"/>
      <c r="D119" s="244"/>
      <c r="E119" s="244"/>
      <c r="H119" s="244"/>
      <c r="J119" s="244"/>
      <c r="O119" s="241" t="e">
        <f>商品!E33*C119+商品!#REF!*D119+商品!O22*E119+F119+商品!H19*G119</f>
        <v>#REF!</v>
      </c>
      <c r="P119" s="241">
        <f>商品!G23*I119</f>
        <v>0</v>
      </c>
      <c r="Q119" s="241" t="e">
        <f t="shared" si="21"/>
        <v>#REF!</v>
      </c>
      <c r="R119" s="241" t="e">
        <f t="shared" si="22"/>
        <v>#REF!</v>
      </c>
    </row>
    <row r="120" spans="1:18">
      <c r="A120" s="241" t="s">
        <v>288</v>
      </c>
      <c r="B120" s="244"/>
      <c r="H120" s="244"/>
      <c r="J120" s="244"/>
      <c r="O120" s="241" t="e">
        <f>商品!E34*C120+商品!#REF!*D120+商品!N23*E120+F120+商品!H20*G120</f>
        <v>#REF!</v>
      </c>
      <c r="P120" s="241">
        <f>商品!G24*I120</f>
        <v>0</v>
      </c>
      <c r="Q120" s="241" t="e">
        <f t="shared" si="21"/>
        <v>#REF!</v>
      </c>
      <c r="R120" s="241" t="e">
        <f t="shared" si="22"/>
        <v>#REF!</v>
      </c>
    </row>
    <row r="121" spans="1:18">
      <c r="A121" s="241" t="s">
        <v>209</v>
      </c>
      <c r="B121" s="244"/>
      <c r="H121" s="244"/>
      <c r="J121" s="244"/>
      <c r="O121" s="241" t="e">
        <f>商品!E35*C121+商品!#REF!*D121+商品!N24*E121+F121+商品!#REF!*G121</f>
        <v>#REF!</v>
      </c>
      <c r="P121" s="241" t="e">
        <f>商品!#REF!*I121</f>
        <v>#REF!</v>
      </c>
      <c r="Q121" s="241" t="e">
        <f t="shared" si="21"/>
        <v>#REF!</v>
      </c>
      <c r="R121" s="241" t="e">
        <f t="shared" si="22"/>
        <v>#REF!</v>
      </c>
    </row>
    <row r="122" spans="2:10">
      <c r="B122" s="244"/>
      <c r="H122" s="244"/>
      <c r="J122" s="244"/>
    </row>
    <row r="123" spans="1:19">
      <c r="A123" s="245" t="s">
        <v>293</v>
      </c>
      <c r="B123" s="245" t="s">
        <v>5</v>
      </c>
      <c r="C123" s="244" t="s">
        <v>10</v>
      </c>
      <c r="D123" s="244" t="s">
        <v>195</v>
      </c>
      <c r="E123" s="244" t="s">
        <v>268</v>
      </c>
      <c r="F123" s="244" t="s">
        <v>47</v>
      </c>
      <c r="G123" s="244" t="s">
        <v>35</v>
      </c>
      <c r="H123" s="245" t="s">
        <v>294</v>
      </c>
      <c r="I123" s="244" t="s">
        <v>247</v>
      </c>
      <c r="J123" s="244" t="s">
        <v>295</v>
      </c>
      <c r="K123" s="245" t="s">
        <v>296</v>
      </c>
      <c r="L123" s="244" t="s">
        <v>15</v>
      </c>
      <c r="M123" s="244" t="s">
        <v>16</v>
      </c>
      <c r="N123" s="244" t="s">
        <v>17</v>
      </c>
      <c r="O123" s="245" t="s">
        <v>297</v>
      </c>
      <c r="P123" s="244" t="s">
        <v>20</v>
      </c>
      <c r="Q123" s="244" t="s">
        <v>19</v>
      </c>
      <c r="R123" s="244" t="s">
        <v>22</v>
      </c>
      <c r="S123" s="244" t="s">
        <v>23</v>
      </c>
    </row>
    <row r="124" spans="1:19">
      <c r="A124" s="244" t="s">
        <v>298</v>
      </c>
      <c r="B124" s="244"/>
      <c r="H124" s="244"/>
      <c r="K124" s="244"/>
      <c r="O124" s="244"/>
      <c r="P124" s="241" t="e">
        <f>C124*商品!A34+D124*商品!#REF!+E124*商品!C35+F124*商品!#REF!+G124*商品!#REF!</f>
        <v>#REF!</v>
      </c>
      <c r="Q124" s="241">
        <f>I124*商品!F34+J124*商品!F6</f>
        <v>0</v>
      </c>
      <c r="R124" s="241" t="e">
        <f t="shared" ref="R124:R130" si="23">Q124-P124</f>
        <v>#REF!</v>
      </c>
      <c r="S124" s="241" t="e">
        <f t="shared" ref="S124:S130" si="24">R124/(L124+M124+N124)</f>
        <v>#REF!</v>
      </c>
    </row>
    <row r="125" spans="1:19">
      <c r="A125" s="244" t="s">
        <v>299</v>
      </c>
      <c r="B125" s="244"/>
      <c r="H125" s="244"/>
      <c r="K125" s="244"/>
      <c r="O125" s="244"/>
      <c r="P125" s="241" t="e">
        <f>C125*商品!A35+D125*商品!#REF!+E125*商品!C36+F125*商品!#REF!+G125*商品!#REF!</f>
        <v>#REF!</v>
      </c>
      <c r="Q125" s="241" t="e">
        <f>I125*商品!F35+J125*商品!#REF!</f>
        <v>#REF!</v>
      </c>
      <c r="R125" s="241" t="e">
        <f t="shared" si="23"/>
        <v>#REF!</v>
      </c>
      <c r="S125" s="241" t="e">
        <f t="shared" si="24"/>
        <v>#REF!</v>
      </c>
    </row>
    <row r="126" spans="1:19">
      <c r="A126" s="244" t="s">
        <v>300</v>
      </c>
      <c r="B126" s="244"/>
      <c r="H126" s="244"/>
      <c r="K126" s="244"/>
      <c r="O126" s="244"/>
      <c r="P126" s="241" t="e">
        <f>C126*商品!A36+D126*商品!C15+E126*商品!C37+F126*商品!H19+G126*商品!#REF!</f>
        <v>#REF!</v>
      </c>
      <c r="Q126" s="241" t="e">
        <f>I126*商品!F36+J126*商品!#REF!</f>
        <v>#REF!</v>
      </c>
      <c r="R126" s="241" t="e">
        <f t="shared" si="23"/>
        <v>#REF!</v>
      </c>
      <c r="S126" s="241" t="e">
        <f t="shared" si="24"/>
        <v>#REF!</v>
      </c>
    </row>
    <row r="127" spans="1:19">
      <c r="A127" s="241" t="s">
        <v>206</v>
      </c>
      <c r="B127" s="244"/>
      <c r="H127" s="244"/>
      <c r="K127" s="244"/>
      <c r="O127" s="244"/>
      <c r="P127" s="241" t="e">
        <f>C127*商品!A37+D127*商品!#REF!+E127*商品!C38+F127*商品!H20+G127*商品!#REF!</f>
        <v>#REF!</v>
      </c>
      <c r="Q127" s="241">
        <f>I127*商品!F37+J127*商品!N35</f>
        <v>0</v>
      </c>
      <c r="R127" s="241" t="e">
        <f t="shared" si="23"/>
        <v>#REF!</v>
      </c>
      <c r="S127" s="241" t="e">
        <f t="shared" si="24"/>
        <v>#REF!</v>
      </c>
    </row>
    <row r="128" spans="1:19">
      <c r="A128" s="241" t="s">
        <v>207</v>
      </c>
      <c r="B128" s="244"/>
      <c r="H128" s="244"/>
      <c r="K128" s="244"/>
      <c r="O128" s="244"/>
      <c r="P128" s="241" t="e">
        <f>C128*商品!A38+D128*商品!#REF!+E128*商品!C39+F128*商品!#REF!+G128*商品!#REF!</f>
        <v>#REF!</v>
      </c>
      <c r="Q128" s="241">
        <f>I128*商品!F38+J128*商品!N36</f>
        <v>0</v>
      </c>
      <c r="R128" s="241" t="e">
        <f t="shared" si="23"/>
        <v>#REF!</v>
      </c>
      <c r="S128" s="241" t="e">
        <f t="shared" si="24"/>
        <v>#REF!</v>
      </c>
    </row>
    <row r="129" spans="1:19">
      <c r="A129" s="241" t="s">
        <v>288</v>
      </c>
      <c r="B129" s="244"/>
      <c r="H129" s="244"/>
      <c r="K129" s="244"/>
      <c r="O129" s="244"/>
      <c r="P129" s="241" t="e">
        <f>C129*商品!A39+D129*商品!C17+E129*商品!C40+F129*商品!#REF!+G129*商品!#REF!</f>
        <v>#REF!</v>
      </c>
      <c r="Q129" s="241">
        <f>I129*商品!F39+J129*商品!N37</f>
        <v>0</v>
      </c>
      <c r="R129" s="241" t="e">
        <f t="shared" si="23"/>
        <v>#REF!</v>
      </c>
      <c r="S129" s="241" t="e">
        <f t="shared" si="24"/>
        <v>#REF!</v>
      </c>
    </row>
    <row r="130" spans="1:19">
      <c r="A130" s="241" t="s">
        <v>209</v>
      </c>
      <c r="B130" s="244"/>
      <c r="H130" s="244"/>
      <c r="K130" s="244"/>
      <c r="O130" s="244"/>
      <c r="P130" s="241" t="e">
        <f>C130*商品!A40+D130*商品!#REF!+E130*商品!C41+F130*商品!G23+G130*商品!#REF!</f>
        <v>#REF!</v>
      </c>
      <c r="Q130" s="241">
        <f>I130*商品!F40+J130*商品!N38</f>
        <v>0</v>
      </c>
      <c r="R130" s="241" t="e">
        <f t="shared" si="23"/>
        <v>#REF!</v>
      </c>
      <c r="S130" s="241" t="e">
        <f t="shared" si="24"/>
        <v>#REF!</v>
      </c>
    </row>
    <row r="132" spans="1:18">
      <c r="A132" s="245" t="s">
        <v>301</v>
      </c>
      <c r="B132" s="245" t="s">
        <v>5</v>
      </c>
      <c r="C132" s="244" t="s">
        <v>9</v>
      </c>
      <c r="D132" s="244" t="s">
        <v>35</v>
      </c>
      <c r="E132" s="244" t="s">
        <v>10</v>
      </c>
      <c r="F132" s="244" t="s">
        <v>47</v>
      </c>
      <c r="G132" s="244" t="s">
        <v>302</v>
      </c>
      <c r="H132" s="244" t="s">
        <v>93</v>
      </c>
      <c r="J132" s="244" t="s">
        <v>291</v>
      </c>
      <c r="K132" s="244" t="s">
        <v>15</v>
      </c>
      <c r="L132" s="244" t="s">
        <v>16</v>
      </c>
      <c r="M132" s="244" t="s">
        <v>17</v>
      </c>
      <c r="N132" s="244" t="s">
        <v>292</v>
      </c>
      <c r="O132" s="244" t="s">
        <v>20</v>
      </c>
      <c r="P132" s="244" t="s">
        <v>19</v>
      </c>
      <c r="Q132" s="244" t="s">
        <v>22</v>
      </c>
      <c r="R132" s="244" t="s">
        <v>23</v>
      </c>
    </row>
    <row r="133" spans="1:18">
      <c r="A133" s="244" t="s">
        <v>303</v>
      </c>
      <c r="B133" s="245"/>
      <c r="G133" s="244"/>
      <c r="J133" s="244"/>
      <c r="N133" s="244"/>
      <c r="O133" s="241" t="e">
        <f>C133*商品!#REF!+D133*商品!#REF!+E133*商品!#REF!+F133*商品!#REF!</f>
        <v>#REF!</v>
      </c>
      <c r="P133" s="241" t="e">
        <f>H133*商品!#REF!</f>
        <v>#REF!</v>
      </c>
      <c r="Q133" s="241" t="e">
        <f t="shared" ref="Q133:Q135" si="25">P133-O133</f>
        <v>#REF!</v>
      </c>
      <c r="R133" s="241" t="e">
        <f t="shared" ref="R133:R135" si="26">Q133/(K133+L133+M133)</f>
        <v>#REF!</v>
      </c>
    </row>
    <row r="134" spans="1:18">
      <c r="A134" s="244" t="s">
        <v>205</v>
      </c>
      <c r="B134" s="245"/>
      <c r="G134" s="244"/>
      <c r="J134" s="244"/>
      <c r="N134" s="244"/>
      <c r="O134" s="241" t="e">
        <f>C134*商品!D5+D134*商品!#REF!+E134*商品!A9+F134*商品!#REF!</f>
        <v>#REF!</v>
      </c>
      <c r="P134" s="241" t="e">
        <f>H134*商品!#REF!</f>
        <v>#REF!</v>
      </c>
      <c r="Q134" s="241" t="e">
        <f t="shared" si="25"/>
        <v>#REF!</v>
      </c>
      <c r="R134" s="241" t="e">
        <f t="shared" si="26"/>
        <v>#REF!</v>
      </c>
    </row>
    <row r="135" spans="1:18">
      <c r="A135" s="244" t="s">
        <v>304</v>
      </c>
      <c r="B135" s="245"/>
      <c r="G135" s="244"/>
      <c r="J135" s="244"/>
      <c r="N135" s="244"/>
      <c r="O135" s="241" t="e">
        <f>C135*商品!#REF!+D135*商品!#REF!+E135*商品!#REF!+F135*商品!#REF!</f>
        <v>#REF!</v>
      </c>
      <c r="P135" s="241" t="e">
        <f>H135*商品!#REF!</f>
        <v>#REF!</v>
      </c>
      <c r="Q135" s="241" t="e">
        <f t="shared" si="25"/>
        <v>#REF!</v>
      </c>
      <c r="R135" s="241" t="e">
        <f t="shared" si="26"/>
        <v>#REF!</v>
      </c>
    </row>
    <row r="136" spans="1:1">
      <c r="A136" s="244"/>
    </row>
    <row r="137" spans="1:18">
      <c r="A137" s="245" t="s">
        <v>305</v>
      </c>
      <c r="B137" s="245" t="s">
        <v>5</v>
      </c>
      <c r="C137" s="244" t="s">
        <v>11</v>
      </c>
      <c r="D137" s="244" t="s">
        <v>9</v>
      </c>
      <c r="E137" s="244" t="s">
        <v>8</v>
      </c>
      <c r="G137" s="244" t="s">
        <v>306</v>
      </c>
      <c r="H137" s="244" t="s">
        <v>30</v>
      </c>
      <c r="I137" s="244" t="s">
        <v>37</v>
      </c>
      <c r="J137" s="244" t="s">
        <v>291</v>
      </c>
      <c r="K137" s="244" t="s">
        <v>15</v>
      </c>
      <c r="L137" s="244" t="s">
        <v>16</v>
      </c>
      <c r="M137" s="244" t="s">
        <v>18</v>
      </c>
      <c r="N137" s="244" t="s">
        <v>292</v>
      </c>
      <c r="O137" s="244" t="s">
        <v>20</v>
      </c>
      <c r="P137" s="244" t="s">
        <v>19</v>
      </c>
      <c r="Q137" s="244" t="s">
        <v>22</v>
      </c>
      <c r="R137" s="244" t="s">
        <v>23</v>
      </c>
    </row>
    <row r="138" spans="1:18">
      <c r="A138" s="244" t="s">
        <v>307</v>
      </c>
      <c r="B138" s="244"/>
      <c r="G138" s="244"/>
      <c r="J138" s="244"/>
      <c r="N138" s="244"/>
      <c r="O138" s="241" t="e">
        <f>C138*商品!K16+D138*商品!J6+E138*商品!#REF!</f>
        <v>#REF!</v>
      </c>
      <c r="P138" s="241">
        <f>H138*商品!L16+I138*商品!E25</f>
        <v>0</v>
      </c>
      <c r="Q138" s="241" t="e">
        <f t="shared" ref="Q138:Q142" si="27">P138-O138</f>
        <v>#REF!</v>
      </c>
      <c r="R138" s="241" t="e">
        <f t="shared" ref="R138:R142" si="28">Q138/(K138+L138+M138)</f>
        <v>#REF!</v>
      </c>
    </row>
    <row r="139" spans="1:18">
      <c r="A139" s="244" t="s">
        <v>308</v>
      </c>
      <c r="B139" s="244"/>
      <c r="G139" s="244"/>
      <c r="J139" s="244"/>
      <c r="N139" s="244"/>
      <c r="O139" s="241" t="e">
        <f>C139*商品!#REF!+D139*商品!#REF!+E139*商品!#REF!</f>
        <v>#REF!</v>
      </c>
      <c r="P139" s="241" t="e">
        <f>H139*商品!#REF!+I139*商品!#REF!</f>
        <v>#REF!</v>
      </c>
      <c r="Q139" s="241" t="e">
        <f t="shared" si="27"/>
        <v>#REF!</v>
      </c>
      <c r="R139" s="241" t="e">
        <f t="shared" si="28"/>
        <v>#REF!</v>
      </c>
    </row>
    <row r="140" spans="1:18">
      <c r="A140" s="244" t="s">
        <v>309</v>
      </c>
      <c r="B140" s="244"/>
      <c r="G140" s="244"/>
      <c r="J140" s="244"/>
      <c r="N140" s="244"/>
      <c r="O140" s="241" t="e">
        <f>C140*商品!#REF!+D140*商品!D5+E140*商品!#REF!</f>
        <v>#REF!</v>
      </c>
      <c r="P140" s="241" t="e">
        <f>H140*商品!#REF!+I140*商品!#REF!</f>
        <v>#REF!</v>
      </c>
      <c r="Q140" s="241" t="e">
        <f t="shared" si="27"/>
        <v>#REF!</v>
      </c>
      <c r="R140" s="241" t="e">
        <f t="shared" si="28"/>
        <v>#REF!</v>
      </c>
    </row>
    <row r="141" spans="1:18">
      <c r="A141" s="244" t="s">
        <v>310</v>
      </c>
      <c r="B141" s="244"/>
      <c r="G141" s="244"/>
      <c r="J141" s="244"/>
      <c r="N141" s="244"/>
      <c r="O141" s="241" t="e">
        <f>C141*商品!#REF!+D141*商品!#REF!+E141*商品!#REF!</f>
        <v>#REF!</v>
      </c>
      <c r="P141" s="241" t="e">
        <f>H141*商品!#REF!+I141*商品!M35</f>
        <v>#REF!</v>
      </c>
      <c r="Q141" s="241" t="e">
        <f t="shared" si="27"/>
        <v>#REF!</v>
      </c>
      <c r="R141" s="241" t="e">
        <f t="shared" si="28"/>
        <v>#REF!</v>
      </c>
    </row>
    <row r="142" spans="1:18">
      <c r="A142" s="244" t="s">
        <v>311</v>
      </c>
      <c r="B142" s="244"/>
      <c r="G142" s="244"/>
      <c r="J142" s="244"/>
      <c r="N142" s="244"/>
      <c r="O142" s="241" t="e">
        <f>C142*商品!#REF!+D142*商品!#REF!+E142*商品!#REF!</f>
        <v>#REF!</v>
      </c>
      <c r="P142" s="241" t="e">
        <f>H142*商品!#REF!+I142*商品!M36</f>
        <v>#REF!</v>
      </c>
      <c r="Q142" s="241" t="e">
        <f t="shared" si="27"/>
        <v>#REF!</v>
      </c>
      <c r="R142" s="241" t="e">
        <f t="shared" si="28"/>
        <v>#REF!</v>
      </c>
    </row>
    <row r="144" spans="1:21">
      <c r="A144" s="245" t="s">
        <v>312</v>
      </c>
      <c r="B144" s="245" t="s">
        <v>5</v>
      </c>
      <c r="C144" s="244" t="s">
        <v>9</v>
      </c>
      <c r="D144" s="244" t="s">
        <v>30</v>
      </c>
      <c r="E144" s="244" t="s">
        <v>8</v>
      </c>
      <c r="F144" s="244" t="s">
        <v>11</v>
      </c>
      <c r="G144" s="244" t="s">
        <v>93</v>
      </c>
      <c r="H144" s="244" t="s">
        <v>290</v>
      </c>
      <c r="I144" s="244" t="s">
        <v>313</v>
      </c>
      <c r="J144" s="244" t="s">
        <v>314</v>
      </c>
      <c r="K144" s="244" t="s">
        <v>315</v>
      </c>
      <c r="L144" s="244" t="s">
        <v>291</v>
      </c>
      <c r="M144" s="244" t="s">
        <v>15</v>
      </c>
      <c r="N144" s="244" t="s">
        <v>16</v>
      </c>
      <c r="O144" s="244" t="s">
        <v>18</v>
      </c>
      <c r="P144" s="244" t="s">
        <v>17</v>
      </c>
      <c r="Q144" s="245" t="s">
        <v>316</v>
      </c>
      <c r="R144" s="244" t="s">
        <v>20</v>
      </c>
      <c r="S144" s="244" t="s">
        <v>19</v>
      </c>
      <c r="T144" s="244" t="s">
        <v>22</v>
      </c>
      <c r="U144" s="244" t="s">
        <v>23</v>
      </c>
    </row>
    <row r="145" spans="1:21">
      <c r="A145" s="244" t="s">
        <v>317</v>
      </c>
      <c r="B145" s="244"/>
      <c r="H145" s="244"/>
      <c r="L145" s="244"/>
      <c r="Q145" s="244"/>
      <c r="R145" s="241" t="e">
        <f>C145*商品!D5+D145*商品!#REF!+E145*商品!E33+F145+G145*商品!K16</f>
        <v>#REF!</v>
      </c>
      <c r="S145" s="241" t="e">
        <f>I145*商品!F25+J145*商品!S6+商品!#REF!*K145+#REF!*商品!#REF!+商品!#REF!*#REF!</f>
        <v>#REF!</v>
      </c>
      <c r="T145" s="241" t="e">
        <f t="shared" ref="T145:T151" si="29">S145-R145</f>
        <v>#REF!</v>
      </c>
      <c r="U145" s="241" t="e">
        <f t="shared" ref="U145:U151" si="30">T145/(M145+N145+O145+P145)</f>
        <v>#REF!</v>
      </c>
    </row>
    <row r="146" spans="1:21">
      <c r="A146" s="244" t="s">
        <v>318</v>
      </c>
      <c r="B146" s="244"/>
      <c r="H146" s="244"/>
      <c r="L146" s="244"/>
      <c r="Q146" s="244"/>
      <c r="R146" s="241" t="e">
        <f>C146*商品!#REF!+D146*商品!#REF!+E146*商品!E34+F146+G146*商品!#REF!</f>
        <v>#REF!</v>
      </c>
      <c r="S146" s="241" t="e">
        <f>I146*商品!V33+J146*商品!#REF!+商品!#REF!*K146+#REF!*商品!#REF!+商品!#REF!*#REF!</f>
        <v>#REF!</v>
      </c>
      <c r="T146" s="241" t="e">
        <f t="shared" si="29"/>
        <v>#REF!</v>
      </c>
      <c r="U146" s="241" t="e">
        <f t="shared" si="30"/>
        <v>#REF!</v>
      </c>
    </row>
    <row r="147" spans="1:21">
      <c r="A147" s="244" t="s">
        <v>319</v>
      </c>
      <c r="B147" s="244"/>
      <c r="H147" s="244"/>
      <c r="L147" s="244"/>
      <c r="Q147" s="244"/>
      <c r="R147" s="241" t="e">
        <f>C147*商品!#REF!+D147*商品!#REF!+E147*商品!E35+F147+G147*商品!#REF!</f>
        <v>#REF!</v>
      </c>
      <c r="S147" s="241" t="e">
        <f>I147*商品!V34+J147*商品!#REF!+商品!#REF!*K147+#REF!*商品!#REF!+商品!#REF!*#REF!</f>
        <v>#REF!</v>
      </c>
      <c r="T147" s="241" t="e">
        <f t="shared" si="29"/>
        <v>#REF!</v>
      </c>
      <c r="U147" s="241" t="e">
        <f t="shared" si="30"/>
        <v>#REF!</v>
      </c>
    </row>
    <row r="148" spans="1:21">
      <c r="A148" s="244" t="s">
        <v>320</v>
      </c>
      <c r="B148" s="244"/>
      <c r="H148" s="244"/>
      <c r="L148" s="244"/>
      <c r="Q148" s="244"/>
      <c r="R148" s="241" t="e">
        <f>C148*商品!#REF!+D148*商品!#REF!+E148*商品!E36+F148+G148*商品!#REF!</f>
        <v>#REF!</v>
      </c>
      <c r="S148" s="241" t="e">
        <f>I148*商品!V35+J148*商品!#REF!+商品!#REF!*K148+#REF!*商品!#REF!+商品!#REF!*#REF!</f>
        <v>#REF!</v>
      </c>
      <c r="T148" s="241" t="e">
        <f t="shared" si="29"/>
        <v>#REF!</v>
      </c>
      <c r="U148" s="241" t="e">
        <f t="shared" si="30"/>
        <v>#REF!</v>
      </c>
    </row>
    <row r="149" spans="1:21">
      <c r="A149" s="244" t="s">
        <v>321</v>
      </c>
      <c r="B149" s="244"/>
      <c r="H149" s="244"/>
      <c r="L149" s="244"/>
      <c r="Q149" s="244"/>
      <c r="R149" s="241" t="e">
        <f>C149*商品!#REF!+D149*商品!#REF!+E149*商品!E37+F149+G149*商品!#REF!</f>
        <v>#REF!</v>
      </c>
      <c r="S149" s="241" t="e">
        <f>I149*商品!V36+J149*商品!#REF!+商品!#REF!*K149+#REF!*商品!#REF!+商品!#REF!*#REF!</f>
        <v>#REF!</v>
      </c>
      <c r="T149" s="241" t="e">
        <f t="shared" si="29"/>
        <v>#REF!</v>
      </c>
      <c r="U149" s="241" t="e">
        <f t="shared" si="30"/>
        <v>#REF!</v>
      </c>
    </row>
    <row r="150" spans="1:21">
      <c r="A150" s="244" t="s">
        <v>322</v>
      </c>
      <c r="B150" s="244"/>
      <c r="H150" s="244"/>
      <c r="L150" s="244"/>
      <c r="Q150" s="244"/>
      <c r="R150" s="241" t="e">
        <f>C150*商品!#REF!+D150*商品!#REF!+E150*商品!E38+F150+G150*商品!#REF!</f>
        <v>#REF!</v>
      </c>
      <c r="S150" s="241" t="e">
        <f>I150*商品!V37+J150*商品!#REF!+商品!#REF!*K150+#REF!*商品!#REF!+商品!#REF!*#REF!</f>
        <v>#REF!</v>
      </c>
      <c r="T150" s="241" t="e">
        <f t="shared" si="29"/>
        <v>#REF!</v>
      </c>
      <c r="U150" s="241" t="e">
        <f t="shared" si="30"/>
        <v>#REF!</v>
      </c>
    </row>
    <row r="151" spans="1:21">
      <c r="A151" s="244" t="s">
        <v>323</v>
      </c>
      <c r="B151" s="244"/>
      <c r="H151" s="244"/>
      <c r="L151" s="244"/>
      <c r="Q151" s="244"/>
      <c r="R151" s="241" t="e">
        <f>C151*商品!D20+D151*商品!#REF!+E151*商品!E39+F151+G151*商品!#REF!</f>
        <v>#REF!</v>
      </c>
      <c r="S151" s="241" t="e">
        <f>I151*商品!V38+J151*商品!#REF!+商品!#REF!*K151+#REF!*商品!#REF!+商品!#REF!*#REF!</f>
        <v>#REF!</v>
      </c>
      <c r="T151" s="241" t="e">
        <f t="shared" si="29"/>
        <v>#REF!</v>
      </c>
      <c r="U151" s="241" t="e">
        <f t="shared" si="30"/>
        <v>#REF!</v>
      </c>
    </row>
    <row r="155" spans="1:22">
      <c r="A155" s="244" t="s">
        <v>324</v>
      </c>
      <c r="B155" s="244" t="s">
        <v>5</v>
      </c>
      <c r="C155" s="244" t="s">
        <v>9</v>
      </c>
      <c r="D155" s="244" t="s">
        <v>8</v>
      </c>
      <c r="E155" s="244" t="s">
        <v>93</v>
      </c>
      <c r="F155" s="244" t="s">
        <v>10</v>
      </c>
      <c r="G155" s="244" t="s">
        <v>11</v>
      </c>
      <c r="H155" s="244" t="s">
        <v>30</v>
      </c>
      <c r="I155" s="244" t="s">
        <v>12</v>
      </c>
      <c r="J155" s="244" t="s">
        <v>325</v>
      </c>
      <c r="K155" s="244" t="s">
        <v>326</v>
      </c>
      <c r="L155" s="244" t="s">
        <v>315</v>
      </c>
      <c r="M155" s="244" t="s">
        <v>14</v>
      </c>
      <c r="N155" s="244" t="s">
        <v>15</v>
      </c>
      <c r="O155" s="244" t="s">
        <v>16</v>
      </c>
      <c r="P155" s="244" t="s">
        <v>18</v>
      </c>
      <c r="Q155" s="244" t="s">
        <v>17</v>
      </c>
      <c r="R155" s="244" t="s">
        <v>19</v>
      </c>
      <c r="S155" s="244" t="s">
        <v>20</v>
      </c>
      <c r="T155" s="244" t="s">
        <v>19</v>
      </c>
      <c r="U155" s="244" t="s">
        <v>22</v>
      </c>
      <c r="V155" s="244" t="s">
        <v>23</v>
      </c>
    </row>
    <row r="156" spans="1:1">
      <c r="A156" s="244" t="s">
        <v>317</v>
      </c>
    </row>
    <row r="157" spans="1:1">
      <c r="A157" s="244" t="s">
        <v>327</v>
      </c>
    </row>
    <row r="158" spans="1:1">
      <c r="A158" s="244" t="s">
        <v>328</v>
      </c>
    </row>
    <row r="159" spans="1:1">
      <c r="A159" s="244" t="s">
        <v>318</v>
      </c>
    </row>
    <row r="160" spans="1:1">
      <c r="A160" s="244" t="s">
        <v>329</v>
      </c>
    </row>
    <row r="161" spans="1:1">
      <c r="A161" s="244" t="s">
        <v>319</v>
      </c>
    </row>
    <row r="163" spans="1:23">
      <c r="A163" s="245" t="s">
        <v>330</v>
      </c>
      <c r="B163" s="243" t="s">
        <v>5</v>
      </c>
      <c r="C163" s="241" t="s">
        <v>7</v>
      </c>
      <c r="D163" s="244" t="s">
        <v>195</v>
      </c>
      <c r="E163" s="244" t="s">
        <v>9</v>
      </c>
      <c r="F163" s="241" t="s">
        <v>35</v>
      </c>
      <c r="G163" s="241" t="s">
        <v>10</v>
      </c>
      <c r="H163" s="241" t="s">
        <v>47</v>
      </c>
      <c r="I163" s="241" t="s">
        <v>30</v>
      </c>
      <c r="J163" s="241" t="s">
        <v>193</v>
      </c>
      <c r="K163" s="243" t="s">
        <v>12</v>
      </c>
      <c r="L163" s="244" t="s">
        <v>35</v>
      </c>
      <c r="M163" s="243" t="s">
        <v>14</v>
      </c>
      <c r="N163" s="241" t="s">
        <v>15</v>
      </c>
      <c r="O163" s="244" t="s">
        <v>196</v>
      </c>
      <c r="P163" s="241" t="s">
        <v>17</v>
      </c>
      <c r="Q163" s="241" t="s">
        <v>18</v>
      </c>
      <c r="R163" s="243" t="s">
        <v>19</v>
      </c>
      <c r="S163" s="241" t="s">
        <v>20</v>
      </c>
      <c r="T163" s="241" t="s">
        <v>21</v>
      </c>
      <c r="U163" s="241" t="s">
        <v>22</v>
      </c>
      <c r="V163" s="241" t="s">
        <v>23</v>
      </c>
      <c r="W163" s="244" t="s">
        <v>24</v>
      </c>
    </row>
    <row r="164" spans="1:23">
      <c r="A164" s="246" t="s">
        <v>331</v>
      </c>
      <c r="B164" s="243"/>
      <c r="C164" s="241">
        <v>40</v>
      </c>
      <c r="D164" s="241">
        <v>0</v>
      </c>
      <c r="E164" s="241">
        <v>0</v>
      </c>
      <c r="F164" s="241">
        <v>0</v>
      </c>
      <c r="G164" s="241">
        <v>0</v>
      </c>
      <c r="H164" s="241">
        <v>0</v>
      </c>
      <c r="I164" s="241">
        <v>0</v>
      </c>
      <c r="J164" s="241">
        <v>0</v>
      </c>
      <c r="K164" s="243"/>
      <c r="L164" s="241">
        <v>35</v>
      </c>
      <c r="M164" s="243"/>
      <c r="N164" s="241">
        <v>4500</v>
      </c>
      <c r="O164" s="241">
        <v>0</v>
      </c>
      <c r="P164" s="241">
        <v>0</v>
      </c>
      <c r="Q164" s="241">
        <v>0</v>
      </c>
      <c r="R164" s="243"/>
      <c r="S164" s="244">
        <f>C164*商品!F12+D164*商品!H16+E164*商品!J6+F164*商品!I4+G164*商品!F16+H164*商品!O6+I164*商品!L16+J164*商品!P10</f>
        <v>800</v>
      </c>
      <c r="T164" s="241">
        <f>L164*商品!I4</f>
        <v>1400</v>
      </c>
      <c r="U164" s="241">
        <f t="shared" ref="U164:U173" si="31">SUM(-S164,T164)</f>
        <v>600</v>
      </c>
      <c r="V164" s="241">
        <f t="shared" ref="V164:V173" si="32">U164/(N164+O164+P164+Q164)</f>
        <v>0.133333333333333</v>
      </c>
      <c r="W164" s="241">
        <f t="shared" ref="W164:W173" si="33">U164/S164</f>
        <v>0.75</v>
      </c>
    </row>
    <row r="165" spans="1:23">
      <c r="A165" s="244" t="s">
        <v>332</v>
      </c>
      <c r="B165" s="243"/>
      <c r="C165" s="241">
        <v>45</v>
      </c>
      <c r="D165" s="241">
        <v>20</v>
      </c>
      <c r="E165" s="241">
        <v>0</v>
      </c>
      <c r="F165" s="241">
        <v>0</v>
      </c>
      <c r="G165" s="241">
        <v>0</v>
      </c>
      <c r="H165" s="241">
        <v>0</v>
      </c>
      <c r="I165" s="241">
        <v>0</v>
      </c>
      <c r="J165" s="241">
        <v>0</v>
      </c>
      <c r="K165" s="243"/>
      <c r="L165" s="241">
        <v>65</v>
      </c>
      <c r="M165" s="243"/>
      <c r="N165" s="241">
        <v>4000</v>
      </c>
      <c r="O165" s="241">
        <v>900</v>
      </c>
      <c r="P165" s="241">
        <v>0</v>
      </c>
      <c r="Q165" s="241">
        <v>0</v>
      </c>
      <c r="R165" s="243"/>
      <c r="S165" s="244" t="e">
        <f>C165*商品!#REF!+D165*商品!#REF!+E165*商品!#REF!+F165*商品!#REF!+G165*商品!#REF!+H165*商品!#REF!+I165*商品!#REF!+J165*商品!#REF!</f>
        <v>#REF!</v>
      </c>
      <c r="T165" s="241" t="e">
        <f>L165*商品!#REF!</f>
        <v>#REF!</v>
      </c>
      <c r="U165" s="241" t="e">
        <f t="shared" si="31"/>
        <v>#REF!</v>
      </c>
      <c r="V165" s="241" t="e">
        <f t="shared" si="32"/>
        <v>#REF!</v>
      </c>
      <c r="W165" s="241" t="e">
        <f t="shared" si="33"/>
        <v>#REF!</v>
      </c>
    </row>
    <row r="166" spans="1:23">
      <c r="A166" s="244" t="s">
        <v>333</v>
      </c>
      <c r="B166" s="243"/>
      <c r="C166" s="241">
        <v>50</v>
      </c>
      <c r="D166" s="241">
        <v>0</v>
      </c>
      <c r="E166" s="241">
        <v>35</v>
      </c>
      <c r="F166" s="241">
        <v>0</v>
      </c>
      <c r="G166" s="241">
        <v>0</v>
      </c>
      <c r="H166" s="241">
        <v>0</v>
      </c>
      <c r="I166" s="241">
        <v>0</v>
      </c>
      <c r="J166" s="241">
        <v>0</v>
      </c>
      <c r="K166" s="243"/>
      <c r="L166" s="241">
        <v>105</v>
      </c>
      <c r="M166" s="243"/>
      <c r="N166" s="241">
        <v>3000</v>
      </c>
      <c r="O166" s="241">
        <v>200</v>
      </c>
      <c r="P166" s="241">
        <v>0</v>
      </c>
      <c r="Q166" s="241">
        <v>0</v>
      </c>
      <c r="R166" s="243"/>
      <c r="S166" s="244" t="e">
        <f>C166*商品!#REF!+D166*商品!C9+E166*商品!D5+F166*商品!#REF!+G166*商品!A9+H166*商品!#REF!+I166*商品!#REF!+J166*商品!#REF!</f>
        <v>#REF!</v>
      </c>
      <c r="T166" s="241" t="e">
        <f>L166*商品!#REF!</f>
        <v>#REF!</v>
      </c>
      <c r="U166" s="241" t="e">
        <f t="shared" si="31"/>
        <v>#REF!</v>
      </c>
      <c r="V166" s="241" t="e">
        <f t="shared" si="32"/>
        <v>#REF!</v>
      </c>
      <c r="W166" s="241" t="e">
        <f t="shared" si="33"/>
        <v>#REF!</v>
      </c>
    </row>
    <row r="167" spans="1:23">
      <c r="A167" s="241" t="s">
        <v>204</v>
      </c>
      <c r="B167" s="243"/>
      <c r="C167" s="241">
        <v>0</v>
      </c>
      <c r="D167" s="241">
        <v>0</v>
      </c>
      <c r="E167" s="241">
        <v>0</v>
      </c>
      <c r="F167" s="241">
        <v>5</v>
      </c>
      <c r="G167" s="241">
        <v>10</v>
      </c>
      <c r="H167" s="241">
        <v>0</v>
      </c>
      <c r="I167" s="241">
        <v>0</v>
      </c>
      <c r="J167" s="241">
        <v>0</v>
      </c>
      <c r="K167" s="243"/>
      <c r="L167" s="241">
        <v>5</v>
      </c>
      <c r="M167" s="243"/>
      <c r="N167" s="241">
        <v>-1500</v>
      </c>
      <c r="O167" s="241">
        <v>350</v>
      </c>
      <c r="P167" s="241">
        <v>150</v>
      </c>
      <c r="Q167" s="241">
        <v>0</v>
      </c>
      <c r="R167" s="243"/>
      <c r="S167" s="244" t="e">
        <f>C167*商品!#REF!+D167*商品!#REF!+E167*商品!#REF!+F167*商品!#REF!+G167*商品!#REF!+H167*商品!#REF!+I167*商品!#REF!+J167*商品!#REF!</f>
        <v>#REF!</v>
      </c>
      <c r="T167" s="241" t="e">
        <f>L167*商品!#REF!</f>
        <v>#REF!</v>
      </c>
      <c r="U167" s="241" t="e">
        <f t="shared" si="31"/>
        <v>#REF!</v>
      </c>
      <c r="V167" s="241" t="e">
        <f t="shared" si="32"/>
        <v>#REF!</v>
      </c>
      <c r="W167" s="241" t="e">
        <f t="shared" si="33"/>
        <v>#REF!</v>
      </c>
    </row>
    <row r="168" spans="1:23">
      <c r="A168" s="241" t="s">
        <v>205</v>
      </c>
      <c r="B168" s="243"/>
      <c r="C168" s="241">
        <v>0</v>
      </c>
      <c r="D168" s="241">
        <v>0</v>
      </c>
      <c r="E168" s="241">
        <v>0</v>
      </c>
      <c r="F168" s="241">
        <v>20</v>
      </c>
      <c r="G168" s="241">
        <v>35</v>
      </c>
      <c r="H168" s="241">
        <v>0</v>
      </c>
      <c r="I168" s="241">
        <v>0</v>
      </c>
      <c r="J168" s="241">
        <v>0</v>
      </c>
      <c r="K168" s="243"/>
      <c r="L168" s="241">
        <v>20</v>
      </c>
      <c r="M168" s="243"/>
      <c r="N168" s="241">
        <v>-2000</v>
      </c>
      <c r="O168" s="241">
        <v>250</v>
      </c>
      <c r="P168" s="241">
        <v>250</v>
      </c>
      <c r="Q168" s="241">
        <v>0</v>
      </c>
      <c r="R168" s="243"/>
      <c r="S168" s="244" t="e">
        <f>C168*商品!#REF!+D168*商品!#REF!+E168*商品!#REF!+F168*商品!#REF!+G168*商品!#REF!+H168*商品!#REF!+I168*商品!#REF!+J168*商品!#REF!</f>
        <v>#REF!</v>
      </c>
      <c r="T168" s="241" t="e">
        <f>L168*商品!#REF!</f>
        <v>#REF!</v>
      </c>
      <c r="U168" s="241" t="e">
        <f t="shared" si="31"/>
        <v>#REF!</v>
      </c>
      <c r="V168" s="241" t="e">
        <f t="shared" si="32"/>
        <v>#REF!</v>
      </c>
      <c r="W168" s="241" t="e">
        <f t="shared" si="33"/>
        <v>#REF!</v>
      </c>
    </row>
    <row r="169" spans="1:23">
      <c r="A169" s="244" t="s">
        <v>334</v>
      </c>
      <c r="B169" s="243"/>
      <c r="C169" s="241">
        <v>0</v>
      </c>
      <c r="D169" s="241">
        <v>0</v>
      </c>
      <c r="E169" s="241">
        <v>0</v>
      </c>
      <c r="F169" s="241">
        <v>25</v>
      </c>
      <c r="G169" s="241">
        <v>0</v>
      </c>
      <c r="H169" s="241">
        <v>0</v>
      </c>
      <c r="I169" s="241">
        <v>0</v>
      </c>
      <c r="J169" s="241">
        <v>0</v>
      </c>
      <c r="K169" s="243"/>
      <c r="L169" s="241">
        <v>50</v>
      </c>
      <c r="M169" s="243"/>
      <c r="N169" s="241">
        <v>-3000</v>
      </c>
      <c r="O169" s="241">
        <v>150</v>
      </c>
      <c r="P169" s="241">
        <v>350</v>
      </c>
      <c r="Q169" s="241">
        <v>0</v>
      </c>
      <c r="R169" s="243"/>
      <c r="S169" s="244" t="e">
        <f>C169*商品!#REF!+D169*商品!C15+E169*商品!#REF!+F169*商品!#REF!+G169*商品!A15+H169*商品!M6+I169*商品!#REF!+J169*商品!#REF!</f>
        <v>#REF!</v>
      </c>
      <c r="T169" s="241" t="e">
        <f>L169*商品!#REF!</f>
        <v>#REF!</v>
      </c>
      <c r="U169" s="241" t="e">
        <f t="shared" si="31"/>
        <v>#REF!</v>
      </c>
      <c r="V169" s="241" t="e">
        <f t="shared" si="32"/>
        <v>#REF!</v>
      </c>
      <c r="W169" s="241" t="e">
        <f t="shared" si="33"/>
        <v>#REF!</v>
      </c>
    </row>
    <row r="170" spans="1:23">
      <c r="A170" s="241" t="s">
        <v>206</v>
      </c>
      <c r="B170" s="243"/>
      <c r="F170" s="241">
        <v>5</v>
      </c>
      <c r="H170" s="241">
        <v>1</v>
      </c>
      <c r="I170" s="241">
        <v>3</v>
      </c>
      <c r="K170" s="243"/>
      <c r="L170" s="241">
        <v>0</v>
      </c>
      <c r="M170" s="243"/>
      <c r="N170" s="241">
        <v>-500</v>
      </c>
      <c r="O170" s="241">
        <v>0</v>
      </c>
      <c r="P170" s="241">
        <v>0</v>
      </c>
      <c r="Q170" s="241">
        <v>500</v>
      </c>
      <c r="R170" s="243"/>
      <c r="S170" s="244" t="e">
        <f>C170*商品!#REF!+D170*商品!#REF!+E170*商品!#REF!+F170*商品!#REF!+G170*商品!#REF!+H170*商品!#REF!+I170*商品!#REF!+J170*商品!#REF!</f>
        <v>#REF!</v>
      </c>
      <c r="T170" s="241" t="e">
        <f>L170*商品!#REF!</f>
        <v>#REF!</v>
      </c>
      <c r="U170" s="241" t="e">
        <f t="shared" si="31"/>
        <v>#REF!</v>
      </c>
      <c r="V170" s="241" t="e">
        <f t="shared" si="32"/>
        <v>#REF!</v>
      </c>
      <c r="W170" s="241" t="e">
        <f t="shared" si="33"/>
        <v>#REF!</v>
      </c>
    </row>
    <row r="171" spans="1:23">
      <c r="A171" s="241" t="s">
        <v>207</v>
      </c>
      <c r="B171" s="243"/>
      <c r="F171" s="241">
        <v>5</v>
      </c>
      <c r="H171" s="241">
        <v>2</v>
      </c>
      <c r="I171" s="241">
        <v>5</v>
      </c>
      <c r="K171" s="243"/>
      <c r="L171" s="241">
        <v>0</v>
      </c>
      <c r="M171" s="243"/>
      <c r="N171" s="241">
        <v>-1250</v>
      </c>
      <c r="O171" s="241">
        <v>0</v>
      </c>
      <c r="P171" s="241">
        <v>0</v>
      </c>
      <c r="Q171" s="241">
        <v>750</v>
      </c>
      <c r="R171" s="243"/>
      <c r="S171" s="244" t="e">
        <f>C171*商品!#REF!+D171*商品!#REF!+E171*商品!#REF!+F171*商品!#REF!+G171*商品!#REF!+H171*商品!#REF!+I171*商品!#REF!+J171*商品!#REF!</f>
        <v>#REF!</v>
      </c>
      <c r="T171" s="241" t="e">
        <f>L171*商品!#REF!</f>
        <v>#REF!</v>
      </c>
      <c r="U171" s="241" t="e">
        <f t="shared" si="31"/>
        <v>#REF!</v>
      </c>
      <c r="V171" s="241" t="e">
        <f t="shared" si="32"/>
        <v>#REF!</v>
      </c>
      <c r="W171" s="241" t="e">
        <f t="shared" si="33"/>
        <v>#REF!</v>
      </c>
    </row>
    <row r="172" spans="1:23">
      <c r="A172" s="241" t="s">
        <v>208</v>
      </c>
      <c r="B172" s="243"/>
      <c r="F172" s="241">
        <v>5</v>
      </c>
      <c r="H172" s="241">
        <v>3</v>
      </c>
      <c r="I172" s="241">
        <v>7</v>
      </c>
      <c r="K172" s="243"/>
      <c r="L172" s="241">
        <v>0</v>
      </c>
      <c r="M172" s="243"/>
      <c r="N172" s="241">
        <v>-1750</v>
      </c>
      <c r="O172" s="241">
        <v>0</v>
      </c>
      <c r="P172" s="241">
        <v>0</v>
      </c>
      <c r="Q172" s="241">
        <v>1000</v>
      </c>
      <c r="R172" s="243"/>
      <c r="S172" s="244" t="e">
        <f>C172*商品!#REF!+D172*商品!C17+E172*商品!D20+F172*商品!#REF!+G172*商品!A17+H172*商品!#REF!+I172*商品!#REF!+J172*商品!#REF!</f>
        <v>#REF!</v>
      </c>
      <c r="T172" s="241" t="e">
        <f>L172*商品!#REF!</f>
        <v>#REF!</v>
      </c>
      <c r="U172" s="241" t="e">
        <f t="shared" si="31"/>
        <v>#REF!</v>
      </c>
      <c r="V172" s="241" t="e">
        <f t="shared" si="32"/>
        <v>#REF!</v>
      </c>
      <c r="W172" s="241" t="e">
        <f t="shared" si="33"/>
        <v>#REF!</v>
      </c>
    </row>
    <row r="173" spans="1:23">
      <c r="A173" s="241" t="s">
        <v>209</v>
      </c>
      <c r="B173" s="243"/>
      <c r="F173" s="241">
        <v>10</v>
      </c>
      <c r="G173" s="241">
        <v>10</v>
      </c>
      <c r="H173" s="241">
        <v>2</v>
      </c>
      <c r="I173" s="241">
        <v>4</v>
      </c>
      <c r="J173" s="241">
        <v>5</v>
      </c>
      <c r="K173" s="243"/>
      <c r="L173" s="241">
        <v>0</v>
      </c>
      <c r="M173" s="243"/>
      <c r="N173" s="241">
        <v>-3000</v>
      </c>
      <c r="O173" s="241">
        <v>150</v>
      </c>
      <c r="P173" s="241">
        <v>350</v>
      </c>
      <c r="Q173" s="241">
        <v>400</v>
      </c>
      <c r="R173" s="243"/>
      <c r="S173" s="244" t="e">
        <f>C173*商品!#REF!+D173*商品!#REF!+E173*商品!#REF!+F173*商品!#REF!+G173*商品!#REF!+H173*商品!#REF!+I173*商品!#REF!+J173*商品!#REF!</f>
        <v>#REF!</v>
      </c>
      <c r="T173" s="241" t="e">
        <f>L173*商品!#REF!</f>
        <v>#REF!</v>
      </c>
      <c r="U173" s="241" t="e">
        <f t="shared" si="31"/>
        <v>#REF!</v>
      </c>
      <c r="V173" s="241" t="e">
        <f t="shared" si="32"/>
        <v>#REF!</v>
      </c>
      <c r="W173" s="241"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6" tint="0.8"/>
  </sheetPr>
  <dimension ref="A1"/>
  <sheetViews>
    <sheetView workbookViewId="0">
      <selection activeCell="N16" sqref="N16"/>
    </sheetView>
  </sheetViews>
  <sheetFormatPr defaultColWidth="9" defaultRowHeight="13.5"/>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theme="6" tint="0.4"/>
  </sheetPr>
  <dimension ref="A1:AC25"/>
  <sheetViews>
    <sheetView workbookViewId="0">
      <selection activeCell="E43" sqref="E43"/>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226" t="s">
        <v>74</v>
      </c>
      <c r="B1" s="234" t="s">
        <v>5</v>
      </c>
      <c r="C1" s="235" t="s">
        <v>35</v>
      </c>
      <c r="D1" s="235" t="s">
        <v>10</v>
      </c>
      <c r="E1" s="235" t="s">
        <v>46</v>
      </c>
      <c r="F1" s="235" t="s">
        <v>335</v>
      </c>
      <c r="G1" s="235" t="s">
        <v>47</v>
      </c>
      <c r="H1" s="235" t="s">
        <v>30</v>
      </c>
      <c r="I1" t="s">
        <v>36</v>
      </c>
      <c r="J1" t="s">
        <v>195</v>
      </c>
      <c r="K1" s="234" t="s">
        <v>12</v>
      </c>
      <c r="L1" s="235" t="s">
        <v>36</v>
      </c>
      <c r="M1" s="235" t="s">
        <v>264</v>
      </c>
      <c r="N1" s="235" t="s">
        <v>262</v>
      </c>
      <c r="O1" s="235" t="s">
        <v>336</v>
      </c>
      <c r="P1" s="235" t="s">
        <v>337</v>
      </c>
      <c r="Q1" t="s">
        <v>338</v>
      </c>
      <c r="R1" t="s">
        <v>68</v>
      </c>
      <c r="S1" s="226" t="s">
        <v>14</v>
      </c>
      <c r="T1" s="236" t="s">
        <v>15</v>
      </c>
      <c r="U1" t="s">
        <v>16</v>
      </c>
      <c r="V1" t="s">
        <v>339</v>
      </c>
      <c r="W1" t="s">
        <v>18</v>
      </c>
      <c r="X1" s="234" t="s">
        <v>19</v>
      </c>
      <c r="Y1" s="235" t="s">
        <v>20</v>
      </c>
      <c r="Z1" s="235" t="s">
        <v>21</v>
      </c>
      <c r="AA1" t="s">
        <v>22</v>
      </c>
      <c r="AB1" s="237" t="s">
        <v>23</v>
      </c>
      <c r="AC1" s="237" t="s">
        <v>24</v>
      </c>
    </row>
    <row r="2" spans="1:29">
      <c r="A2" t="s">
        <v>340</v>
      </c>
      <c r="C2">
        <v>0</v>
      </c>
      <c r="D2">
        <v>0</v>
      </c>
      <c r="E2">
        <v>0</v>
      </c>
      <c r="F2">
        <v>0</v>
      </c>
      <c r="G2">
        <v>0</v>
      </c>
      <c r="H2">
        <v>0</v>
      </c>
      <c r="I2">
        <v>0</v>
      </c>
      <c r="J2">
        <v>0</v>
      </c>
      <c r="L2">
        <v>30</v>
      </c>
      <c r="M2">
        <v>0</v>
      </c>
      <c r="N2">
        <v>0</v>
      </c>
      <c r="O2">
        <v>0</v>
      </c>
      <c r="P2">
        <v>0</v>
      </c>
      <c r="Q2">
        <v>0</v>
      </c>
      <c r="R2">
        <v>0</v>
      </c>
      <c r="T2">
        <v>4000</v>
      </c>
      <c r="U2">
        <v>0</v>
      </c>
      <c r="V2">
        <v>750</v>
      </c>
      <c r="W2">
        <v>0</v>
      </c>
      <c r="Y2">
        <f>C2*商品!I4+D2*商品!F16+E2*商品!K6+F2*商品!F6+G2*商品!O6+H2*商品!L16+I2*商品!F10+J2*商品!H16</f>
        <v>0</v>
      </c>
      <c r="Z2">
        <f>L2*商品!F10+M2*商品!G10+商品!K10*N2+O2*商品!J10+P2*商品!N10+Q2*商品!I10+R2*商品!H10</f>
        <v>600</v>
      </c>
      <c r="AA2" s="238">
        <f t="shared" ref="AA2:AA8" si="0">Z2-Y2</f>
        <v>600</v>
      </c>
      <c r="AB2" s="239">
        <f t="shared" ref="AB2:AB9" si="1">AA2/(T2+U2+V2+W2)</f>
        <v>0.126315789473684</v>
      </c>
      <c r="AC2" s="240" t="e">
        <f t="shared" ref="AC2:AC9" si="2">AA2/Y2</f>
        <v>#DIV/0!</v>
      </c>
    </row>
    <row r="3" spans="1:29">
      <c r="A3" t="s">
        <v>341</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L3*商品!#REF!+M3*商品!#REF!+商品!#REF!*N3+O3*商品!#REF!+P3*商品!#REF!+Q3*商品!Q33+R3*商品!#REF!</f>
        <v>#REF!</v>
      </c>
      <c r="AA3" s="238" t="e">
        <f t="shared" si="0"/>
        <v>#REF!</v>
      </c>
      <c r="AB3" s="239" t="e">
        <f t="shared" si="1"/>
        <v>#REF!</v>
      </c>
      <c r="AC3" s="240" t="e">
        <f t="shared" si="2"/>
        <v>#REF!</v>
      </c>
    </row>
    <row r="4" spans="1:29">
      <c r="A4" t="s">
        <v>342</v>
      </c>
      <c r="C4">
        <v>0</v>
      </c>
      <c r="D4">
        <v>0</v>
      </c>
      <c r="E4">
        <v>0</v>
      </c>
      <c r="F4">
        <v>40</v>
      </c>
      <c r="G4">
        <v>0</v>
      </c>
      <c r="H4">
        <v>0</v>
      </c>
      <c r="I4">
        <v>0</v>
      </c>
      <c r="J4">
        <v>0</v>
      </c>
      <c r="L4">
        <v>75</v>
      </c>
      <c r="M4">
        <v>0</v>
      </c>
      <c r="N4">
        <v>0</v>
      </c>
      <c r="O4">
        <v>0</v>
      </c>
      <c r="P4">
        <v>0</v>
      </c>
      <c r="Q4">
        <v>0</v>
      </c>
      <c r="R4">
        <v>0</v>
      </c>
      <c r="T4">
        <v>3500</v>
      </c>
      <c r="U4">
        <v>0</v>
      </c>
      <c r="V4">
        <v>1250</v>
      </c>
      <c r="W4">
        <v>0</v>
      </c>
      <c r="Y4" t="e">
        <f>C4*商品!#REF!+D4*商品!A9+E4*商品!#REF!+F4*商品!#REF!+G4*商品!#REF!+H4*商品!#REF!+I4*商品!#REF!+J4*商品!C9</f>
        <v>#REF!</v>
      </c>
      <c r="Z4" t="e">
        <f>L4*商品!#REF!+M4*商品!#REF!+商品!#REF!*N4+O4*商品!#REF!+P4*商品!#REF!+Q4*商品!Q34+R4*商品!#REF!</f>
        <v>#REF!</v>
      </c>
      <c r="AA4" s="238" t="e">
        <f t="shared" si="0"/>
        <v>#REF!</v>
      </c>
      <c r="AB4" s="239" t="e">
        <f t="shared" si="1"/>
        <v>#REF!</v>
      </c>
      <c r="AC4" s="240" t="e">
        <f t="shared" si="2"/>
        <v>#REF!</v>
      </c>
    </row>
    <row r="5" spans="1:29">
      <c r="A5" t="s">
        <v>343</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C5*商品!#REF!+D5*商品!#REF!+E5*商品!L35+F5*商品!N35+G5*商品!#REF!+H5*商品!#REF!+I5*商品!#REF!+J5*商品!#REF!</f>
        <v>#REF!</v>
      </c>
      <c r="Z5" t="e">
        <f>L5*商品!#REF!+M5*商品!#REF!+商品!#REF!*N5+O5*商品!P35+P5*商品!O35+Q5*商品!Q35+R5*商品!#REF!</f>
        <v>#REF!</v>
      </c>
      <c r="AA5" s="238" t="e">
        <f t="shared" si="0"/>
        <v>#REF!</v>
      </c>
      <c r="AB5" s="239" t="e">
        <f t="shared" si="1"/>
        <v>#REF!</v>
      </c>
      <c r="AC5" s="240" t="e">
        <f t="shared" si="2"/>
        <v>#REF!</v>
      </c>
    </row>
    <row r="6" spans="1:29">
      <c r="A6" t="s">
        <v>344</v>
      </c>
      <c r="C6">
        <v>0</v>
      </c>
      <c r="D6">
        <v>0</v>
      </c>
      <c r="E6">
        <v>0</v>
      </c>
      <c r="F6">
        <v>0</v>
      </c>
      <c r="G6">
        <v>0</v>
      </c>
      <c r="H6">
        <v>9</v>
      </c>
      <c r="I6">
        <v>0</v>
      </c>
      <c r="J6">
        <v>0</v>
      </c>
      <c r="L6">
        <v>40</v>
      </c>
      <c r="M6">
        <v>0</v>
      </c>
      <c r="N6">
        <v>0</v>
      </c>
      <c r="O6">
        <v>0</v>
      </c>
      <c r="P6">
        <v>0</v>
      </c>
      <c r="Q6">
        <v>0</v>
      </c>
      <c r="R6">
        <v>0</v>
      </c>
      <c r="T6">
        <v>0</v>
      </c>
      <c r="U6">
        <v>0</v>
      </c>
      <c r="V6">
        <v>0</v>
      </c>
      <c r="W6">
        <v>250</v>
      </c>
      <c r="Y6" t="e">
        <f>C6*商品!#REF!+D6*商品!#REF!+E6*商品!L36+F6*商品!N36+G6*商品!#REF!+H6*商品!#REF!+I6*商品!#REF!+J6*商品!#REF!</f>
        <v>#REF!</v>
      </c>
      <c r="Z6" t="e">
        <f>L6*商品!#REF!+M6*商品!#REF!+商品!#REF!*N6+O6*商品!P36+P6*商品!O36+Q6*商品!Q36+R6*商品!#REF!</f>
        <v>#REF!</v>
      </c>
      <c r="AA6" s="238" t="e">
        <f t="shared" si="0"/>
        <v>#REF!</v>
      </c>
      <c r="AB6" s="239" t="e">
        <f t="shared" si="1"/>
        <v>#REF!</v>
      </c>
      <c r="AC6" s="240" t="e">
        <f t="shared" si="2"/>
        <v>#REF!</v>
      </c>
    </row>
    <row r="7" spans="1:29">
      <c r="A7" t="s">
        <v>345</v>
      </c>
      <c r="C7">
        <v>0</v>
      </c>
      <c r="D7">
        <v>0</v>
      </c>
      <c r="E7">
        <v>0</v>
      </c>
      <c r="F7">
        <v>0</v>
      </c>
      <c r="G7">
        <v>0</v>
      </c>
      <c r="H7">
        <v>16</v>
      </c>
      <c r="I7">
        <v>0</v>
      </c>
      <c r="J7">
        <v>0</v>
      </c>
      <c r="L7">
        <v>80</v>
      </c>
      <c r="M7">
        <v>0</v>
      </c>
      <c r="N7">
        <v>0</v>
      </c>
      <c r="O7">
        <v>0</v>
      </c>
      <c r="P7">
        <v>0</v>
      </c>
      <c r="Q7">
        <v>0</v>
      </c>
      <c r="R7">
        <v>0</v>
      </c>
      <c r="T7">
        <v>0</v>
      </c>
      <c r="U7">
        <v>0</v>
      </c>
      <c r="V7">
        <v>0</v>
      </c>
      <c r="W7">
        <v>500</v>
      </c>
      <c r="Y7" t="e">
        <f>C7*商品!#REF!+D7*商品!A15+E7*商品!L37+F7*商品!N37+G7*商品!M6+H7*商品!#REF!+I7*商品!#REF!+J7*商品!C15</f>
        <v>#REF!</v>
      </c>
      <c r="Z7" t="e">
        <f>L7*商品!#REF!+M7*商品!#REF!+商品!#REF!*N7+O7*商品!P37+P7*商品!O37+Q7*商品!Q37+R7*商品!I11</f>
        <v>#REF!</v>
      </c>
      <c r="AA7" s="238" t="e">
        <f t="shared" si="0"/>
        <v>#REF!</v>
      </c>
      <c r="AB7" s="239" t="e">
        <f t="shared" si="1"/>
        <v>#REF!</v>
      </c>
      <c r="AC7" s="240" t="e">
        <f t="shared" si="2"/>
        <v>#REF!</v>
      </c>
    </row>
    <row r="8" spans="1:29">
      <c r="A8" t="s">
        <v>346</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C8*商品!#REF!+D8*商品!#REF!+E8*商品!L38+F8*商品!N38+G8*商品!#REF!+H8*商品!#REF!+I8*商品!#REF!+J8*商品!#REF!</f>
        <v>#REF!</v>
      </c>
      <c r="Z8" t="e">
        <f>L8*商品!#REF!+M8*商品!#REF!+商品!#REF!*N8+O8*商品!P38+P8*商品!O38+Q8*商品!Q38+R8*商品!#REF!</f>
        <v>#REF!</v>
      </c>
      <c r="AA8" s="238" t="e">
        <f t="shared" si="0"/>
        <v>#REF!</v>
      </c>
      <c r="AB8" s="239" t="e">
        <f t="shared" si="1"/>
        <v>#REF!</v>
      </c>
      <c r="AC8" s="240" t="e">
        <f t="shared" si="2"/>
        <v>#REF!</v>
      </c>
    </row>
    <row r="9" spans="1:29">
      <c r="A9" t="s">
        <v>347</v>
      </c>
      <c r="C9">
        <v>0</v>
      </c>
      <c r="D9">
        <v>0</v>
      </c>
      <c r="E9">
        <v>0</v>
      </c>
      <c r="F9">
        <v>0</v>
      </c>
      <c r="G9">
        <v>0</v>
      </c>
      <c r="H9">
        <v>0</v>
      </c>
      <c r="I9">
        <v>0</v>
      </c>
      <c r="J9">
        <v>0</v>
      </c>
      <c r="L9">
        <v>-25</v>
      </c>
      <c r="M9">
        <v>0</v>
      </c>
      <c r="N9">
        <v>0</v>
      </c>
      <c r="O9">
        <v>0</v>
      </c>
      <c r="P9">
        <v>10</v>
      </c>
      <c r="Q9">
        <v>0</v>
      </c>
      <c r="R9">
        <v>0</v>
      </c>
      <c r="T9">
        <v>0</v>
      </c>
      <c r="U9">
        <v>0</v>
      </c>
      <c r="V9">
        <v>0</v>
      </c>
      <c r="W9">
        <v>0</v>
      </c>
      <c r="Y9" t="e">
        <f>C9*商品!#REF!+D9*商品!#REF!+E9*商品!L36+F9*商品!N36+G9*商品!#REF!+H9*商品!#REF!+I9*商品!#REF!+J9*商品!#REF!</f>
        <v>#REF!</v>
      </c>
      <c r="Z9" t="e">
        <f>L9*商品!#REF!+M9*商品!#REF!+商品!#REF!*N9+O9*商品!P36+P9*商品!O36+Q9*商品!Q36+R9*商品!#REF!</f>
        <v>#REF!</v>
      </c>
      <c r="AA9" s="238" t="e">
        <f t="shared" ref="AA9:AA16" si="3">Z9-Y9</f>
        <v>#REF!</v>
      </c>
      <c r="AB9" s="239" t="e">
        <f t="shared" si="1"/>
        <v>#REF!</v>
      </c>
      <c r="AC9" s="240" t="e">
        <f t="shared" si="2"/>
        <v>#REF!</v>
      </c>
    </row>
    <row r="10" spans="1:29">
      <c r="A10" t="s">
        <v>348</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C10*商品!#REF!+D10*商品!A15+E10*商品!L37+F10*商品!N37+G10*商品!M6+H10*商品!#REF!+I10*商品!#REF!+J10*商品!C15</f>
        <v>#REF!</v>
      </c>
      <c r="Z10" t="e">
        <f>L10*商品!#REF!+M10*商品!#REF!+商品!#REF!*N10+O10*商品!P37+P10*商品!O37+Q10*商品!Q37+R10*商品!I11</f>
        <v>#REF!</v>
      </c>
      <c r="AA10" s="238" t="e">
        <f t="shared" si="3"/>
        <v>#REF!</v>
      </c>
      <c r="AB10" s="239" t="e">
        <f t="shared" ref="AB10:AB15" si="4">AA10/(T10+U10+V10+W10)</f>
        <v>#REF!</v>
      </c>
      <c r="AC10" s="240" t="e">
        <f t="shared" ref="AC10:AC15" si="5">AA10/Y10</f>
        <v>#REF!</v>
      </c>
    </row>
    <row r="11" spans="1:29">
      <c r="A11" t="s">
        <v>349</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C11*商品!#REF!+D11*商品!#REF!+E11*商品!L38+F11*商品!N38+G11*商品!#REF!+H11*商品!#REF!+I11*商品!#REF!+J11*商品!#REF!</f>
        <v>#REF!</v>
      </c>
      <c r="Z11" t="e">
        <f>L11*商品!#REF!+M11*商品!#REF!+商品!#REF!*N11+O11*商品!P38+P11*商品!O38+Q11*商品!Q38+R11*商品!#REF!</f>
        <v>#REF!</v>
      </c>
      <c r="AA11" s="238" t="e">
        <f t="shared" si="3"/>
        <v>#REF!</v>
      </c>
      <c r="AB11" s="239" t="e">
        <f t="shared" si="4"/>
        <v>#REF!</v>
      </c>
      <c r="AC11" s="240" t="e">
        <f t="shared" si="5"/>
        <v>#REF!</v>
      </c>
    </row>
    <row r="12" spans="1:29">
      <c r="A12" t="s">
        <v>350</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C12*商品!#REF!+D12*商品!#REF!+E12*商品!L39+F12*商品!N39+G12*商品!#REF!+H12*商品!#REF!+I12*商品!#REF!+J12*商品!#REF!</f>
        <v>#REF!</v>
      </c>
      <c r="Z12" t="e">
        <f>L12*商品!#REF!+M12*商品!#REF!+商品!#REF!*N12+O12*商品!P39+P12*商品!O39+Q12*商品!Q39+R12*商品!#REF!</f>
        <v>#REF!</v>
      </c>
      <c r="AA12" s="238" t="e">
        <f t="shared" si="3"/>
        <v>#REF!</v>
      </c>
      <c r="AB12" s="239" t="e">
        <f t="shared" si="4"/>
        <v>#REF!</v>
      </c>
      <c r="AC12" s="240" t="e">
        <f t="shared" si="5"/>
        <v>#REF!</v>
      </c>
    </row>
    <row r="13" spans="1:29">
      <c r="A13" t="s">
        <v>351</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C13*商品!#REF!+D13*商品!A17+E13*商品!L40+F13*商品!N40+G13*商品!#REF!+H13*商品!#REF!+I13*商品!#REF!+J13*商品!C17</f>
        <v>#REF!</v>
      </c>
      <c r="Z13" t="e">
        <f>L13*商品!#REF!+M13*商品!#REF!+商品!#REF!*N13+O13*商品!P40+P13*商品!O40+Q13*商品!Q40+R13*商品!#REF!</f>
        <v>#REF!</v>
      </c>
      <c r="AA13" s="238" t="e">
        <f t="shared" si="3"/>
        <v>#REF!</v>
      </c>
      <c r="AB13" s="239" t="e">
        <f t="shared" si="4"/>
        <v>#REF!</v>
      </c>
      <c r="AC13" s="240" t="e">
        <f t="shared" si="5"/>
        <v>#REF!</v>
      </c>
    </row>
    <row r="14" spans="1:29">
      <c r="A14" t="s">
        <v>352</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C14*商品!#REF!+D14*商品!#REF!+E14*商品!L41+F14*商品!N41+G14*商品!#REF!+H14*商品!#REF!+I14*商品!#REF!+J14*商品!#REF!</f>
        <v>#REF!</v>
      </c>
      <c r="Z14" t="e">
        <f>L14*商品!#REF!+M14*商品!#REF!+商品!#REF!*N14+O14*商品!P41+P14*商品!O41+Q14*商品!Q41+R14*商品!#REF!</f>
        <v>#REF!</v>
      </c>
      <c r="AA14" s="238" t="e">
        <f t="shared" si="3"/>
        <v>#REF!</v>
      </c>
      <c r="AB14" s="239" t="e">
        <f t="shared" si="4"/>
        <v>#REF!</v>
      </c>
      <c r="AC14" s="240" t="e">
        <f t="shared" si="5"/>
        <v>#REF!</v>
      </c>
    </row>
    <row r="15" spans="1:29">
      <c r="A15" t="s">
        <v>353</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C15*商品!#REF!+D15*商品!#REF!+E15*商品!L42+F15*商品!N42+G15*商品!H19+H15*商品!#REF!+I15*商品!#REF!+J15*商品!#REF!</f>
        <v>#REF!</v>
      </c>
      <c r="Z15" t="e">
        <f>L15*商品!#REF!+M15*商品!#REF!+商品!#REF!*N15+O15*商品!P42+P15*商品!O42+Q15*商品!Q42+R15*商品!I19</f>
        <v>#REF!</v>
      </c>
      <c r="AA15" s="238" t="e">
        <f t="shared" si="3"/>
        <v>#REF!</v>
      </c>
      <c r="AB15" s="239" t="e">
        <f t="shared" si="4"/>
        <v>#REF!</v>
      </c>
      <c r="AC15" s="240" t="e">
        <f t="shared" si="5"/>
        <v>#REF!</v>
      </c>
    </row>
    <row r="16" spans="1:29">
      <c r="A16" t="s">
        <v>354</v>
      </c>
      <c r="C16">
        <v>0</v>
      </c>
      <c r="D16">
        <v>0</v>
      </c>
      <c r="E16">
        <v>0</v>
      </c>
      <c r="F16">
        <v>0</v>
      </c>
      <c r="G16">
        <v>0</v>
      </c>
      <c r="H16">
        <v>0</v>
      </c>
      <c r="I16">
        <v>5</v>
      </c>
      <c r="J16">
        <v>0</v>
      </c>
      <c r="L16">
        <v>0</v>
      </c>
      <c r="M16">
        <v>0</v>
      </c>
      <c r="N16">
        <v>0</v>
      </c>
      <c r="O16">
        <v>0</v>
      </c>
      <c r="P16">
        <v>0</v>
      </c>
      <c r="Q16">
        <v>0</v>
      </c>
      <c r="R16">
        <v>20</v>
      </c>
      <c r="T16">
        <v>4000</v>
      </c>
      <c r="U16">
        <v>0</v>
      </c>
      <c r="V16">
        <v>750</v>
      </c>
      <c r="W16">
        <v>0</v>
      </c>
      <c r="Y16" t="e">
        <f>C16*商品!E23+D16*商品!#REF!+E16*商品!L43+F16*商品!N43+G16*商品!H20+H16*商品!F23+I16*商品!#REF!+J16*商品!#REF!</f>
        <v>#REF!</v>
      </c>
      <c r="Z16" t="e">
        <f>L16*商品!#REF!+M16*商品!#REF!+商品!#REF!*N16+O16*商品!P43+P16*商品!O43+Q16*商品!Q43+R16*商品!I20</f>
        <v>#REF!</v>
      </c>
      <c r="AA16" s="238" t="e">
        <f t="shared" si="3"/>
        <v>#REF!</v>
      </c>
      <c r="AB16" s="239" t="e">
        <f t="shared" ref="AB16:AB25" si="6">AA16/(T16+U16+V16+W16)</f>
        <v>#REF!</v>
      </c>
      <c r="AC16" s="240" t="e">
        <f t="shared" ref="AC16:AC25" si="7">AA16/Y16</f>
        <v>#REF!</v>
      </c>
    </row>
    <row r="17" spans="1:29">
      <c r="A17" t="s">
        <v>355</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C17*商品!#REF!+D17*商品!A24+E17*商品!L44+F17*商品!N44+G17*商品!#REF!+H17*商品!#REF!+I17*商品!#REF!+J17*商品!#REF!</f>
        <v>#REF!</v>
      </c>
      <c r="Z17" t="e">
        <f>L17*商品!#REF!+M17*商品!#REF!+商品!#REF!*N17+O17*商品!P44+P17*商品!O44+Q17*商品!Q44+R17*商品!#REF!</f>
        <v>#REF!</v>
      </c>
      <c r="AA17" s="238" t="e">
        <f t="shared" ref="AA17:AA25" si="8">Z17-Y17</f>
        <v>#REF!</v>
      </c>
      <c r="AB17" s="239" t="e">
        <f t="shared" si="6"/>
        <v>#REF!</v>
      </c>
      <c r="AC17" s="240" t="e">
        <f t="shared" si="7"/>
        <v>#REF!</v>
      </c>
    </row>
    <row r="18" spans="1:29">
      <c r="A18" t="s">
        <v>356</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C18*商品!#REF!+D18*商品!A25+E18*商品!L45+F18*商品!N45+G18*商品!#REF!+H18*商品!#REF!+I18*商品!#REF!+J18*商品!#REF!</f>
        <v>#REF!</v>
      </c>
      <c r="Z18" t="e">
        <f>L18*商品!#REF!+M18*商品!#REF!+商品!#REF!*N18+O18*商品!P45+P18*商品!O45+Q18*商品!Q45+R18*商品!#REF!</f>
        <v>#REF!</v>
      </c>
      <c r="AA18" s="238" t="e">
        <f t="shared" si="8"/>
        <v>#REF!</v>
      </c>
      <c r="AB18" s="239" t="e">
        <f t="shared" si="6"/>
        <v>#REF!</v>
      </c>
      <c r="AC18" s="240" t="e">
        <f t="shared" si="7"/>
        <v>#REF!</v>
      </c>
    </row>
    <row r="19" spans="1:29">
      <c r="A19" t="s">
        <v>357</v>
      </c>
      <c r="C19">
        <v>5</v>
      </c>
      <c r="D19">
        <v>0</v>
      </c>
      <c r="E19">
        <v>0</v>
      </c>
      <c r="F19">
        <v>0</v>
      </c>
      <c r="G19">
        <v>0</v>
      </c>
      <c r="H19">
        <v>0</v>
      </c>
      <c r="I19">
        <v>0</v>
      </c>
      <c r="J19">
        <v>0</v>
      </c>
      <c r="L19">
        <v>0</v>
      </c>
      <c r="M19">
        <v>0</v>
      </c>
      <c r="N19">
        <v>0</v>
      </c>
      <c r="O19">
        <v>0</v>
      </c>
      <c r="P19">
        <v>0</v>
      </c>
      <c r="Q19">
        <v>10</v>
      </c>
      <c r="R19">
        <v>0</v>
      </c>
      <c r="T19">
        <v>200</v>
      </c>
      <c r="U19">
        <v>200</v>
      </c>
      <c r="V19">
        <v>0</v>
      </c>
      <c r="W19">
        <v>0</v>
      </c>
      <c r="Y19" t="e">
        <f>C19*商品!E26+D19*商品!A19+E19*商品!L46+F19*商品!N46+G19*商品!G23+H19*商品!F26+I19*商品!#REF!+J19*商品!C19</f>
        <v>#VALUE!</v>
      </c>
      <c r="Z19" t="e">
        <f>L19*商品!#REF!+M19*商品!#REF!+商品!#REF!*N19+O19*商品!P46+P19*商品!O46+Q19*商品!Q46+R19*商品!H23</f>
        <v>#REF!</v>
      </c>
      <c r="AA19" s="238" t="e">
        <f t="shared" si="8"/>
        <v>#REF!</v>
      </c>
      <c r="AB19" s="239" t="e">
        <f t="shared" si="6"/>
        <v>#REF!</v>
      </c>
      <c r="AC19" s="240" t="e">
        <f t="shared" si="7"/>
        <v>#REF!</v>
      </c>
    </row>
    <row r="20" spans="1:29">
      <c r="A20" t="s">
        <v>358</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C20*商品!#REF!+D20*商品!#REF!+E20*商品!L47+F20*商品!N47+G20*商品!G24+H20*商品!#REF!+I20*商品!#REF!+J20*商品!#REF!</f>
        <v>#REF!</v>
      </c>
      <c r="Z20" t="e">
        <f>L20*商品!#REF!+M20*商品!#REF!+商品!#REF!*N20+O20*商品!P47+P20*商品!O47+Q20*商品!Q47+R20*商品!H24</f>
        <v>#REF!</v>
      </c>
      <c r="AA20" s="238" t="e">
        <f t="shared" si="8"/>
        <v>#REF!</v>
      </c>
      <c r="AB20" s="239" t="e">
        <f t="shared" si="6"/>
        <v>#REF!</v>
      </c>
      <c r="AC20" s="240" t="e">
        <f t="shared" si="7"/>
        <v>#REF!</v>
      </c>
    </row>
    <row r="21" spans="1:29">
      <c r="A21" t="s">
        <v>359</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C21*商品!#REF!+D21*商品!#REF!+E21*商品!L48+F21*商品!N48+G21*商品!#REF!+H21*商品!#REF!+I21*商品!#REF!+J21*商品!#REF!</f>
        <v>#REF!</v>
      </c>
      <c r="Z21" t="e">
        <f>L21*商品!#REF!+M21*商品!#REF!+商品!#REF!*N21+O21*商品!P48+P21*商品!O48+Q21*商品!Q48+R21*商品!#REF!</f>
        <v>#REF!</v>
      </c>
      <c r="AA21" s="238" t="e">
        <f t="shared" si="8"/>
        <v>#REF!</v>
      </c>
      <c r="AB21" s="239" t="e">
        <f t="shared" si="6"/>
        <v>#REF!</v>
      </c>
      <c r="AC21" s="240" t="e">
        <f t="shared" si="7"/>
        <v>#REF!</v>
      </c>
    </row>
    <row r="22" spans="1:29">
      <c r="A22" t="s">
        <v>360</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C22*商品!#REF!+D22*商品!#REF!+E22*商品!L49+F22*商品!N49+G22*商品!#REF!+H22*商品!#REF!+I22*商品!#REF!+J22*商品!#REF!</f>
        <v>#REF!</v>
      </c>
      <c r="Z22" t="e">
        <f>L22*商品!#REF!+M22*商品!#REF!+商品!#REF!*N22+O22*商品!P49+P22*商品!O49+Q22*商品!Q49+R22*商品!#REF!</f>
        <v>#REF!</v>
      </c>
      <c r="AA22" s="238" t="e">
        <f t="shared" si="8"/>
        <v>#REF!</v>
      </c>
      <c r="AB22" s="239" t="e">
        <f t="shared" si="6"/>
        <v>#REF!</v>
      </c>
      <c r="AC22" s="240" t="e">
        <f t="shared" si="7"/>
        <v>#REF!</v>
      </c>
    </row>
    <row r="23" spans="1:29">
      <c r="A23" t="s">
        <v>361</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C23*商品!#REF!+D23*商品!#REF!+E23*商品!L50+F23*商品!N50+G23*商品!#REF!+H23*商品!#REF!+I23*商品!#REF!+J23*商品!#REF!</f>
        <v>#REF!</v>
      </c>
      <c r="Z23" t="e">
        <f>L23*商品!#REF!+M23*商品!#REF!+商品!#REF!*N23+O23*商品!P50+P23*商品!O50+Q23*商品!Q50+R23*商品!#REF!</f>
        <v>#REF!</v>
      </c>
      <c r="AA23" s="238" t="e">
        <f t="shared" si="8"/>
        <v>#REF!</v>
      </c>
      <c r="AB23" s="239" t="e">
        <f t="shared" si="6"/>
        <v>#REF!</v>
      </c>
      <c r="AC23" s="240" t="e">
        <f t="shared" si="7"/>
        <v>#REF!</v>
      </c>
    </row>
    <row r="24" spans="1:29">
      <c r="A24" t="s">
        <v>362</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C24*商品!#REF!+D24*商品!#REF!+E24*商品!L51+F24*商品!N51+G24*商品!#REF!+H24*商品!#REF!+I24*商品!#REF!+J24*商品!#REF!</f>
        <v>#REF!</v>
      </c>
      <c r="Z24" t="e">
        <f>L24*商品!#REF!+M24*商品!#REF!+商品!#REF!*N24+O24*商品!P51+P24*商品!O51+Q24*商品!Q51+R24*商品!#REF!</f>
        <v>#REF!</v>
      </c>
      <c r="AA24" s="238" t="e">
        <f t="shared" si="8"/>
        <v>#REF!</v>
      </c>
      <c r="AB24" s="239" t="e">
        <f t="shared" si="6"/>
        <v>#REF!</v>
      </c>
      <c r="AC24" s="240" t="e">
        <f t="shared" si="7"/>
        <v>#REF!</v>
      </c>
    </row>
    <row r="25" spans="1:29">
      <c r="A25" t="s">
        <v>363</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C25*商品!#REF!+D25*商品!#REF!+E25*商品!L52+F25*商品!N52+G25*商品!#REF!+H25*商品!#REF!+I25*商品!#REF!+J25*商品!#REF!</f>
        <v>#REF!</v>
      </c>
      <c r="Z25" t="e">
        <f>L25*商品!#REF!+M25*商品!#REF!+商品!#REF!*N25+O25*商品!P52+P25*商品!O52+Q25*商品!Q52+R25*商品!#REF!</f>
        <v>#REF!</v>
      </c>
      <c r="AA25" s="238" t="e">
        <f t="shared" si="8"/>
        <v>#REF!</v>
      </c>
      <c r="AB25" s="239" t="e">
        <f t="shared" si="6"/>
        <v>#REF!</v>
      </c>
      <c r="AC25" s="240" t="e">
        <f t="shared" si="7"/>
        <v>#REF!</v>
      </c>
    </row>
  </sheetData>
  <sheetProtection formatCells="0" insertHyperlinks="0" autoFilter="0"/>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92D050"/>
  </sheetPr>
  <dimension ref="A1:AB60"/>
  <sheetViews>
    <sheetView workbookViewId="0">
      <selection activeCell="S21" sqref="S21"/>
    </sheetView>
  </sheetViews>
  <sheetFormatPr defaultColWidth="8.725" defaultRowHeight="13.5"/>
  <cols>
    <col min="1" max="1" width="10.875" customWidth="1"/>
    <col min="2" max="2" width="5.375" customWidth="1"/>
    <col min="3" max="7" width="5.125" customWidth="1"/>
    <col min="8" max="8" width="8.875" customWidth="1"/>
    <col min="9" max="9" width="5.375" customWidth="1"/>
    <col min="10" max="13" width="5.125" customWidth="1"/>
    <col min="14" max="14" width="3.375" customWidth="1"/>
    <col min="15" max="15" width="5.125" customWidth="1"/>
    <col min="16" max="16" width="3.375" customWidth="1"/>
    <col min="17" max="18" width="5.125" customWidth="1"/>
    <col min="19" max="19" width="5.375" customWidth="1"/>
    <col min="20" max="20" width="6.375" customWidth="1"/>
    <col min="21" max="21" width="5.375" customWidth="1"/>
    <col min="22" max="22" width="5.125" customWidth="1"/>
    <col min="23" max="23" width="5.375" customWidth="1"/>
    <col min="24" max="24" width="6.375" customWidth="1"/>
    <col min="25" max="25" width="5.375" customWidth="1"/>
    <col min="26" max="26" width="6.375" customWidth="1"/>
    <col min="27" max="27" width="12.625" customWidth="1"/>
    <col min="28" max="28" width="10.875" style="225" customWidth="1"/>
  </cols>
  <sheetData>
    <row r="1" spans="1:28">
      <c r="A1" s="226" t="s">
        <v>74</v>
      </c>
      <c r="B1" s="226" t="s">
        <v>5</v>
      </c>
      <c r="C1" t="s">
        <v>335</v>
      </c>
      <c r="D1" t="s">
        <v>35</v>
      </c>
      <c r="E1" t="s">
        <v>10</v>
      </c>
      <c r="F1" t="s">
        <v>46</v>
      </c>
      <c r="G1" t="s">
        <v>47</v>
      </c>
      <c r="H1" t="s">
        <v>30</v>
      </c>
      <c r="I1" s="226" t="s">
        <v>12</v>
      </c>
      <c r="J1" t="s">
        <v>364</v>
      </c>
      <c r="K1" t="s">
        <v>68</v>
      </c>
      <c r="L1" t="s">
        <v>211</v>
      </c>
      <c r="M1" t="s">
        <v>365</v>
      </c>
      <c r="N1" t="s">
        <v>366</v>
      </c>
      <c r="O1" t="s">
        <v>367</v>
      </c>
      <c r="P1" t="s">
        <v>262</v>
      </c>
      <c r="Q1" t="s">
        <v>336</v>
      </c>
      <c r="R1" t="s">
        <v>212</v>
      </c>
      <c r="S1" s="226" t="s">
        <v>14</v>
      </c>
      <c r="T1" t="s">
        <v>15</v>
      </c>
      <c r="U1" t="s">
        <v>339</v>
      </c>
      <c r="V1" t="s">
        <v>18</v>
      </c>
      <c r="W1" s="226" t="s">
        <v>19</v>
      </c>
      <c r="X1" t="s">
        <v>20</v>
      </c>
      <c r="Y1" t="s">
        <v>21</v>
      </c>
      <c r="Z1" t="s">
        <v>22</v>
      </c>
      <c r="AA1" t="s">
        <v>23</v>
      </c>
      <c r="AB1" s="225" t="s">
        <v>24</v>
      </c>
    </row>
    <row r="2" spans="1:28">
      <c r="A2" s="227" t="s">
        <v>368</v>
      </c>
      <c r="B2" s="228"/>
      <c r="C2" s="228">
        <v>0</v>
      </c>
      <c r="D2" s="228">
        <v>10</v>
      </c>
      <c r="E2" s="228">
        <v>0</v>
      </c>
      <c r="F2" s="228">
        <v>0</v>
      </c>
      <c r="G2" s="228">
        <v>0</v>
      </c>
      <c r="H2" s="228">
        <v>0</v>
      </c>
      <c r="I2" s="228"/>
      <c r="J2" s="228">
        <v>0</v>
      </c>
      <c r="K2" s="228">
        <v>25</v>
      </c>
      <c r="L2" s="228">
        <v>0</v>
      </c>
      <c r="M2" s="228">
        <v>0</v>
      </c>
      <c r="N2" s="228">
        <v>0</v>
      </c>
      <c r="O2" s="228">
        <v>0</v>
      </c>
      <c r="P2" s="228">
        <v>0</v>
      </c>
      <c r="Q2" s="228">
        <v>0</v>
      </c>
      <c r="R2" s="228">
        <v>0</v>
      </c>
      <c r="S2" s="228"/>
      <c r="T2" s="228">
        <v>4000</v>
      </c>
      <c r="U2" s="228">
        <v>800</v>
      </c>
      <c r="V2" s="228">
        <v>0</v>
      </c>
      <c r="W2" s="228"/>
      <c r="X2" s="228" t="e">
        <f>C2*商品!N39+D2*商品!#REF!+E2*商品!#REF!+F2*商品!L39+G2*商品!#REF!+H2*商品!#REF!</f>
        <v>#REF!</v>
      </c>
      <c r="Y2" s="228" t="e">
        <f>J2*商品!R39+K2*商品!#REF!+L2*商品!#REF!+M2*商品!S39+N2*商品!T39+O2*商品!U39+P2*商品!#REF!+Q2*商品!P39+R2*商品!W39</f>
        <v>#REF!</v>
      </c>
      <c r="Z2" s="228" t="e">
        <f t="shared" ref="Z2:Z27" si="0">Y2-X2</f>
        <v>#REF!</v>
      </c>
      <c r="AA2" s="228" t="e">
        <f t="shared" ref="AA2:AA27" si="1">Z2/(T2+U2+V2)</f>
        <v>#REF!</v>
      </c>
      <c r="AB2" s="232" t="e">
        <f t="shared" ref="AB2:AB27" si="2">Z2/X2</f>
        <v>#REF!</v>
      </c>
    </row>
    <row r="3" spans="1:28">
      <c r="A3" s="228" t="s">
        <v>341</v>
      </c>
      <c r="B3" s="228"/>
      <c r="C3" s="228">
        <v>18</v>
      </c>
      <c r="D3" s="228">
        <v>8</v>
      </c>
      <c r="E3" s="228">
        <v>0</v>
      </c>
      <c r="F3" s="228">
        <v>0</v>
      </c>
      <c r="G3" s="228">
        <v>0</v>
      </c>
      <c r="H3" s="228">
        <v>0</v>
      </c>
      <c r="I3" s="228"/>
      <c r="J3" s="228">
        <v>0</v>
      </c>
      <c r="K3" s="228">
        <v>50</v>
      </c>
      <c r="L3" s="228">
        <v>0</v>
      </c>
      <c r="M3" s="228">
        <v>0</v>
      </c>
      <c r="N3" s="228">
        <v>0</v>
      </c>
      <c r="O3" s="228">
        <v>0</v>
      </c>
      <c r="P3" s="228">
        <v>0</v>
      </c>
      <c r="Q3" s="228">
        <v>0</v>
      </c>
      <c r="R3" s="228">
        <v>0</v>
      </c>
      <c r="S3" s="228"/>
      <c r="T3" s="228">
        <v>3600</v>
      </c>
      <c r="U3" s="228">
        <v>1200</v>
      </c>
      <c r="V3" s="228">
        <v>0</v>
      </c>
      <c r="W3" s="228"/>
      <c r="X3" s="228" t="e">
        <f>C3*商品!N40+D3*商品!#REF!+E3*商品!A17+F3*商品!L40+G3*商品!#REF!+H3*商品!#REF!</f>
        <v>#REF!</v>
      </c>
      <c r="Y3" s="228" t="e">
        <f>J3*商品!R40+K3*商品!#REF!+L3*商品!L17+M3*商品!S40+N3*商品!T40+O3*商品!U40+P3*商品!#REF!+Q3*商品!P40+R3*商品!W40</f>
        <v>#REF!</v>
      </c>
      <c r="Z3" s="228" t="e">
        <f t="shared" si="0"/>
        <v>#REF!</v>
      </c>
      <c r="AA3" s="228" t="e">
        <f t="shared" si="1"/>
        <v>#REF!</v>
      </c>
      <c r="AB3" s="232" t="e">
        <f t="shared" si="2"/>
        <v>#REF!</v>
      </c>
    </row>
    <row r="4" spans="1:28">
      <c r="A4" s="228" t="s">
        <v>342</v>
      </c>
      <c r="B4" s="228"/>
      <c r="C4" s="228">
        <v>26</v>
      </c>
      <c r="D4" s="228">
        <v>11</v>
      </c>
      <c r="E4" s="228">
        <v>0</v>
      </c>
      <c r="F4" s="228">
        <v>0</v>
      </c>
      <c r="G4" s="228">
        <v>0</v>
      </c>
      <c r="H4" s="228">
        <v>0</v>
      </c>
      <c r="I4" s="228"/>
      <c r="J4" s="228">
        <v>0</v>
      </c>
      <c r="K4" s="228">
        <v>75</v>
      </c>
      <c r="L4" s="228">
        <v>0</v>
      </c>
      <c r="M4" s="228">
        <v>0</v>
      </c>
      <c r="N4" s="228">
        <v>0</v>
      </c>
      <c r="O4" s="228">
        <v>0</v>
      </c>
      <c r="P4" s="228">
        <v>0</v>
      </c>
      <c r="Q4" s="228">
        <v>0</v>
      </c>
      <c r="R4" s="228">
        <v>0</v>
      </c>
      <c r="S4" s="228"/>
      <c r="T4" s="228">
        <v>3200</v>
      </c>
      <c r="U4" s="228">
        <v>1600</v>
      </c>
      <c r="V4" s="228">
        <v>0</v>
      </c>
      <c r="W4" s="228"/>
      <c r="X4" s="228" t="e">
        <f>C4*商品!N41+D4*商品!#REF!+E4*商品!#REF!+F4*商品!L41+G4*商品!#REF!+H4*商品!#REF!</f>
        <v>#REF!</v>
      </c>
      <c r="Y4" s="228" t="e">
        <f>J4*商品!R41+K4*商品!#REF!+L4*商品!L18+M4*商品!S41+N4*商品!T41+O4*商品!U41+P4*商品!#REF!+Q4*商品!P41+R4*商品!W41</f>
        <v>#REF!</v>
      </c>
      <c r="Z4" s="228" t="e">
        <f t="shared" si="0"/>
        <v>#REF!</v>
      </c>
      <c r="AA4" s="228" t="e">
        <f t="shared" si="1"/>
        <v>#REF!</v>
      </c>
      <c r="AB4" s="232" t="e">
        <f t="shared" si="2"/>
        <v>#REF!</v>
      </c>
    </row>
    <row r="5" spans="1:28">
      <c r="A5" s="228" t="s">
        <v>369</v>
      </c>
      <c r="B5" s="228"/>
      <c r="C5" s="228">
        <v>29</v>
      </c>
      <c r="D5" s="228">
        <v>14</v>
      </c>
      <c r="E5" s="228">
        <v>0</v>
      </c>
      <c r="F5" s="228">
        <v>0</v>
      </c>
      <c r="G5" s="228">
        <v>0</v>
      </c>
      <c r="H5" s="228">
        <v>0</v>
      </c>
      <c r="I5" s="228"/>
      <c r="J5" s="228">
        <v>0</v>
      </c>
      <c r="K5" s="228">
        <v>90</v>
      </c>
      <c r="L5" s="228">
        <v>0</v>
      </c>
      <c r="M5" s="228">
        <v>0</v>
      </c>
      <c r="N5" s="228">
        <v>0</v>
      </c>
      <c r="O5" s="228">
        <v>0</v>
      </c>
      <c r="P5" s="228">
        <v>0</v>
      </c>
      <c r="Q5" s="228">
        <v>0</v>
      </c>
      <c r="R5" s="228">
        <v>0</v>
      </c>
      <c r="S5" s="228"/>
      <c r="T5" s="228">
        <v>3000</v>
      </c>
      <c r="U5" s="228">
        <v>1800</v>
      </c>
      <c r="V5" s="228">
        <v>0</v>
      </c>
      <c r="W5" s="228"/>
      <c r="X5" s="228" t="e">
        <f>C5*商品!N42+D5*商品!#REF!+E5*商品!#REF!+F5*商品!L42+G5*商品!H19+H5*商品!#REF!</f>
        <v>#REF!</v>
      </c>
      <c r="Y5" s="228" t="e">
        <f>J5*商品!R42+K5*商品!I19+L5*商品!M19+M5*商品!S42+N5*商品!T42+O5*商品!U42+P5*商品!#REF!+Q5*商品!P42+R5*商品!W42</f>
        <v>#REF!</v>
      </c>
      <c r="Z5" s="228" t="e">
        <f t="shared" si="0"/>
        <v>#REF!</v>
      </c>
      <c r="AA5" s="228" t="e">
        <f t="shared" si="1"/>
        <v>#REF!</v>
      </c>
      <c r="AB5" s="232" t="e">
        <f t="shared" si="2"/>
        <v>#REF!</v>
      </c>
    </row>
    <row r="6" spans="1:28">
      <c r="A6" s="228" t="s">
        <v>344</v>
      </c>
      <c r="B6" s="228"/>
      <c r="C6" s="228">
        <v>0</v>
      </c>
      <c r="D6" s="228">
        <v>0</v>
      </c>
      <c r="E6" s="228">
        <v>0</v>
      </c>
      <c r="F6" s="228">
        <v>0</v>
      </c>
      <c r="G6" s="228">
        <v>0</v>
      </c>
      <c r="H6" s="228">
        <v>11</v>
      </c>
      <c r="I6" s="228"/>
      <c r="J6" s="228">
        <v>0</v>
      </c>
      <c r="K6" s="228">
        <v>50</v>
      </c>
      <c r="L6" s="228">
        <v>0</v>
      </c>
      <c r="M6" s="228">
        <v>0</v>
      </c>
      <c r="N6" s="228">
        <v>0</v>
      </c>
      <c r="O6" s="228">
        <v>0</v>
      </c>
      <c r="P6" s="228">
        <v>0</v>
      </c>
      <c r="Q6" s="228">
        <v>0</v>
      </c>
      <c r="R6" s="228">
        <v>0</v>
      </c>
      <c r="S6" s="228"/>
      <c r="T6" s="228">
        <v>0</v>
      </c>
      <c r="U6" s="228">
        <v>0</v>
      </c>
      <c r="V6" s="228">
        <v>150</v>
      </c>
      <c r="W6" s="228"/>
      <c r="X6" s="228" t="e">
        <f>C6*商品!N43+D6*商品!E23+E6*商品!#REF!+F6*商品!L43+G6*商品!H20+H6*商品!F23</f>
        <v>#REF!</v>
      </c>
      <c r="Y6" s="228" t="e">
        <f>J6*商品!R43+K6*商品!I20+L6*商品!M20+M6*商品!S43+N6*商品!T43+O6*商品!U43+P6*商品!#REF!+Q6*商品!P43+R6*商品!W43</f>
        <v>#REF!</v>
      </c>
      <c r="Z6" s="228" t="e">
        <f t="shared" si="0"/>
        <v>#REF!</v>
      </c>
      <c r="AA6" s="228" t="e">
        <f t="shared" si="1"/>
        <v>#REF!</v>
      </c>
      <c r="AB6" s="232" t="e">
        <f t="shared" si="2"/>
        <v>#REF!</v>
      </c>
    </row>
    <row r="7" spans="1:28">
      <c r="A7" s="228" t="s">
        <v>345</v>
      </c>
      <c r="B7" s="228"/>
      <c r="C7" s="228">
        <v>0</v>
      </c>
      <c r="D7" s="228">
        <v>0</v>
      </c>
      <c r="E7" s="228">
        <v>0</v>
      </c>
      <c r="F7" s="228">
        <v>0</v>
      </c>
      <c r="G7" s="228">
        <v>0</v>
      </c>
      <c r="H7" s="228">
        <v>16</v>
      </c>
      <c r="I7" s="228"/>
      <c r="J7" s="228">
        <v>0</v>
      </c>
      <c r="K7" s="228">
        <v>75</v>
      </c>
      <c r="L7" s="228">
        <v>0</v>
      </c>
      <c r="M7" s="228">
        <v>0</v>
      </c>
      <c r="N7" s="228">
        <v>0</v>
      </c>
      <c r="O7" s="228">
        <v>0</v>
      </c>
      <c r="P7" s="228">
        <v>0</v>
      </c>
      <c r="Q7" s="228">
        <v>0</v>
      </c>
      <c r="R7" s="228">
        <v>0</v>
      </c>
      <c r="S7" s="228"/>
      <c r="T7" s="228">
        <v>0</v>
      </c>
      <c r="U7" s="228">
        <v>0</v>
      </c>
      <c r="V7" s="228">
        <v>250</v>
      </c>
      <c r="W7" s="228"/>
      <c r="X7" s="228" t="e">
        <f>C7*商品!N44+D7*商品!#REF!+E7*商品!A24+F7*商品!L44+G7*商品!#REF!+H7*商品!#REF!</f>
        <v>#REF!</v>
      </c>
      <c r="Y7" s="228" t="e">
        <f>J7*商品!R44+K7*商品!#REF!+L7*商品!M21+M7*商品!S44+N7*商品!T44+O7*商品!U44+P7*商品!#REF!+Q7*商品!P44+R7*商品!W44</f>
        <v>#REF!</v>
      </c>
      <c r="Z7" s="228" t="e">
        <f t="shared" si="0"/>
        <v>#REF!</v>
      </c>
      <c r="AA7" s="228" t="e">
        <f t="shared" si="1"/>
        <v>#REF!</v>
      </c>
      <c r="AB7" s="232" t="e">
        <f t="shared" si="2"/>
        <v>#REF!</v>
      </c>
    </row>
    <row r="8" spans="1:28">
      <c r="A8" s="228" t="s">
        <v>346</v>
      </c>
      <c r="B8" s="228"/>
      <c r="C8" s="228">
        <v>0</v>
      </c>
      <c r="D8" s="228">
        <v>0</v>
      </c>
      <c r="E8" s="228">
        <v>0</v>
      </c>
      <c r="F8" s="228">
        <v>0</v>
      </c>
      <c r="G8" s="228">
        <v>0</v>
      </c>
      <c r="H8" s="228">
        <v>19</v>
      </c>
      <c r="I8" s="228"/>
      <c r="J8" s="228">
        <v>0</v>
      </c>
      <c r="K8" s="228">
        <v>90</v>
      </c>
      <c r="L8" s="228">
        <v>0</v>
      </c>
      <c r="M8" s="228">
        <v>0</v>
      </c>
      <c r="N8" s="228">
        <v>0</v>
      </c>
      <c r="O8" s="228">
        <v>0</v>
      </c>
      <c r="P8" s="228">
        <v>0</v>
      </c>
      <c r="Q8" s="228">
        <v>0</v>
      </c>
      <c r="R8" s="228">
        <v>0</v>
      </c>
      <c r="S8" s="228"/>
      <c r="T8" s="228">
        <v>0</v>
      </c>
      <c r="U8" s="228">
        <v>0</v>
      </c>
      <c r="V8" s="228">
        <v>350</v>
      </c>
      <c r="W8" s="228"/>
      <c r="X8" s="228" t="e">
        <f>C8*商品!N45+D8*商品!#REF!+E8*商品!A25+F8*商品!L45+G8*商品!#REF!+H8*商品!#REF!</f>
        <v>#REF!</v>
      </c>
      <c r="Y8" s="228" t="e">
        <f>J8*商品!R45+K8*商品!#REF!+L8*商品!M22+M8*商品!S45+N8*商品!T45+O8*商品!U45+P8*商品!#REF!+Q8*商品!P45+R8*商品!W45</f>
        <v>#REF!</v>
      </c>
      <c r="Z8" s="228" t="e">
        <f t="shared" si="0"/>
        <v>#REF!</v>
      </c>
      <c r="AA8" s="228" t="e">
        <f t="shared" si="1"/>
        <v>#REF!</v>
      </c>
      <c r="AB8" s="232" t="e">
        <f t="shared" si="2"/>
        <v>#REF!</v>
      </c>
    </row>
    <row r="9" spans="1:28">
      <c r="A9" s="229" t="s">
        <v>370</v>
      </c>
      <c r="B9" s="230"/>
      <c r="C9" s="230">
        <v>0</v>
      </c>
      <c r="D9" s="230">
        <v>12</v>
      </c>
      <c r="E9" s="230">
        <v>0</v>
      </c>
      <c r="F9" s="230">
        <v>0</v>
      </c>
      <c r="G9" s="230">
        <v>0</v>
      </c>
      <c r="H9" s="230">
        <v>0</v>
      </c>
      <c r="I9" s="230"/>
      <c r="J9" s="230">
        <v>0</v>
      </c>
      <c r="K9" s="230">
        <v>0</v>
      </c>
      <c r="L9" s="230">
        <v>15</v>
      </c>
      <c r="M9" s="230">
        <v>0</v>
      </c>
      <c r="N9" s="230">
        <v>0</v>
      </c>
      <c r="O9" s="230">
        <v>0</v>
      </c>
      <c r="P9" s="230">
        <v>0</v>
      </c>
      <c r="Q9" s="230">
        <v>0</v>
      </c>
      <c r="R9" s="230">
        <v>0</v>
      </c>
      <c r="S9" s="230"/>
      <c r="T9" s="230">
        <v>4000</v>
      </c>
      <c r="U9" s="230">
        <v>800</v>
      </c>
      <c r="V9" s="230">
        <v>0</v>
      </c>
      <c r="W9" s="230"/>
      <c r="X9" s="230" t="e">
        <f>C9*商品!N46+D9*商品!E26+E9*商品!A19+F9*商品!L46+G9*商品!G23+H9*商品!F26</f>
        <v>#VALUE!</v>
      </c>
      <c r="Y9" s="230" t="e">
        <f>J9*商品!R46+K9*商品!H23+L9*商品!L23+M9*商品!S46+N9*商品!T46+O9*商品!U46+P9*商品!#REF!+Q9*商品!P46+R9*商品!W46</f>
        <v>#REF!</v>
      </c>
      <c r="Z9" s="230" t="e">
        <f t="shared" si="0"/>
        <v>#REF!</v>
      </c>
      <c r="AA9" s="230" t="e">
        <f t="shared" si="1"/>
        <v>#REF!</v>
      </c>
      <c r="AB9" s="233" t="e">
        <f t="shared" si="2"/>
        <v>#REF!</v>
      </c>
    </row>
    <row r="10" spans="1:28">
      <c r="A10" s="230" t="s">
        <v>341</v>
      </c>
      <c r="B10" s="230"/>
      <c r="C10" s="230">
        <v>20</v>
      </c>
      <c r="D10" s="230">
        <v>11</v>
      </c>
      <c r="E10" s="230">
        <v>0</v>
      </c>
      <c r="F10" s="230">
        <v>0</v>
      </c>
      <c r="G10" s="230">
        <v>0</v>
      </c>
      <c r="H10" s="230">
        <v>0</v>
      </c>
      <c r="I10" s="230"/>
      <c r="J10" s="230">
        <v>0</v>
      </c>
      <c r="K10" s="230">
        <v>0</v>
      </c>
      <c r="L10" s="230">
        <v>30</v>
      </c>
      <c r="M10" s="230">
        <v>0</v>
      </c>
      <c r="N10" s="230">
        <v>0</v>
      </c>
      <c r="O10" s="230">
        <v>0</v>
      </c>
      <c r="P10" s="230">
        <v>0</v>
      </c>
      <c r="Q10" s="230">
        <v>0</v>
      </c>
      <c r="R10" s="230">
        <v>0</v>
      </c>
      <c r="S10" s="230"/>
      <c r="T10" s="230">
        <v>3600</v>
      </c>
      <c r="U10" s="230">
        <v>1200</v>
      </c>
      <c r="V10" s="230">
        <v>0</v>
      </c>
      <c r="W10" s="230"/>
      <c r="X10" s="230" t="e">
        <f>C10*商品!N47+D10*商品!#REF!+E10*商品!#REF!+F10*商品!L47+G10*商品!G24+H10*商品!#REF!</f>
        <v>#REF!</v>
      </c>
      <c r="Y10" s="230" t="e">
        <f>J10*商品!R47+K10*商品!H24+L10*商品!L24+M10*商品!S47+N10*商品!T47+O10*商品!U47+P10*商品!#REF!+Q10*商品!P47+R10*商品!W47</f>
        <v>#REF!</v>
      </c>
      <c r="Z10" s="230" t="e">
        <f t="shared" si="0"/>
        <v>#REF!</v>
      </c>
      <c r="AA10" s="230" t="e">
        <f t="shared" si="1"/>
        <v>#REF!</v>
      </c>
      <c r="AB10" s="233" t="e">
        <f t="shared" si="2"/>
        <v>#REF!</v>
      </c>
    </row>
    <row r="11" spans="1:28">
      <c r="A11" s="230" t="s">
        <v>342</v>
      </c>
      <c r="B11" s="230"/>
      <c r="C11" s="230">
        <v>30</v>
      </c>
      <c r="D11" s="230">
        <v>15</v>
      </c>
      <c r="E11" s="230">
        <v>0</v>
      </c>
      <c r="F11" s="230">
        <v>0</v>
      </c>
      <c r="G11" s="230">
        <v>0</v>
      </c>
      <c r="H11" s="230">
        <v>0</v>
      </c>
      <c r="I11" s="230"/>
      <c r="J11" s="230">
        <v>0</v>
      </c>
      <c r="K11" s="230">
        <v>0</v>
      </c>
      <c r="L11" s="230">
        <v>45</v>
      </c>
      <c r="M11" s="230">
        <v>0</v>
      </c>
      <c r="N11" s="230">
        <v>0</v>
      </c>
      <c r="O11" s="230">
        <v>0</v>
      </c>
      <c r="P11" s="230">
        <v>0</v>
      </c>
      <c r="Q11" s="230">
        <v>0</v>
      </c>
      <c r="R11" s="230">
        <v>0</v>
      </c>
      <c r="S11" s="230"/>
      <c r="T11" s="230">
        <v>3200</v>
      </c>
      <c r="U11" s="230">
        <v>1600</v>
      </c>
      <c r="V11" s="230">
        <v>0</v>
      </c>
      <c r="W11" s="230"/>
      <c r="X11" s="230" t="e">
        <f>C11*商品!N48+D11*商品!#REF!+E11*商品!#REF!+F11*商品!L48+G11*商品!#REF!+H11*商品!#REF!</f>
        <v>#REF!</v>
      </c>
      <c r="Y11" s="230" t="e">
        <f>J11*商品!R48+K11*商品!#REF!+L11*商品!#REF!+M11*商品!S48+N11*商品!T48+O11*商品!U48+P11*商品!#REF!+Q11*商品!P48+R11*商品!W48</f>
        <v>#REF!</v>
      </c>
      <c r="Z11" s="230" t="e">
        <f t="shared" si="0"/>
        <v>#REF!</v>
      </c>
      <c r="AA11" s="230" t="e">
        <f t="shared" si="1"/>
        <v>#REF!</v>
      </c>
      <c r="AB11" s="233" t="e">
        <f t="shared" si="2"/>
        <v>#REF!</v>
      </c>
    </row>
    <row r="12" spans="1:28">
      <c r="A12" s="230" t="s">
        <v>369</v>
      </c>
      <c r="B12" s="230"/>
      <c r="C12" s="230">
        <v>39</v>
      </c>
      <c r="D12" s="230">
        <v>19</v>
      </c>
      <c r="E12" s="230">
        <v>0</v>
      </c>
      <c r="F12" s="230">
        <v>0</v>
      </c>
      <c r="G12" s="230">
        <v>0</v>
      </c>
      <c r="H12" s="230">
        <v>0</v>
      </c>
      <c r="I12" s="230"/>
      <c r="J12" s="230">
        <v>0</v>
      </c>
      <c r="K12" s="230">
        <v>0</v>
      </c>
      <c r="L12" s="230">
        <v>60</v>
      </c>
      <c r="M12" s="230">
        <v>0</v>
      </c>
      <c r="N12" s="230">
        <v>0</v>
      </c>
      <c r="O12" s="230">
        <v>0</v>
      </c>
      <c r="P12" s="230">
        <v>0</v>
      </c>
      <c r="Q12" s="230">
        <v>0</v>
      </c>
      <c r="R12" s="230">
        <v>0</v>
      </c>
      <c r="S12" s="230"/>
      <c r="T12" s="230">
        <v>3000</v>
      </c>
      <c r="U12" s="230">
        <v>1800</v>
      </c>
      <c r="V12" s="230">
        <v>0</v>
      </c>
      <c r="W12" s="230"/>
      <c r="X12" s="230" t="e">
        <f>C12*商品!N49+D12*商品!#REF!+E12*商品!#REF!+F12*商品!L49+G12*商品!#REF!+H12*商品!#REF!</f>
        <v>#REF!</v>
      </c>
      <c r="Y12" s="230" t="e">
        <f>J12*商品!R49+K12*商品!#REF!+L12*商品!#REF!+M12*商品!S49+N12*商品!T49+O12*商品!U49+P12*商品!#REF!+Q12*商品!P49+R12*商品!W49</f>
        <v>#REF!</v>
      </c>
      <c r="Z12" s="230" t="e">
        <f t="shared" si="0"/>
        <v>#REF!</v>
      </c>
      <c r="AA12" s="230" t="e">
        <f t="shared" si="1"/>
        <v>#REF!</v>
      </c>
      <c r="AB12" s="233" t="e">
        <f t="shared" si="2"/>
        <v>#REF!</v>
      </c>
    </row>
    <row r="13" spans="1:28">
      <c r="A13" s="230" t="s">
        <v>344</v>
      </c>
      <c r="B13" s="230"/>
      <c r="C13" s="230">
        <v>0</v>
      </c>
      <c r="D13" s="230">
        <v>0</v>
      </c>
      <c r="E13" s="230">
        <v>0</v>
      </c>
      <c r="F13" s="230">
        <v>0</v>
      </c>
      <c r="G13" s="230">
        <v>0</v>
      </c>
      <c r="H13" s="230">
        <v>13</v>
      </c>
      <c r="I13" s="230"/>
      <c r="J13" s="230">
        <v>0</v>
      </c>
      <c r="K13" s="230">
        <v>0</v>
      </c>
      <c r="L13" s="230">
        <v>30</v>
      </c>
      <c r="M13" s="230">
        <v>0</v>
      </c>
      <c r="N13" s="230">
        <v>0</v>
      </c>
      <c r="O13" s="230">
        <v>0</v>
      </c>
      <c r="P13" s="230">
        <v>0</v>
      </c>
      <c r="Q13" s="230">
        <v>0</v>
      </c>
      <c r="R13" s="230">
        <v>0</v>
      </c>
      <c r="S13" s="230"/>
      <c r="T13" s="230">
        <v>0</v>
      </c>
      <c r="U13" s="230">
        <v>0</v>
      </c>
      <c r="V13" s="230">
        <v>150</v>
      </c>
      <c r="W13" s="230"/>
      <c r="X13" s="230" t="e">
        <f>C13*商品!N50+D13*商品!#REF!+E13*商品!#REF!+F13*商品!L50+G13*商品!#REF!+H13*商品!#REF!</f>
        <v>#REF!</v>
      </c>
      <c r="Y13" s="230" t="e">
        <f>J13*商品!R50+K13*商品!#REF!+L13*商品!#REF!+M13*商品!S50+N13*商品!T50+O13*商品!U50+P13*商品!#REF!+Q13*商品!P50+R13*商品!W50</f>
        <v>#REF!</v>
      </c>
      <c r="Z13" s="230" t="e">
        <f t="shared" si="0"/>
        <v>#REF!</v>
      </c>
      <c r="AA13" s="230" t="e">
        <f t="shared" si="1"/>
        <v>#REF!</v>
      </c>
      <c r="AB13" s="233" t="e">
        <f t="shared" si="2"/>
        <v>#REF!</v>
      </c>
    </row>
    <row r="14" spans="1:28">
      <c r="A14" s="230" t="s">
        <v>345</v>
      </c>
      <c r="B14" s="230"/>
      <c r="C14" s="230">
        <v>0</v>
      </c>
      <c r="D14" s="230">
        <v>0</v>
      </c>
      <c r="E14" s="230">
        <v>0</v>
      </c>
      <c r="F14" s="230">
        <v>0</v>
      </c>
      <c r="G14" s="230">
        <v>0</v>
      </c>
      <c r="H14" s="230">
        <v>19</v>
      </c>
      <c r="I14" s="230"/>
      <c r="J14" s="230">
        <v>0</v>
      </c>
      <c r="K14" s="230">
        <v>0</v>
      </c>
      <c r="L14" s="230">
        <v>45</v>
      </c>
      <c r="M14" s="230">
        <v>0</v>
      </c>
      <c r="N14" s="230">
        <v>0</v>
      </c>
      <c r="O14" s="230">
        <v>0</v>
      </c>
      <c r="P14" s="230">
        <v>0</v>
      </c>
      <c r="Q14" s="230">
        <v>0</v>
      </c>
      <c r="R14" s="230">
        <v>0</v>
      </c>
      <c r="S14" s="230"/>
      <c r="T14" s="230">
        <v>0</v>
      </c>
      <c r="U14" s="230">
        <v>0</v>
      </c>
      <c r="V14" s="230">
        <v>250</v>
      </c>
      <c r="W14" s="230"/>
      <c r="X14" s="230" t="e">
        <f>C14*商品!N51+D14*商品!#REF!+E14*商品!#REF!+F14*商品!L51+G14*商品!#REF!+H14*商品!#REF!</f>
        <v>#REF!</v>
      </c>
      <c r="Y14" s="230" t="e">
        <f>J14*商品!R51+K14*商品!#REF!+L14*商品!#REF!+M14*商品!S51+N14*商品!T51+O14*商品!U51+P14*商品!#REF!+Q14*商品!P51+R14*商品!W51</f>
        <v>#REF!</v>
      </c>
      <c r="Z14" s="230" t="e">
        <f t="shared" si="0"/>
        <v>#REF!</v>
      </c>
      <c r="AA14" s="230" t="e">
        <f t="shared" si="1"/>
        <v>#REF!</v>
      </c>
      <c r="AB14" s="233" t="e">
        <f t="shared" si="2"/>
        <v>#REF!</v>
      </c>
    </row>
    <row r="15" spans="1:28">
      <c r="A15" s="230" t="s">
        <v>346</v>
      </c>
      <c r="B15" s="230"/>
      <c r="C15" s="230">
        <v>0</v>
      </c>
      <c r="D15" s="230">
        <v>0</v>
      </c>
      <c r="E15" s="230">
        <v>0</v>
      </c>
      <c r="F15" s="230">
        <v>0</v>
      </c>
      <c r="G15" s="230">
        <v>0</v>
      </c>
      <c r="H15" s="230">
        <v>25</v>
      </c>
      <c r="I15" s="230"/>
      <c r="J15" s="230">
        <v>0</v>
      </c>
      <c r="K15" s="230">
        <v>0</v>
      </c>
      <c r="L15" s="230">
        <v>60</v>
      </c>
      <c r="M15" s="230">
        <v>0</v>
      </c>
      <c r="N15" s="230">
        <v>0</v>
      </c>
      <c r="O15" s="230">
        <v>0</v>
      </c>
      <c r="P15" s="230">
        <v>0</v>
      </c>
      <c r="Q15" s="230">
        <v>0</v>
      </c>
      <c r="R15" s="230">
        <v>0</v>
      </c>
      <c r="S15" s="230"/>
      <c r="T15" s="230">
        <v>0</v>
      </c>
      <c r="U15" s="230">
        <v>0</v>
      </c>
      <c r="V15" s="230">
        <v>350</v>
      </c>
      <c r="W15" s="230"/>
      <c r="X15" s="230" t="e">
        <f>C15*商品!N52+D15*商品!#REF!+E15*商品!#REF!+F15*商品!L52+G15*商品!#REF!+H15*商品!#REF!</f>
        <v>#REF!</v>
      </c>
      <c r="Y15" s="230" t="e">
        <f>J15*商品!R52+K15*商品!#REF!+L15*商品!#REF!+M15*商品!S52+N15*商品!T52+O15*商品!U52+P15*商品!#REF!+Q15*商品!P52+R15*商品!W52</f>
        <v>#REF!</v>
      </c>
      <c r="Z15" s="230" t="e">
        <f t="shared" si="0"/>
        <v>#REF!</v>
      </c>
      <c r="AA15" s="230" t="e">
        <f t="shared" si="1"/>
        <v>#REF!</v>
      </c>
      <c r="AB15" s="233" t="e">
        <f t="shared" si="2"/>
        <v>#REF!</v>
      </c>
    </row>
    <row r="16" spans="1:28">
      <c r="A16" s="227" t="s">
        <v>371</v>
      </c>
      <c r="B16" s="228"/>
      <c r="C16" s="228">
        <v>0</v>
      </c>
      <c r="D16" s="228">
        <v>10</v>
      </c>
      <c r="E16" s="228">
        <v>0</v>
      </c>
      <c r="F16" s="228">
        <v>0</v>
      </c>
      <c r="G16" s="228">
        <v>0</v>
      </c>
      <c r="H16" s="228">
        <v>0</v>
      </c>
      <c r="I16" s="228"/>
      <c r="J16" s="228">
        <v>0</v>
      </c>
      <c r="K16" s="228">
        <v>0</v>
      </c>
      <c r="L16" s="228">
        <v>0</v>
      </c>
      <c r="M16" s="228">
        <v>10</v>
      </c>
      <c r="N16" s="228">
        <v>0</v>
      </c>
      <c r="O16" s="228">
        <v>0</v>
      </c>
      <c r="P16" s="228">
        <v>0</v>
      </c>
      <c r="Q16" s="228">
        <v>0</v>
      </c>
      <c r="R16" s="228">
        <v>0</v>
      </c>
      <c r="S16" s="228"/>
      <c r="T16" s="228">
        <v>4000</v>
      </c>
      <c r="U16" s="228">
        <v>800</v>
      </c>
      <c r="V16" s="228">
        <v>0</v>
      </c>
      <c r="W16" s="228"/>
      <c r="X16" s="228">
        <f>C16*商品!Q4+D16*商品!I4+E16*商品!F16+F16*商品!K6+G16*商品!O6+H16*商品!L16</f>
        <v>400</v>
      </c>
      <c r="Y16" s="228">
        <f>M16*商品!Q4</f>
        <v>500</v>
      </c>
      <c r="Z16" s="228">
        <f t="shared" si="0"/>
        <v>100</v>
      </c>
      <c r="AA16" s="228">
        <f t="shared" si="1"/>
        <v>0.0208333333333333</v>
      </c>
      <c r="AB16" s="232">
        <f t="shared" si="2"/>
        <v>0.25</v>
      </c>
    </row>
    <row r="17" spans="1:28">
      <c r="A17" s="228" t="s">
        <v>341</v>
      </c>
      <c r="B17" s="228"/>
      <c r="C17" s="228">
        <v>13</v>
      </c>
      <c r="D17" s="228">
        <v>6</v>
      </c>
      <c r="E17" s="228">
        <v>0</v>
      </c>
      <c r="F17" s="228">
        <v>0</v>
      </c>
      <c r="G17" s="228">
        <v>0</v>
      </c>
      <c r="H17" s="228">
        <v>0</v>
      </c>
      <c r="I17" s="228"/>
      <c r="J17" s="228">
        <v>0</v>
      </c>
      <c r="K17" s="228">
        <v>0</v>
      </c>
      <c r="L17" s="228">
        <v>0</v>
      </c>
      <c r="M17" s="228">
        <v>20</v>
      </c>
      <c r="N17" s="228">
        <v>0</v>
      </c>
      <c r="O17" s="228">
        <v>0</v>
      </c>
      <c r="P17" s="228">
        <v>0</v>
      </c>
      <c r="Q17" s="228">
        <v>0</v>
      </c>
      <c r="R17" s="228">
        <v>0</v>
      </c>
      <c r="S17" s="228"/>
      <c r="T17" s="228">
        <v>3600</v>
      </c>
      <c r="U17" s="228">
        <v>1200</v>
      </c>
      <c r="V17" s="228">
        <v>0</v>
      </c>
      <c r="W17" s="228"/>
      <c r="X17" s="228" t="e">
        <f>C17*商品!S33+D17*商品!#REF!+E17*商品!#REF!+F17*商品!#REF!+G17*商品!#REF!+H17*商品!#REF!</f>
        <v>#REF!</v>
      </c>
      <c r="Y17" s="228">
        <f>M17*商品!S33</f>
        <v>0</v>
      </c>
      <c r="Z17" s="228" t="e">
        <f t="shared" si="0"/>
        <v>#REF!</v>
      </c>
      <c r="AA17" s="228" t="e">
        <f t="shared" si="1"/>
        <v>#REF!</v>
      </c>
      <c r="AB17" s="232" t="e">
        <f t="shared" si="2"/>
        <v>#REF!</v>
      </c>
    </row>
    <row r="18" spans="1:28">
      <c r="A18" s="228" t="s">
        <v>342</v>
      </c>
      <c r="B18" s="228"/>
      <c r="C18" s="228">
        <v>20</v>
      </c>
      <c r="D18" s="228">
        <v>11</v>
      </c>
      <c r="E18" s="228">
        <v>0</v>
      </c>
      <c r="F18" s="228">
        <v>0</v>
      </c>
      <c r="G18" s="228">
        <v>0</v>
      </c>
      <c r="H18" s="228">
        <v>0</v>
      </c>
      <c r="I18" s="228"/>
      <c r="J18" s="228">
        <v>0</v>
      </c>
      <c r="K18" s="228">
        <v>0</v>
      </c>
      <c r="L18" s="228">
        <v>0</v>
      </c>
      <c r="M18" s="228">
        <v>35</v>
      </c>
      <c r="N18" s="228">
        <v>0</v>
      </c>
      <c r="O18" s="228">
        <v>0</v>
      </c>
      <c r="P18" s="228">
        <v>0</v>
      </c>
      <c r="Q18" s="228">
        <v>0</v>
      </c>
      <c r="R18" s="228">
        <v>0</v>
      </c>
      <c r="S18" s="228"/>
      <c r="T18" s="228">
        <v>3200</v>
      </c>
      <c r="U18" s="228">
        <v>1600</v>
      </c>
      <c r="V18" s="228">
        <v>0</v>
      </c>
      <c r="W18" s="228"/>
      <c r="X18" s="228" t="e">
        <f>C18*商品!S34+D18*商品!#REF!+E18*商品!A9+F18*商品!#REF!+G18*商品!#REF!+H18*商品!#REF!</f>
        <v>#REF!</v>
      </c>
      <c r="Y18" s="228">
        <f>M18*商品!S34</f>
        <v>0</v>
      </c>
      <c r="Z18" s="228" t="e">
        <f t="shared" si="0"/>
        <v>#REF!</v>
      </c>
      <c r="AA18" s="228" t="e">
        <f t="shared" si="1"/>
        <v>#REF!</v>
      </c>
      <c r="AB18" s="232" t="e">
        <f t="shared" si="2"/>
        <v>#REF!</v>
      </c>
    </row>
    <row r="19" spans="1:28">
      <c r="A19" s="228" t="s">
        <v>369</v>
      </c>
      <c r="B19" s="228"/>
      <c r="C19" s="228">
        <v>26</v>
      </c>
      <c r="D19" s="228">
        <v>13</v>
      </c>
      <c r="E19" s="228">
        <v>0</v>
      </c>
      <c r="F19" s="228">
        <v>0</v>
      </c>
      <c r="G19" s="228">
        <v>0</v>
      </c>
      <c r="H19" s="228">
        <v>0</v>
      </c>
      <c r="I19" s="228"/>
      <c r="J19" s="228">
        <v>0</v>
      </c>
      <c r="K19" s="228">
        <v>0</v>
      </c>
      <c r="L19" s="228">
        <v>0</v>
      </c>
      <c r="M19" s="228">
        <v>45</v>
      </c>
      <c r="N19" s="228">
        <v>0</v>
      </c>
      <c r="O19" s="228">
        <v>0</v>
      </c>
      <c r="P19" s="228">
        <v>0</v>
      </c>
      <c r="Q19" s="228">
        <v>0</v>
      </c>
      <c r="R19" s="228">
        <v>0</v>
      </c>
      <c r="S19" s="228"/>
      <c r="T19" s="228">
        <v>3000</v>
      </c>
      <c r="U19" s="228">
        <v>1800</v>
      </c>
      <c r="V19" s="228">
        <v>0</v>
      </c>
      <c r="W19" s="228"/>
      <c r="X19" s="228" t="e">
        <f>C19*商品!S35+D19*商品!#REF!+E19*商品!#REF!+F19*商品!L35+G19*商品!#REF!+H19*商品!#REF!</f>
        <v>#REF!</v>
      </c>
      <c r="Y19" s="228">
        <f>M19*商品!S35</f>
        <v>0</v>
      </c>
      <c r="Z19" s="228" t="e">
        <f t="shared" si="0"/>
        <v>#REF!</v>
      </c>
      <c r="AA19" s="228" t="e">
        <f t="shared" si="1"/>
        <v>#REF!</v>
      </c>
      <c r="AB19" s="232" t="e">
        <f t="shared" si="2"/>
        <v>#REF!</v>
      </c>
    </row>
    <row r="20" spans="1:28">
      <c r="A20" s="228" t="s">
        <v>344</v>
      </c>
      <c r="B20" s="228"/>
      <c r="C20" s="228">
        <v>0</v>
      </c>
      <c r="D20" s="228">
        <v>0</v>
      </c>
      <c r="E20" s="228">
        <v>0</v>
      </c>
      <c r="F20" s="228">
        <v>0</v>
      </c>
      <c r="G20" s="228">
        <v>0</v>
      </c>
      <c r="H20" s="228">
        <v>11</v>
      </c>
      <c r="I20" s="228"/>
      <c r="J20" s="228">
        <v>0</v>
      </c>
      <c r="K20" s="228">
        <v>0</v>
      </c>
      <c r="L20" s="228">
        <v>0</v>
      </c>
      <c r="M20" s="228">
        <v>20</v>
      </c>
      <c r="N20" s="228">
        <v>0</v>
      </c>
      <c r="O20" s="228">
        <v>0</v>
      </c>
      <c r="P20" s="228">
        <v>0</v>
      </c>
      <c r="Q20" s="228">
        <v>0</v>
      </c>
      <c r="R20" s="228">
        <v>0</v>
      </c>
      <c r="S20" s="228"/>
      <c r="T20" s="228">
        <v>0</v>
      </c>
      <c r="U20" s="228">
        <v>0</v>
      </c>
      <c r="V20" s="228">
        <v>150</v>
      </c>
      <c r="W20" s="228"/>
      <c r="X20" s="228" t="e">
        <f>C20*商品!S36+D20*商品!#REF!+E20*商品!#REF!+F20*商品!L36+G20*商品!#REF!+H20*商品!#REF!</f>
        <v>#REF!</v>
      </c>
      <c r="Y20" s="228">
        <f>M20*商品!S36</f>
        <v>0</v>
      </c>
      <c r="Z20" s="228" t="e">
        <f t="shared" si="0"/>
        <v>#REF!</v>
      </c>
      <c r="AA20" s="228" t="e">
        <f t="shared" si="1"/>
        <v>#REF!</v>
      </c>
      <c r="AB20" s="232" t="e">
        <f t="shared" si="2"/>
        <v>#REF!</v>
      </c>
    </row>
    <row r="21" spans="1:28">
      <c r="A21" s="228" t="s">
        <v>345</v>
      </c>
      <c r="B21" s="228"/>
      <c r="C21" s="228">
        <v>0</v>
      </c>
      <c r="D21" s="228">
        <v>0</v>
      </c>
      <c r="E21" s="228">
        <v>0</v>
      </c>
      <c r="F21" s="228">
        <v>0</v>
      </c>
      <c r="G21" s="228">
        <v>0</v>
      </c>
      <c r="H21" s="228">
        <v>19</v>
      </c>
      <c r="I21" s="228"/>
      <c r="J21" s="228">
        <v>0</v>
      </c>
      <c r="K21" s="228">
        <v>0</v>
      </c>
      <c r="L21" s="228">
        <v>0</v>
      </c>
      <c r="M21" s="228">
        <v>35</v>
      </c>
      <c r="N21" s="228">
        <v>0</v>
      </c>
      <c r="O21" s="228">
        <v>0</v>
      </c>
      <c r="P21" s="228">
        <v>0</v>
      </c>
      <c r="Q21" s="228">
        <v>0</v>
      </c>
      <c r="R21" s="228">
        <v>0</v>
      </c>
      <c r="S21" s="228"/>
      <c r="T21" s="228">
        <v>0</v>
      </c>
      <c r="U21" s="228">
        <v>0</v>
      </c>
      <c r="V21" s="228">
        <v>250</v>
      </c>
      <c r="W21" s="228"/>
      <c r="X21" s="228" t="e">
        <f>C21*商品!S37+D21*商品!#REF!+E21*商品!A15+F21*商品!L37+G21*商品!M6+H21*商品!#REF!</f>
        <v>#REF!</v>
      </c>
      <c r="Y21" s="228">
        <f>M21*商品!S37</f>
        <v>0</v>
      </c>
      <c r="Z21" s="228" t="e">
        <f t="shared" si="0"/>
        <v>#REF!</v>
      </c>
      <c r="AA21" s="228" t="e">
        <f t="shared" ref="AA21:AA60" si="3">Z21/(T21+U21+V21)</f>
        <v>#REF!</v>
      </c>
      <c r="AB21" s="232" t="e">
        <f t="shared" ref="AB21:AB60" si="4">Z21/X21</f>
        <v>#REF!</v>
      </c>
    </row>
    <row r="22" spans="1:28">
      <c r="A22" s="228" t="s">
        <v>346</v>
      </c>
      <c r="B22" s="228"/>
      <c r="C22" s="228">
        <v>0</v>
      </c>
      <c r="D22" s="228">
        <v>0</v>
      </c>
      <c r="E22" s="228">
        <v>0</v>
      </c>
      <c r="F22" s="228">
        <v>0</v>
      </c>
      <c r="G22" s="228">
        <v>0</v>
      </c>
      <c r="H22" s="228">
        <v>24</v>
      </c>
      <c r="I22" s="228"/>
      <c r="J22" s="228">
        <v>0</v>
      </c>
      <c r="K22" s="228">
        <v>0</v>
      </c>
      <c r="L22" s="228">
        <v>0</v>
      </c>
      <c r="M22" s="228">
        <v>45</v>
      </c>
      <c r="N22" s="228">
        <v>0</v>
      </c>
      <c r="O22" s="228">
        <v>0</v>
      </c>
      <c r="P22" s="228">
        <v>0</v>
      </c>
      <c r="Q22" s="228">
        <v>0</v>
      </c>
      <c r="R22" s="228">
        <v>0</v>
      </c>
      <c r="S22" s="228"/>
      <c r="T22" s="228">
        <v>0</v>
      </c>
      <c r="U22" s="228">
        <v>0</v>
      </c>
      <c r="V22" s="228">
        <v>350</v>
      </c>
      <c r="W22" s="228"/>
      <c r="X22" s="228" t="e">
        <f>C22*商品!S38+D22*商品!#REF!+E22*商品!#REF!+F22*商品!L38+G22*商品!#REF!+H22*商品!#REF!</f>
        <v>#REF!</v>
      </c>
      <c r="Y22" s="228">
        <f>M22*商品!S38</f>
        <v>0</v>
      </c>
      <c r="Z22" s="228" t="e">
        <f t="shared" si="0"/>
        <v>#REF!</v>
      </c>
      <c r="AA22" s="228" t="e">
        <f t="shared" si="3"/>
        <v>#REF!</v>
      </c>
      <c r="AB22" s="232" t="e">
        <f t="shared" si="4"/>
        <v>#REF!</v>
      </c>
    </row>
    <row r="23" spans="1:28">
      <c r="A23" s="229" t="s">
        <v>372</v>
      </c>
      <c r="B23" s="230"/>
      <c r="C23" s="230">
        <v>0</v>
      </c>
      <c r="D23" s="230">
        <v>5</v>
      </c>
      <c r="E23" s="230">
        <v>0</v>
      </c>
      <c r="F23" s="230">
        <v>0</v>
      </c>
      <c r="G23" s="230">
        <v>0</v>
      </c>
      <c r="H23" s="230">
        <v>0</v>
      </c>
      <c r="I23" s="230"/>
      <c r="J23" s="230">
        <v>0</v>
      </c>
      <c r="K23" s="230">
        <v>0</v>
      </c>
      <c r="L23" s="230">
        <v>0</v>
      </c>
      <c r="M23" s="230">
        <v>0</v>
      </c>
      <c r="N23" s="230">
        <v>10</v>
      </c>
      <c r="O23" s="230">
        <v>0</v>
      </c>
      <c r="P23" s="230">
        <v>0</v>
      </c>
      <c r="Q23" s="230">
        <v>0</v>
      </c>
      <c r="R23" s="230">
        <v>0</v>
      </c>
      <c r="S23" s="230"/>
      <c r="T23" s="230">
        <v>4000</v>
      </c>
      <c r="U23" s="230">
        <v>800</v>
      </c>
      <c r="V23" s="230">
        <v>0</v>
      </c>
      <c r="W23" s="230"/>
      <c r="X23" s="230" t="e">
        <f>C23*商品!S39+D23*商品!#REF!+E23*商品!#REF!+F23*商品!L39+G23*商品!#REF!+H23*商品!#REF!</f>
        <v>#REF!</v>
      </c>
      <c r="Y23" s="230">
        <f>N23*商品!O10</f>
        <v>800</v>
      </c>
      <c r="Z23" s="230" t="e">
        <f t="shared" ref="Z21:Z60" si="5">Y23-X23</f>
        <v>#REF!</v>
      </c>
      <c r="AA23" s="230" t="e">
        <f t="shared" si="3"/>
        <v>#REF!</v>
      </c>
      <c r="AB23" s="233" t="e">
        <f t="shared" si="4"/>
        <v>#REF!</v>
      </c>
    </row>
    <row r="24" spans="1:28">
      <c r="A24" s="230" t="s">
        <v>341</v>
      </c>
      <c r="B24" s="230"/>
      <c r="C24" s="230">
        <v>10</v>
      </c>
      <c r="D24" s="230">
        <v>5</v>
      </c>
      <c r="E24" s="230">
        <v>0</v>
      </c>
      <c r="F24" s="230">
        <v>0</v>
      </c>
      <c r="G24" s="230">
        <v>0</v>
      </c>
      <c r="H24" s="230">
        <v>0</v>
      </c>
      <c r="I24" s="230"/>
      <c r="J24" s="230">
        <v>0</v>
      </c>
      <c r="K24" s="230">
        <v>0</v>
      </c>
      <c r="L24" s="230">
        <v>0</v>
      </c>
      <c r="M24" s="230">
        <v>0</v>
      </c>
      <c r="N24" s="230">
        <v>20</v>
      </c>
      <c r="O24" s="230">
        <v>0</v>
      </c>
      <c r="P24" s="230">
        <v>0</v>
      </c>
      <c r="Q24" s="230">
        <v>0</v>
      </c>
      <c r="R24" s="230">
        <v>0</v>
      </c>
      <c r="S24" s="230"/>
      <c r="T24" s="230">
        <v>3600</v>
      </c>
      <c r="U24" s="230">
        <v>1200</v>
      </c>
      <c r="V24" s="230">
        <v>0</v>
      </c>
      <c r="W24" s="230"/>
      <c r="X24" s="230" t="e">
        <f>C24*商品!S40+D24*商品!#REF!+E24*商品!A17+F24*商品!L40+G24*商品!#REF!+H24*商品!#REF!</f>
        <v>#REF!</v>
      </c>
      <c r="Y24" s="230">
        <f>N24*商品!T33</f>
        <v>0</v>
      </c>
      <c r="Z24" s="230" t="e">
        <f t="shared" si="5"/>
        <v>#REF!</v>
      </c>
      <c r="AA24" s="230" t="e">
        <f t="shared" si="3"/>
        <v>#REF!</v>
      </c>
      <c r="AB24" s="233" t="e">
        <f t="shared" si="4"/>
        <v>#REF!</v>
      </c>
    </row>
    <row r="25" spans="1:28">
      <c r="A25" s="230" t="s">
        <v>342</v>
      </c>
      <c r="B25" s="230"/>
      <c r="C25" s="230">
        <v>15</v>
      </c>
      <c r="D25" s="230">
        <v>10</v>
      </c>
      <c r="E25" s="230">
        <v>0</v>
      </c>
      <c r="F25" s="230">
        <v>0</v>
      </c>
      <c r="G25" s="230">
        <v>0</v>
      </c>
      <c r="H25" s="230">
        <v>0</v>
      </c>
      <c r="I25" s="230"/>
      <c r="J25" s="230">
        <v>0</v>
      </c>
      <c r="K25" s="230">
        <v>0</v>
      </c>
      <c r="L25" s="230">
        <v>0</v>
      </c>
      <c r="M25" s="230">
        <v>0</v>
      </c>
      <c r="N25" s="230">
        <v>30</v>
      </c>
      <c r="O25" s="230">
        <v>0</v>
      </c>
      <c r="P25" s="230">
        <v>0</v>
      </c>
      <c r="Q25" s="230">
        <v>0</v>
      </c>
      <c r="R25" s="230">
        <v>0</v>
      </c>
      <c r="S25" s="230"/>
      <c r="T25" s="230">
        <v>3200</v>
      </c>
      <c r="U25" s="230">
        <v>1600</v>
      </c>
      <c r="V25" s="230">
        <v>0</v>
      </c>
      <c r="W25" s="230"/>
      <c r="X25" s="230" t="e">
        <f>C25*商品!S41+D25*商品!#REF!+E25*商品!#REF!+F25*商品!L41+G25*商品!#REF!+H25*商品!#REF!</f>
        <v>#REF!</v>
      </c>
      <c r="Y25" s="230">
        <f>N25*商品!T34</f>
        <v>0</v>
      </c>
      <c r="Z25" s="230" t="e">
        <f t="shared" si="5"/>
        <v>#REF!</v>
      </c>
      <c r="AA25" s="230" t="e">
        <f t="shared" si="3"/>
        <v>#REF!</v>
      </c>
      <c r="AB25" s="233" t="e">
        <f t="shared" si="4"/>
        <v>#REF!</v>
      </c>
    </row>
    <row r="26" spans="1:28">
      <c r="A26" s="230" t="s">
        <v>369</v>
      </c>
      <c r="B26" s="230"/>
      <c r="C26" s="230">
        <v>25</v>
      </c>
      <c r="D26" s="230">
        <v>15</v>
      </c>
      <c r="E26" s="230">
        <v>0</v>
      </c>
      <c r="F26" s="230">
        <v>0</v>
      </c>
      <c r="G26" s="230">
        <v>0</v>
      </c>
      <c r="H26" s="230">
        <v>0</v>
      </c>
      <c r="I26" s="230"/>
      <c r="J26" s="230">
        <v>0</v>
      </c>
      <c r="K26" s="230">
        <v>0</v>
      </c>
      <c r="L26" s="230">
        <v>0</v>
      </c>
      <c r="M26" s="230">
        <v>0</v>
      </c>
      <c r="N26" s="230">
        <v>50</v>
      </c>
      <c r="O26" s="230">
        <v>0</v>
      </c>
      <c r="P26" s="230">
        <v>0</v>
      </c>
      <c r="Q26" s="230">
        <v>0</v>
      </c>
      <c r="R26" s="230">
        <v>0</v>
      </c>
      <c r="S26" s="230"/>
      <c r="T26" s="230">
        <v>3000</v>
      </c>
      <c r="U26" s="230">
        <v>1800</v>
      </c>
      <c r="V26" s="230">
        <v>0</v>
      </c>
      <c r="W26" s="230"/>
      <c r="X26" s="230" t="e">
        <f>C26*商品!S42+D26*商品!#REF!+E26*商品!#REF!+F26*商品!L42+G26*商品!H19+H26*商品!#REF!</f>
        <v>#REF!</v>
      </c>
      <c r="Y26" s="230">
        <f>N26*商品!T35</f>
        <v>0</v>
      </c>
      <c r="Z26" s="230" t="e">
        <f t="shared" si="5"/>
        <v>#REF!</v>
      </c>
      <c r="AA26" s="230" t="e">
        <f t="shared" si="3"/>
        <v>#REF!</v>
      </c>
      <c r="AB26" s="233" t="e">
        <f t="shared" si="4"/>
        <v>#REF!</v>
      </c>
    </row>
    <row r="27" spans="1:28">
      <c r="A27" s="230" t="s">
        <v>344</v>
      </c>
      <c r="B27" s="230"/>
      <c r="C27" s="230">
        <v>0</v>
      </c>
      <c r="D27" s="230">
        <v>0</v>
      </c>
      <c r="E27" s="230">
        <v>0</v>
      </c>
      <c r="F27" s="230">
        <v>0</v>
      </c>
      <c r="G27" s="230">
        <v>0</v>
      </c>
      <c r="H27" s="230">
        <v>5</v>
      </c>
      <c r="I27" s="230"/>
      <c r="J27" s="230">
        <v>0</v>
      </c>
      <c r="K27" s="230">
        <v>0</v>
      </c>
      <c r="L27" s="230">
        <v>0</v>
      </c>
      <c r="M27" s="230">
        <v>0</v>
      </c>
      <c r="N27" s="230">
        <v>10</v>
      </c>
      <c r="O27" s="230">
        <v>0</v>
      </c>
      <c r="P27" s="230">
        <v>0</v>
      </c>
      <c r="Q27" s="230">
        <v>0</v>
      </c>
      <c r="R27" s="230">
        <v>0</v>
      </c>
      <c r="S27" s="230"/>
      <c r="T27" s="230">
        <v>0</v>
      </c>
      <c r="U27" s="230">
        <v>0</v>
      </c>
      <c r="V27" s="230">
        <v>150</v>
      </c>
      <c r="W27" s="230"/>
      <c r="X27" s="230" t="e">
        <f>C27*商品!S43+D27*商品!E23+E27*商品!#REF!+F27*商品!L43+G27*商品!H20+H27*商品!F23</f>
        <v>#REF!</v>
      </c>
      <c r="Y27" s="230">
        <f>N27*商品!T36</f>
        <v>0</v>
      </c>
      <c r="Z27" s="230" t="e">
        <f t="shared" si="5"/>
        <v>#REF!</v>
      </c>
      <c r="AA27" s="230" t="e">
        <f t="shared" si="3"/>
        <v>#REF!</v>
      </c>
      <c r="AB27" s="233" t="e">
        <f t="shared" si="4"/>
        <v>#REF!</v>
      </c>
    </row>
    <row r="28" spans="1:28">
      <c r="A28" s="230" t="s">
        <v>345</v>
      </c>
      <c r="B28" s="230"/>
      <c r="C28" s="230">
        <v>0</v>
      </c>
      <c r="D28" s="230">
        <v>0</v>
      </c>
      <c r="E28" s="230">
        <v>0</v>
      </c>
      <c r="F28" s="230">
        <v>0</v>
      </c>
      <c r="G28" s="230">
        <v>0</v>
      </c>
      <c r="H28" s="230">
        <v>10</v>
      </c>
      <c r="I28" s="230"/>
      <c r="J28" s="230">
        <v>0</v>
      </c>
      <c r="K28" s="230">
        <v>0</v>
      </c>
      <c r="L28" s="230">
        <v>0</v>
      </c>
      <c r="M28" s="230">
        <v>0</v>
      </c>
      <c r="N28" s="230">
        <v>20</v>
      </c>
      <c r="O28" s="230">
        <v>0</v>
      </c>
      <c r="P28" s="230">
        <v>0</v>
      </c>
      <c r="Q28" s="230">
        <v>0</v>
      </c>
      <c r="R28" s="230">
        <v>0</v>
      </c>
      <c r="S28" s="230"/>
      <c r="T28" s="230">
        <v>0</v>
      </c>
      <c r="U28" s="230">
        <v>0</v>
      </c>
      <c r="V28" s="230">
        <v>250</v>
      </c>
      <c r="W28" s="230"/>
      <c r="X28" s="230" t="e">
        <f>C28*商品!S44+D28*商品!#REF!+E28*商品!A24+F28*商品!L44+G28*商品!#REF!+H28*商品!#REF!</f>
        <v>#REF!</v>
      </c>
      <c r="Y28" s="230">
        <f>N28*商品!T37</f>
        <v>0</v>
      </c>
      <c r="Z28" s="230" t="e">
        <f t="shared" si="5"/>
        <v>#REF!</v>
      </c>
      <c r="AA28" s="230" t="e">
        <f t="shared" si="3"/>
        <v>#REF!</v>
      </c>
      <c r="AB28" s="233" t="e">
        <f t="shared" si="4"/>
        <v>#REF!</v>
      </c>
    </row>
    <row r="29" spans="1:28">
      <c r="A29" s="230" t="s">
        <v>346</v>
      </c>
      <c r="B29" s="230"/>
      <c r="C29" s="230">
        <v>0</v>
      </c>
      <c r="D29" s="230">
        <v>0</v>
      </c>
      <c r="E29" s="230">
        <v>0</v>
      </c>
      <c r="F29" s="230">
        <v>0</v>
      </c>
      <c r="G29" s="230">
        <v>0</v>
      </c>
      <c r="H29" s="230">
        <v>15</v>
      </c>
      <c r="I29" s="230"/>
      <c r="J29" s="230">
        <v>0</v>
      </c>
      <c r="K29" s="230">
        <v>0</v>
      </c>
      <c r="L29" s="230">
        <v>0</v>
      </c>
      <c r="M29" s="230">
        <v>0</v>
      </c>
      <c r="N29" s="230">
        <v>30</v>
      </c>
      <c r="O29" s="230">
        <v>0</v>
      </c>
      <c r="P29" s="230">
        <v>0</v>
      </c>
      <c r="Q29" s="230">
        <v>0</v>
      </c>
      <c r="R29" s="230">
        <v>0</v>
      </c>
      <c r="S29" s="230"/>
      <c r="T29" s="230">
        <v>0</v>
      </c>
      <c r="U29" s="230">
        <v>0</v>
      </c>
      <c r="V29" s="230">
        <v>350</v>
      </c>
      <c r="W29" s="230"/>
      <c r="X29" s="230" t="e">
        <f>C29*商品!S45+D29*商品!#REF!+E29*商品!A25+F29*商品!L45+G29*商品!#REF!+H29*商品!#REF!</f>
        <v>#REF!</v>
      </c>
      <c r="Y29" s="230">
        <f>N29*商品!T38</f>
        <v>0</v>
      </c>
      <c r="Z29" s="230" t="e">
        <f t="shared" si="5"/>
        <v>#REF!</v>
      </c>
      <c r="AA29" s="230" t="e">
        <f t="shared" si="3"/>
        <v>#REF!</v>
      </c>
      <c r="AB29" s="233" t="e">
        <f t="shared" si="4"/>
        <v>#REF!</v>
      </c>
    </row>
    <row r="30" spans="1:28">
      <c r="A30" s="227" t="s">
        <v>373</v>
      </c>
      <c r="B30" s="228"/>
      <c r="C30" s="228">
        <v>0</v>
      </c>
      <c r="D30" s="228">
        <v>5</v>
      </c>
      <c r="E30" s="228">
        <v>0</v>
      </c>
      <c r="F30" s="228">
        <v>0</v>
      </c>
      <c r="G30" s="228">
        <v>0</v>
      </c>
      <c r="H30" s="228">
        <v>0</v>
      </c>
      <c r="I30" s="228"/>
      <c r="J30" s="228">
        <v>0</v>
      </c>
      <c r="K30" s="228">
        <v>0</v>
      </c>
      <c r="L30" s="228">
        <v>0</v>
      </c>
      <c r="M30" s="228">
        <v>0</v>
      </c>
      <c r="N30" s="228">
        <v>0</v>
      </c>
      <c r="O30" s="228">
        <v>10</v>
      </c>
      <c r="P30" s="228">
        <v>0</v>
      </c>
      <c r="Q30" s="228">
        <v>0</v>
      </c>
      <c r="R30" s="228">
        <v>0</v>
      </c>
      <c r="S30" s="228"/>
      <c r="T30" s="228">
        <v>4000</v>
      </c>
      <c r="U30" s="228">
        <v>800</v>
      </c>
      <c r="V30" s="228">
        <v>0</v>
      </c>
      <c r="W30" s="228"/>
      <c r="X30" s="228" t="e">
        <f>C30*商品!S46+D30*商品!E26+E30*商品!A19+F30*商品!L46+G30*商品!G23+H30*商品!F26</f>
        <v>#VALUE!</v>
      </c>
      <c r="Y30" s="228" t="e">
        <f>O30*商品!#REF!</f>
        <v>#REF!</v>
      </c>
      <c r="Z30" s="228" t="e">
        <f t="shared" si="5"/>
        <v>#REF!</v>
      </c>
      <c r="AA30" s="228" t="e">
        <f t="shared" si="3"/>
        <v>#REF!</v>
      </c>
      <c r="AB30" s="232" t="e">
        <f t="shared" si="4"/>
        <v>#REF!</v>
      </c>
    </row>
    <row r="31" spans="1:28">
      <c r="A31" s="228" t="s">
        <v>341</v>
      </c>
      <c r="B31" s="228"/>
      <c r="C31" s="228">
        <v>15</v>
      </c>
      <c r="D31" s="228">
        <v>5</v>
      </c>
      <c r="E31" s="228">
        <v>0</v>
      </c>
      <c r="F31" s="228">
        <v>0</v>
      </c>
      <c r="G31" s="228">
        <v>0</v>
      </c>
      <c r="H31" s="228">
        <v>0</v>
      </c>
      <c r="I31" s="228"/>
      <c r="J31" s="228">
        <v>0</v>
      </c>
      <c r="K31" s="228">
        <v>0</v>
      </c>
      <c r="L31" s="228">
        <v>0</v>
      </c>
      <c r="M31" s="228">
        <v>0</v>
      </c>
      <c r="N31" s="228">
        <v>0</v>
      </c>
      <c r="O31" s="228">
        <v>30</v>
      </c>
      <c r="P31" s="228">
        <v>0</v>
      </c>
      <c r="Q31" s="228">
        <v>0</v>
      </c>
      <c r="R31" s="228">
        <v>0</v>
      </c>
      <c r="S31" s="228"/>
      <c r="T31" s="228">
        <v>3600</v>
      </c>
      <c r="U31" s="228">
        <v>1200</v>
      </c>
      <c r="V31" s="228">
        <v>0</v>
      </c>
      <c r="W31" s="228"/>
      <c r="X31" s="228" t="e">
        <f>C31*商品!S47+D31*商品!#REF!+E31*商品!#REF!+F31*商品!L47+G31*商品!G24+H31*商品!#REF!</f>
        <v>#REF!</v>
      </c>
      <c r="Y31" s="228">
        <f>O31*商品!U33</f>
        <v>0</v>
      </c>
      <c r="Z31" s="228" t="e">
        <f t="shared" si="5"/>
        <v>#REF!</v>
      </c>
      <c r="AA31" s="228" t="e">
        <f t="shared" si="3"/>
        <v>#REF!</v>
      </c>
      <c r="AB31" s="232" t="e">
        <f t="shared" si="4"/>
        <v>#REF!</v>
      </c>
    </row>
    <row r="32" spans="1:28">
      <c r="A32" s="228" t="s">
        <v>342</v>
      </c>
      <c r="B32" s="228"/>
      <c r="C32" s="228">
        <v>20</v>
      </c>
      <c r="D32" s="228">
        <v>10</v>
      </c>
      <c r="E32" s="228">
        <v>0</v>
      </c>
      <c r="F32" s="228">
        <v>0</v>
      </c>
      <c r="G32" s="228">
        <v>0</v>
      </c>
      <c r="H32" s="228">
        <v>0</v>
      </c>
      <c r="I32" s="228"/>
      <c r="J32" s="228">
        <v>0</v>
      </c>
      <c r="K32" s="228">
        <v>0</v>
      </c>
      <c r="L32" s="228">
        <v>0</v>
      </c>
      <c r="M32" s="228">
        <v>0</v>
      </c>
      <c r="N32" s="228">
        <v>0</v>
      </c>
      <c r="O32" s="228">
        <v>50</v>
      </c>
      <c r="P32" s="228">
        <v>0</v>
      </c>
      <c r="Q32" s="228">
        <v>0</v>
      </c>
      <c r="R32" s="228">
        <v>0</v>
      </c>
      <c r="S32" s="228"/>
      <c r="T32" s="228">
        <v>3200</v>
      </c>
      <c r="U32" s="228">
        <v>1600</v>
      </c>
      <c r="V32" s="228">
        <v>0</v>
      </c>
      <c r="W32" s="228"/>
      <c r="X32" s="228" t="e">
        <f>C32*商品!S48+D32*商品!#REF!+E32*商品!#REF!+F32*商品!L48+G32*商品!#REF!+H32*商品!#REF!</f>
        <v>#REF!</v>
      </c>
      <c r="Y32" s="228">
        <f>O32*商品!U34</f>
        <v>0</v>
      </c>
      <c r="Z32" s="228" t="e">
        <f t="shared" si="5"/>
        <v>#REF!</v>
      </c>
      <c r="AA32" s="228" t="e">
        <f t="shared" si="3"/>
        <v>#REF!</v>
      </c>
      <c r="AB32" s="232" t="e">
        <f t="shared" si="4"/>
        <v>#REF!</v>
      </c>
    </row>
    <row r="33" spans="1:28">
      <c r="A33" s="228" t="s">
        <v>369</v>
      </c>
      <c r="B33" s="228"/>
      <c r="C33" s="228">
        <v>30</v>
      </c>
      <c r="D33" s="228">
        <v>15</v>
      </c>
      <c r="E33" s="228">
        <v>0</v>
      </c>
      <c r="F33" s="228">
        <v>0</v>
      </c>
      <c r="G33" s="228">
        <v>0</v>
      </c>
      <c r="H33" s="228">
        <v>0</v>
      </c>
      <c r="I33" s="228"/>
      <c r="J33" s="228">
        <v>0</v>
      </c>
      <c r="K33" s="228">
        <v>0</v>
      </c>
      <c r="L33" s="228">
        <v>0</v>
      </c>
      <c r="M33" s="228">
        <v>0</v>
      </c>
      <c r="N33" s="228">
        <v>0</v>
      </c>
      <c r="O33" s="228">
        <v>80</v>
      </c>
      <c r="P33" s="228">
        <v>0</v>
      </c>
      <c r="Q33" s="228">
        <v>0</v>
      </c>
      <c r="R33" s="228">
        <v>0</v>
      </c>
      <c r="S33" s="228"/>
      <c r="T33" s="228">
        <v>3000</v>
      </c>
      <c r="U33" s="228">
        <v>1800</v>
      </c>
      <c r="V33" s="228">
        <v>0</v>
      </c>
      <c r="W33" s="228"/>
      <c r="X33" s="228" t="e">
        <f>C33*商品!S49+D33*商品!#REF!+E33*商品!#REF!+F33*商品!L49+G33*商品!#REF!+H33*商品!#REF!</f>
        <v>#REF!</v>
      </c>
      <c r="Y33" s="228">
        <f>O33*商品!U36</f>
        <v>0</v>
      </c>
      <c r="Z33" s="228" t="e">
        <f t="shared" si="5"/>
        <v>#REF!</v>
      </c>
      <c r="AA33" s="228" t="e">
        <f t="shared" si="3"/>
        <v>#REF!</v>
      </c>
      <c r="AB33" s="232" t="e">
        <f t="shared" si="4"/>
        <v>#REF!</v>
      </c>
    </row>
    <row r="34" spans="1:28">
      <c r="A34" s="228" t="s">
        <v>344</v>
      </c>
      <c r="B34" s="228"/>
      <c r="C34" s="228">
        <v>0</v>
      </c>
      <c r="D34" s="228">
        <v>0</v>
      </c>
      <c r="E34" s="228">
        <v>0</v>
      </c>
      <c r="F34" s="228">
        <v>0</v>
      </c>
      <c r="G34" s="228">
        <v>0</v>
      </c>
      <c r="H34" s="228">
        <v>4</v>
      </c>
      <c r="I34" s="228"/>
      <c r="J34" s="228">
        <v>0</v>
      </c>
      <c r="K34" s="228">
        <v>0</v>
      </c>
      <c r="L34" s="228">
        <v>0</v>
      </c>
      <c r="M34" s="228">
        <v>0</v>
      </c>
      <c r="N34" s="228">
        <v>0</v>
      </c>
      <c r="O34" s="228">
        <v>10</v>
      </c>
      <c r="P34" s="228">
        <v>0</v>
      </c>
      <c r="Q34" s="228">
        <v>0</v>
      </c>
      <c r="R34" s="228">
        <v>0</v>
      </c>
      <c r="S34" s="228"/>
      <c r="T34" s="228">
        <v>0</v>
      </c>
      <c r="U34" s="228">
        <v>0</v>
      </c>
      <c r="V34" s="228">
        <v>150</v>
      </c>
      <c r="W34" s="228"/>
      <c r="X34" s="228" t="e">
        <f>C34*商品!S50+D34*商品!#REF!+E34*商品!#REF!+F34*商品!L50+G34*商品!#REF!+H34*商品!#REF!</f>
        <v>#REF!</v>
      </c>
      <c r="Y34" s="228" t="e">
        <f>O34*商品!#REF!</f>
        <v>#REF!</v>
      </c>
      <c r="Z34" s="228" t="e">
        <f t="shared" si="5"/>
        <v>#REF!</v>
      </c>
      <c r="AA34" s="228" t="e">
        <f t="shared" si="3"/>
        <v>#REF!</v>
      </c>
      <c r="AB34" s="232" t="e">
        <f t="shared" si="4"/>
        <v>#REF!</v>
      </c>
    </row>
    <row r="35" spans="1:28">
      <c r="A35" s="228" t="s">
        <v>345</v>
      </c>
      <c r="B35" s="228"/>
      <c r="C35" s="228">
        <v>0</v>
      </c>
      <c r="D35" s="228">
        <v>0</v>
      </c>
      <c r="E35" s="228">
        <v>0</v>
      </c>
      <c r="F35" s="228">
        <v>0</v>
      </c>
      <c r="G35" s="228">
        <v>0</v>
      </c>
      <c r="H35" s="228">
        <v>10</v>
      </c>
      <c r="I35" s="228"/>
      <c r="J35" s="228">
        <v>0</v>
      </c>
      <c r="K35" s="228">
        <v>0</v>
      </c>
      <c r="L35" s="228">
        <v>0</v>
      </c>
      <c r="M35" s="228">
        <v>0</v>
      </c>
      <c r="N35" s="228">
        <v>0</v>
      </c>
      <c r="O35" s="228">
        <v>25</v>
      </c>
      <c r="P35" s="228">
        <v>0</v>
      </c>
      <c r="Q35" s="228">
        <v>0</v>
      </c>
      <c r="R35" s="228">
        <v>0</v>
      </c>
      <c r="S35" s="228"/>
      <c r="T35" s="228">
        <v>0</v>
      </c>
      <c r="U35" s="228">
        <v>0</v>
      </c>
      <c r="V35" s="228">
        <v>250</v>
      </c>
      <c r="W35" s="228"/>
      <c r="X35" s="228" t="e">
        <f>C35*商品!S51+D35*商品!#REF!+E35*商品!#REF!+F35*商品!L51+G35*商品!#REF!+H35*商品!#REF!</f>
        <v>#REF!</v>
      </c>
      <c r="Y35" s="228">
        <f>O35*商品!U37</f>
        <v>0</v>
      </c>
      <c r="Z35" s="228" t="e">
        <f t="shared" si="5"/>
        <v>#REF!</v>
      </c>
      <c r="AA35" s="228" t="e">
        <f t="shared" si="3"/>
        <v>#REF!</v>
      </c>
      <c r="AB35" s="232" t="e">
        <f t="shared" si="4"/>
        <v>#REF!</v>
      </c>
    </row>
    <row r="36" spans="1:28">
      <c r="A36" s="228" t="s">
        <v>346</v>
      </c>
      <c r="B36" s="228"/>
      <c r="C36" s="228">
        <v>0</v>
      </c>
      <c r="D36" s="228">
        <v>0</v>
      </c>
      <c r="E36" s="228">
        <v>0</v>
      </c>
      <c r="F36" s="228">
        <v>0</v>
      </c>
      <c r="G36" s="228">
        <v>0</v>
      </c>
      <c r="H36" s="228">
        <v>15</v>
      </c>
      <c r="I36" s="228"/>
      <c r="J36" s="228">
        <v>0</v>
      </c>
      <c r="K36" s="228">
        <v>0</v>
      </c>
      <c r="L36" s="228">
        <v>0</v>
      </c>
      <c r="M36" s="228">
        <v>0</v>
      </c>
      <c r="N36" s="228">
        <v>0</v>
      </c>
      <c r="O36" s="228">
        <v>40</v>
      </c>
      <c r="P36" s="228">
        <v>0</v>
      </c>
      <c r="Q36" s="228">
        <v>0</v>
      </c>
      <c r="R36" s="228">
        <v>0</v>
      </c>
      <c r="S36" s="228"/>
      <c r="T36" s="228">
        <v>0</v>
      </c>
      <c r="U36" s="228">
        <v>0</v>
      </c>
      <c r="V36" s="228">
        <v>350</v>
      </c>
      <c r="W36" s="228"/>
      <c r="X36" s="228" t="e">
        <f>C36*商品!S52+D36*商品!#REF!+E36*商品!#REF!+F36*商品!L52+G36*商品!#REF!+H36*商品!#REF!</f>
        <v>#REF!</v>
      </c>
      <c r="Y36" s="228">
        <f>O36*商品!U38</f>
        <v>0</v>
      </c>
      <c r="Z36" s="228" t="e">
        <f t="shared" si="5"/>
        <v>#REF!</v>
      </c>
      <c r="AA36" s="228" t="e">
        <f t="shared" si="3"/>
        <v>#REF!</v>
      </c>
      <c r="AB36" s="232" t="e">
        <f t="shared" si="4"/>
        <v>#REF!</v>
      </c>
    </row>
    <row r="37" spans="1:28">
      <c r="A37" s="229" t="s">
        <v>374</v>
      </c>
      <c r="B37" s="230"/>
      <c r="C37" s="230">
        <v>0</v>
      </c>
      <c r="D37" s="230">
        <v>5</v>
      </c>
      <c r="E37" s="230">
        <v>0</v>
      </c>
      <c r="F37" s="230">
        <v>0</v>
      </c>
      <c r="G37" s="230">
        <v>0</v>
      </c>
      <c r="H37" s="230">
        <v>0</v>
      </c>
      <c r="I37" s="230"/>
      <c r="J37" s="230">
        <v>0</v>
      </c>
      <c r="K37" s="230">
        <v>0</v>
      </c>
      <c r="L37" s="230">
        <v>0</v>
      </c>
      <c r="M37" s="230">
        <v>0</v>
      </c>
      <c r="N37" s="230">
        <v>0</v>
      </c>
      <c r="O37" s="230">
        <v>0</v>
      </c>
      <c r="P37" s="230">
        <v>0</v>
      </c>
      <c r="Q37" s="230">
        <v>10</v>
      </c>
      <c r="R37" s="230">
        <v>0</v>
      </c>
      <c r="S37" s="230"/>
      <c r="T37" s="230">
        <v>4000</v>
      </c>
      <c r="U37" s="230">
        <v>800</v>
      </c>
      <c r="V37" s="230">
        <v>0</v>
      </c>
      <c r="W37" s="230"/>
      <c r="X37" s="230" t="e">
        <f>C37*商品!S53+D37*商品!#REF!+E37*商品!#REF!+F37*商品!L53+G37*商品!#REF!+H37*商品!#REF!</f>
        <v>#REF!</v>
      </c>
      <c r="Y37" s="230">
        <f>Q37*商品!J10</f>
        <v>300</v>
      </c>
      <c r="Z37" s="230" t="e">
        <f t="shared" si="5"/>
        <v>#REF!</v>
      </c>
      <c r="AA37" s="230" t="e">
        <f t="shared" si="3"/>
        <v>#REF!</v>
      </c>
      <c r="AB37" s="233" t="e">
        <f t="shared" si="4"/>
        <v>#REF!</v>
      </c>
    </row>
    <row r="38" spans="1:28">
      <c r="A38" s="230" t="s">
        <v>341</v>
      </c>
      <c r="B38" s="230"/>
      <c r="C38" s="230">
        <v>5</v>
      </c>
      <c r="D38" s="230">
        <v>5</v>
      </c>
      <c r="E38" s="230">
        <v>0</v>
      </c>
      <c r="F38" s="230">
        <v>0</v>
      </c>
      <c r="G38" s="230">
        <v>0</v>
      </c>
      <c r="H38" s="230">
        <v>0</v>
      </c>
      <c r="I38" s="230"/>
      <c r="J38" s="230">
        <v>0</v>
      </c>
      <c r="K38" s="230">
        <v>0</v>
      </c>
      <c r="L38" s="230">
        <v>0</v>
      </c>
      <c r="M38" s="230">
        <v>0</v>
      </c>
      <c r="N38" s="230">
        <v>0</v>
      </c>
      <c r="O38" s="230">
        <v>0</v>
      </c>
      <c r="P38" s="230">
        <v>0</v>
      </c>
      <c r="Q38" s="230">
        <v>20</v>
      </c>
      <c r="R38" s="230">
        <v>0</v>
      </c>
      <c r="S38" s="230"/>
      <c r="T38" s="230">
        <v>3600</v>
      </c>
      <c r="U38" s="230">
        <v>1200</v>
      </c>
      <c r="V38" s="230">
        <v>0</v>
      </c>
      <c r="W38" s="230"/>
      <c r="X38" s="230" t="e">
        <f>C38*商品!S54+D38*商品!#REF!+E38*商品!#REF!+F38*商品!L54+G38*商品!#REF!+H38*商品!#REF!</f>
        <v>#REF!</v>
      </c>
      <c r="Y38" s="230" t="e">
        <f>Q38*商品!#REF!</f>
        <v>#REF!</v>
      </c>
      <c r="Z38" s="230" t="e">
        <f t="shared" si="5"/>
        <v>#REF!</v>
      </c>
      <c r="AA38" s="230" t="e">
        <f t="shared" si="3"/>
        <v>#REF!</v>
      </c>
      <c r="AB38" s="233" t="e">
        <f t="shared" si="4"/>
        <v>#REF!</v>
      </c>
    </row>
    <row r="39" spans="1:28">
      <c r="A39" s="230" t="s">
        <v>342</v>
      </c>
      <c r="B39" s="230"/>
      <c r="C39" s="230">
        <v>10</v>
      </c>
      <c r="D39" s="230">
        <v>10</v>
      </c>
      <c r="E39" s="230">
        <v>0</v>
      </c>
      <c r="F39" s="230">
        <v>0</v>
      </c>
      <c r="G39" s="230">
        <v>0</v>
      </c>
      <c r="H39" s="230">
        <v>0</v>
      </c>
      <c r="I39" s="230"/>
      <c r="J39" s="230">
        <v>0</v>
      </c>
      <c r="K39" s="230">
        <v>0</v>
      </c>
      <c r="L39" s="230">
        <v>0</v>
      </c>
      <c r="M39" s="230">
        <v>0</v>
      </c>
      <c r="N39" s="230">
        <v>0</v>
      </c>
      <c r="O39" s="230">
        <v>0</v>
      </c>
      <c r="P39" s="230">
        <v>0</v>
      </c>
      <c r="Q39" s="230">
        <v>40</v>
      </c>
      <c r="R39" s="230">
        <v>0</v>
      </c>
      <c r="S39" s="230"/>
      <c r="T39" s="230">
        <v>3200</v>
      </c>
      <c r="U39" s="230">
        <v>1600</v>
      </c>
      <c r="V39" s="230">
        <v>0</v>
      </c>
      <c r="W39" s="230"/>
      <c r="X39" s="230" t="e">
        <f>C39*商品!S55+D39*商品!#REF!+E39*商品!#REF!+F39*商品!L55+G39*商品!#REF!+H39*商品!#REF!</f>
        <v>#REF!</v>
      </c>
      <c r="Y39" s="230" t="e">
        <f>Q39*商品!#REF!</f>
        <v>#REF!</v>
      </c>
      <c r="Z39" s="230" t="e">
        <f t="shared" si="5"/>
        <v>#REF!</v>
      </c>
      <c r="AA39" s="230" t="e">
        <f t="shared" si="3"/>
        <v>#REF!</v>
      </c>
      <c r="AB39" s="233" t="e">
        <f t="shared" si="4"/>
        <v>#REF!</v>
      </c>
    </row>
    <row r="40" spans="1:28">
      <c r="A40" s="230" t="s">
        <v>369</v>
      </c>
      <c r="B40" s="230"/>
      <c r="C40" s="230">
        <v>15</v>
      </c>
      <c r="D40" s="230">
        <v>15</v>
      </c>
      <c r="E40" s="230">
        <v>0</v>
      </c>
      <c r="F40" s="230">
        <v>0</v>
      </c>
      <c r="G40" s="230">
        <v>0</v>
      </c>
      <c r="H40" s="230">
        <v>0</v>
      </c>
      <c r="I40" s="230"/>
      <c r="J40" s="230">
        <v>0</v>
      </c>
      <c r="K40" s="230">
        <v>0</v>
      </c>
      <c r="L40" s="230">
        <v>0</v>
      </c>
      <c r="M40" s="230">
        <v>0</v>
      </c>
      <c r="N40" s="230">
        <v>0</v>
      </c>
      <c r="O40" s="230">
        <v>0</v>
      </c>
      <c r="P40" s="230">
        <v>0</v>
      </c>
      <c r="Q40" s="230">
        <v>60</v>
      </c>
      <c r="R40" s="230">
        <v>0</v>
      </c>
      <c r="S40" s="230"/>
      <c r="T40" s="230">
        <v>3000</v>
      </c>
      <c r="U40" s="230">
        <v>1800</v>
      </c>
      <c r="V40" s="230">
        <v>0</v>
      </c>
      <c r="W40" s="230"/>
      <c r="X40" s="230" t="e">
        <f>C40*商品!S56+D40*商品!#REF!+E40*商品!#REF!+F40*商品!L56+G40*商品!#REF!+H40*商品!#REF!</f>
        <v>#REF!</v>
      </c>
      <c r="Y40" s="230">
        <f>Q40*商品!P35</f>
        <v>0</v>
      </c>
      <c r="Z40" s="230" t="e">
        <f t="shared" si="5"/>
        <v>#REF!</v>
      </c>
      <c r="AA40" s="230" t="e">
        <f t="shared" si="3"/>
        <v>#REF!</v>
      </c>
      <c r="AB40" s="233" t="e">
        <f t="shared" si="4"/>
        <v>#REF!</v>
      </c>
    </row>
    <row r="41" spans="1:28">
      <c r="A41" s="230" t="s">
        <v>344</v>
      </c>
      <c r="B41" s="230"/>
      <c r="C41" s="230">
        <v>0</v>
      </c>
      <c r="D41" s="230">
        <v>0</v>
      </c>
      <c r="E41" s="230">
        <v>0</v>
      </c>
      <c r="F41" s="230">
        <v>0</v>
      </c>
      <c r="G41" s="230">
        <v>0</v>
      </c>
      <c r="H41" s="230">
        <v>5</v>
      </c>
      <c r="I41" s="230"/>
      <c r="J41" s="230">
        <v>0</v>
      </c>
      <c r="K41" s="230">
        <v>0</v>
      </c>
      <c r="L41" s="230">
        <v>0</v>
      </c>
      <c r="M41" s="230">
        <v>0</v>
      </c>
      <c r="N41" s="230">
        <v>0</v>
      </c>
      <c r="O41" s="230">
        <v>0</v>
      </c>
      <c r="P41" s="230">
        <v>0</v>
      </c>
      <c r="Q41" s="230">
        <v>15</v>
      </c>
      <c r="R41" s="230">
        <v>0</v>
      </c>
      <c r="S41" s="230"/>
      <c r="T41" s="230">
        <v>0</v>
      </c>
      <c r="U41" s="230">
        <v>0</v>
      </c>
      <c r="V41" s="230">
        <v>150</v>
      </c>
      <c r="W41" s="230"/>
      <c r="X41" s="230" t="e">
        <f>C41*商品!N36+D41*商品!#REF!+H41*商品!#REF!</f>
        <v>#REF!</v>
      </c>
      <c r="Y41" s="230">
        <f>Q41*商品!P36</f>
        <v>0</v>
      </c>
      <c r="Z41" s="230" t="e">
        <f t="shared" si="5"/>
        <v>#REF!</v>
      </c>
      <c r="AA41" s="230" t="e">
        <f t="shared" si="3"/>
        <v>#REF!</v>
      </c>
      <c r="AB41" s="233" t="e">
        <f t="shared" si="4"/>
        <v>#REF!</v>
      </c>
    </row>
    <row r="42" spans="1:28">
      <c r="A42" s="230" t="s">
        <v>345</v>
      </c>
      <c r="B42" s="230"/>
      <c r="C42" s="230">
        <v>0</v>
      </c>
      <c r="D42" s="230">
        <v>0</v>
      </c>
      <c r="E42" s="230">
        <v>0</v>
      </c>
      <c r="F42" s="230">
        <v>0</v>
      </c>
      <c r="G42" s="230">
        <v>0</v>
      </c>
      <c r="H42" s="230">
        <v>10</v>
      </c>
      <c r="I42" s="230"/>
      <c r="J42" s="230">
        <v>0</v>
      </c>
      <c r="K42" s="230">
        <v>0</v>
      </c>
      <c r="L42" s="230">
        <v>0</v>
      </c>
      <c r="M42" s="230">
        <v>0</v>
      </c>
      <c r="N42" s="230">
        <v>0</v>
      </c>
      <c r="O42" s="230">
        <v>0</v>
      </c>
      <c r="P42" s="230">
        <v>0</v>
      </c>
      <c r="Q42" s="230">
        <v>30</v>
      </c>
      <c r="R42" s="230">
        <v>0</v>
      </c>
      <c r="S42" s="230"/>
      <c r="T42" s="230">
        <v>0</v>
      </c>
      <c r="U42" s="230">
        <v>0</v>
      </c>
      <c r="V42" s="230">
        <v>250</v>
      </c>
      <c r="W42" s="230"/>
      <c r="X42" s="230" t="e">
        <f>C42*商品!N37+D42*商品!#REF!+H42*商品!#REF!</f>
        <v>#REF!</v>
      </c>
      <c r="Y42" s="230">
        <f>Q42*商品!P37</f>
        <v>0</v>
      </c>
      <c r="Z42" s="230" t="e">
        <f t="shared" si="5"/>
        <v>#REF!</v>
      </c>
      <c r="AA42" s="230" t="e">
        <f t="shared" si="3"/>
        <v>#REF!</v>
      </c>
      <c r="AB42" s="233" t="e">
        <f t="shared" si="4"/>
        <v>#REF!</v>
      </c>
    </row>
    <row r="43" spans="1:28">
      <c r="A43" s="230" t="s">
        <v>346</v>
      </c>
      <c r="B43" s="230"/>
      <c r="C43" s="230">
        <v>0</v>
      </c>
      <c r="D43" s="230">
        <v>0</v>
      </c>
      <c r="E43" s="230">
        <v>0</v>
      </c>
      <c r="F43" s="230">
        <v>0</v>
      </c>
      <c r="G43" s="230">
        <v>0</v>
      </c>
      <c r="H43" s="230">
        <v>15</v>
      </c>
      <c r="I43" s="230"/>
      <c r="J43" s="230">
        <v>0</v>
      </c>
      <c r="K43" s="230">
        <v>0</v>
      </c>
      <c r="L43" s="230">
        <v>0</v>
      </c>
      <c r="M43" s="230">
        <v>0</v>
      </c>
      <c r="N43" s="230">
        <v>0</v>
      </c>
      <c r="O43" s="230">
        <v>0</v>
      </c>
      <c r="P43" s="230">
        <v>0</v>
      </c>
      <c r="Q43" s="230">
        <v>50</v>
      </c>
      <c r="R43" s="230">
        <v>0</v>
      </c>
      <c r="S43" s="230"/>
      <c r="T43" s="230">
        <v>0</v>
      </c>
      <c r="U43" s="230">
        <v>0</v>
      </c>
      <c r="V43" s="230">
        <v>350</v>
      </c>
      <c r="W43" s="230"/>
      <c r="X43" s="230" t="e">
        <f>C43*商品!N38+D43*商品!#REF!+H43*商品!#REF!</f>
        <v>#REF!</v>
      </c>
      <c r="Y43" s="230">
        <f>Q43*商品!P38</f>
        <v>0</v>
      </c>
      <c r="Z43" s="230" t="e">
        <f t="shared" si="5"/>
        <v>#REF!</v>
      </c>
      <c r="AA43" s="230" t="e">
        <f t="shared" si="3"/>
        <v>#REF!</v>
      </c>
      <c r="AB43" s="233" t="e">
        <f t="shared" si="4"/>
        <v>#REF!</v>
      </c>
    </row>
    <row r="44" spans="1:28">
      <c r="A44" s="227" t="s">
        <v>375</v>
      </c>
      <c r="B44" s="228"/>
      <c r="C44" s="228">
        <v>0</v>
      </c>
      <c r="D44" s="228">
        <v>5</v>
      </c>
      <c r="E44" s="228">
        <v>0</v>
      </c>
      <c r="F44" s="228">
        <v>0</v>
      </c>
      <c r="G44" s="228">
        <v>0</v>
      </c>
      <c r="H44" s="228">
        <v>0</v>
      </c>
      <c r="I44" s="228"/>
      <c r="J44" s="228">
        <v>0</v>
      </c>
      <c r="K44" s="228">
        <v>0</v>
      </c>
      <c r="L44" s="228">
        <v>0</v>
      </c>
      <c r="M44" s="228">
        <v>0</v>
      </c>
      <c r="N44" s="228">
        <v>0</v>
      </c>
      <c r="O44" s="228">
        <v>0</v>
      </c>
      <c r="P44" s="228">
        <v>10</v>
      </c>
      <c r="Q44" s="228">
        <v>0</v>
      </c>
      <c r="R44" s="228">
        <v>0</v>
      </c>
      <c r="S44" s="228"/>
      <c r="T44" s="228">
        <v>4000</v>
      </c>
      <c r="U44" s="228">
        <v>800</v>
      </c>
      <c r="V44" s="228">
        <v>0</v>
      </c>
      <c r="W44" s="228"/>
      <c r="X44" s="228" t="e">
        <f>C44*商品!N39+D44*商品!#REF!+H44*商品!#REF!</f>
        <v>#REF!</v>
      </c>
      <c r="Y44" s="228">
        <f>P44*商品!K10</f>
        <v>300</v>
      </c>
      <c r="Z44" s="228" t="e">
        <f t="shared" si="5"/>
        <v>#REF!</v>
      </c>
      <c r="AA44" s="228" t="e">
        <f t="shared" si="3"/>
        <v>#REF!</v>
      </c>
      <c r="AB44" s="232" t="e">
        <f t="shared" si="4"/>
        <v>#REF!</v>
      </c>
    </row>
    <row r="45" spans="1:28">
      <c r="A45" s="228" t="s">
        <v>341</v>
      </c>
      <c r="B45" s="228"/>
      <c r="C45" s="228">
        <v>15</v>
      </c>
      <c r="D45" s="228">
        <v>5</v>
      </c>
      <c r="E45" s="228">
        <v>0</v>
      </c>
      <c r="F45" s="228">
        <v>0</v>
      </c>
      <c r="G45" s="228">
        <v>0</v>
      </c>
      <c r="H45" s="228">
        <v>0</v>
      </c>
      <c r="I45" s="228"/>
      <c r="J45" s="228">
        <v>0</v>
      </c>
      <c r="K45" s="228">
        <v>0</v>
      </c>
      <c r="L45" s="228">
        <v>0</v>
      </c>
      <c r="M45" s="228">
        <v>0</v>
      </c>
      <c r="N45" s="228">
        <v>0</v>
      </c>
      <c r="O45" s="228">
        <v>0</v>
      </c>
      <c r="P45" s="228">
        <v>30</v>
      </c>
      <c r="Q45" s="228">
        <v>0</v>
      </c>
      <c r="R45" s="228">
        <v>0</v>
      </c>
      <c r="S45" s="228"/>
      <c r="T45" s="228">
        <v>3600</v>
      </c>
      <c r="U45" s="228">
        <v>1200</v>
      </c>
      <c r="V45" s="228">
        <v>0</v>
      </c>
      <c r="W45" s="228"/>
      <c r="X45" s="228" t="e">
        <f>C45*商品!N40+D45*商品!#REF!+H45*商品!#REF!</f>
        <v>#REF!</v>
      </c>
      <c r="Y45" s="228" t="e">
        <f>P45*商品!#REF!</f>
        <v>#REF!</v>
      </c>
      <c r="Z45" s="228" t="e">
        <f t="shared" si="5"/>
        <v>#REF!</v>
      </c>
      <c r="AA45" s="228" t="e">
        <f t="shared" si="3"/>
        <v>#REF!</v>
      </c>
      <c r="AB45" s="232" t="e">
        <f t="shared" si="4"/>
        <v>#REF!</v>
      </c>
    </row>
    <row r="46" spans="1:28">
      <c r="A46" s="228" t="s">
        <v>342</v>
      </c>
      <c r="B46" s="228"/>
      <c r="C46" s="228">
        <v>25</v>
      </c>
      <c r="D46" s="228">
        <v>10</v>
      </c>
      <c r="E46" s="228">
        <v>0</v>
      </c>
      <c r="F46" s="228">
        <v>0</v>
      </c>
      <c r="G46" s="228">
        <v>0</v>
      </c>
      <c r="H46" s="228">
        <v>0</v>
      </c>
      <c r="I46" s="228"/>
      <c r="J46" s="228">
        <v>0</v>
      </c>
      <c r="K46" s="228">
        <v>0</v>
      </c>
      <c r="L46" s="228">
        <v>0</v>
      </c>
      <c r="M46" s="228">
        <v>0</v>
      </c>
      <c r="N46" s="228">
        <v>0</v>
      </c>
      <c r="O46" s="228">
        <v>0</v>
      </c>
      <c r="P46" s="228">
        <v>45</v>
      </c>
      <c r="Q46" s="228">
        <v>0</v>
      </c>
      <c r="R46" s="228">
        <v>0</v>
      </c>
      <c r="S46" s="228"/>
      <c r="T46" s="228">
        <v>3200</v>
      </c>
      <c r="U46" s="228">
        <v>1600</v>
      </c>
      <c r="V46" s="228">
        <v>0</v>
      </c>
      <c r="W46" s="228"/>
      <c r="X46" s="228" t="e">
        <f>C46*商品!N41+D46*商品!#REF!+H46*商品!#REF!</f>
        <v>#REF!</v>
      </c>
      <c r="Y46" s="228" t="e">
        <f>P46*商品!#REF!</f>
        <v>#REF!</v>
      </c>
      <c r="Z46" s="228" t="e">
        <f t="shared" si="5"/>
        <v>#REF!</v>
      </c>
      <c r="AA46" s="228" t="e">
        <f t="shared" si="3"/>
        <v>#REF!</v>
      </c>
      <c r="AB46" s="232" t="e">
        <f t="shared" si="4"/>
        <v>#REF!</v>
      </c>
    </row>
    <row r="47" spans="1:28">
      <c r="A47" s="228" t="s">
        <v>369</v>
      </c>
      <c r="B47" s="228"/>
      <c r="C47" s="228">
        <v>35</v>
      </c>
      <c r="D47" s="228">
        <v>15</v>
      </c>
      <c r="E47" s="228">
        <v>0</v>
      </c>
      <c r="F47" s="228">
        <v>0</v>
      </c>
      <c r="G47" s="228">
        <v>0</v>
      </c>
      <c r="H47" s="228">
        <v>0</v>
      </c>
      <c r="I47" s="228"/>
      <c r="J47" s="228">
        <v>0</v>
      </c>
      <c r="K47" s="228">
        <v>0</v>
      </c>
      <c r="L47" s="228">
        <v>0</v>
      </c>
      <c r="M47" s="228">
        <v>0</v>
      </c>
      <c r="N47" s="228">
        <v>0</v>
      </c>
      <c r="O47" s="228">
        <v>0</v>
      </c>
      <c r="P47" s="228">
        <v>60</v>
      </c>
      <c r="Q47" s="228">
        <v>0</v>
      </c>
      <c r="R47" s="228">
        <v>0</v>
      </c>
      <c r="S47" s="228"/>
      <c r="T47" s="228">
        <v>3000</v>
      </c>
      <c r="U47" s="228">
        <v>1800</v>
      </c>
      <c r="V47" s="228">
        <v>0</v>
      </c>
      <c r="W47" s="228"/>
      <c r="X47" s="228" t="e">
        <f>C47*商品!N42+D47*商品!#REF!+H47*商品!#REF!</f>
        <v>#REF!</v>
      </c>
      <c r="Y47" s="228" t="e">
        <f>P47*商品!#REF!</f>
        <v>#REF!</v>
      </c>
      <c r="Z47" s="228" t="e">
        <f t="shared" si="5"/>
        <v>#REF!</v>
      </c>
      <c r="AA47" s="228" t="e">
        <f t="shared" si="3"/>
        <v>#REF!</v>
      </c>
      <c r="AB47" s="232" t="e">
        <f t="shared" si="4"/>
        <v>#REF!</v>
      </c>
    </row>
    <row r="48" spans="1:28">
      <c r="A48" s="228" t="s">
        <v>344</v>
      </c>
      <c r="B48" s="228"/>
      <c r="C48" s="228">
        <v>0</v>
      </c>
      <c r="D48" s="228">
        <v>0</v>
      </c>
      <c r="E48" s="228">
        <v>0</v>
      </c>
      <c r="F48" s="228">
        <v>0</v>
      </c>
      <c r="G48" s="228">
        <v>0</v>
      </c>
      <c r="H48" s="228">
        <v>5</v>
      </c>
      <c r="I48" s="228"/>
      <c r="J48" s="228">
        <v>0</v>
      </c>
      <c r="K48" s="228">
        <v>0</v>
      </c>
      <c r="L48" s="228">
        <v>0</v>
      </c>
      <c r="M48" s="228">
        <v>0</v>
      </c>
      <c r="N48" s="228">
        <v>0</v>
      </c>
      <c r="O48" s="228">
        <v>0</v>
      </c>
      <c r="P48" s="228">
        <v>15</v>
      </c>
      <c r="Q48" s="228">
        <v>0</v>
      </c>
      <c r="R48" s="228">
        <v>0</v>
      </c>
      <c r="S48" s="228"/>
      <c r="T48" s="228">
        <v>0</v>
      </c>
      <c r="U48" s="228">
        <v>0</v>
      </c>
      <c r="V48" s="228">
        <v>150</v>
      </c>
      <c r="W48" s="228"/>
      <c r="X48" s="228">
        <f>C48*商品!N43+D48*商品!E23+H48*商品!F23</f>
        <v>0</v>
      </c>
      <c r="Y48" s="228" t="e">
        <f>P48*商品!#REF!</f>
        <v>#REF!</v>
      </c>
      <c r="Z48" s="228" t="e">
        <f t="shared" si="5"/>
        <v>#REF!</v>
      </c>
      <c r="AA48" s="228" t="e">
        <f t="shared" si="3"/>
        <v>#REF!</v>
      </c>
      <c r="AB48" s="232" t="e">
        <f t="shared" si="4"/>
        <v>#REF!</v>
      </c>
    </row>
    <row r="49" spans="1:28">
      <c r="A49" s="228" t="s">
        <v>345</v>
      </c>
      <c r="B49" s="228"/>
      <c r="C49" s="228">
        <v>0</v>
      </c>
      <c r="D49" s="228">
        <v>0</v>
      </c>
      <c r="E49" s="228">
        <v>0</v>
      </c>
      <c r="F49" s="228">
        <v>0</v>
      </c>
      <c r="G49" s="228">
        <v>0</v>
      </c>
      <c r="H49" s="228">
        <v>10</v>
      </c>
      <c r="I49" s="228"/>
      <c r="J49" s="228">
        <v>0</v>
      </c>
      <c r="K49" s="228">
        <v>0</v>
      </c>
      <c r="L49" s="228">
        <v>0</v>
      </c>
      <c r="M49" s="228">
        <v>0</v>
      </c>
      <c r="N49" s="228">
        <v>0</v>
      </c>
      <c r="O49" s="228">
        <v>0</v>
      </c>
      <c r="P49" s="228">
        <v>30</v>
      </c>
      <c r="Q49" s="228">
        <v>0</v>
      </c>
      <c r="R49" s="228">
        <v>0</v>
      </c>
      <c r="S49" s="228"/>
      <c r="T49" s="228">
        <v>0</v>
      </c>
      <c r="U49" s="228">
        <v>0</v>
      </c>
      <c r="V49" s="228">
        <v>250</v>
      </c>
      <c r="W49" s="228"/>
      <c r="X49" s="228" t="e">
        <f>C49*商品!N44+D49*商品!#REF!+H49*商品!#REF!</f>
        <v>#REF!</v>
      </c>
      <c r="Y49" s="228" t="e">
        <f>P49*商品!#REF!</f>
        <v>#REF!</v>
      </c>
      <c r="Z49" s="228" t="e">
        <f t="shared" si="5"/>
        <v>#REF!</v>
      </c>
      <c r="AA49" s="228" t="e">
        <f t="shared" si="3"/>
        <v>#REF!</v>
      </c>
      <c r="AB49" s="232" t="e">
        <f t="shared" si="4"/>
        <v>#REF!</v>
      </c>
    </row>
    <row r="50" spans="1:28">
      <c r="A50" s="228" t="s">
        <v>346</v>
      </c>
      <c r="B50" s="228"/>
      <c r="C50" s="228">
        <v>0</v>
      </c>
      <c r="D50" s="228">
        <v>0</v>
      </c>
      <c r="E50" s="228">
        <v>0</v>
      </c>
      <c r="F50" s="228">
        <v>0</v>
      </c>
      <c r="G50" s="228">
        <v>0</v>
      </c>
      <c r="H50" s="228">
        <v>15</v>
      </c>
      <c r="I50" s="228"/>
      <c r="J50" s="228">
        <v>0</v>
      </c>
      <c r="K50" s="228">
        <v>0</v>
      </c>
      <c r="L50" s="228">
        <v>0</v>
      </c>
      <c r="M50" s="228">
        <v>0</v>
      </c>
      <c r="N50" s="228">
        <v>0</v>
      </c>
      <c r="O50" s="228">
        <v>0</v>
      </c>
      <c r="P50" s="228">
        <v>50</v>
      </c>
      <c r="Q50" s="228">
        <v>0</v>
      </c>
      <c r="R50" s="228">
        <v>0</v>
      </c>
      <c r="S50" s="228"/>
      <c r="T50" s="228">
        <v>0</v>
      </c>
      <c r="U50" s="228">
        <v>0</v>
      </c>
      <c r="V50" s="228">
        <v>350</v>
      </c>
      <c r="W50" s="228"/>
      <c r="X50" s="228" t="e">
        <f>C50*商品!N45+D50*商品!#REF!+H50*商品!#REF!</f>
        <v>#REF!</v>
      </c>
      <c r="Y50" s="228" t="e">
        <f>P50*商品!#REF!</f>
        <v>#REF!</v>
      </c>
      <c r="Z50" s="228" t="e">
        <f t="shared" si="5"/>
        <v>#REF!</v>
      </c>
      <c r="AA50" s="228" t="e">
        <f t="shared" si="3"/>
        <v>#REF!</v>
      </c>
      <c r="AB50" s="232" t="e">
        <f t="shared" si="4"/>
        <v>#REF!</v>
      </c>
    </row>
    <row r="51" spans="1:28">
      <c r="A51" s="231" t="s">
        <v>376</v>
      </c>
      <c r="B51" s="230"/>
      <c r="C51" s="230">
        <v>0</v>
      </c>
      <c r="D51" s="230">
        <v>0</v>
      </c>
      <c r="E51" s="230">
        <v>0</v>
      </c>
      <c r="F51" s="230">
        <v>0</v>
      </c>
      <c r="G51" s="230">
        <v>0</v>
      </c>
      <c r="H51" s="230">
        <v>0</v>
      </c>
      <c r="I51" s="230"/>
      <c r="J51" s="230">
        <v>0</v>
      </c>
      <c r="K51" s="230">
        <v>0</v>
      </c>
      <c r="L51" s="230">
        <v>0</v>
      </c>
      <c r="M51" s="230">
        <v>0</v>
      </c>
      <c r="N51" s="230">
        <v>0</v>
      </c>
      <c r="O51" s="230">
        <v>0</v>
      </c>
      <c r="P51" s="230">
        <v>0</v>
      </c>
      <c r="Q51" s="230">
        <v>0</v>
      </c>
      <c r="R51" s="230">
        <v>15</v>
      </c>
      <c r="S51" s="230"/>
      <c r="T51" s="230">
        <v>4000</v>
      </c>
      <c r="U51" s="230">
        <v>800</v>
      </c>
      <c r="V51" s="230">
        <v>0</v>
      </c>
      <c r="W51" s="230"/>
      <c r="X51" s="230">
        <f>C51*商品!N46+D51*商品!E26+H51*商品!F26</f>
        <v>0</v>
      </c>
      <c r="Y51" s="230" t="e">
        <f>R51*商品!#REF!</f>
        <v>#REF!</v>
      </c>
      <c r="Z51" s="230" t="e">
        <f t="shared" si="5"/>
        <v>#REF!</v>
      </c>
      <c r="AA51" s="230" t="e">
        <f t="shared" si="3"/>
        <v>#REF!</v>
      </c>
      <c r="AB51" s="233" t="e">
        <f t="shared" si="4"/>
        <v>#REF!</v>
      </c>
    </row>
    <row r="52" spans="1:28">
      <c r="A52" s="230" t="s">
        <v>341</v>
      </c>
      <c r="B52" s="230"/>
      <c r="C52" s="230">
        <v>15</v>
      </c>
      <c r="D52" s="230">
        <v>10</v>
      </c>
      <c r="E52" s="230">
        <v>0</v>
      </c>
      <c r="F52" s="230">
        <v>0</v>
      </c>
      <c r="G52" s="230">
        <v>0</v>
      </c>
      <c r="H52" s="230">
        <v>0</v>
      </c>
      <c r="I52" s="230"/>
      <c r="J52" s="230">
        <v>0</v>
      </c>
      <c r="K52" s="230">
        <v>0</v>
      </c>
      <c r="L52" s="230">
        <v>0</v>
      </c>
      <c r="M52" s="230">
        <v>0</v>
      </c>
      <c r="N52" s="230">
        <v>0</v>
      </c>
      <c r="O52" s="230">
        <v>0</v>
      </c>
      <c r="P52" s="230">
        <v>0</v>
      </c>
      <c r="Q52" s="230">
        <v>0</v>
      </c>
      <c r="R52" s="230">
        <v>25</v>
      </c>
      <c r="S52" s="230"/>
      <c r="T52" s="230">
        <v>3600</v>
      </c>
      <c r="U52" s="230">
        <v>1200</v>
      </c>
      <c r="V52" s="230">
        <v>0</v>
      </c>
      <c r="W52" s="230"/>
      <c r="X52" s="230" t="e">
        <f>C52*商品!N47+D52*商品!#REF!+H52*商品!#REF!</f>
        <v>#REF!</v>
      </c>
      <c r="Y52" s="230">
        <f>R52*商品!W33</f>
        <v>0</v>
      </c>
      <c r="Z52" s="230" t="e">
        <f t="shared" si="5"/>
        <v>#REF!</v>
      </c>
      <c r="AA52" s="230" t="e">
        <f t="shared" si="3"/>
        <v>#REF!</v>
      </c>
      <c r="AB52" s="233" t="e">
        <f t="shared" si="4"/>
        <v>#REF!</v>
      </c>
    </row>
    <row r="53" spans="1:28">
      <c r="A53" s="230" t="s">
        <v>342</v>
      </c>
      <c r="B53" s="230"/>
      <c r="C53" s="230">
        <v>25</v>
      </c>
      <c r="D53" s="230">
        <v>15</v>
      </c>
      <c r="E53" s="230">
        <v>0</v>
      </c>
      <c r="F53" s="230">
        <v>0</v>
      </c>
      <c r="G53" s="230">
        <v>0</v>
      </c>
      <c r="H53" s="230">
        <v>0</v>
      </c>
      <c r="I53" s="230"/>
      <c r="J53" s="230">
        <v>0</v>
      </c>
      <c r="K53" s="230">
        <v>0</v>
      </c>
      <c r="L53" s="230">
        <v>0</v>
      </c>
      <c r="M53" s="230">
        <v>0</v>
      </c>
      <c r="N53" s="230">
        <v>0</v>
      </c>
      <c r="O53" s="230">
        <v>0</v>
      </c>
      <c r="P53" s="230">
        <v>0</v>
      </c>
      <c r="Q53" s="230">
        <v>0</v>
      </c>
      <c r="R53" s="230">
        <v>45</v>
      </c>
      <c r="S53" s="230"/>
      <c r="T53" s="230">
        <v>3200</v>
      </c>
      <c r="U53" s="230">
        <v>1600</v>
      </c>
      <c r="V53" s="230">
        <v>0</v>
      </c>
      <c r="W53" s="230"/>
      <c r="X53" s="230" t="e">
        <f>C53*商品!N48+D53*商品!#REF!+H53*商品!#REF!</f>
        <v>#REF!</v>
      </c>
      <c r="Y53" s="230">
        <f>R53*商品!W34</f>
        <v>0</v>
      </c>
      <c r="Z53" s="230" t="e">
        <f t="shared" si="5"/>
        <v>#REF!</v>
      </c>
      <c r="AA53" s="230" t="e">
        <f t="shared" si="3"/>
        <v>#REF!</v>
      </c>
      <c r="AB53" s="233" t="e">
        <f t="shared" si="4"/>
        <v>#REF!</v>
      </c>
    </row>
    <row r="54" spans="1:28">
      <c r="A54" s="230" t="s">
        <v>369</v>
      </c>
      <c r="B54" s="230"/>
      <c r="C54" s="230">
        <v>30</v>
      </c>
      <c r="D54" s="230">
        <v>20</v>
      </c>
      <c r="E54" s="230">
        <v>0</v>
      </c>
      <c r="F54" s="230">
        <v>0</v>
      </c>
      <c r="G54" s="230">
        <v>0</v>
      </c>
      <c r="H54" s="230">
        <v>0</v>
      </c>
      <c r="I54" s="230"/>
      <c r="J54" s="230">
        <v>0</v>
      </c>
      <c r="K54" s="230">
        <v>0</v>
      </c>
      <c r="L54" s="230">
        <v>0</v>
      </c>
      <c r="M54" s="230">
        <v>0</v>
      </c>
      <c r="N54" s="230">
        <v>0</v>
      </c>
      <c r="O54" s="230">
        <v>0</v>
      </c>
      <c r="P54" s="230">
        <v>0</v>
      </c>
      <c r="Q54" s="230">
        <v>0</v>
      </c>
      <c r="R54" s="230">
        <v>60</v>
      </c>
      <c r="S54" s="230"/>
      <c r="T54" s="230">
        <v>3000</v>
      </c>
      <c r="U54" s="230">
        <v>1800</v>
      </c>
      <c r="V54" s="230">
        <v>0</v>
      </c>
      <c r="W54" s="230"/>
      <c r="X54" s="230" t="e">
        <f>C54*商品!N49+D54*商品!#REF!+H54*商品!#REF!</f>
        <v>#REF!</v>
      </c>
      <c r="Y54" s="230">
        <f>R54*商品!W35</f>
        <v>0</v>
      </c>
      <c r="Z54" s="230" t="e">
        <f t="shared" si="5"/>
        <v>#REF!</v>
      </c>
      <c r="AA54" s="230" t="e">
        <f t="shared" si="3"/>
        <v>#REF!</v>
      </c>
      <c r="AB54" s="233" t="e">
        <f t="shared" si="4"/>
        <v>#REF!</v>
      </c>
    </row>
    <row r="55" spans="1:28">
      <c r="A55" s="230" t="s">
        <v>344</v>
      </c>
      <c r="B55" s="230"/>
      <c r="C55" s="230">
        <v>0</v>
      </c>
      <c r="D55" s="230">
        <v>0</v>
      </c>
      <c r="E55" s="230">
        <v>0</v>
      </c>
      <c r="F55" s="230">
        <v>0</v>
      </c>
      <c r="G55" s="230">
        <v>0</v>
      </c>
      <c r="H55" s="230">
        <v>6</v>
      </c>
      <c r="I55" s="230"/>
      <c r="J55" s="230">
        <v>0</v>
      </c>
      <c r="K55" s="230">
        <v>0</v>
      </c>
      <c r="L55" s="230">
        <v>0</v>
      </c>
      <c r="M55" s="230">
        <v>0</v>
      </c>
      <c r="N55" s="230">
        <v>0</v>
      </c>
      <c r="O55" s="230">
        <v>0</v>
      </c>
      <c r="P55" s="230">
        <v>0</v>
      </c>
      <c r="Q55" s="230">
        <v>0</v>
      </c>
      <c r="R55" s="230">
        <v>15</v>
      </c>
      <c r="S55" s="230"/>
      <c r="T55" s="230">
        <v>0</v>
      </c>
      <c r="U55" s="230">
        <v>0</v>
      </c>
      <c r="V55" s="230">
        <v>150</v>
      </c>
      <c r="W55" s="230"/>
      <c r="X55" s="230" t="e">
        <f>C55*商品!N50+D55*商品!#REF!+H55*商品!#REF!</f>
        <v>#REF!</v>
      </c>
      <c r="Y55" s="230">
        <f>R55*商品!W36</f>
        <v>0</v>
      </c>
      <c r="Z55" s="230" t="e">
        <f t="shared" si="5"/>
        <v>#REF!</v>
      </c>
      <c r="AA55" s="230" t="e">
        <f t="shared" si="3"/>
        <v>#REF!</v>
      </c>
      <c r="AB55" s="233" t="e">
        <f t="shared" si="4"/>
        <v>#REF!</v>
      </c>
    </row>
    <row r="56" spans="1:28">
      <c r="A56" s="230" t="s">
        <v>345</v>
      </c>
      <c r="B56" s="230"/>
      <c r="C56" s="230">
        <v>0</v>
      </c>
      <c r="D56" s="230">
        <v>0</v>
      </c>
      <c r="E56" s="230">
        <v>0</v>
      </c>
      <c r="F56" s="230">
        <v>0</v>
      </c>
      <c r="G56" s="230">
        <v>0</v>
      </c>
      <c r="H56" s="230">
        <v>12</v>
      </c>
      <c r="I56" s="230"/>
      <c r="J56" s="230">
        <v>0</v>
      </c>
      <c r="K56" s="230">
        <v>0</v>
      </c>
      <c r="L56" s="230">
        <v>0</v>
      </c>
      <c r="M56" s="230">
        <v>0</v>
      </c>
      <c r="N56" s="230">
        <v>0</v>
      </c>
      <c r="O56" s="230">
        <v>0</v>
      </c>
      <c r="P56" s="230">
        <v>0</v>
      </c>
      <c r="Q56" s="230">
        <v>0</v>
      </c>
      <c r="R56" s="230">
        <v>30</v>
      </c>
      <c r="S56" s="230"/>
      <c r="T56" s="230">
        <v>0</v>
      </c>
      <c r="U56" s="230">
        <v>0</v>
      </c>
      <c r="V56" s="230">
        <v>250</v>
      </c>
      <c r="W56" s="230"/>
      <c r="X56" s="230" t="e">
        <f>C56*商品!N51+D56*商品!#REF!+H56*商品!#REF!</f>
        <v>#REF!</v>
      </c>
      <c r="Y56" s="230">
        <f>R56*商品!W37</f>
        <v>0</v>
      </c>
      <c r="Z56" s="230" t="e">
        <f t="shared" si="5"/>
        <v>#REF!</v>
      </c>
      <c r="AA56" s="230" t="e">
        <f t="shared" si="3"/>
        <v>#REF!</v>
      </c>
      <c r="AB56" s="233" t="e">
        <f t="shared" si="4"/>
        <v>#REF!</v>
      </c>
    </row>
    <row r="57" spans="1:28">
      <c r="A57" s="230" t="s">
        <v>346</v>
      </c>
      <c r="B57" s="230"/>
      <c r="C57" s="230">
        <v>0</v>
      </c>
      <c r="D57" s="230">
        <v>0</v>
      </c>
      <c r="E57" s="230">
        <v>0</v>
      </c>
      <c r="F57" s="230">
        <v>0</v>
      </c>
      <c r="G57" s="230">
        <v>0</v>
      </c>
      <c r="H57" s="230">
        <v>18</v>
      </c>
      <c r="I57" s="230"/>
      <c r="J57" s="230">
        <v>0</v>
      </c>
      <c r="K57" s="230">
        <v>0</v>
      </c>
      <c r="L57" s="230">
        <v>0</v>
      </c>
      <c r="M57" s="230">
        <v>0</v>
      </c>
      <c r="N57" s="230">
        <v>0</v>
      </c>
      <c r="O57" s="230">
        <v>0</v>
      </c>
      <c r="P57" s="230">
        <v>0</v>
      </c>
      <c r="Q57" s="230">
        <v>0</v>
      </c>
      <c r="R57" s="230">
        <v>50</v>
      </c>
      <c r="S57" s="230"/>
      <c r="T57" s="230">
        <v>0</v>
      </c>
      <c r="U57" s="230">
        <v>0</v>
      </c>
      <c r="V57" s="230">
        <v>350</v>
      </c>
      <c r="W57" s="230"/>
      <c r="X57" s="230" t="e">
        <f>C57*商品!N52+D57*商品!#REF!+H57*商品!#REF!</f>
        <v>#REF!</v>
      </c>
      <c r="Y57" s="230">
        <f>R57*商品!W38</f>
        <v>0</v>
      </c>
      <c r="Z57" s="230" t="e">
        <f t="shared" si="5"/>
        <v>#REF!</v>
      </c>
      <c r="AA57" s="230" t="e">
        <f t="shared" si="3"/>
        <v>#REF!</v>
      </c>
      <c r="AB57" s="233" t="e">
        <f t="shared" si="4"/>
        <v>#REF!</v>
      </c>
    </row>
    <row r="58" spans="1:28">
      <c r="A58" s="226" t="s">
        <v>377</v>
      </c>
      <c r="C58">
        <v>0</v>
      </c>
      <c r="D58">
        <v>0</v>
      </c>
      <c r="E58">
        <v>3</v>
      </c>
      <c r="F58">
        <v>3</v>
      </c>
      <c r="G58">
        <v>0</v>
      </c>
      <c r="H58">
        <v>0</v>
      </c>
      <c r="J58">
        <v>0</v>
      </c>
      <c r="K58">
        <v>0</v>
      </c>
      <c r="L58">
        <v>0</v>
      </c>
      <c r="M58">
        <v>0</v>
      </c>
      <c r="N58">
        <v>0</v>
      </c>
      <c r="O58">
        <v>0</v>
      </c>
      <c r="P58">
        <v>0</v>
      </c>
      <c r="Q58">
        <v>0</v>
      </c>
      <c r="R58">
        <v>0</v>
      </c>
      <c r="T58">
        <v>-1000</v>
      </c>
      <c r="U58">
        <v>200</v>
      </c>
      <c r="V58">
        <v>0</v>
      </c>
      <c r="X58">
        <f>C58*商品!N46+D58*商品!E26+H58*商品!F26+E58*商品!I4+F58*商品!K6</f>
        <v>300</v>
      </c>
      <c r="Y58" t="e">
        <f>P58*商品!#REF!</f>
        <v>#REF!</v>
      </c>
      <c r="Z58" t="e">
        <f t="shared" si="5"/>
        <v>#REF!</v>
      </c>
      <c r="AA58" t="e">
        <f t="shared" si="3"/>
        <v>#REF!</v>
      </c>
      <c r="AB58" s="225" t="e">
        <f t="shared" si="4"/>
        <v>#REF!</v>
      </c>
    </row>
    <row r="59" spans="1:28">
      <c r="A59" s="226" t="s">
        <v>378</v>
      </c>
      <c r="C59">
        <v>0</v>
      </c>
      <c r="D59">
        <v>0</v>
      </c>
      <c r="E59">
        <v>5</v>
      </c>
      <c r="F59">
        <v>5</v>
      </c>
      <c r="G59">
        <v>0</v>
      </c>
      <c r="H59">
        <v>0</v>
      </c>
      <c r="J59">
        <v>0</v>
      </c>
      <c r="K59">
        <v>0</v>
      </c>
      <c r="L59">
        <v>0</v>
      </c>
      <c r="M59">
        <v>0</v>
      </c>
      <c r="N59">
        <v>0</v>
      </c>
      <c r="O59">
        <v>0</v>
      </c>
      <c r="P59">
        <v>0</v>
      </c>
      <c r="Q59">
        <v>0</v>
      </c>
      <c r="R59">
        <v>0</v>
      </c>
      <c r="T59">
        <v>-2000</v>
      </c>
      <c r="U59">
        <v>400</v>
      </c>
      <c r="V59">
        <v>0</v>
      </c>
      <c r="X59" t="e">
        <f>C59*商品!N47+D59*商品!#REF!+H59*商品!#REF!+E59*商品!#REF!+F59*商品!#REF!</f>
        <v>#REF!</v>
      </c>
      <c r="Y59" t="e">
        <f>P59*商品!#REF!</f>
        <v>#REF!</v>
      </c>
      <c r="Z59" t="e">
        <f t="shared" si="5"/>
        <v>#REF!</v>
      </c>
      <c r="AA59" t="e">
        <f t="shared" si="3"/>
        <v>#REF!</v>
      </c>
      <c r="AB59" s="225" t="e">
        <f t="shared" si="4"/>
        <v>#REF!</v>
      </c>
    </row>
    <row r="60" spans="1:28">
      <c r="A60" s="226" t="s">
        <v>29</v>
      </c>
      <c r="C60">
        <v>0</v>
      </c>
      <c r="D60">
        <v>0</v>
      </c>
      <c r="E60">
        <v>0</v>
      </c>
      <c r="F60">
        <v>0</v>
      </c>
      <c r="G60">
        <v>0</v>
      </c>
      <c r="H60">
        <v>10</v>
      </c>
      <c r="J60">
        <v>0</v>
      </c>
      <c r="K60">
        <v>0</v>
      </c>
      <c r="L60">
        <v>0</v>
      </c>
      <c r="M60">
        <v>0</v>
      </c>
      <c r="N60">
        <v>0</v>
      </c>
      <c r="O60">
        <v>0</v>
      </c>
      <c r="P60">
        <v>0</v>
      </c>
      <c r="Q60">
        <v>0</v>
      </c>
      <c r="R60">
        <v>0</v>
      </c>
      <c r="T60">
        <v>-3000</v>
      </c>
      <c r="U60">
        <v>0</v>
      </c>
      <c r="V60">
        <v>200</v>
      </c>
      <c r="X60" t="e">
        <f>C60*商品!N48+D60*商品!#REF!+H60*商品!#REF!</f>
        <v>#REF!</v>
      </c>
      <c r="Y60" t="e">
        <f>P60*商品!#REF!</f>
        <v>#REF!</v>
      </c>
      <c r="Z60" t="e">
        <f t="shared" si="5"/>
        <v>#REF!</v>
      </c>
      <c r="AA60" t="e">
        <f t="shared" si="3"/>
        <v>#REF!</v>
      </c>
      <c r="AB60" s="225" t="e">
        <f t="shared" si="4"/>
        <v>#REF!</v>
      </c>
    </row>
  </sheetData>
  <sheetProtection formatCells="0" insertHyperlinks="0" autoFilter="0"/>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tabColor theme="0" tint="-0.25"/>
  </sheetPr>
  <dimension ref="A1:AU159"/>
  <sheetViews>
    <sheetView workbookViewId="0">
      <pane ySplit="2" topLeftCell="A3" activePane="bottomLeft" state="frozen"/>
      <selection/>
      <selection pane="bottomLeft" activeCell="I4" sqref="I4"/>
    </sheetView>
  </sheetViews>
  <sheetFormatPr defaultColWidth="9" defaultRowHeight="18"/>
  <cols>
    <col min="1" max="2" width="16.625" style="2" customWidth="1"/>
    <col min="3" max="3" width="16.625" style="16" customWidth="1"/>
    <col min="4" max="28" width="8.625" style="16" customWidth="1"/>
    <col min="29" max="29" width="9.625" style="16"/>
    <col min="30" max="40" width="14.625" style="16" customWidth="1"/>
    <col min="41" max="41" width="14.625" style="130" customWidth="1"/>
    <col min="42" max="42" width="16.625" style="16" customWidth="1"/>
    <col min="43" max="44" width="16.625" style="2" customWidth="1"/>
    <col min="45" max="16384" width="9" style="16"/>
  </cols>
  <sheetData>
    <row r="1" ht="17.25" spans="1:44">
      <c r="A1" s="70" t="s">
        <v>72</v>
      </c>
      <c r="B1" s="70" t="s">
        <v>73</v>
      </c>
      <c r="C1" s="70" t="s">
        <v>74</v>
      </c>
      <c r="D1" s="131" t="s">
        <v>75</v>
      </c>
      <c r="E1" s="132" t="s">
        <v>76</v>
      </c>
      <c r="F1" s="132" t="s">
        <v>77</v>
      </c>
      <c r="G1" s="132" t="s">
        <v>78</v>
      </c>
      <c r="H1" s="132" t="s">
        <v>379</v>
      </c>
      <c r="I1" s="132" t="s">
        <v>380</v>
      </c>
      <c r="J1" s="132" t="s">
        <v>381</v>
      </c>
      <c r="K1" s="160" t="s">
        <v>382</v>
      </c>
      <c r="L1" s="161" t="s">
        <v>383</v>
      </c>
      <c r="M1" s="162" t="s">
        <v>384</v>
      </c>
      <c r="N1" s="163" t="s">
        <v>79</v>
      </c>
      <c r="O1" s="163" t="s">
        <v>385</v>
      </c>
      <c r="P1" s="163" t="s">
        <v>386</v>
      </c>
      <c r="Q1" s="176" t="s">
        <v>387</v>
      </c>
      <c r="R1" s="176" t="s">
        <v>388</v>
      </c>
      <c r="S1" s="176" t="s">
        <v>389</v>
      </c>
      <c r="T1" s="176" t="s">
        <v>390</v>
      </c>
      <c r="U1" s="176" t="s">
        <v>391</v>
      </c>
      <c r="V1" s="177" t="s">
        <v>392</v>
      </c>
      <c r="W1" s="178" t="s">
        <v>81</v>
      </c>
      <c r="X1" s="179" t="s">
        <v>82</v>
      </c>
      <c r="Y1" s="179" t="s">
        <v>83</v>
      </c>
      <c r="Z1" s="179" t="s">
        <v>84</v>
      </c>
      <c r="AA1" s="179" t="s">
        <v>85</v>
      </c>
      <c r="AB1" s="178" t="s">
        <v>393</v>
      </c>
      <c r="AC1" s="182" t="s">
        <v>394</v>
      </c>
      <c r="AD1" s="70" t="s">
        <v>86</v>
      </c>
      <c r="AE1" s="152" t="s">
        <v>395</v>
      </c>
      <c r="AF1" s="152" t="s">
        <v>396</v>
      </c>
      <c r="AG1" s="152" t="s">
        <v>397</v>
      </c>
      <c r="AH1" s="152" t="s">
        <v>87</v>
      </c>
      <c r="AI1" s="70" t="s">
        <v>88</v>
      </c>
      <c r="AJ1" s="70" t="s">
        <v>398</v>
      </c>
      <c r="AK1" s="2" t="s">
        <v>399</v>
      </c>
      <c r="AL1" s="70" t="s">
        <v>400</v>
      </c>
      <c r="AM1" s="70" t="s">
        <v>401</v>
      </c>
      <c r="AN1" s="70" t="s">
        <v>402</v>
      </c>
      <c r="AO1" s="203" t="s">
        <v>403</v>
      </c>
      <c r="AP1" s="56" t="s">
        <v>73</v>
      </c>
      <c r="AQ1" s="2" t="s">
        <v>74</v>
      </c>
      <c r="AR1" s="75" t="s">
        <v>72</v>
      </c>
    </row>
    <row r="2" ht="17.25" spans="1:44">
      <c r="A2" s="70"/>
      <c r="B2" s="70"/>
      <c r="C2" s="70"/>
      <c r="D2" s="133" t="s">
        <v>35</v>
      </c>
      <c r="E2" s="134" t="s">
        <v>10</v>
      </c>
      <c r="F2" s="134" t="s">
        <v>93</v>
      </c>
      <c r="G2" s="134" t="s">
        <v>11</v>
      </c>
      <c r="H2" s="134" t="s">
        <v>94</v>
      </c>
      <c r="I2" s="134" t="s">
        <v>247</v>
      </c>
      <c r="J2" s="134" t="s">
        <v>404</v>
      </c>
      <c r="K2" s="134" t="s">
        <v>30</v>
      </c>
      <c r="L2" s="134" t="s">
        <v>47</v>
      </c>
      <c r="M2" s="164" t="s">
        <v>13</v>
      </c>
      <c r="N2" s="165" t="s">
        <v>10</v>
      </c>
      <c r="O2" s="165" t="s">
        <v>405</v>
      </c>
      <c r="P2" s="165" t="s">
        <v>195</v>
      </c>
      <c r="Q2" s="165" t="s">
        <v>233</v>
      </c>
      <c r="R2" s="165" t="s">
        <v>406</v>
      </c>
      <c r="S2" s="165" t="s">
        <v>11</v>
      </c>
      <c r="T2" s="165" t="s">
        <v>30</v>
      </c>
      <c r="U2" s="165" t="s">
        <v>94</v>
      </c>
      <c r="V2" s="180" t="s">
        <v>407</v>
      </c>
      <c r="W2" s="181" t="s">
        <v>15</v>
      </c>
      <c r="X2" s="181" t="s">
        <v>16</v>
      </c>
      <c r="Y2" s="181" t="s">
        <v>17</v>
      </c>
      <c r="Z2" s="181" t="s">
        <v>100</v>
      </c>
      <c r="AA2" s="181" t="s">
        <v>51</v>
      </c>
      <c r="AB2" s="181" t="s">
        <v>408</v>
      </c>
      <c r="AC2" s="183" t="s">
        <v>98</v>
      </c>
      <c r="AD2" s="70"/>
      <c r="AE2" s="152"/>
      <c r="AF2" s="152"/>
      <c r="AG2" s="152"/>
      <c r="AH2" s="152"/>
      <c r="AI2" s="187"/>
      <c r="AJ2" s="70"/>
      <c r="AK2" s="2"/>
      <c r="AL2" s="70"/>
      <c r="AM2" s="70"/>
      <c r="AN2" s="70"/>
      <c r="AO2" s="203"/>
      <c r="AP2" s="56"/>
      <c r="AR2" s="75"/>
    </row>
    <row r="3" ht="17.25" spans="1:44">
      <c r="A3" s="135" t="s">
        <v>409</v>
      </c>
      <c r="B3" s="136" t="s">
        <v>410</v>
      </c>
      <c r="C3" s="137" t="s">
        <v>411</v>
      </c>
      <c r="D3" s="47">
        <v>5</v>
      </c>
      <c r="K3" s="50"/>
      <c r="L3" s="50"/>
      <c r="M3" s="155"/>
      <c r="N3" s="50">
        <v>25</v>
      </c>
      <c r="O3" s="50"/>
      <c r="P3" s="50"/>
      <c r="Q3" s="50"/>
      <c r="R3" s="50"/>
      <c r="S3" s="50"/>
      <c r="T3" s="50"/>
      <c r="U3" s="50"/>
      <c r="V3" s="155"/>
      <c r="W3" s="168">
        <v>4500</v>
      </c>
      <c r="X3" s="48"/>
      <c r="Y3" s="48"/>
      <c r="Z3" s="48"/>
      <c r="AC3" s="82"/>
      <c r="AD3" s="48">
        <f>D3*40+E3*30+F3*60+G3*50+H3*30+I3*50+J3*60+K3*80+L3*120+M3*30</f>
        <v>200</v>
      </c>
      <c r="AE3" s="166">
        <f>N3*30+O3*50+P3*50+Q3*40+R3*100+S3*50+T3*80+U3*30+V3</f>
        <v>750</v>
      </c>
      <c r="AF3" s="166">
        <f>AE3-AD3</f>
        <v>550</v>
      </c>
      <c r="AG3" s="188">
        <f>AE3/AD3*100%</f>
        <v>3.75</v>
      </c>
      <c r="AH3" s="166">
        <f>W3+X3+Y3+Z3+AA3+AB3+AC3</f>
        <v>4500</v>
      </c>
      <c r="AI3" s="50">
        <f>W3*1+X3*1.5+Y3*3+Z3*5+AA3*2+AB3*6+AC3*3</f>
        <v>4500</v>
      </c>
      <c r="AJ3" s="189">
        <f>3*AI3/52</f>
        <v>259.615384615385</v>
      </c>
      <c r="AK3" s="190">
        <f t="shared" ref="AK3:AK6" si="0">AJ3/AF3</f>
        <v>0.472027972027972</v>
      </c>
      <c r="AL3" s="191">
        <f t="shared" ref="AL3:AL20" si="1">AD3+AJ3</f>
        <v>459.615384615385</v>
      </c>
      <c r="AM3" s="191">
        <f t="shared" ref="AM3:AM20" si="2">AE3-AL3</f>
        <v>290.384615384615</v>
      </c>
      <c r="AN3" s="190">
        <f t="shared" ref="AN3:AN6" si="3">AE3/AL3</f>
        <v>1.63179916317992</v>
      </c>
      <c r="AO3" s="204">
        <f>AF3/AH3</f>
        <v>0.122222222222222</v>
      </c>
      <c r="AP3" s="172" t="s">
        <v>411</v>
      </c>
      <c r="AQ3" s="136" t="s">
        <v>410</v>
      </c>
      <c r="AR3" s="205" t="s">
        <v>409</v>
      </c>
    </row>
    <row r="4" ht="17.25" spans="1:44">
      <c r="A4" s="138"/>
      <c r="B4" s="139"/>
      <c r="C4" s="140" t="s">
        <v>412</v>
      </c>
      <c r="D4" s="47">
        <v>10</v>
      </c>
      <c r="E4" s="16">
        <v>0</v>
      </c>
      <c r="K4" s="50"/>
      <c r="L4" s="50"/>
      <c r="M4" s="155"/>
      <c r="N4" s="50">
        <v>40</v>
      </c>
      <c r="O4" s="50"/>
      <c r="P4" s="50"/>
      <c r="Q4" s="50"/>
      <c r="R4" s="50"/>
      <c r="S4" s="50"/>
      <c r="T4" s="50"/>
      <c r="U4" s="50"/>
      <c r="V4" s="155"/>
      <c r="W4" s="169">
        <v>3750</v>
      </c>
      <c r="X4" s="16">
        <v>900</v>
      </c>
      <c r="Y4" s="16">
        <v>250</v>
      </c>
      <c r="AC4" s="82"/>
      <c r="AD4" s="184">
        <f>D4*40+E4*30+F4*60+G4*50+H4*30+I4*50+J4*60+K4*80+L4*120+M4*30</f>
        <v>400</v>
      </c>
      <c r="AE4" s="50">
        <f>N4*30+O4*50+P4*50+Q4*40+R4*100+S4*50+T4*80+U4*30+V4</f>
        <v>1200</v>
      </c>
      <c r="AF4" s="50">
        <f t="shared" ref="AF4:AF20" si="4">AE4-AD4</f>
        <v>800</v>
      </c>
      <c r="AG4" s="192">
        <f t="shared" ref="AG4:AG20" si="5">AE4/AD4*100%</f>
        <v>3</v>
      </c>
      <c r="AH4" s="50">
        <f t="shared" ref="AH4:AH20" si="6">W4+X4+Y4+Z4+AA4+AB4+AC4</f>
        <v>4900</v>
      </c>
      <c r="AI4" s="50">
        <f t="shared" ref="AI4:AI26" si="7">W4*1+X4*1.5+Y4*3+Z4*5+AA4*2+AB4*6+AC4*3</f>
        <v>5850</v>
      </c>
      <c r="AJ4" s="193">
        <f>3*AI4/52</f>
        <v>337.5</v>
      </c>
      <c r="AK4" s="194">
        <f t="shared" si="0"/>
        <v>0.421875</v>
      </c>
      <c r="AL4" s="195">
        <f t="shared" si="1"/>
        <v>737.5</v>
      </c>
      <c r="AM4" s="195">
        <f t="shared" si="2"/>
        <v>462.5</v>
      </c>
      <c r="AN4" s="194">
        <f t="shared" si="3"/>
        <v>1.6271186440678</v>
      </c>
      <c r="AO4" s="206">
        <f>AF4/AH4</f>
        <v>0.163265306122449</v>
      </c>
      <c r="AP4" s="171" t="s">
        <v>412</v>
      </c>
      <c r="AQ4" s="139"/>
      <c r="AR4" s="35"/>
    </row>
    <row r="5" ht="17.25" spans="1:44">
      <c r="A5" s="138"/>
      <c r="B5" s="139"/>
      <c r="C5" s="140" t="s">
        <v>413</v>
      </c>
      <c r="D5" s="47">
        <v>15</v>
      </c>
      <c r="E5" s="16">
        <v>0</v>
      </c>
      <c r="G5" s="16">
        <v>10</v>
      </c>
      <c r="K5" s="50"/>
      <c r="L5" s="50"/>
      <c r="M5" s="155"/>
      <c r="N5" s="50">
        <v>90</v>
      </c>
      <c r="O5" s="50"/>
      <c r="P5" s="50"/>
      <c r="Q5" s="50"/>
      <c r="R5" s="50"/>
      <c r="S5" s="50"/>
      <c r="T5" s="50"/>
      <c r="U5" s="50"/>
      <c r="V5" s="155"/>
      <c r="W5" s="169">
        <v>3000</v>
      </c>
      <c r="X5" s="16">
        <v>1250</v>
      </c>
      <c r="Y5" s="16">
        <v>150</v>
      </c>
      <c r="Z5" s="16">
        <v>100</v>
      </c>
      <c r="AC5" s="82"/>
      <c r="AD5" s="184">
        <f>D5*40+E5*30+F5*60+G5*50+H5*30+I5*50+J5*60+K5*80+L5*120+M5*30</f>
        <v>1100</v>
      </c>
      <c r="AE5" s="50">
        <f t="shared" ref="AE5:AE20" si="8">N5*30+O5*50+P5*50+Q5*40+R5*100+S5*50+T5*80+U5*30+V5</f>
        <v>2700</v>
      </c>
      <c r="AF5" s="50">
        <f t="shared" si="4"/>
        <v>1600</v>
      </c>
      <c r="AG5" s="192">
        <f t="shared" si="5"/>
        <v>2.45454545454545</v>
      </c>
      <c r="AH5" s="50">
        <f t="shared" si="6"/>
        <v>4500</v>
      </c>
      <c r="AI5" s="50">
        <f t="shared" si="7"/>
        <v>5825</v>
      </c>
      <c r="AJ5" s="193">
        <f>3*AI5/52</f>
        <v>336.057692307692</v>
      </c>
      <c r="AK5" s="194">
        <f t="shared" si="0"/>
        <v>0.210036057692308</v>
      </c>
      <c r="AL5" s="195">
        <f t="shared" si="1"/>
        <v>1436.05769230769</v>
      </c>
      <c r="AM5" s="195">
        <f t="shared" si="2"/>
        <v>1263.94230769231</v>
      </c>
      <c r="AN5" s="194">
        <f t="shared" si="3"/>
        <v>1.88014730498828</v>
      </c>
      <c r="AO5" s="206">
        <f>AF5/AH5</f>
        <v>0.355555555555556</v>
      </c>
      <c r="AP5" s="171" t="s">
        <v>413</v>
      </c>
      <c r="AQ5" s="139"/>
      <c r="AR5" s="35"/>
    </row>
    <row r="6" ht="17.25" spans="1:44">
      <c r="A6" s="138"/>
      <c r="B6" s="141"/>
      <c r="C6" s="142" t="s">
        <v>414</v>
      </c>
      <c r="D6" s="47">
        <v>20</v>
      </c>
      <c r="F6" s="16">
        <v>5</v>
      </c>
      <c r="G6" s="16">
        <v>10</v>
      </c>
      <c r="H6" s="16">
        <v>30</v>
      </c>
      <c r="K6" s="50"/>
      <c r="L6" s="50"/>
      <c r="M6" s="155"/>
      <c r="N6" s="50">
        <v>160</v>
      </c>
      <c r="O6" s="50"/>
      <c r="P6" s="50"/>
      <c r="Q6" s="50"/>
      <c r="R6" s="50"/>
      <c r="S6" s="50"/>
      <c r="T6" s="50"/>
      <c r="U6" s="50"/>
      <c r="V6" s="155"/>
      <c r="W6" s="169">
        <v>2500</v>
      </c>
      <c r="X6" s="16">
        <v>900</v>
      </c>
      <c r="Y6" s="16">
        <v>100</v>
      </c>
      <c r="Z6" s="16">
        <v>200</v>
      </c>
      <c r="AC6" s="82"/>
      <c r="AD6" s="184">
        <f>D6*40+E6*30+F6*60+G6*50+H6*30+I6*50+J6*60+K6*80+L6*120+M6*30</f>
        <v>2500</v>
      </c>
      <c r="AE6" s="50">
        <f t="shared" si="8"/>
        <v>4800</v>
      </c>
      <c r="AF6" s="50">
        <f t="shared" si="4"/>
        <v>2300</v>
      </c>
      <c r="AG6" s="192">
        <f t="shared" si="5"/>
        <v>1.92</v>
      </c>
      <c r="AH6" s="50">
        <f t="shared" si="6"/>
        <v>3700</v>
      </c>
      <c r="AI6" s="50">
        <f t="shared" si="7"/>
        <v>5150</v>
      </c>
      <c r="AJ6" s="193">
        <f>3*AI6/52</f>
        <v>297.115384615385</v>
      </c>
      <c r="AK6" s="196">
        <f t="shared" si="0"/>
        <v>0.129180602006689</v>
      </c>
      <c r="AL6" s="197">
        <f t="shared" si="1"/>
        <v>2797.11538461538</v>
      </c>
      <c r="AM6" s="197">
        <f t="shared" si="2"/>
        <v>2002.88461538462</v>
      </c>
      <c r="AN6" s="196">
        <f t="shared" si="3"/>
        <v>1.71605362667583</v>
      </c>
      <c r="AO6" s="206">
        <f>AF6/AH6</f>
        <v>0.621621621621622</v>
      </c>
      <c r="AP6" s="174" t="s">
        <v>414</v>
      </c>
      <c r="AQ6" s="141"/>
      <c r="AR6" s="35"/>
    </row>
    <row r="7" ht="17.25" spans="1:44">
      <c r="A7" s="138"/>
      <c r="B7" s="139" t="s">
        <v>247</v>
      </c>
      <c r="C7" s="82" t="s">
        <v>415</v>
      </c>
      <c r="D7" s="48"/>
      <c r="E7" s="48"/>
      <c r="F7" s="48"/>
      <c r="G7" s="48"/>
      <c r="H7" s="48"/>
      <c r="I7" s="48"/>
      <c r="J7" s="48"/>
      <c r="K7" s="166"/>
      <c r="L7" s="166"/>
      <c r="M7" s="144"/>
      <c r="N7" s="166"/>
      <c r="O7" s="166"/>
      <c r="P7" s="166"/>
      <c r="Q7" s="166"/>
      <c r="R7" s="166"/>
      <c r="S7" s="166"/>
      <c r="T7" s="166"/>
      <c r="U7" s="166"/>
      <c r="V7" s="144"/>
      <c r="W7" s="168"/>
      <c r="X7" s="48"/>
      <c r="Y7" s="48"/>
      <c r="Z7" s="48"/>
      <c r="AA7" s="48"/>
      <c r="AB7" s="48"/>
      <c r="AC7" s="78"/>
      <c r="AD7" s="185"/>
      <c r="AE7" s="166"/>
      <c r="AF7" s="166"/>
      <c r="AG7" s="188"/>
      <c r="AH7" s="166"/>
      <c r="AI7" s="166"/>
      <c r="AJ7" s="189"/>
      <c r="AK7" s="194"/>
      <c r="AL7" s="195"/>
      <c r="AM7" s="195"/>
      <c r="AN7" s="194"/>
      <c r="AO7" s="204"/>
      <c r="AP7" s="111" t="s">
        <v>415</v>
      </c>
      <c r="AQ7" s="139" t="s">
        <v>247</v>
      </c>
      <c r="AR7" s="35"/>
    </row>
    <row r="8" ht="17.25" spans="1:44">
      <c r="A8" s="138"/>
      <c r="B8" s="139"/>
      <c r="C8" s="82" t="s">
        <v>416</v>
      </c>
      <c r="D8" s="47"/>
      <c r="I8" s="16">
        <v>10</v>
      </c>
      <c r="K8" s="50"/>
      <c r="L8" s="50"/>
      <c r="M8" s="155"/>
      <c r="N8" s="50">
        <v>35</v>
      </c>
      <c r="O8" s="50"/>
      <c r="P8" s="50"/>
      <c r="Q8" s="50"/>
      <c r="R8" s="50"/>
      <c r="S8" s="50"/>
      <c r="T8" s="50"/>
      <c r="U8" s="50"/>
      <c r="V8" s="155"/>
      <c r="W8" s="169">
        <v>-500</v>
      </c>
      <c r="X8" s="16">
        <v>350</v>
      </c>
      <c r="Y8" s="16">
        <v>150</v>
      </c>
      <c r="AC8" s="82"/>
      <c r="AD8" s="184">
        <f>D8*40+E8*30+F8*60+G8*50+H8*30+I8*50+J8*60+K8*80+L8*120+M8*30</f>
        <v>500</v>
      </c>
      <c r="AE8" s="50">
        <f t="shared" si="8"/>
        <v>1050</v>
      </c>
      <c r="AF8" s="50">
        <f t="shared" si="4"/>
        <v>550</v>
      </c>
      <c r="AG8" s="192">
        <f t="shared" si="5"/>
        <v>2.1</v>
      </c>
      <c r="AH8" s="50">
        <f t="shared" si="6"/>
        <v>0</v>
      </c>
      <c r="AI8" s="50">
        <f t="shared" si="7"/>
        <v>475</v>
      </c>
      <c r="AJ8" s="193">
        <f>3*AI8/52</f>
        <v>27.4038461538462</v>
      </c>
      <c r="AK8" s="194">
        <f>AJ8/AF8</f>
        <v>0.0498251748251748</v>
      </c>
      <c r="AL8" s="195">
        <f t="shared" si="1"/>
        <v>527.403846153846</v>
      </c>
      <c r="AM8" s="195">
        <f t="shared" si="2"/>
        <v>522.596153846154</v>
      </c>
      <c r="AN8" s="194">
        <f t="shared" ref="AN8:AN12" si="9">AE8/AL8</f>
        <v>1.99088422971741</v>
      </c>
      <c r="AO8" s="206"/>
      <c r="AP8" s="111" t="s">
        <v>416</v>
      </c>
      <c r="AQ8" s="139"/>
      <c r="AR8" s="35"/>
    </row>
    <row r="9" ht="17.25" spans="1:44">
      <c r="A9" s="138"/>
      <c r="B9" s="139"/>
      <c r="C9" s="82" t="s">
        <v>417</v>
      </c>
      <c r="D9" s="61"/>
      <c r="E9" s="61"/>
      <c r="F9" s="61"/>
      <c r="G9" s="61"/>
      <c r="H9" s="61"/>
      <c r="I9" s="61">
        <v>10</v>
      </c>
      <c r="J9" s="61">
        <v>5</v>
      </c>
      <c r="K9" s="167"/>
      <c r="L9" s="167"/>
      <c r="M9" s="148"/>
      <c r="N9" s="167">
        <v>70</v>
      </c>
      <c r="O9" s="167"/>
      <c r="P9" s="167"/>
      <c r="Q9" s="167"/>
      <c r="R9" s="167"/>
      <c r="S9" s="167"/>
      <c r="T9" s="167"/>
      <c r="U9" s="167"/>
      <c r="V9" s="148"/>
      <c r="W9" s="170">
        <v>-500</v>
      </c>
      <c r="X9" s="61">
        <v>300</v>
      </c>
      <c r="Y9" s="61">
        <v>100</v>
      </c>
      <c r="Z9" s="61">
        <v>100</v>
      </c>
      <c r="AA9" s="61"/>
      <c r="AB9" s="61"/>
      <c r="AC9" s="79"/>
      <c r="AD9" s="186">
        <f>D9*40+E9*30+F9*60+G9*50+H9*30+I9*50+J9*60+K9*80+L9*120+M9*30</f>
        <v>800</v>
      </c>
      <c r="AE9" s="167">
        <f t="shared" si="8"/>
        <v>2100</v>
      </c>
      <c r="AF9" s="50">
        <f t="shared" si="4"/>
        <v>1300</v>
      </c>
      <c r="AG9" s="192">
        <f t="shared" si="5"/>
        <v>2.625</v>
      </c>
      <c r="AH9" s="50">
        <f t="shared" si="6"/>
        <v>0</v>
      </c>
      <c r="AI9" s="167">
        <f t="shared" si="7"/>
        <v>750</v>
      </c>
      <c r="AJ9" s="198">
        <f>3*AI9/52</f>
        <v>43.2692307692308</v>
      </c>
      <c r="AK9" s="196">
        <f>AJ9/AF9</f>
        <v>0.033284023668639</v>
      </c>
      <c r="AL9" s="197">
        <f t="shared" si="1"/>
        <v>843.269230769231</v>
      </c>
      <c r="AM9" s="197">
        <f t="shared" si="2"/>
        <v>1256.73076923077</v>
      </c>
      <c r="AN9" s="196">
        <f t="shared" si="9"/>
        <v>2.4903078677309</v>
      </c>
      <c r="AO9" s="207"/>
      <c r="AP9" s="111" t="s">
        <v>417</v>
      </c>
      <c r="AQ9" s="139"/>
      <c r="AR9" s="35"/>
    </row>
    <row r="10" ht="17.25" spans="1:44">
      <c r="A10" s="138"/>
      <c r="B10" s="136" t="s">
        <v>418</v>
      </c>
      <c r="C10" s="78" t="s">
        <v>419</v>
      </c>
      <c r="D10" s="47"/>
      <c r="K10" s="50"/>
      <c r="L10" s="50"/>
      <c r="M10" s="155"/>
      <c r="N10" s="50"/>
      <c r="O10" s="50"/>
      <c r="P10" s="50"/>
      <c r="Q10" s="50"/>
      <c r="R10" s="50"/>
      <c r="S10" s="50"/>
      <c r="T10" s="50"/>
      <c r="U10" s="50"/>
      <c r="V10" s="155"/>
      <c r="W10" s="169"/>
      <c r="AC10" s="82"/>
      <c r="AD10" s="184"/>
      <c r="AE10" s="50"/>
      <c r="AF10" s="166"/>
      <c r="AG10" s="188"/>
      <c r="AH10" s="166"/>
      <c r="AI10" s="50"/>
      <c r="AJ10" s="193"/>
      <c r="AK10" s="194"/>
      <c r="AL10" s="195"/>
      <c r="AM10" s="195"/>
      <c r="AN10" s="194"/>
      <c r="AO10" s="206"/>
      <c r="AP10" s="106" t="s">
        <v>419</v>
      </c>
      <c r="AQ10" s="136" t="s">
        <v>418</v>
      </c>
      <c r="AR10" s="35"/>
    </row>
    <row r="11" ht="17.25" spans="1:44">
      <c r="A11" s="138"/>
      <c r="B11" s="139"/>
      <c r="C11" s="140" t="s">
        <v>420</v>
      </c>
      <c r="D11" s="47"/>
      <c r="K11" s="50">
        <v>10</v>
      </c>
      <c r="L11" s="50"/>
      <c r="M11" s="155"/>
      <c r="N11" s="50">
        <v>30</v>
      </c>
      <c r="O11" s="50"/>
      <c r="P11" s="50"/>
      <c r="Q11" s="50"/>
      <c r="R11" s="50"/>
      <c r="S11" s="50"/>
      <c r="T11" s="50"/>
      <c r="U11" s="50"/>
      <c r="V11" s="155"/>
      <c r="W11" s="169">
        <v>-1200</v>
      </c>
      <c r="Z11" s="16">
        <v>50</v>
      </c>
      <c r="AC11" s="82"/>
      <c r="AD11" s="184">
        <f>D11*40+E11*30+F11*60+G11*50+H11*30+I11*50+J11*60+K11*80+L11*120+M11*30</f>
        <v>800</v>
      </c>
      <c r="AE11" s="50">
        <f t="shared" si="8"/>
        <v>900</v>
      </c>
      <c r="AF11" s="50">
        <f t="shared" si="4"/>
        <v>100</v>
      </c>
      <c r="AG11" s="192">
        <f t="shared" si="5"/>
        <v>1.125</v>
      </c>
      <c r="AH11" s="50">
        <f t="shared" si="6"/>
        <v>-1150</v>
      </c>
      <c r="AI11" s="50">
        <f t="shared" si="7"/>
        <v>-950</v>
      </c>
      <c r="AJ11" s="193">
        <f>3*AI11/52</f>
        <v>-54.8076923076923</v>
      </c>
      <c r="AK11" s="194"/>
      <c r="AL11" s="195">
        <f t="shared" si="1"/>
        <v>745.192307692308</v>
      </c>
      <c r="AM11" s="195">
        <f t="shared" si="2"/>
        <v>154.807692307692</v>
      </c>
      <c r="AN11" s="194">
        <f t="shared" si="9"/>
        <v>1.20774193548387</v>
      </c>
      <c r="AO11" s="206"/>
      <c r="AP11" s="171" t="s">
        <v>420</v>
      </c>
      <c r="AQ11" s="139"/>
      <c r="AR11" s="35"/>
    </row>
    <row r="12" ht="17.25" spans="1:44">
      <c r="A12" s="138"/>
      <c r="B12" s="141"/>
      <c r="C12" s="79" t="s">
        <v>421</v>
      </c>
      <c r="D12" s="47"/>
      <c r="F12" s="16">
        <v>5</v>
      </c>
      <c r="H12" s="16">
        <v>20</v>
      </c>
      <c r="K12" s="50">
        <v>20</v>
      </c>
      <c r="L12" s="50">
        <v>10</v>
      </c>
      <c r="M12" s="155"/>
      <c r="N12" s="50">
        <v>110</v>
      </c>
      <c r="O12" s="50"/>
      <c r="P12" s="50"/>
      <c r="Q12" s="50"/>
      <c r="R12" s="50"/>
      <c r="S12" s="50"/>
      <c r="T12" s="50"/>
      <c r="U12" s="50"/>
      <c r="V12" s="155"/>
      <c r="W12" s="169">
        <v>-5000</v>
      </c>
      <c r="X12" s="16">
        <v>-300</v>
      </c>
      <c r="Y12" s="16">
        <v>100</v>
      </c>
      <c r="Z12" s="16">
        <v>100</v>
      </c>
      <c r="AC12" s="82"/>
      <c r="AD12" s="184">
        <f>D12*40+E12*30+F12*60+G12*50+H12*30+I12*50+J12*60+K12*80+L12*120+M12*30</f>
        <v>3700</v>
      </c>
      <c r="AE12" s="50">
        <f t="shared" si="8"/>
        <v>3300</v>
      </c>
      <c r="AF12" s="50">
        <f t="shared" si="4"/>
        <v>-400</v>
      </c>
      <c r="AG12" s="192">
        <f t="shared" si="5"/>
        <v>0.891891891891892</v>
      </c>
      <c r="AH12" s="50">
        <f t="shared" si="6"/>
        <v>-5100</v>
      </c>
      <c r="AI12" s="50">
        <f t="shared" si="7"/>
        <v>-4650</v>
      </c>
      <c r="AJ12" s="193">
        <f>3*AI12/52</f>
        <v>-268.269230769231</v>
      </c>
      <c r="AK12" s="196"/>
      <c r="AL12" s="197">
        <f t="shared" si="1"/>
        <v>3431.73076923077</v>
      </c>
      <c r="AM12" s="197">
        <f t="shared" si="2"/>
        <v>-131.730769230769</v>
      </c>
      <c r="AN12" s="196">
        <f t="shared" si="9"/>
        <v>0.961613897450266</v>
      </c>
      <c r="AO12" s="206"/>
      <c r="AP12" s="116" t="s">
        <v>421</v>
      </c>
      <c r="AQ12" s="141"/>
      <c r="AR12" s="35"/>
    </row>
    <row r="13" ht="17.25" spans="1:44">
      <c r="A13" s="138"/>
      <c r="B13" s="139" t="s">
        <v>422</v>
      </c>
      <c r="C13" s="82" t="s">
        <v>423</v>
      </c>
      <c r="D13" s="48"/>
      <c r="E13" s="48"/>
      <c r="F13" s="48"/>
      <c r="G13" s="48"/>
      <c r="H13" s="48"/>
      <c r="I13" s="48"/>
      <c r="J13" s="48"/>
      <c r="K13" s="166"/>
      <c r="L13" s="166"/>
      <c r="M13" s="144"/>
      <c r="N13" s="166"/>
      <c r="O13" s="166"/>
      <c r="P13" s="166"/>
      <c r="Q13" s="166"/>
      <c r="R13" s="166"/>
      <c r="S13" s="166"/>
      <c r="T13" s="166"/>
      <c r="U13" s="166"/>
      <c r="V13" s="144"/>
      <c r="W13" s="168"/>
      <c r="X13" s="48"/>
      <c r="Y13" s="48"/>
      <c r="Z13" s="48"/>
      <c r="AA13" s="48"/>
      <c r="AB13" s="48"/>
      <c r="AC13" s="78"/>
      <c r="AD13" s="185"/>
      <c r="AE13" s="166"/>
      <c r="AF13" s="166"/>
      <c r="AG13" s="188"/>
      <c r="AH13" s="166"/>
      <c r="AI13" s="166"/>
      <c r="AJ13" s="189"/>
      <c r="AK13" s="194"/>
      <c r="AL13" s="195"/>
      <c r="AM13" s="195"/>
      <c r="AN13" s="194"/>
      <c r="AO13" s="204"/>
      <c r="AP13" s="111" t="s">
        <v>423</v>
      </c>
      <c r="AQ13" s="139" t="s">
        <v>422</v>
      </c>
      <c r="AR13" s="35"/>
    </row>
    <row r="14" ht="17.25" spans="1:44">
      <c r="A14" s="138"/>
      <c r="B14" s="139"/>
      <c r="C14" s="82" t="s">
        <v>424</v>
      </c>
      <c r="D14" s="47"/>
      <c r="K14" s="50"/>
      <c r="M14" s="155">
        <v>5</v>
      </c>
      <c r="N14" s="50"/>
      <c r="O14" s="50"/>
      <c r="P14" s="50"/>
      <c r="Q14" s="50"/>
      <c r="R14" s="50"/>
      <c r="S14" s="50"/>
      <c r="T14" s="50"/>
      <c r="U14" s="50"/>
      <c r="V14" s="155"/>
      <c r="W14" s="169">
        <v>-500</v>
      </c>
      <c r="X14" s="16">
        <v>-200</v>
      </c>
      <c r="AC14" s="82"/>
      <c r="AD14" s="184">
        <f>D14*40+E14*30+F14*60+G14*50+H14*30+I14*50+J14*60+K14*80+L14*120+M14*30</f>
        <v>150</v>
      </c>
      <c r="AE14" s="50">
        <f t="shared" si="8"/>
        <v>0</v>
      </c>
      <c r="AF14" s="50">
        <f t="shared" si="4"/>
        <v>-150</v>
      </c>
      <c r="AG14" s="192">
        <f t="shared" si="5"/>
        <v>0</v>
      </c>
      <c r="AH14" s="50">
        <f t="shared" si="6"/>
        <v>-700</v>
      </c>
      <c r="AI14" s="50">
        <f t="shared" si="7"/>
        <v>-800</v>
      </c>
      <c r="AJ14" s="193">
        <f>3*AI14/52</f>
        <v>-46.1538461538462</v>
      </c>
      <c r="AK14" s="194"/>
      <c r="AL14" s="195">
        <f t="shared" si="1"/>
        <v>103.846153846154</v>
      </c>
      <c r="AM14" s="195">
        <f t="shared" si="2"/>
        <v>-103.846153846154</v>
      </c>
      <c r="AN14" s="194">
        <f>AE14/AL14</f>
        <v>0</v>
      </c>
      <c r="AO14" s="206"/>
      <c r="AP14" s="111" t="s">
        <v>424</v>
      </c>
      <c r="AQ14" s="139"/>
      <c r="AR14" s="35"/>
    </row>
    <row r="15" ht="17.25" spans="1:44">
      <c r="A15" s="138"/>
      <c r="B15" s="139"/>
      <c r="C15" s="82" t="s">
        <v>425</v>
      </c>
      <c r="D15" s="61"/>
      <c r="E15" s="61"/>
      <c r="F15" s="61"/>
      <c r="G15" s="61">
        <v>20</v>
      </c>
      <c r="H15" s="61"/>
      <c r="I15" s="61"/>
      <c r="J15" s="61"/>
      <c r="K15" s="167">
        <v>10</v>
      </c>
      <c r="L15" s="167"/>
      <c r="M15" s="148">
        <v>5</v>
      </c>
      <c r="N15" s="167">
        <v>60</v>
      </c>
      <c r="O15" s="167">
        <v>1</v>
      </c>
      <c r="P15" s="167">
        <v>1</v>
      </c>
      <c r="Q15" s="167">
        <v>1</v>
      </c>
      <c r="R15" s="167"/>
      <c r="S15" s="167"/>
      <c r="T15" s="167"/>
      <c r="U15" s="167"/>
      <c r="V15" s="148"/>
      <c r="W15" s="170">
        <v>-1000</v>
      </c>
      <c r="X15" s="61">
        <v>-400</v>
      </c>
      <c r="Y15" s="61">
        <v>-100</v>
      </c>
      <c r="Z15" s="61">
        <v>100</v>
      </c>
      <c r="AA15" s="61"/>
      <c r="AB15" s="61"/>
      <c r="AC15" s="79"/>
      <c r="AD15" s="186">
        <f>D15*40+E15*30+F15*60+G15*50+H15*30+I15*50+J15*60+K15*80+L15*120+M15*30</f>
        <v>1950</v>
      </c>
      <c r="AE15" s="167">
        <f t="shared" si="8"/>
        <v>1940</v>
      </c>
      <c r="AF15" s="50">
        <f t="shared" si="4"/>
        <v>-10</v>
      </c>
      <c r="AG15" s="192">
        <f t="shared" si="5"/>
        <v>0.994871794871795</v>
      </c>
      <c r="AH15" s="50">
        <f t="shared" si="6"/>
        <v>-1400</v>
      </c>
      <c r="AI15" s="167">
        <f t="shared" si="7"/>
        <v>-1400</v>
      </c>
      <c r="AJ15" s="198">
        <f>3*AI15/52</f>
        <v>-80.7692307692308</v>
      </c>
      <c r="AK15" s="196"/>
      <c r="AL15" s="197">
        <f t="shared" si="1"/>
        <v>1869.23076923077</v>
      </c>
      <c r="AM15" s="197">
        <f t="shared" si="2"/>
        <v>70.7692307692307</v>
      </c>
      <c r="AN15" s="196">
        <f>AE15/AL15</f>
        <v>1.03786008230453</v>
      </c>
      <c r="AO15" s="207"/>
      <c r="AP15" s="111" t="s">
        <v>425</v>
      </c>
      <c r="AQ15" s="139"/>
      <c r="AR15" s="35"/>
    </row>
    <row r="16" ht="17.25" spans="1:44">
      <c r="A16" s="138"/>
      <c r="B16" s="143" t="s">
        <v>426</v>
      </c>
      <c r="C16" s="144" t="s">
        <v>427</v>
      </c>
      <c r="D16" s="47"/>
      <c r="K16" s="50"/>
      <c r="L16" s="50"/>
      <c r="M16" s="155"/>
      <c r="N16" s="50"/>
      <c r="O16" s="50"/>
      <c r="P16" s="50"/>
      <c r="Q16" s="50"/>
      <c r="R16" s="50"/>
      <c r="S16" s="50"/>
      <c r="T16" s="50"/>
      <c r="U16" s="50"/>
      <c r="V16" s="155"/>
      <c r="W16" s="169"/>
      <c r="AA16" s="16">
        <v>500</v>
      </c>
      <c r="AC16" s="82"/>
      <c r="AD16" s="184"/>
      <c r="AE16" s="50"/>
      <c r="AF16" s="166"/>
      <c r="AG16" s="188"/>
      <c r="AH16" s="166">
        <f t="shared" si="6"/>
        <v>500</v>
      </c>
      <c r="AI16" s="50">
        <f t="shared" si="7"/>
        <v>1000</v>
      </c>
      <c r="AJ16" s="193">
        <f>3*AI16/52</f>
        <v>57.6923076923077</v>
      </c>
      <c r="AK16" s="194"/>
      <c r="AL16" s="195">
        <f t="shared" si="1"/>
        <v>57.6923076923077</v>
      </c>
      <c r="AM16" s="195">
        <f t="shared" si="2"/>
        <v>-57.6923076923077</v>
      </c>
      <c r="AN16" s="194"/>
      <c r="AO16" s="206"/>
      <c r="AP16" s="168" t="s">
        <v>427</v>
      </c>
      <c r="AQ16" s="143" t="s">
        <v>426</v>
      </c>
      <c r="AR16" s="35"/>
    </row>
    <row r="17" ht="17.25" spans="1:44">
      <c r="A17" s="138"/>
      <c r="B17" s="145"/>
      <c r="C17" s="140" t="s">
        <v>428</v>
      </c>
      <c r="D17" s="47"/>
      <c r="K17" s="50"/>
      <c r="L17" s="50"/>
      <c r="M17" s="155"/>
      <c r="N17" s="50"/>
      <c r="O17" s="50"/>
      <c r="P17" s="50"/>
      <c r="Q17" s="50"/>
      <c r="R17" s="50"/>
      <c r="S17" s="50"/>
      <c r="T17" s="50"/>
      <c r="U17" s="50"/>
      <c r="V17" s="155"/>
      <c r="W17" s="169"/>
      <c r="AB17" s="16">
        <v>100</v>
      </c>
      <c r="AC17" s="82"/>
      <c r="AD17" s="184"/>
      <c r="AE17" s="50"/>
      <c r="AF17" s="50"/>
      <c r="AG17" s="192"/>
      <c r="AH17" s="50">
        <f t="shared" si="6"/>
        <v>100</v>
      </c>
      <c r="AI17" s="50">
        <f t="shared" si="7"/>
        <v>600</v>
      </c>
      <c r="AJ17" s="193">
        <f>3*AI17/52</f>
        <v>34.6153846153846</v>
      </c>
      <c r="AK17" s="194"/>
      <c r="AL17" s="195">
        <f t="shared" si="1"/>
        <v>34.6153846153846</v>
      </c>
      <c r="AM17" s="195">
        <f t="shared" si="2"/>
        <v>-34.6153846153846</v>
      </c>
      <c r="AN17" s="194"/>
      <c r="AO17" s="206"/>
      <c r="AP17" s="171" t="s">
        <v>428</v>
      </c>
      <c r="AQ17" s="145"/>
      <c r="AR17" s="35"/>
    </row>
    <row r="18" ht="17.25" spans="1:44">
      <c r="A18" s="138"/>
      <c r="B18" s="145"/>
      <c r="C18" s="140" t="s">
        <v>429</v>
      </c>
      <c r="D18" s="47"/>
      <c r="K18" s="50"/>
      <c r="L18" s="50"/>
      <c r="M18" s="155"/>
      <c r="N18" s="50"/>
      <c r="O18" s="50"/>
      <c r="P18" s="50"/>
      <c r="Q18" s="50"/>
      <c r="R18" s="50"/>
      <c r="S18" s="50"/>
      <c r="T18" s="50"/>
      <c r="U18" s="50"/>
      <c r="V18" s="155"/>
      <c r="W18" s="169"/>
      <c r="Z18" s="16">
        <v>300</v>
      </c>
      <c r="AC18" s="82"/>
      <c r="AD18" s="184"/>
      <c r="AE18" s="50"/>
      <c r="AF18" s="50"/>
      <c r="AG18" s="192"/>
      <c r="AH18" s="50">
        <f t="shared" si="6"/>
        <v>300</v>
      </c>
      <c r="AI18" s="50">
        <f t="shared" si="7"/>
        <v>1500</v>
      </c>
      <c r="AJ18" s="193">
        <f t="shared" ref="AJ18:AJ26" si="10">3*AI18/52</f>
        <v>86.5384615384615</v>
      </c>
      <c r="AK18" s="194"/>
      <c r="AL18" s="195">
        <f t="shared" si="1"/>
        <v>86.5384615384615</v>
      </c>
      <c r="AM18" s="195">
        <f t="shared" si="2"/>
        <v>-86.5384615384615</v>
      </c>
      <c r="AN18" s="194"/>
      <c r="AO18" s="206"/>
      <c r="AP18" s="171" t="s">
        <v>430</v>
      </c>
      <c r="AQ18" s="145"/>
      <c r="AR18" s="35"/>
    </row>
    <row r="19" ht="17.25" spans="1:44">
      <c r="A19" s="138"/>
      <c r="B19" s="145"/>
      <c r="C19" s="140" t="s">
        <v>431</v>
      </c>
      <c r="D19" s="47"/>
      <c r="K19" s="50"/>
      <c r="L19" s="50"/>
      <c r="M19" s="155"/>
      <c r="N19" s="50"/>
      <c r="O19" s="50"/>
      <c r="P19" s="50"/>
      <c r="Q19" s="50"/>
      <c r="R19" s="50"/>
      <c r="S19" s="50"/>
      <c r="T19" s="50"/>
      <c r="U19" s="50"/>
      <c r="V19" s="155"/>
      <c r="W19" s="169"/>
      <c r="AC19" s="82">
        <v>150</v>
      </c>
      <c r="AD19" s="184"/>
      <c r="AE19" s="50"/>
      <c r="AF19" s="50"/>
      <c r="AG19" s="192"/>
      <c r="AH19" s="50">
        <f t="shared" si="6"/>
        <v>150</v>
      </c>
      <c r="AI19" s="50">
        <f t="shared" si="7"/>
        <v>450</v>
      </c>
      <c r="AJ19" s="193">
        <f t="shared" si="10"/>
        <v>25.9615384615385</v>
      </c>
      <c r="AK19" s="194"/>
      <c r="AL19" s="195">
        <f t="shared" si="1"/>
        <v>25.9615384615385</v>
      </c>
      <c r="AM19" s="195">
        <f t="shared" si="2"/>
        <v>-25.9615384615385</v>
      </c>
      <c r="AN19" s="194"/>
      <c r="AO19" s="206"/>
      <c r="AP19" s="171" t="s">
        <v>431</v>
      </c>
      <c r="AQ19" s="145"/>
      <c r="AR19" s="35"/>
    </row>
    <row r="20" ht="17.25" spans="1:44">
      <c r="A20" s="146"/>
      <c r="B20" s="147"/>
      <c r="C20" s="148" t="s">
        <v>432</v>
      </c>
      <c r="D20" s="61"/>
      <c r="E20" s="61"/>
      <c r="F20" s="61"/>
      <c r="G20" s="61"/>
      <c r="H20" s="61"/>
      <c r="I20" s="61"/>
      <c r="J20" s="61"/>
      <c r="K20" s="167"/>
      <c r="L20" s="167"/>
      <c r="M20" s="148"/>
      <c r="N20" s="167"/>
      <c r="O20" s="167"/>
      <c r="P20" s="167"/>
      <c r="Q20" s="167"/>
      <c r="R20" s="167"/>
      <c r="S20" s="167"/>
      <c r="T20" s="167"/>
      <c r="U20" s="167"/>
      <c r="V20" s="148"/>
      <c r="W20" s="170">
        <v>100</v>
      </c>
      <c r="X20" s="61">
        <v>100</v>
      </c>
      <c r="Y20" s="61"/>
      <c r="Z20" s="61"/>
      <c r="AA20" s="61"/>
      <c r="AB20" s="61"/>
      <c r="AC20" s="79"/>
      <c r="AD20" s="186"/>
      <c r="AE20" s="167"/>
      <c r="AF20" s="167"/>
      <c r="AG20" s="192"/>
      <c r="AH20" s="50">
        <f t="shared" si="6"/>
        <v>200</v>
      </c>
      <c r="AI20" s="50">
        <f t="shared" si="7"/>
        <v>250</v>
      </c>
      <c r="AJ20" s="198">
        <f t="shared" si="10"/>
        <v>14.4230769230769</v>
      </c>
      <c r="AK20" s="196"/>
      <c r="AL20" s="197">
        <f t="shared" si="1"/>
        <v>14.4230769230769</v>
      </c>
      <c r="AM20" s="197">
        <f t="shared" si="2"/>
        <v>-14.4230769230769</v>
      </c>
      <c r="AN20" s="196"/>
      <c r="AO20" s="207"/>
      <c r="AP20" s="170" t="s">
        <v>432</v>
      </c>
      <c r="AQ20" s="147"/>
      <c r="AR20" s="60"/>
    </row>
    <row r="21" spans="1:44">
      <c r="A21" s="149" t="s">
        <v>122</v>
      </c>
      <c r="B21" s="149"/>
      <c r="C21" s="150"/>
      <c r="D21" s="151">
        <f>D3+D7+D10+D13</f>
        <v>5</v>
      </c>
      <c r="E21" s="151">
        <f t="shared" ref="E21:V21" si="11">E3+E7+E10+E13</f>
        <v>0</v>
      </c>
      <c r="F21" s="151">
        <f t="shared" si="11"/>
        <v>0</v>
      </c>
      <c r="G21" s="151">
        <f t="shared" si="11"/>
        <v>0</v>
      </c>
      <c r="H21" s="151">
        <f t="shared" si="11"/>
        <v>0</v>
      </c>
      <c r="I21" s="151">
        <f t="shared" si="11"/>
        <v>0</v>
      </c>
      <c r="J21" s="151">
        <f t="shared" si="11"/>
        <v>0</v>
      </c>
      <c r="K21" s="151">
        <f t="shared" si="11"/>
        <v>0</v>
      </c>
      <c r="L21" s="151">
        <f t="shared" si="11"/>
        <v>0</v>
      </c>
      <c r="M21" s="151">
        <f t="shared" si="11"/>
        <v>0</v>
      </c>
      <c r="N21" s="151">
        <f t="shared" si="11"/>
        <v>25</v>
      </c>
      <c r="O21" s="151">
        <f t="shared" si="11"/>
        <v>0</v>
      </c>
      <c r="P21" s="151">
        <f t="shared" si="11"/>
        <v>0</v>
      </c>
      <c r="Q21" s="151">
        <f t="shared" si="11"/>
        <v>0</v>
      </c>
      <c r="R21" s="151">
        <f t="shared" si="11"/>
        <v>0</v>
      </c>
      <c r="S21" s="151">
        <f t="shared" si="11"/>
        <v>0</v>
      </c>
      <c r="T21" s="151">
        <f t="shared" si="11"/>
        <v>0</v>
      </c>
      <c r="U21" s="151">
        <f t="shared" si="11"/>
        <v>0</v>
      </c>
      <c r="V21" s="151">
        <f t="shared" si="11"/>
        <v>0</v>
      </c>
      <c r="W21" s="151">
        <f>W3+W7+W10+W13+W16</f>
        <v>4500</v>
      </c>
      <c r="X21" s="151">
        <f t="shared" ref="X21:AC21" si="12">X3+X7+X10+X13+X16</f>
        <v>0</v>
      </c>
      <c r="Y21" s="151">
        <f t="shared" si="12"/>
        <v>0</v>
      </c>
      <c r="Z21" s="151">
        <f t="shared" si="12"/>
        <v>0</v>
      </c>
      <c r="AA21" s="151">
        <f t="shared" si="12"/>
        <v>500</v>
      </c>
      <c r="AB21" s="151">
        <f t="shared" si="12"/>
        <v>0</v>
      </c>
      <c r="AC21" s="151">
        <f t="shared" si="12"/>
        <v>0</v>
      </c>
      <c r="AD21" s="151">
        <f>AD3+AD7+AD10+AD13</f>
        <v>200</v>
      </c>
      <c r="AE21" s="151">
        <f>AE3+AE7+AE10+AE13</f>
        <v>750</v>
      </c>
      <c r="AF21" s="151">
        <f t="shared" ref="AF21:AF26" si="13">AE21-AD21</f>
        <v>550</v>
      </c>
      <c r="AG21" s="199">
        <f t="shared" ref="AG21:AG26" si="14">AE21/AD21*100%</f>
        <v>3.75</v>
      </c>
      <c r="AH21" s="200">
        <f t="shared" ref="AH21:AH26" si="15">W21+X21+Y21+Z21+AA21+AB21+AC21</f>
        <v>5000</v>
      </c>
      <c r="AI21" s="159">
        <f t="shared" si="7"/>
        <v>5500</v>
      </c>
      <c r="AJ21" s="201">
        <f t="shared" si="10"/>
        <v>317.307692307692</v>
      </c>
      <c r="AK21" s="202">
        <f t="shared" ref="AK21:AK26" si="16">AJ21/AF21</f>
        <v>0.576923076923077</v>
      </c>
      <c r="AL21" s="201">
        <f t="shared" ref="AL21:AL26" si="17">AD21+AJ21</f>
        <v>517.307692307692</v>
      </c>
      <c r="AM21" s="201">
        <f t="shared" ref="AM21:AM26" si="18">AE21-AL21</f>
        <v>232.692307692308</v>
      </c>
      <c r="AN21" s="202">
        <f t="shared" ref="AN21:AN26" si="19">AE21/AL21</f>
        <v>1.44981412639405</v>
      </c>
      <c r="AO21" s="208">
        <f t="shared" ref="AO21:AO26" si="20">AF21/AH21</f>
        <v>0.11</v>
      </c>
      <c r="AP21" s="209" t="s">
        <v>122</v>
      </c>
      <c r="AQ21" s="210"/>
      <c r="AR21" s="211"/>
    </row>
    <row r="22" spans="1:44">
      <c r="A22" s="149" t="s">
        <v>123</v>
      </c>
      <c r="B22" s="149"/>
      <c r="C22" s="150"/>
      <c r="D22" s="151">
        <f>D6+D9+D12+D15</f>
        <v>20</v>
      </c>
      <c r="E22" s="151">
        <f t="shared" ref="E22:V22" si="21">E6+E9+E12+E15</f>
        <v>0</v>
      </c>
      <c r="F22" s="151">
        <f t="shared" si="21"/>
        <v>10</v>
      </c>
      <c r="G22" s="151">
        <f t="shared" si="21"/>
        <v>30</v>
      </c>
      <c r="H22" s="151">
        <f t="shared" si="21"/>
        <v>50</v>
      </c>
      <c r="I22" s="151">
        <f t="shared" si="21"/>
        <v>10</v>
      </c>
      <c r="J22" s="151">
        <f t="shared" si="21"/>
        <v>5</v>
      </c>
      <c r="K22" s="151">
        <f t="shared" si="21"/>
        <v>30</v>
      </c>
      <c r="L22" s="151">
        <f t="shared" si="21"/>
        <v>10</v>
      </c>
      <c r="M22" s="151">
        <f t="shared" si="21"/>
        <v>5</v>
      </c>
      <c r="N22" s="151">
        <f t="shared" si="21"/>
        <v>400</v>
      </c>
      <c r="O22" s="151">
        <f t="shared" si="21"/>
        <v>1</v>
      </c>
      <c r="P22" s="151">
        <f t="shared" si="21"/>
        <v>1</v>
      </c>
      <c r="Q22" s="151">
        <f t="shared" si="21"/>
        <v>1</v>
      </c>
      <c r="R22" s="151">
        <f t="shared" si="21"/>
        <v>0</v>
      </c>
      <c r="S22" s="151">
        <f t="shared" si="21"/>
        <v>0</v>
      </c>
      <c r="T22" s="151">
        <f t="shared" si="21"/>
        <v>0</v>
      </c>
      <c r="U22" s="151">
        <f t="shared" si="21"/>
        <v>0</v>
      </c>
      <c r="V22" s="151">
        <f t="shared" si="21"/>
        <v>0</v>
      </c>
      <c r="W22" s="151">
        <f>IF(W6+W9+W12+W15+W17&lt;0,0,W6+W9+W12+W15+W17)</f>
        <v>0</v>
      </c>
      <c r="X22" s="151">
        <f t="shared" ref="X22:AC22" si="22">IF(X6+X9+X12+X15+X17&lt;0,0,X6+X9+X12+X15+X17)</f>
        <v>500</v>
      </c>
      <c r="Y22" s="151">
        <f t="shared" si="22"/>
        <v>200</v>
      </c>
      <c r="Z22" s="151">
        <f t="shared" si="22"/>
        <v>500</v>
      </c>
      <c r="AA22" s="151">
        <f t="shared" si="22"/>
        <v>0</v>
      </c>
      <c r="AB22" s="151">
        <f t="shared" si="22"/>
        <v>100</v>
      </c>
      <c r="AC22" s="151">
        <f t="shared" si="22"/>
        <v>0</v>
      </c>
      <c r="AD22" s="151">
        <f>AD6+AD9+AD12+AD15</f>
        <v>8950</v>
      </c>
      <c r="AE22" s="151">
        <f>AE6+AE9+AE12+AE15</f>
        <v>12140</v>
      </c>
      <c r="AF22" s="151">
        <f t="shared" si="13"/>
        <v>3190</v>
      </c>
      <c r="AG22" s="202">
        <f t="shared" si="14"/>
        <v>1.35642458100559</v>
      </c>
      <c r="AH22" s="159">
        <f t="shared" si="15"/>
        <v>1300</v>
      </c>
      <c r="AI22" s="159">
        <f t="shared" si="7"/>
        <v>4450</v>
      </c>
      <c r="AJ22" s="201">
        <f t="shared" si="10"/>
        <v>256.730769230769</v>
      </c>
      <c r="AK22" s="202">
        <f t="shared" si="16"/>
        <v>0.0804798649626236</v>
      </c>
      <c r="AL22" s="201">
        <f t="shared" si="17"/>
        <v>9206.73076923077</v>
      </c>
      <c r="AM22" s="201">
        <f t="shared" si="18"/>
        <v>2933.26923076923</v>
      </c>
      <c r="AN22" s="202">
        <f t="shared" si="19"/>
        <v>1.31860052219321</v>
      </c>
      <c r="AO22" s="208">
        <f t="shared" si="20"/>
        <v>2.45384615384615</v>
      </c>
      <c r="AP22" s="209" t="s">
        <v>123</v>
      </c>
      <c r="AQ22" s="210"/>
      <c r="AR22" s="211"/>
    </row>
    <row r="23" ht="17.25" spans="1:44">
      <c r="A23" s="152" t="s">
        <v>433</v>
      </c>
      <c r="B23" s="153" t="s">
        <v>410</v>
      </c>
      <c r="C23" s="140" t="s">
        <v>411</v>
      </c>
      <c r="D23" s="47">
        <v>5</v>
      </c>
      <c r="K23" s="50"/>
      <c r="L23" s="50"/>
      <c r="M23" s="155"/>
      <c r="N23" s="50"/>
      <c r="O23" s="50">
        <v>15</v>
      </c>
      <c r="P23" s="50"/>
      <c r="Q23" s="50"/>
      <c r="R23" s="50"/>
      <c r="S23" s="50"/>
      <c r="T23" s="50"/>
      <c r="U23" s="50"/>
      <c r="V23" s="50"/>
      <c r="W23" s="169">
        <v>4500</v>
      </c>
      <c r="X23" s="47"/>
      <c r="Y23" s="47"/>
      <c r="Z23" s="47"/>
      <c r="AC23" s="82"/>
      <c r="AD23" s="48">
        <f t="shared" ref="AD23:AD26" si="23">D23*40+E23*30+F23*60+G23*50+H23*30+I23*50+J23*60+K23*80+L23*120+M23*30</f>
        <v>200</v>
      </c>
      <c r="AE23" s="166">
        <f t="shared" ref="AE23:AE26" si="24">N23*30+O23*50+P23*50+Q23*40+R23*100+S23*50+T23*80+U23*30+V23</f>
        <v>750</v>
      </c>
      <c r="AF23" s="166">
        <f t="shared" si="13"/>
        <v>550</v>
      </c>
      <c r="AG23" s="188">
        <f t="shared" si="14"/>
        <v>3.75</v>
      </c>
      <c r="AH23" s="166">
        <f t="shared" si="15"/>
        <v>4500</v>
      </c>
      <c r="AI23" s="50">
        <f t="shared" si="7"/>
        <v>4500</v>
      </c>
      <c r="AJ23" s="189">
        <f t="shared" si="10"/>
        <v>259.615384615385</v>
      </c>
      <c r="AK23" s="190">
        <f t="shared" si="16"/>
        <v>0.472027972027972</v>
      </c>
      <c r="AL23" s="191">
        <f t="shared" si="17"/>
        <v>459.615384615385</v>
      </c>
      <c r="AM23" s="191">
        <f t="shared" si="18"/>
        <v>290.384615384615</v>
      </c>
      <c r="AN23" s="190">
        <f t="shared" si="19"/>
        <v>1.63179916317992</v>
      </c>
      <c r="AO23" s="204">
        <f t="shared" si="20"/>
        <v>0.122222222222222</v>
      </c>
      <c r="AP23" s="172" t="s">
        <v>411</v>
      </c>
      <c r="AQ23" s="136" t="s">
        <v>410</v>
      </c>
      <c r="AR23" s="35" t="s">
        <v>433</v>
      </c>
    </row>
    <row r="24" ht="17.25" spans="1:44">
      <c r="A24" s="152"/>
      <c r="B24" s="153"/>
      <c r="C24" s="140" t="s">
        <v>412</v>
      </c>
      <c r="D24" s="47">
        <v>10</v>
      </c>
      <c r="E24" s="16">
        <v>10</v>
      </c>
      <c r="K24" s="50"/>
      <c r="L24" s="50"/>
      <c r="M24" s="155"/>
      <c r="N24" s="50"/>
      <c r="O24" s="50">
        <v>30</v>
      </c>
      <c r="P24" s="50"/>
      <c r="Q24" s="50"/>
      <c r="R24" s="50"/>
      <c r="S24" s="50"/>
      <c r="T24" s="50"/>
      <c r="U24" s="50"/>
      <c r="V24" s="50"/>
      <c r="W24" s="169">
        <v>3750</v>
      </c>
      <c r="X24" s="16">
        <v>900</v>
      </c>
      <c r="Y24" s="16">
        <v>250</v>
      </c>
      <c r="AC24" s="82"/>
      <c r="AD24" s="184">
        <f t="shared" si="23"/>
        <v>700</v>
      </c>
      <c r="AE24" s="50">
        <f t="shared" si="24"/>
        <v>1500</v>
      </c>
      <c r="AF24" s="50">
        <f t="shared" si="13"/>
        <v>800</v>
      </c>
      <c r="AG24" s="192">
        <f t="shared" si="14"/>
        <v>2.14285714285714</v>
      </c>
      <c r="AH24" s="50">
        <f t="shared" si="15"/>
        <v>4900</v>
      </c>
      <c r="AI24" s="50">
        <f t="shared" si="7"/>
        <v>5850</v>
      </c>
      <c r="AJ24" s="193">
        <f t="shared" si="10"/>
        <v>337.5</v>
      </c>
      <c r="AK24" s="194">
        <f t="shared" si="16"/>
        <v>0.421875</v>
      </c>
      <c r="AL24" s="195">
        <f t="shared" si="17"/>
        <v>1037.5</v>
      </c>
      <c r="AM24" s="195">
        <f t="shared" si="18"/>
        <v>462.5</v>
      </c>
      <c r="AN24" s="194">
        <f t="shared" si="19"/>
        <v>1.44578313253012</v>
      </c>
      <c r="AO24" s="206">
        <f t="shared" si="20"/>
        <v>0.163265306122449</v>
      </c>
      <c r="AP24" s="171" t="s">
        <v>412</v>
      </c>
      <c r="AQ24" s="139"/>
      <c r="AR24" s="35"/>
    </row>
    <row r="25" ht="17.25" spans="1:44">
      <c r="A25" s="152"/>
      <c r="B25" s="153"/>
      <c r="C25" s="140" t="s">
        <v>413</v>
      </c>
      <c r="D25" s="47">
        <v>15</v>
      </c>
      <c r="E25" s="16">
        <v>10</v>
      </c>
      <c r="G25" s="16">
        <v>10</v>
      </c>
      <c r="K25" s="50"/>
      <c r="L25" s="50"/>
      <c r="M25" s="155"/>
      <c r="N25" s="50"/>
      <c r="O25" s="50">
        <v>60</v>
      </c>
      <c r="P25" s="50"/>
      <c r="Q25" s="50"/>
      <c r="R25" s="50"/>
      <c r="S25" s="50"/>
      <c r="T25" s="50"/>
      <c r="U25" s="50"/>
      <c r="V25" s="50"/>
      <c r="W25" s="169">
        <v>3000</v>
      </c>
      <c r="X25" s="16">
        <v>1250</v>
      </c>
      <c r="Y25" s="16">
        <v>150</v>
      </c>
      <c r="Z25" s="16">
        <v>100</v>
      </c>
      <c r="AC25" s="82"/>
      <c r="AD25" s="184">
        <f t="shared" si="23"/>
        <v>1400</v>
      </c>
      <c r="AE25" s="50">
        <f t="shared" si="24"/>
        <v>3000</v>
      </c>
      <c r="AF25" s="50">
        <f t="shared" si="13"/>
        <v>1600</v>
      </c>
      <c r="AG25" s="192">
        <f t="shared" si="14"/>
        <v>2.14285714285714</v>
      </c>
      <c r="AH25" s="50">
        <f t="shared" si="15"/>
        <v>4500</v>
      </c>
      <c r="AI25" s="50">
        <f t="shared" si="7"/>
        <v>5825</v>
      </c>
      <c r="AJ25" s="193">
        <f t="shared" si="10"/>
        <v>336.057692307692</v>
      </c>
      <c r="AK25" s="194">
        <f t="shared" si="16"/>
        <v>0.210036057692308</v>
      </c>
      <c r="AL25" s="195">
        <f t="shared" si="17"/>
        <v>1736.05769230769</v>
      </c>
      <c r="AM25" s="195">
        <f t="shared" si="18"/>
        <v>1263.94230769231</v>
      </c>
      <c r="AN25" s="194">
        <f t="shared" si="19"/>
        <v>1.7280531708668</v>
      </c>
      <c r="AO25" s="206">
        <f t="shared" si="20"/>
        <v>0.355555555555556</v>
      </c>
      <c r="AP25" s="171" t="s">
        <v>413</v>
      </c>
      <c r="AQ25" s="139"/>
      <c r="AR25" s="35"/>
    </row>
    <row r="26" ht="17.25" spans="1:44">
      <c r="A26" s="152"/>
      <c r="B26" s="153"/>
      <c r="C26" s="142" t="s">
        <v>414</v>
      </c>
      <c r="D26" s="47">
        <v>20</v>
      </c>
      <c r="F26" s="16">
        <v>5</v>
      </c>
      <c r="G26" s="16">
        <v>10</v>
      </c>
      <c r="H26" s="16">
        <v>30</v>
      </c>
      <c r="K26" s="50"/>
      <c r="L26" s="50"/>
      <c r="M26" s="155"/>
      <c r="N26" s="50"/>
      <c r="O26" s="50">
        <v>100</v>
      </c>
      <c r="P26" s="50"/>
      <c r="Q26" s="50"/>
      <c r="R26" s="50"/>
      <c r="S26" s="50"/>
      <c r="T26" s="50"/>
      <c r="U26" s="50"/>
      <c r="V26" s="50"/>
      <c r="W26" s="169">
        <v>2500</v>
      </c>
      <c r="X26" s="16">
        <v>900</v>
      </c>
      <c r="Y26" s="16">
        <v>100</v>
      </c>
      <c r="Z26" s="16">
        <v>200</v>
      </c>
      <c r="AC26" s="82"/>
      <c r="AD26" s="184">
        <f t="shared" si="23"/>
        <v>2500</v>
      </c>
      <c r="AE26" s="50">
        <f t="shared" si="24"/>
        <v>5000</v>
      </c>
      <c r="AF26" s="50">
        <f t="shared" si="13"/>
        <v>2500</v>
      </c>
      <c r="AG26" s="192">
        <f t="shared" si="14"/>
        <v>2</v>
      </c>
      <c r="AH26" s="50">
        <f t="shared" si="15"/>
        <v>3700</v>
      </c>
      <c r="AI26" s="50">
        <f t="shared" si="7"/>
        <v>5150</v>
      </c>
      <c r="AJ26" s="193">
        <f t="shared" si="10"/>
        <v>297.115384615385</v>
      </c>
      <c r="AK26" s="196">
        <f t="shared" si="16"/>
        <v>0.118846153846154</v>
      </c>
      <c r="AL26" s="197">
        <f t="shared" si="17"/>
        <v>2797.11538461538</v>
      </c>
      <c r="AM26" s="197">
        <f t="shared" si="18"/>
        <v>2202.88461538462</v>
      </c>
      <c r="AN26" s="196">
        <f t="shared" si="19"/>
        <v>1.78755586112066</v>
      </c>
      <c r="AO26" s="206">
        <f t="shared" si="20"/>
        <v>0.675675675675676</v>
      </c>
      <c r="AP26" s="174" t="s">
        <v>414</v>
      </c>
      <c r="AQ26" s="141"/>
      <c r="AR26" s="35"/>
    </row>
    <row r="27" ht="17.25" spans="1:44">
      <c r="A27" s="152"/>
      <c r="B27" s="154" t="s">
        <v>247</v>
      </c>
      <c r="C27" s="82" t="s">
        <v>415</v>
      </c>
      <c r="D27" s="48"/>
      <c r="E27" s="48"/>
      <c r="F27" s="48"/>
      <c r="G27" s="48"/>
      <c r="H27" s="48"/>
      <c r="I27" s="48"/>
      <c r="J27" s="48"/>
      <c r="K27" s="166"/>
      <c r="L27" s="166"/>
      <c r="M27" s="144"/>
      <c r="N27" s="166"/>
      <c r="O27" s="166"/>
      <c r="P27" s="166"/>
      <c r="Q27" s="166"/>
      <c r="R27" s="166"/>
      <c r="S27" s="166"/>
      <c r="T27" s="166"/>
      <c r="U27" s="166"/>
      <c r="V27" s="166"/>
      <c r="W27" s="168"/>
      <c r="X27" s="48"/>
      <c r="Y27" s="48"/>
      <c r="Z27" s="48"/>
      <c r="AA27" s="48"/>
      <c r="AB27" s="48"/>
      <c r="AC27" s="78"/>
      <c r="AD27" s="185"/>
      <c r="AE27" s="166"/>
      <c r="AF27" s="166"/>
      <c r="AG27" s="188"/>
      <c r="AH27" s="166"/>
      <c r="AI27" s="166"/>
      <c r="AJ27" s="189"/>
      <c r="AK27" s="194"/>
      <c r="AL27" s="195"/>
      <c r="AM27" s="195"/>
      <c r="AN27" s="194"/>
      <c r="AO27" s="204"/>
      <c r="AP27" s="111" t="s">
        <v>415</v>
      </c>
      <c r="AQ27" s="139" t="s">
        <v>247</v>
      </c>
      <c r="AR27" s="35"/>
    </row>
    <row r="28" ht="17.25" spans="1:44">
      <c r="A28" s="152"/>
      <c r="B28" s="153"/>
      <c r="C28" s="82" t="s">
        <v>416</v>
      </c>
      <c r="D28" s="47"/>
      <c r="I28" s="16">
        <v>10</v>
      </c>
      <c r="K28" s="50"/>
      <c r="L28" s="50"/>
      <c r="M28" s="155"/>
      <c r="N28" s="50"/>
      <c r="O28" s="50">
        <v>25</v>
      </c>
      <c r="P28" s="50"/>
      <c r="Q28" s="50"/>
      <c r="R28" s="50"/>
      <c r="S28" s="50"/>
      <c r="T28" s="50"/>
      <c r="U28" s="50"/>
      <c r="V28" s="50"/>
      <c r="W28" s="169">
        <v>-500</v>
      </c>
      <c r="X28" s="16">
        <v>350</v>
      </c>
      <c r="Y28" s="16">
        <v>150</v>
      </c>
      <c r="AC28" s="82"/>
      <c r="AD28" s="184">
        <f t="shared" ref="AD28:AD32" si="25">D28*40+E28*30+F28*60+G28*50+H28*30+I28*50+J28*60+K28*80+L28*120+M28*30</f>
        <v>500</v>
      </c>
      <c r="AE28" s="50">
        <f t="shared" ref="AE28:AE32" si="26">N28*30+O28*50+P28*50+Q28*40+R28*100+S28*50+T28*80+U28*30+V28</f>
        <v>1250</v>
      </c>
      <c r="AF28" s="50">
        <f t="shared" ref="AF28:AF32" si="27">AE28-AD28</f>
        <v>750</v>
      </c>
      <c r="AG28" s="192">
        <f t="shared" ref="AG28:AG32" si="28">AE28/AD28*100%</f>
        <v>2.5</v>
      </c>
      <c r="AH28" s="50">
        <f t="shared" ref="AH28:AH32" si="29">W28+X28+Y28+Z28+AA28+AB28+AC28</f>
        <v>0</v>
      </c>
      <c r="AI28" s="50">
        <f t="shared" ref="AI28:AI32" si="30">W28*1+X28*1.5+Y28*3+Z28*5+AA28*2+AB28*6+AC28*3</f>
        <v>475</v>
      </c>
      <c r="AJ28" s="193">
        <f t="shared" ref="AJ28:AJ32" si="31">3*AI28/52</f>
        <v>27.4038461538462</v>
      </c>
      <c r="AK28" s="194">
        <f>AJ28/AF28</f>
        <v>0.0365384615384615</v>
      </c>
      <c r="AL28" s="195">
        <f t="shared" ref="AL28:AL32" si="32">AD28+AJ28</f>
        <v>527.403846153846</v>
      </c>
      <c r="AM28" s="195">
        <f t="shared" ref="AM28:AM32" si="33">AE28-AL28</f>
        <v>722.596153846154</v>
      </c>
      <c r="AN28" s="194">
        <f t="shared" ref="AN28:AN32" si="34">AE28/AL28</f>
        <v>2.37010027347311</v>
      </c>
      <c r="AO28" s="206"/>
      <c r="AP28" s="111" t="s">
        <v>416</v>
      </c>
      <c r="AQ28" s="139"/>
      <c r="AR28" s="35"/>
    </row>
    <row r="29" ht="17.25" spans="1:44">
      <c r="A29" s="152"/>
      <c r="B29" s="153"/>
      <c r="C29" s="82" t="s">
        <v>417</v>
      </c>
      <c r="D29" s="61"/>
      <c r="E29" s="61"/>
      <c r="F29" s="61"/>
      <c r="G29" s="61"/>
      <c r="H29" s="61"/>
      <c r="I29" s="61">
        <v>10</v>
      </c>
      <c r="J29" s="61">
        <v>5</v>
      </c>
      <c r="K29" s="167"/>
      <c r="L29" s="167"/>
      <c r="M29" s="148"/>
      <c r="N29" s="167"/>
      <c r="O29" s="167">
        <v>50</v>
      </c>
      <c r="P29" s="167"/>
      <c r="Q29" s="167"/>
      <c r="R29" s="167"/>
      <c r="S29" s="167"/>
      <c r="T29" s="167"/>
      <c r="U29" s="167"/>
      <c r="V29" s="167"/>
      <c r="W29" s="170">
        <v>-500</v>
      </c>
      <c r="X29" s="61">
        <v>300</v>
      </c>
      <c r="Y29" s="61">
        <v>100</v>
      </c>
      <c r="Z29" s="61">
        <v>100</v>
      </c>
      <c r="AA29" s="61"/>
      <c r="AB29" s="61"/>
      <c r="AC29" s="79"/>
      <c r="AD29" s="186">
        <f t="shared" si="25"/>
        <v>800</v>
      </c>
      <c r="AE29" s="167">
        <f t="shared" si="26"/>
        <v>2500</v>
      </c>
      <c r="AF29" s="50">
        <f t="shared" si="27"/>
        <v>1700</v>
      </c>
      <c r="AG29" s="192">
        <f t="shared" si="28"/>
        <v>3.125</v>
      </c>
      <c r="AH29" s="50">
        <f t="shared" si="29"/>
        <v>0</v>
      </c>
      <c r="AI29" s="167">
        <f t="shared" si="30"/>
        <v>750</v>
      </c>
      <c r="AJ29" s="198">
        <f t="shared" si="31"/>
        <v>43.2692307692308</v>
      </c>
      <c r="AK29" s="196">
        <f>AJ29/AF29</f>
        <v>0.0254524886877828</v>
      </c>
      <c r="AL29" s="197">
        <f t="shared" si="32"/>
        <v>843.269230769231</v>
      </c>
      <c r="AM29" s="197">
        <f t="shared" si="33"/>
        <v>1656.73076923077</v>
      </c>
      <c r="AN29" s="196">
        <f t="shared" si="34"/>
        <v>2.96465222348917</v>
      </c>
      <c r="AO29" s="207"/>
      <c r="AP29" s="111" t="s">
        <v>417</v>
      </c>
      <c r="AQ29" s="139"/>
      <c r="AR29" s="35"/>
    </row>
    <row r="30" ht="17.25" spans="1:44">
      <c r="A30" s="152"/>
      <c r="B30" s="154" t="s">
        <v>418</v>
      </c>
      <c r="C30" s="78" t="s">
        <v>419</v>
      </c>
      <c r="D30" s="47"/>
      <c r="K30" s="50"/>
      <c r="L30" s="50"/>
      <c r="M30" s="155"/>
      <c r="N30" s="50"/>
      <c r="O30" s="50"/>
      <c r="P30" s="50"/>
      <c r="Q30" s="50"/>
      <c r="R30" s="50"/>
      <c r="S30" s="50"/>
      <c r="T30" s="50"/>
      <c r="U30" s="50"/>
      <c r="V30" s="50"/>
      <c r="W30" s="169"/>
      <c r="AC30" s="82"/>
      <c r="AD30" s="184"/>
      <c r="AE30" s="50"/>
      <c r="AF30" s="166"/>
      <c r="AG30" s="188"/>
      <c r="AH30" s="166"/>
      <c r="AI30" s="50"/>
      <c r="AJ30" s="193"/>
      <c r="AK30" s="194"/>
      <c r="AL30" s="195"/>
      <c r="AM30" s="195"/>
      <c r="AN30" s="194"/>
      <c r="AO30" s="206"/>
      <c r="AP30" s="106" t="s">
        <v>419</v>
      </c>
      <c r="AQ30" s="136" t="s">
        <v>418</v>
      </c>
      <c r="AR30" s="35"/>
    </row>
    <row r="31" ht="17.25" spans="1:44">
      <c r="A31" s="152"/>
      <c r="B31" s="153"/>
      <c r="C31" s="140" t="s">
        <v>420</v>
      </c>
      <c r="D31" s="47"/>
      <c r="K31" s="50">
        <v>10</v>
      </c>
      <c r="L31" s="50"/>
      <c r="M31" s="155"/>
      <c r="N31" s="50"/>
      <c r="O31" s="50">
        <v>20</v>
      </c>
      <c r="P31" s="50"/>
      <c r="Q31" s="50"/>
      <c r="R31" s="50"/>
      <c r="S31" s="50"/>
      <c r="T31" s="50"/>
      <c r="U31" s="50"/>
      <c r="V31" s="50"/>
      <c r="W31" s="169">
        <v>-1200</v>
      </c>
      <c r="Z31" s="16">
        <v>50</v>
      </c>
      <c r="AC31" s="82"/>
      <c r="AD31" s="184">
        <f t="shared" si="25"/>
        <v>800</v>
      </c>
      <c r="AE31" s="50">
        <f t="shared" si="26"/>
        <v>1000</v>
      </c>
      <c r="AF31" s="50">
        <f t="shared" si="27"/>
        <v>200</v>
      </c>
      <c r="AG31" s="192">
        <f t="shared" si="28"/>
        <v>1.25</v>
      </c>
      <c r="AH31" s="50">
        <f t="shared" si="29"/>
        <v>-1150</v>
      </c>
      <c r="AI31" s="50">
        <f t="shared" si="30"/>
        <v>-950</v>
      </c>
      <c r="AJ31" s="193">
        <f t="shared" si="31"/>
        <v>-54.8076923076923</v>
      </c>
      <c r="AK31" s="194"/>
      <c r="AL31" s="195">
        <f t="shared" si="32"/>
        <v>745.192307692308</v>
      </c>
      <c r="AM31" s="195">
        <f t="shared" si="33"/>
        <v>254.807692307692</v>
      </c>
      <c r="AN31" s="194">
        <f t="shared" si="34"/>
        <v>1.34193548387097</v>
      </c>
      <c r="AO31" s="206"/>
      <c r="AP31" s="171" t="s">
        <v>420</v>
      </c>
      <c r="AQ31" s="139"/>
      <c r="AR31" s="35"/>
    </row>
    <row r="32" ht="17.25" spans="1:44">
      <c r="A32" s="152"/>
      <c r="B32" s="153"/>
      <c r="C32" s="79" t="s">
        <v>421</v>
      </c>
      <c r="D32" s="47"/>
      <c r="F32" s="16">
        <v>5</v>
      </c>
      <c r="H32" s="16">
        <v>20</v>
      </c>
      <c r="K32" s="50">
        <v>20</v>
      </c>
      <c r="L32" s="50">
        <v>10</v>
      </c>
      <c r="M32" s="155"/>
      <c r="N32" s="50"/>
      <c r="O32" s="50">
        <v>65</v>
      </c>
      <c r="P32" s="50"/>
      <c r="Q32" s="50"/>
      <c r="R32" s="50"/>
      <c r="S32" s="50"/>
      <c r="T32" s="50"/>
      <c r="U32" s="50"/>
      <c r="V32" s="50"/>
      <c r="W32" s="169">
        <v>-5000</v>
      </c>
      <c r="X32" s="16">
        <v>-300</v>
      </c>
      <c r="Y32" s="16">
        <v>100</v>
      </c>
      <c r="Z32" s="16">
        <v>100</v>
      </c>
      <c r="AC32" s="82"/>
      <c r="AD32" s="184">
        <f t="shared" si="25"/>
        <v>3700</v>
      </c>
      <c r="AE32" s="50">
        <f t="shared" si="26"/>
        <v>3250</v>
      </c>
      <c r="AF32" s="50">
        <f t="shared" si="27"/>
        <v>-450</v>
      </c>
      <c r="AG32" s="192">
        <f t="shared" si="28"/>
        <v>0.878378378378378</v>
      </c>
      <c r="AH32" s="50">
        <f t="shared" si="29"/>
        <v>-5100</v>
      </c>
      <c r="AI32" s="50">
        <f t="shared" si="30"/>
        <v>-4650</v>
      </c>
      <c r="AJ32" s="193">
        <f t="shared" si="31"/>
        <v>-268.269230769231</v>
      </c>
      <c r="AK32" s="196"/>
      <c r="AL32" s="197">
        <f t="shared" si="32"/>
        <v>3431.73076923077</v>
      </c>
      <c r="AM32" s="197">
        <f t="shared" si="33"/>
        <v>-181.730769230769</v>
      </c>
      <c r="AN32" s="196">
        <f t="shared" si="34"/>
        <v>0.947043989913141</v>
      </c>
      <c r="AO32" s="206"/>
      <c r="AP32" s="116" t="s">
        <v>421</v>
      </c>
      <c r="AQ32" s="141"/>
      <c r="AR32" s="35"/>
    </row>
    <row r="33" ht="17.25" spans="1:44">
      <c r="A33" s="152"/>
      <c r="B33" s="154" t="s">
        <v>422</v>
      </c>
      <c r="C33" s="82" t="s">
        <v>423</v>
      </c>
      <c r="D33" s="48"/>
      <c r="E33" s="48"/>
      <c r="F33" s="48"/>
      <c r="G33" s="48"/>
      <c r="H33" s="48"/>
      <c r="I33" s="48"/>
      <c r="J33" s="48"/>
      <c r="K33" s="166"/>
      <c r="L33" s="166"/>
      <c r="M33" s="144"/>
      <c r="N33" s="166"/>
      <c r="O33" s="166"/>
      <c r="P33" s="166"/>
      <c r="Q33" s="166"/>
      <c r="R33" s="166"/>
      <c r="S33" s="166"/>
      <c r="T33" s="166"/>
      <c r="U33" s="166"/>
      <c r="V33" s="166"/>
      <c r="W33" s="168"/>
      <c r="X33" s="48"/>
      <c r="Y33" s="48"/>
      <c r="Z33" s="48"/>
      <c r="AA33" s="48"/>
      <c r="AB33" s="48"/>
      <c r="AC33" s="78"/>
      <c r="AD33" s="185"/>
      <c r="AE33" s="166"/>
      <c r="AF33" s="166"/>
      <c r="AG33" s="188"/>
      <c r="AH33" s="166"/>
      <c r="AI33" s="166"/>
      <c r="AJ33" s="189"/>
      <c r="AK33" s="194"/>
      <c r="AL33" s="195"/>
      <c r="AM33" s="195"/>
      <c r="AN33" s="194"/>
      <c r="AO33" s="204"/>
      <c r="AP33" s="111" t="s">
        <v>423</v>
      </c>
      <c r="AQ33" s="139" t="s">
        <v>422</v>
      </c>
      <c r="AR33" s="35"/>
    </row>
    <row r="34" ht="17.25" spans="1:44">
      <c r="A34" s="152"/>
      <c r="B34" s="153"/>
      <c r="C34" s="82" t="s">
        <v>424</v>
      </c>
      <c r="D34" s="47"/>
      <c r="K34" s="50"/>
      <c r="M34" s="155">
        <v>5</v>
      </c>
      <c r="N34" s="50"/>
      <c r="O34" s="50"/>
      <c r="P34" s="50"/>
      <c r="Q34" s="50"/>
      <c r="R34" s="50"/>
      <c r="S34" s="50"/>
      <c r="T34" s="50"/>
      <c r="U34" s="50"/>
      <c r="V34" s="50"/>
      <c r="W34" s="169">
        <v>-500</v>
      </c>
      <c r="X34" s="16">
        <v>-200</v>
      </c>
      <c r="AC34" s="82"/>
      <c r="AD34" s="184">
        <f>D34*40+E34*30+F34*60+G34*50+H34*30+I34*50+J34*60+K34*80+L34*120+M34*30</f>
        <v>150</v>
      </c>
      <c r="AE34" s="50">
        <f>N34*30+O34*50+P34*50+Q34*40+R34*100+S34*50+T34*80+U34*30+V34</f>
        <v>0</v>
      </c>
      <c r="AF34" s="50">
        <f>AE34-AD34</f>
        <v>-150</v>
      </c>
      <c r="AG34" s="192">
        <f>AE34/AD34*100%</f>
        <v>0</v>
      </c>
      <c r="AH34" s="50">
        <f t="shared" ref="AH34:AH46" si="35">W34+X34+Y34+Z34+AA34+AB34+AC34</f>
        <v>-700</v>
      </c>
      <c r="AI34" s="50">
        <f t="shared" ref="AI34:AI46" si="36">W34*1+X34*1.5+Y34*3+Z34*5+AA34*2+AB34*6+AC34*3</f>
        <v>-800</v>
      </c>
      <c r="AJ34" s="193">
        <f t="shared" ref="AJ34:AJ46" si="37">3*AI34/52</f>
        <v>-46.1538461538462</v>
      </c>
      <c r="AK34" s="194"/>
      <c r="AL34" s="195">
        <f t="shared" ref="AL34:AL46" si="38">AD34+AJ34</f>
        <v>103.846153846154</v>
      </c>
      <c r="AM34" s="195">
        <f t="shared" ref="AM34:AM46" si="39">AE34-AL34</f>
        <v>-103.846153846154</v>
      </c>
      <c r="AN34" s="194">
        <f>AE34/AL34</f>
        <v>0</v>
      </c>
      <c r="AO34" s="206"/>
      <c r="AP34" s="111" t="s">
        <v>424</v>
      </c>
      <c r="AQ34" s="139"/>
      <c r="AR34" s="35"/>
    </row>
    <row r="35" ht="17.25" spans="1:44">
      <c r="A35" s="152"/>
      <c r="B35" s="153"/>
      <c r="C35" s="82" t="s">
        <v>425</v>
      </c>
      <c r="D35" s="61"/>
      <c r="E35" s="61"/>
      <c r="F35" s="61"/>
      <c r="G35" s="61">
        <v>20</v>
      </c>
      <c r="H35" s="61"/>
      <c r="I35" s="61"/>
      <c r="J35" s="61"/>
      <c r="K35" s="167">
        <v>10</v>
      </c>
      <c r="L35" s="167"/>
      <c r="M35" s="148">
        <v>5</v>
      </c>
      <c r="N35" s="167">
        <v>1</v>
      </c>
      <c r="O35" s="167">
        <v>35</v>
      </c>
      <c r="P35" s="167">
        <v>1</v>
      </c>
      <c r="Q35" s="167">
        <v>1</v>
      </c>
      <c r="R35" s="167"/>
      <c r="S35" s="167"/>
      <c r="T35" s="167"/>
      <c r="U35" s="167"/>
      <c r="V35" s="167"/>
      <c r="W35" s="170">
        <v>-2500</v>
      </c>
      <c r="X35" s="61">
        <v>-400</v>
      </c>
      <c r="Y35" s="61">
        <v>-100</v>
      </c>
      <c r="Z35" s="61">
        <v>100</v>
      </c>
      <c r="AA35" s="61"/>
      <c r="AB35" s="61"/>
      <c r="AC35" s="79"/>
      <c r="AD35" s="186">
        <f>D35*40+E35*30+F35*60+G35*50+H35*30+I35*50+J35*60+K35*80+L35*120+M35*30</f>
        <v>1950</v>
      </c>
      <c r="AE35" s="167">
        <f>N35*30+O35*50+P35*50+Q35*40+R35*100+S35*50+T35*80+U35*30+V35</f>
        <v>1870</v>
      </c>
      <c r="AF35" s="50">
        <f>AE35-AD35</f>
        <v>-80</v>
      </c>
      <c r="AG35" s="192">
        <f>AE35/AD35*100%</f>
        <v>0.958974358974359</v>
      </c>
      <c r="AH35" s="50">
        <f t="shared" si="35"/>
        <v>-2900</v>
      </c>
      <c r="AI35" s="167">
        <f t="shared" si="36"/>
        <v>-2900</v>
      </c>
      <c r="AJ35" s="198">
        <f t="shared" si="37"/>
        <v>-167.307692307692</v>
      </c>
      <c r="AK35" s="196"/>
      <c r="AL35" s="197">
        <f t="shared" si="38"/>
        <v>1782.69230769231</v>
      </c>
      <c r="AM35" s="197">
        <f t="shared" si="39"/>
        <v>87.3076923076924</v>
      </c>
      <c r="AN35" s="196">
        <f>AE35/AL35</f>
        <v>1.04897518878101</v>
      </c>
      <c r="AO35" s="207"/>
      <c r="AP35" s="111" t="s">
        <v>425</v>
      </c>
      <c r="AQ35" s="139"/>
      <c r="AR35" s="35"/>
    </row>
    <row r="36" ht="17.25" spans="1:44">
      <c r="A36" s="152"/>
      <c r="B36" s="154" t="s">
        <v>426</v>
      </c>
      <c r="C36" s="144" t="s">
        <v>427</v>
      </c>
      <c r="D36" s="47"/>
      <c r="K36" s="50"/>
      <c r="L36" s="50"/>
      <c r="M36" s="155"/>
      <c r="N36" s="50"/>
      <c r="O36" s="50"/>
      <c r="P36" s="50"/>
      <c r="Q36" s="50"/>
      <c r="R36" s="50"/>
      <c r="S36" s="50"/>
      <c r="T36" s="50"/>
      <c r="U36" s="50"/>
      <c r="V36" s="50"/>
      <c r="W36" s="169"/>
      <c r="AA36" s="16">
        <v>500</v>
      </c>
      <c r="AC36" s="82"/>
      <c r="AD36" s="184"/>
      <c r="AE36" s="50"/>
      <c r="AF36" s="166"/>
      <c r="AG36" s="188"/>
      <c r="AH36" s="166">
        <f t="shared" si="35"/>
        <v>500</v>
      </c>
      <c r="AI36" s="50">
        <f t="shared" si="36"/>
        <v>1000</v>
      </c>
      <c r="AJ36" s="193">
        <f t="shared" si="37"/>
        <v>57.6923076923077</v>
      </c>
      <c r="AK36" s="194"/>
      <c r="AL36" s="195">
        <f t="shared" si="38"/>
        <v>57.6923076923077</v>
      </c>
      <c r="AM36" s="195">
        <f t="shared" si="39"/>
        <v>-57.6923076923077</v>
      </c>
      <c r="AN36" s="194"/>
      <c r="AO36" s="206"/>
      <c r="AP36" s="168" t="s">
        <v>427</v>
      </c>
      <c r="AQ36" s="143" t="s">
        <v>426</v>
      </c>
      <c r="AR36" s="35"/>
    </row>
    <row r="37" ht="17.25" spans="1:44">
      <c r="A37" s="152"/>
      <c r="B37" s="153"/>
      <c r="C37" s="140" t="s">
        <v>428</v>
      </c>
      <c r="D37" s="47"/>
      <c r="K37" s="50"/>
      <c r="L37" s="50"/>
      <c r="M37" s="155"/>
      <c r="N37" s="50"/>
      <c r="O37" s="50"/>
      <c r="P37" s="50"/>
      <c r="Q37" s="50"/>
      <c r="R37" s="50"/>
      <c r="S37" s="50"/>
      <c r="T37" s="50"/>
      <c r="U37" s="50"/>
      <c r="V37" s="50"/>
      <c r="W37" s="169"/>
      <c r="AB37" s="16">
        <v>100</v>
      </c>
      <c r="AC37" s="82"/>
      <c r="AD37" s="184"/>
      <c r="AE37" s="50"/>
      <c r="AF37" s="50"/>
      <c r="AG37" s="192"/>
      <c r="AH37" s="50">
        <f t="shared" si="35"/>
        <v>100</v>
      </c>
      <c r="AI37" s="50">
        <f t="shared" si="36"/>
        <v>600</v>
      </c>
      <c r="AJ37" s="193">
        <f t="shared" si="37"/>
        <v>34.6153846153846</v>
      </c>
      <c r="AK37" s="194"/>
      <c r="AL37" s="195">
        <f t="shared" si="38"/>
        <v>34.6153846153846</v>
      </c>
      <c r="AM37" s="195">
        <f t="shared" si="39"/>
        <v>-34.6153846153846</v>
      </c>
      <c r="AN37" s="194"/>
      <c r="AO37" s="206"/>
      <c r="AP37" s="171" t="s">
        <v>428</v>
      </c>
      <c r="AQ37" s="145"/>
      <c r="AR37" s="35"/>
    </row>
    <row r="38" ht="17.25" spans="1:44">
      <c r="A38" s="152"/>
      <c r="B38" s="153"/>
      <c r="C38" s="140" t="s">
        <v>429</v>
      </c>
      <c r="D38" s="47"/>
      <c r="K38" s="50"/>
      <c r="L38" s="50"/>
      <c r="M38" s="155"/>
      <c r="N38" s="50"/>
      <c r="O38" s="50"/>
      <c r="P38" s="50"/>
      <c r="Q38" s="50"/>
      <c r="R38" s="50"/>
      <c r="S38" s="50"/>
      <c r="T38" s="50"/>
      <c r="U38" s="50"/>
      <c r="V38" s="50"/>
      <c r="W38" s="169"/>
      <c r="Z38" s="16">
        <v>300</v>
      </c>
      <c r="AC38" s="82"/>
      <c r="AD38" s="184"/>
      <c r="AE38" s="50"/>
      <c r="AF38" s="50"/>
      <c r="AG38" s="192"/>
      <c r="AH38" s="50">
        <f t="shared" si="35"/>
        <v>300</v>
      </c>
      <c r="AI38" s="50">
        <f t="shared" si="36"/>
        <v>1500</v>
      </c>
      <c r="AJ38" s="193">
        <f t="shared" si="37"/>
        <v>86.5384615384615</v>
      </c>
      <c r="AK38" s="194"/>
      <c r="AL38" s="195">
        <f t="shared" si="38"/>
        <v>86.5384615384615</v>
      </c>
      <c r="AM38" s="195">
        <f t="shared" si="39"/>
        <v>-86.5384615384615</v>
      </c>
      <c r="AN38" s="194"/>
      <c r="AO38" s="206"/>
      <c r="AP38" s="171" t="s">
        <v>430</v>
      </c>
      <c r="AQ38" s="145"/>
      <c r="AR38" s="35"/>
    </row>
    <row r="39" ht="17.25" spans="1:44">
      <c r="A39" s="152"/>
      <c r="B39" s="153"/>
      <c r="C39" s="140" t="s">
        <v>431</v>
      </c>
      <c r="D39" s="47"/>
      <c r="K39" s="50"/>
      <c r="L39" s="50"/>
      <c r="M39" s="155"/>
      <c r="N39" s="50"/>
      <c r="O39" s="50"/>
      <c r="P39" s="50"/>
      <c r="Q39" s="50"/>
      <c r="R39" s="50"/>
      <c r="S39" s="50"/>
      <c r="T39" s="50"/>
      <c r="U39" s="50"/>
      <c r="V39" s="50"/>
      <c r="W39" s="169"/>
      <c r="AC39" s="82">
        <v>150</v>
      </c>
      <c r="AD39" s="184"/>
      <c r="AE39" s="50"/>
      <c r="AF39" s="50"/>
      <c r="AG39" s="192"/>
      <c r="AH39" s="50">
        <f t="shared" si="35"/>
        <v>150</v>
      </c>
      <c r="AI39" s="50">
        <f t="shared" si="36"/>
        <v>450</v>
      </c>
      <c r="AJ39" s="193">
        <f t="shared" si="37"/>
        <v>25.9615384615385</v>
      </c>
      <c r="AK39" s="194"/>
      <c r="AL39" s="195">
        <f t="shared" si="38"/>
        <v>25.9615384615385</v>
      </c>
      <c r="AM39" s="195">
        <f t="shared" si="39"/>
        <v>-25.9615384615385</v>
      </c>
      <c r="AN39" s="194"/>
      <c r="AO39" s="206"/>
      <c r="AP39" s="171" t="s">
        <v>431</v>
      </c>
      <c r="AQ39" s="145"/>
      <c r="AR39" s="35"/>
    </row>
    <row r="40" ht="17.25" spans="1:44">
      <c r="A40" s="152"/>
      <c r="B40" s="153"/>
      <c r="C40" s="155" t="s">
        <v>432</v>
      </c>
      <c r="D40" s="61"/>
      <c r="E40" s="61"/>
      <c r="F40" s="61"/>
      <c r="G40" s="61"/>
      <c r="H40" s="61"/>
      <c r="I40" s="61"/>
      <c r="J40" s="61"/>
      <c r="K40" s="167"/>
      <c r="L40" s="167"/>
      <c r="M40" s="148"/>
      <c r="N40" s="167"/>
      <c r="O40" s="167"/>
      <c r="P40" s="167"/>
      <c r="Q40" s="167"/>
      <c r="R40" s="167"/>
      <c r="S40" s="167"/>
      <c r="T40" s="167"/>
      <c r="U40" s="167"/>
      <c r="V40" s="167"/>
      <c r="W40" s="170">
        <v>100</v>
      </c>
      <c r="X40" s="61">
        <v>100</v>
      </c>
      <c r="Y40" s="61"/>
      <c r="Z40" s="61"/>
      <c r="AA40" s="61"/>
      <c r="AB40" s="61"/>
      <c r="AC40" s="79"/>
      <c r="AD40" s="186"/>
      <c r="AE40" s="167"/>
      <c r="AF40" s="167"/>
      <c r="AG40" s="192"/>
      <c r="AH40" s="50">
        <f t="shared" si="35"/>
        <v>200</v>
      </c>
      <c r="AI40" s="50">
        <f t="shared" si="36"/>
        <v>250</v>
      </c>
      <c r="AJ40" s="198">
        <f t="shared" si="37"/>
        <v>14.4230769230769</v>
      </c>
      <c r="AK40" s="196"/>
      <c r="AL40" s="197">
        <f t="shared" si="38"/>
        <v>14.4230769230769</v>
      </c>
      <c r="AM40" s="197">
        <f t="shared" si="39"/>
        <v>-14.4230769230769</v>
      </c>
      <c r="AN40" s="196"/>
      <c r="AO40" s="207"/>
      <c r="AP40" s="170" t="s">
        <v>432</v>
      </c>
      <c r="AQ40" s="147"/>
      <c r="AR40" s="60"/>
    </row>
    <row r="41" spans="1:44">
      <c r="A41" s="156" t="s">
        <v>122</v>
      </c>
      <c r="B41" s="156"/>
      <c r="C41" s="157"/>
      <c r="D41" s="151">
        <f t="shared" ref="D41:V41" si="40">D23+D27+D30+D33</f>
        <v>5</v>
      </c>
      <c r="E41" s="151">
        <f t="shared" si="40"/>
        <v>0</v>
      </c>
      <c r="F41" s="151">
        <f t="shared" si="40"/>
        <v>0</v>
      </c>
      <c r="G41" s="151">
        <f t="shared" si="40"/>
        <v>0</v>
      </c>
      <c r="H41" s="151">
        <f t="shared" si="40"/>
        <v>0</v>
      </c>
      <c r="I41" s="151">
        <f t="shared" si="40"/>
        <v>0</v>
      </c>
      <c r="J41" s="151">
        <f t="shared" si="40"/>
        <v>0</v>
      </c>
      <c r="K41" s="151">
        <f t="shared" si="40"/>
        <v>0</v>
      </c>
      <c r="L41" s="151">
        <f t="shared" si="40"/>
        <v>0</v>
      </c>
      <c r="M41" s="151">
        <f t="shared" si="40"/>
        <v>0</v>
      </c>
      <c r="N41" s="151">
        <f t="shared" si="40"/>
        <v>0</v>
      </c>
      <c r="O41" s="151">
        <f t="shared" si="40"/>
        <v>15</v>
      </c>
      <c r="P41" s="151">
        <f t="shared" si="40"/>
        <v>0</v>
      </c>
      <c r="Q41" s="151">
        <f t="shared" si="40"/>
        <v>0</v>
      </c>
      <c r="R41" s="151">
        <f t="shared" si="40"/>
        <v>0</v>
      </c>
      <c r="S41" s="151">
        <f t="shared" si="40"/>
        <v>0</v>
      </c>
      <c r="T41" s="151">
        <f t="shared" si="40"/>
        <v>0</v>
      </c>
      <c r="U41" s="151">
        <f t="shared" si="40"/>
        <v>0</v>
      </c>
      <c r="V41" s="151">
        <f t="shared" si="40"/>
        <v>0</v>
      </c>
      <c r="W41" s="151">
        <f t="shared" ref="W41:AC41" si="41">W23+W27+W30+W33+W36</f>
        <v>4500</v>
      </c>
      <c r="X41" s="151">
        <f t="shared" si="41"/>
        <v>0</v>
      </c>
      <c r="Y41" s="151">
        <f t="shared" si="41"/>
        <v>0</v>
      </c>
      <c r="Z41" s="151">
        <f t="shared" si="41"/>
        <v>0</v>
      </c>
      <c r="AA41" s="151">
        <f t="shared" si="41"/>
        <v>500</v>
      </c>
      <c r="AB41" s="151">
        <f t="shared" si="41"/>
        <v>0</v>
      </c>
      <c r="AC41" s="151">
        <f t="shared" si="41"/>
        <v>0</v>
      </c>
      <c r="AD41" s="151">
        <f>AD23+AD27+AD30+AD33</f>
        <v>200</v>
      </c>
      <c r="AE41" s="151">
        <f>AE23+AE27+AE30+AE33</f>
        <v>750</v>
      </c>
      <c r="AF41" s="151">
        <f t="shared" ref="AF41:AF46" si="42">AE41-AD41</f>
        <v>550</v>
      </c>
      <c r="AG41" s="199">
        <f t="shared" ref="AG41:AG46" si="43">AE41/AD41*100%</f>
        <v>3.75</v>
      </c>
      <c r="AH41" s="200">
        <f t="shared" si="35"/>
        <v>5000</v>
      </c>
      <c r="AI41" s="159">
        <f t="shared" si="36"/>
        <v>5500</v>
      </c>
      <c r="AJ41" s="201">
        <f t="shared" si="37"/>
        <v>317.307692307692</v>
      </c>
      <c r="AK41" s="202">
        <f t="shared" ref="AK41:AK46" si="44">AJ41/AF41</f>
        <v>0.576923076923077</v>
      </c>
      <c r="AL41" s="201">
        <f t="shared" si="38"/>
        <v>517.307692307692</v>
      </c>
      <c r="AM41" s="201">
        <f t="shared" si="39"/>
        <v>232.692307692308</v>
      </c>
      <c r="AN41" s="202">
        <f t="shared" ref="AN34:AN46" si="45">AE41/AL41</f>
        <v>1.44981412639405</v>
      </c>
      <c r="AO41" s="208">
        <f t="shared" ref="AO41:AO46" si="46">AF41/AH41</f>
        <v>0.11</v>
      </c>
      <c r="AP41" s="209" t="s">
        <v>122</v>
      </c>
      <c r="AQ41" s="210"/>
      <c r="AR41" s="211"/>
    </row>
    <row r="42" spans="1:44">
      <c r="A42" s="149" t="s">
        <v>123</v>
      </c>
      <c r="B42" s="149"/>
      <c r="C42" s="150"/>
      <c r="D42" s="151">
        <f t="shared" ref="D42:V42" si="47">D26+D29+D32+D35</f>
        <v>20</v>
      </c>
      <c r="E42" s="151">
        <f t="shared" si="47"/>
        <v>0</v>
      </c>
      <c r="F42" s="151">
        <f t="shared" si="47"/>
        <v>10</v>
      </c>
      <c r="G42" s="151">
        <f t="shared" si="47"/>
        <v>30</v>
      </c>
      <c r="H42" s="151">
        <f t="shared" si="47"/>
        <v>50</v>
      </c>
      <c r="I42" s="151">
        <f t="shared" si="47"/>
        <v>10</v>
      </c>
      <c r="J42" s="151">
        <f t="shared" si="47"/>
        <v>5</v>
      </c>
      <c r="K42" s="151">
        <f t="shared" si="47"/>
        <v>30</v>
      </c>
      <c r="L42" s="151">
        <f t="shared" si="47"/>
        <v>10</v>
      </c>
      <c r="M42" s="151">
        <f t="shared" si="47"/>
        <v>5</v>
      </c>
      <c r="N42" s="151">
        <f t="shared" si="47"/>
        <v>1</v>
      </c>
      <c r="O42" s="151">
        <f t="shared" si="47"/>
        <v>250</v>
      </c>
      <c r="P42" s="151">
        <f t="shared" si="47"/>
        <v>1</v>
      </c>
      <c r="Q42" s="151">
        <f t="shared" si="47"/>
        <v>1</v>
      </c>
      <c r="R42" s="151">
        <f t="shared" si="47"/>
        <v>0</v>
      </c>
      <c r="S42" s="151">
        <f t="shared" si="47"/>
        <v>0</v>
      </c>
      <c r="T42" s="151">
        <f t="shared" si="47"/>
        <v>0</v>
      </c>
      <c r="U42" s="151">
        <f t="shared" si="47"/>
        <v>0</v>
      </c>
      <c r="V42" s="151">
        <f t="shared" si="47"/>
        <v>0</v>
      </c>
      <c r="W42" s="151">
        <f t="shared" ref="W42:AC42" si="48">IF(W26+W29+W32+W35+W37&lt;0,0,W26+W29+W32+W35+W37)</f>
        <v>0</v>
      </c>
      <c r="X42" s="151">
        <f t="shared" si="48"/>
        <v>500</v>
      </c>
      <c r="Y42" s="151">
        <f t="shared" si="48"/>
        <v>200</v>
      </c>
      <c r="Z42" s="151">
        <f t="shared" si="48"/>
        <v>500</v>
      </c>
      <c r="AA42" s="151">
        <f t="shared" si="48"/>
        <v>0</v>
      </c>
      <c r="AB42" s="151">
        <f t="shared" si="48"/>
        <v>100</v>
      </c>
      <c r="AC42" s="151">
        <f t="shared" si="48"/>
        <v>0</v>
      </c>
      <c r="AD42" s="151">
        <f>AD26+AD29+AD32+AD35</f>
        <v>8950</v>
      </c>
      <c r="AE42" s="151">
        <f>AE26+AE29+AE32+AE35</f>
        <v>12620</v>
      </c>
      <c r="AF42" s="151">
        <f t="shared" si="42"/>
        <v>3670</v>
      </c>
      <c r="AG42" s="202">
        <f t="shared" si="43"/>
        <v>1.41005586592179</v>
      </c>
      <c r="AH42" s="159">
        <f t="shared" si="35"/>
        <v>1300</v>
      </c>
      <c r="AI42" s="159">
        <f t="shared" si="36"/>
        <v>4450</v>
      </c>
      <c r="AJ42" s="201">
        <f t="shared" si="37"/>
        <v>256.730769230769</v>
      </c>
      <c r="AK42" s="202">
        <f t="shared" si="44"/>
        <v>0.0699538880737791</v>
      </c>
      <c r="AL42" s="201">
        <f t="shared" si="38"/>
        <v>9206.73076923077</v>
      </c>
      <c r="AM42" s="201">
        <f t="shared" si="39"/>
        <v>3413.26923076923</v>
      </c>
      <c r="AN42" s="202">
        <f t="shared" si="45"/>
        <v>1.3707362924282</v>
      </c>
      <c r="AO42" s="208">
        <f t="shared" si="46"/>
        <v>2.82307692307692</v>
      </c>
      <c r="AP42" s="209" t="s">
        <v>123</v>
      </c>
      <c r="AQ42" s="210"/>
      <c r="AR42" s="211"/>
    </row>
    <row r="43" ht="17.25" spans="1:44">
      <c r="A43" s="152" t="s">
        <v>434</v>
      </c>
      <c r="B43" s="153" t="s">
        <v>410</v>
      </c>
      <c r="C43" s="137" t="s">
        <v>411</v>
      </c>
      <c r="D43" s="47">
        <v>5</v>
      </c>
      <c r="K43" s="50"/>
      <c r="L43" s="50"/>
      <c r="M43" s="155"/>
      <c r="N43" s="168"/>
      <c r="O43" s="166"/>
      <c r="P43" s="166">
        <v>20</v>
      </c>
      <c r="Q43" s="166"/>
      <c r="R43" s="166"/>
      <c r="S43" s="166"/>
      <c r="T43" s="166"/>
      <c r="U43" s="166"/>
      <c r="V43" s="166"/>
      <c r="W43" s="168">
        <v>4500</v>
      </c>
      <c r="X43" s="48"/>
      <c r="Y43" s="48"/>
      <c r="Z43" s="48"/>
      <c r="AA43" s="48"/>
      <c r="AB43" s="48"/>
      <c r="AC43" s="78"/>
      <c r="AD43" s="48">
        <f t="shared" ref="AD43:AD46" si="49">D43*40+E43*30+F43*60+G43*50+H43*30+I43*50+J43*60+K43*80+L43*120+M43*30</f>
        <v>200</v>
      </c>
      <c r="AE43" s="166">
        <f t="shared" ref="AE43:AE46" si="50">N43*30+O43*50+P43*50+Q43*40+R43*100+S43*50+T43*80+U43*30+V43</f>
        <v>1000</v>
      </c>
      <c r="AF43" s="166">
        <f t="shared" si="42"/>
        <v>800</v>
      </c>
      <c r="AG43" s="188">
        <f t="shared" si="43"/>
        <v>5</v>
      </c>
      <c r="AH43" s="166">
        <f t="shared" si="35"/>
        <v>4500</v>
      </c>
      <c r="AI43" s="50">
        <f t="shared" si="36"/>
        <v>4500</v>
      </c>
      <c r="AJ43" s="189">
        <f t="shared" si="37"/>
        <v>259.615384615385</v>
      </c>
      <c r="AK43" s="190">
        <f t="shared" si="44"/>
        <v>0.324519230769231</v>
      </c>
      <c r="AL43" s="191">
        <f t="shared" si="38"/>
        <v>459.615384615385</v>
      </c>
      <c r="AM43" s="191">
        <f t="shared" si="39"/>
        <v>540.384615384615</v>
      </c>
      <c r="AN43" s="190">
        <f t="shared" si="45"/>
        <v>2.17573221757322</v>
      </c>
      <c r="AO43" s="204">
        <f t="shared" si="46"/>
        <v>0.177777777777778</v>
      </c>
      <c r="AP43" s="172" t="s">
        <v>411</v>
      </c>
      <c r="AQ43" s="136" t="s">
        <v>410</v>
      </c>
      <c r="AR43" s="35" t="s">
        <v>434</v>
      </c>
    </row>
    <row r="44" ht="17.25" spans="1:44">
      <c r="A44" s="152"/>
      <c r="B44" s="153"/>
      <c r="C44" s="140" t="s">
        <v>412</v>
      </c>
      <c r="D44" s="47">
        <v>10</v>
      </c>
      <c r="E44" s="16">
        <v>10</v>
      </c>
      <c r="K44" s="50"/>
      <c r="L44" s="50"/>
      <c r="M44" s="155"/>
      <c r="N44" s="169"/>
      <c r="O44" s="50"/>
      <c r="P44" s="50">
        <v>40</v>
      </c>
      <c r="Q44" s="50"/>
      <c r="R44" s="50"/>
      <c r="S44" s="50"/>
      <c r="T44" s="50"/>
      <c r="U44" s="50"/>
      <c r="V44" s="50"/>
      <c r="W44" s="169">
        <v>3750</v>
      </c>
      <c r="X44" s="16">
        <v>900</v>
      </c>
      <c r="Y44" s="16">
        <v>250</v>
      </c>
      <c r="AC44" s="82"/>
      <c r="AD44" s="184">
        <f t="shared" si="49"/>
        <v>700</v>
      </c>
      <c r="AE44" s="50">
        <f t="shared" si="50"/>
        <v>2000</v>
      </c>
      <c r="AF44" s="50">
        <f t="shared" si="42"/>
        <v>1300</v>
      </c>
      <c r="AG44" s="192">
        <f t="shared" si="43"/>
        <v>2.85714285714286</v>
      </c>
      <c r="AH44" s="50">
        <f t="shared" si="35"/>
        <v>4900</v>
      </c>
      <c r="AI44" s="50">
        <f t="shared" si="36"/>
        <v>5850</v>
      </c>
      <c r="AJ44" s="193">
        <f t="shared" si="37"/>
        <v>337.5</v>
      </c>
      <c r="AK44" s="194">
        <f t="shared" si="44"/>
        <v>0.259615384615385</v>
      </c>
      <c r="AL44" s="195">
        <f t="shared" si="38"/>
        <v>1037.5</v>
      </c>
      <c r="AM44" s="195">
        <f t="shared" si="39"/>
        <v>962.5</v>
      </c>
      <c r="AN44" s="194">
        <f t="shared" si="45"/>
        <v>1.92771084337349</v>
      </c>
      <c r="AO44" s="206">
        <f t="shared" si="46"/>
        <v>0.26530612244898</v>
      </c>
      <c r="AP44" s="171" t="s">
        <v>412</v>
      </c>
      <c r="AQ44" s="139"/>
      <c r="AR44" s="35"/>
    </row>
    <row r="45" ht="17.25" spans="1:44">
      <c r="A45" s="152"/>
      <c r="B45" s="153"/>
      <c r="C45" s="140" t="s">
        <v>413</v>
      </c>
      <c r="D45" s="47">
        <v>15</v>
      </c>
      <c r="E45" s="16">
        <v>10</v>
      </c>
      <c r="G45" s="16">
        <v>10</v>
      </c>
      <c r="K45" s="50"/>
      <c r="L45" s="50"/>
      <c r="M45" s="155"/>
      <c r="N45" s="169"/>
      <c r="O45" s="50"/>
      <c r="P45" s="50">
        <v>80</v>
      </c>
      <c r="Q45" s="50"/>
      <c r="R45" s="50"/>
      <c r="S45" s="50"/>
      <c r="T45" s="50"/>
      <c r="U45" s="50"/>
      <c r="V45" s="50"/>
      <c r="W45" s="169">
        <v>3000</v>
      </c>
      <c r="X45" s="16">
        <v>1250</v>
      </c>
      <c r="Y45" s="16">
        <v>150</v>
      </c>
      <c r="Z45" s="16">
        <v>100</v>
      </c>
      <c r="AC45" s="82"/>
      <c r="AD45" s="184">
        <f t="shared" si="49"/>
        <v>1400</v>
      </c>
      <c r="AE45" s="50">
        <f t="shared" si="50"/>
        <v>4000</v>
      </c>
      <c r="AF45" s="50">
        <f t="shared" si="42"/>
        <v>2600</v>
      </c>
      <c r="AG45" s="192">
        <f t="shared" si="43"/>
        <v>2.85714285714286</v>
      </c>
      <c r="AH45" s="50">
        <f t="shared" si="35"/>
        <v>4500</v>
      </c>
      <c r="AI45" s="50">
        <f t="shared" si="36"/>
        <v>5825</v>
      </c>
      <c r="AJ45" s="193">
        <f t="shared" si="37"/>
        <v>336.057692307692</v>
      </c>
      <c r="AK45" s="194">
        <f t="shared" si="44"/>
        <v>0.129252958579882</v>
      </c>
      <c r="AL45" s="195">
        <f t="shared" si="38"/>
        <v>1736.05769230769</v>
      </c>
      <c r="AM45" s="195">
        <f t="shared" si="39"/>
        <v>2263.94230769231</v>
      </c>
      <c r="AN45" s="194">
        <f t="shared" si="45"/>
        <v>2.30407089448906</v>
      </c>
      <c r="AO45" s="206">
        <f t="shared" si="46"/>
        <v>0.577777777777778</v>
      </c>
      <c r="AP45" s="171" t="s">
        <v>413</v>
      </c>
      <c r="AQ45" s="139"/>
      <c r="AR45" s="35"/>
    </row>
    <row r="46" ht="17.25" spans="1:44">
      <c r="A46" s="152"/>
      <c r="B46" s="153"/>
      <c r="C46" s="142" t="s">
        <v>414</v>
      </c>
      <c r="D46" s="47">
        <v>20</v>
      </c>
      <c r="F46" s="16">
        <v>5</v>
      </c>
      <c r="G46" s="16">
        <v>10</v>
      </c>
      <c r="H46" s="16">
        <v>30</v>
      </c>
      <c r="K46" s="50"/>
      <c r="L46" s="50"/>
      <c r="M46" s="155"/>
      <c r="N46" s="169"/>
      <c r="O46" s="50"/>
      <c r="P46" s="50">
        <v>130</v>
      </c>
      <c r="Q46" s="50"/>
      <c r="R46" s="50"/>
      <c r="S46" s="50"/>
      <c r="T46" s="50"/>
      <c r="U46" s="50"/>
      <c r="V46" s="50"/>
      <c r="W46" s="169">
        <v>2500</v>
      </c>
      <c r="X46" s="16">
        <v>900</v>
      </c>
      <c r="Y46" s="16">
        <v>100</v>
      </c>
      <c r="Z46" s="16">
        <v>200</v>
      </c>
      <c r="AC46" s="82"/>
      <c r="AD46" s="184">
        <f t="shared" si="49"/>
        <v>2500</v>
      </c>
      <c r="AE46" s="50">
        <f t="shared" si="50"/>
        <v>6500</v>
      </c>
      <c r="AF46" s="50">
        <f t="shared" si="42"/>
        <v>4000</v>
      </c>
      <c r="AG46" s="192">
        <f t="shared" si="43"/>
        <v>2.6</v>
      </c>
      <c r="AH46" s="50">
        <f t="shared" si="35"/>
        <v>3700</v>
      </c>
      <c r="AI46" s="50">
        <f t="shared" si="36"/>
        <v>5150</v>
      </c>
      <c r="AJ46" s="193">
        <f t="shared" si="37"/>
        <v>297.115384615385</v>
      </c>
      <c r="AK46" s="196">
        <f t="shared" si="44"/>
        <v>0.0742788461538462</v>
      </c>
      <c r="AL46" s="197">
        <f t="shared" si="38"/>
        <v>2797.11538461538</v>
      </c>
      <c r="AM46" s="197">
        <f t="shared" si="39"/>
        <v>3702.88461538462</v>
      </c>
      <c r="AN46" s="196">
        <f t="shared" si="45"/>
        <v>2.32382261945686</v>
      </c>
      <c r="AO46" s="206">
        <f t="shared" si="46"/>
        <v>1.08108108108108</v>
      </c>
      <c r="AP46" s="174" t="s">
        <v>414</v>
      </c>
      <c r="AQ46" s="141"/>
      <c r="AR46" s="35"/>
    </row>
    <row r="47" ht="17.25" spans="1:44">
      <c r="A47" s="152"/>
      <c r="B47" s="154" t="s">
        <v>247</v>
      </c>
      <c r="C47" s="82" t="s">
        <v>415</v>
      </c>
      <c r="D47" s="48"/>
      <c r="E47" s="48"/>
      <c r="F47" s="48"/>
      <c r="G47" s="48"/>
      <c r="H47" s="48"/>
      <c r="I47" s="48"/>
      <c r="J47" s="48"/>
      <c r="K47" s="166"/>
      <c r="L47" s="166"/>
      <c r="M47" s="144"/>
      <c r="N47" s="168"/>
      <c r="O47" s="166"/>
      <c r="P47" s="166"/>
      <c r="Q47" s="166"/>
      <c r="R47" s="166"/>
      <c r="S47" s="166"/>
      <c r="T47" s="166"/>
      <c r="U47" s="166"/>
      <c r="V47" s="166"/>
      <c r="W47" s="168"/>
      <c r="X47" s="48"/>
      <c r="Y47" s="48"/>
      <c r="Z47" s="48"/>
      <c r="AA47" s="48"/>
      <c r="AB47" s="48"/>
      <c r="AC47" s="78"/>
      <c r="AD47" s="185"/>
      <c r="AE47" s="166"/>
      <c r="AF47" s="166"/>
      <c r="AG47" s="188"/>
      <c r="AH47" s="166"/>
      <c r="AI47" s="166"/>
      <c r="AJ47" s="189"/>
      <c r="AK47" s="194"/>
      <c r="AL47" s="195"/>
      <c r="AM47" s="195"/>
      <c r="AN47" s="194"/>
      <c r="AO47" s="204"/>
      <c r="AP47" s="111" t="s">
        <v>415</v>
      </c>
      <c r="AQ47" s="139" t="s">
        <v>247</v>
      </c>
      <c r="AR47" s="35"/>
    </row>
    <row r="48" ht="17.25" spans="1:44">
      <c r="A48" s="152"/>
      <c r="B48" s="153"/>
      <c r="C48" s="82" t="s">
        <v>416</v>
      </c>
      <c r="D48" s="47"/>
      <c r="I48" s="16">
        <v>10</v>
      </c>
      <c r="K48" s="50"/>
      <c r="L48" s="50"/>
      <c r="M48" s="155"/>
      <c r="N48" s="169"/>
      <c r="O48" s="50"/>
      <c r="P48" s="50">
        <v>30</v>
      </c>
      <c r="Q48" s="50"/>
      <c r="R48" s="50"/>
      <c r="S48" s="50"/>
      <c r="T48" s="50"/>
      <c r="U48" s="50"/>
      <c r="V48" s="50"/>
      <c r="W48" s="169">
        <v>-500</v>
      </c>
      <c r="X48" s="16">
        <v>350</v>
      </c>
      <c r="Y48" s="16">
        <v>150</v>
      </c>
      <c r="AC48" s="82"/>
      <c r="AD48" s="184">
        <f t="shared" ref="AD48:AD52" si="51">D48*40+E48*30+F48*60+G48*50+H48*30+I48*50+J48*60+K48*80+L48*120+M48*30</f>
        <v>500</v>
      </c>
      <c r="AE48" s="50">
        <f t="shared" ref="AE48:AE52" si="52">N48*30+O48*50+P48*50+Q48*40+R48*100+S48*50+T48*80+U48*30+V48</f>
        <v>1500</v>
      </c>
      <c r="AF48" s="50">
        <f t="shared" ref="AF48:AF52" si="53">AE48-AD48</f>
        <v>1000</v>
      </c>
      <c r="AG48" s="192">
        <f t="shared" ref="AG48:AG52" si="54">AE48/AD48*100%</f>
        <v>3</v>
      </c>
      <c r="AH48" s="50">
        <f t="shared" ref="AH48:AH52" si="55">W48+X48+Y48+Z48+AA48+AB48+AC48</f>
        <v>0</v>
      </c>
      <c r="AI48" s="50">
        <f t="shared" ref="AI48:AI52" si="56">W48*1+X48*1.5+Y48*3+Z48*5+AA48*2+AB48*6+AC48*3</f>
        <v>475</v>
      </c>
      <c r="AJ48" s="193">
        <f t="shared" ref="AJ48:AJ52" si="57">3*AI48/52</f>
        <v>27.4038461538462</v>
      </c>
      <c r="AK48" s="194">
        <f>AJ48/AF48</f>
        <v>0.0274038461538462</v>
      </c>
      <c r="AL48" s="195">
        <f t="shared" ref="AL48:AL52" si="58">AD48+AJ48</f>
        <v>527.403846153846</v>
      </c>
      <c r="AM48" s="195">
        <f t="shared" ref="AM48:AM52" si="59">AE48-AL48</f>
        <v>972.596153846154</v>
      </c>
      <c r="AN48" s="194">
        <f t="shared" ref="AN48:AN52" si="60">AE48/AL48</f>
        <v>2.84412032816773</v>
      </c>
      <c r="AO48" s="206"/>
      <c r="AP48" s="111" t="s">
        <v>416</v>
      </c>
      <c r="AQ48" s="139"/>
      <c r="AR48" s="35"/>
    </row>
    <row r="49" ht="17.25" spans="1:44">
      <c r="A49" s="152"/>
      <c r="B49" s="153"/>
      <c r="C49" s="82" t="s">
        <v>417</v>
      </c>
      <c r="D49" s="61"/>
      <c r="E49" s="61"/>
      <c r="F49" s="61"/>
      <c r="G49" s="61"/>
      <c r="H49" s="61"/>
      <c r="I49" s="61">
        <v>10</v>
      </c>
      <c r="J49" s="61">
        <v>5</v>
      </c>
      <c r="K49" s="167"/>
      <c r="L49" s="167"/>
      <c r="M49" s="148"/>
      <c r="N49" s="170"/>
      <c r="O49" s="167"/>
      <c r="P49" s="167">
        <v>60</v>
      </c>
      <c r="Q49" s="167"/>
      <c r="R49" s="167"/>
      <c r="S49" s="167"/>
      <c r="T49" s="167"/>
      <c r="U49" s="167"/>
      <c r="V49" s="167"/>
      <c r="W49" s="170">
        <v>-500</v>
      </c>
      <c r="X49" s="61">
        <v>300</v>
      </c>
      <c r="Y49" s="61">
        <v>100</v>
      </c>
      <c r="Z49" s="61">
        <v>100</v>
      </c>
      <c r="AA49" s="61"/>
      <c r="AB49" s="61"/>
      <c r="AC49" s="79"/>
      <c r="AD49" s="186">
        <f t="shared" si="51"/>
        <v>800</v>
      </c>
      <c r="AE49" s="167">
        <f t="shared" si="52"/>
        <v>3000</v>
      </c>
      <c r="AF49" s="50">
        <f t="shared" si="53"/>
        <v>2200</v>
      </c>
      <c r="AG49" s="192">
        <f t="shared" si="54"/>
        <v>3.75</v>
      </c>
      <c r="AH49" s="50">
        <f t="shared" si="55"/>
        <v>0</v>
      </c>
      <c r="AI49" s="167">
        <f t="shared" si="56"/>
        <v>750</v>
      </c>
      <c r="AJ49" s="198">
        <f t="shared" si="57"/>
        <v>43.2692307692308</v>
      </c>
      <c r="AK49" s="196">
        <f>AJ49/AF49</f>
        <v>0.0196678321678322</v>
      </c>
      <c r="AL49" s="197">
        <f t="shared" si="58"/>
        <v>843.269230769231</v>
      </c>
      <c r="AM49" s="197">
        <f t="shared" si="59"/>
        <v>2156.73076923077</v>
      </c>
      <c r="AN49" s="196">
        <f t="shared" si="60"/>
        <v>3.557582668187</v>
      </c>
      <c r="AO49" s="207"/>
      <c r="AP49" s="111" t="s">
        <v>417</v>
      </c>
      <c r="AQ49" s="139"/>
      <c r="AR49" s="35"/>
    </row>
    <row r="50" ht="17.25" spans="1:44">
      <c r="A50" s="152"/>
      <c r="B50" s="154" t="s">
        <v>418</v>
      </c>
      <c r="C50" s="78" t="s">
        <v>419</v>
      </c>
      <c r="D50" s="47"/>
      <c r="K50" s="50"/>
      <c r="L50" s="50"/>
      <c r="M50" s="155"/>
      <c r="N50" s="169"/>
      <c r="O50" s="50"/>
      <c r="P50" s="50"/>
      <c r="Q50" s="50"/>
      <c r="R50" s="50"/>
      <c r="S50" s="50"/>
      <c r="T50" s="50"/>
      <c r="U50" s="50"/>
      <c r="V50" s="50"/>
      <c r="W50" s="169"/>
      <c r="AC50" s="82"/>
      <c r="AD50" s="184"/>
      <c r="AE50" s="50"/>
      <c r="AF50" s="166"/>
      <c r="AG50" s="188"/>
      <c r="AH50" s="166"/>
      <c r="AI50" s="50"/>
      <c r="AJ50" s="193"/>
      <c r="AK50" s="194"/>
      <c r="AL50" s="195"/>
      <c r="AM50" s="195"/>
      <c r="AN50" s="194"/>
      <c r="AO50" s="206"/>
      <c r="AP50" s="106" t="s">
        <v>419</v>
      </c>
      <c r="AQ50" s="136" t="s">
        <v>418</v>
      </c>
      <c r="AR50" s="35"/>
    </row>
    <row r="51" ht="17.25" spans="1:44">
      <c r="A51" s="152"/>
      <c r="B51" s="153"/>
      <c r="C51" s="140" t="s">
        <v>420</v>
      </c>
      <c r="D51" s="47"/>
      <c r="K51" s="50">
        <v>10</v>
      </c>
      <c r="L51" s="50"/>
      <c r="M51" s="155"/>
      <c r="N51" s="169"/>
      <c r="O51" s="50"/>
      <c r="P51" s="50">
        <v>20</v>
      </c>
      <c r="Q51" s="50"/>
      <c r="R51" s="50"/>
      <c r="S51" s="50"/>
      <c r="T51" s="50"/>
      <c r="U51" s="50"/>
      <c r="V51" s="50"/>
      <c r="W51" s="169">
        <v>-1200</v>
      </c>
      <c r="Z51" s="16">
        <v>50</v>
      </c>
      <c r="AC51" s="82"/>
      <c r="AD51" s="184">
        <f t="shared" si="51"/>
        <v>800</v>
      </c>
      <c r="AE51" s="50">
        <f t="shared" si="52"/>
        <v>1000</v>
      </c>
      <c r="AF51" s="50">
        <f t="shared" si="53"/>
        <v>200</v>
      </c>
      <c r="AG51" s="192">
        <f t="shared" si="54"/>
        <v>1.25</v>
      </c>
      <c r="AH51" s="50">
        <f t="shared" si="55"/>
        <v>-1150</v>
      </c>
      <c r="AI51" s="50">
        <f t="shared" si="56"/>
        <v>-950</v>
      </c>
      <c r="AJ51" s="193">
        <f t="shared" si="57"/>
        <v>-54.8076923076923</v>
      </c>
      <c r="AK51" s="194"/>
      <c r="AL51" s="195">
        <f t="shared" si="58"/>
        <v>745.192307692308</v>
      </c>
      <c r="AM51" s="195">
        <f t="shared" si="59"/>
        <v>254.807692307692</v>
      </c>
      <c r="AN51" s="194">
        <f t="shared" si="60"/>
        <v>1.34193548387097</v>
      </c>
      <c r="AO51" s="206"/>
      <c r="AP51" s="171" t="s">
        <v>420</v>
      </c>
      <c r="AQ51" s="139"/>
      <c r="AR51" s="35"/>
    </row>
    <row r="52" ht="17.25" spans="1:44">
      <c r="A52" s="152"/>
      <c r="B52" s="153"/>
      <c r="C52" s="79" t="s">
        <v>421</v>
      </c>
      <c r="D52" s="47"/>
      <c r="F52" s="16">
        <v>5</v>
      </c>
      <c r="H52" s="16">
        <v>20</v>
      </c>
      <c r="K52" s="50">
        <v>20</v>
      </c>
      <c r="L52" s="50">
        <v>10</v>
      </c>
      <c r="M52" s="155"/>
      <c r="N52" s="171"/>
      <c r="O52" s="158"/>
      <c r="P52" s="158">
        <v>70</v>
      </c>
      <c r="Q52" s="158"/>
      <c r="R52" s="158"/>
      <c r="S52" s="158"/>
      <c r="T52" s="158"/>
      <c r="U52" s="158"/>
      <c r="V52" s="158"/>
      <c r="W52" s="169">
        <v>-5000</v>
      </c>
      <c r="X52" s="16">
        <v>-300</v>
      </c>
      <c r="Y52" s="16">
        <v>100</v>
      </c>
      <c r="Z52" s="16">
        <v>100</v>
      </c>
      <c r="AC52" s="82"/>
      <c r="AD52" s="184">
        <f t="shared" si="51"/>
        <v>3700</v>
      </c>
      <c r="AE52" s="50">
        <f t="shared" si="52"/>
        <v>3500</v>
      </c>
      <c r="AF52" s="50">
        <f t="shared" si="53"/>
        <v>-200</v>
      </c>
      <c r="AG52" s="192">
        <f t="shared" si="54"/>
        <v>0.945945945945946</v>
      </c>
      <c r="AH52" s="50">
        <f t="shared" si="55"/>
        <v>-5100</v>
      </c>
      <c r="AI52" s="50">
        <f t="shared" si="56"/>
        <v>-4650</v>
      </c>
      <c r="AJ52" s="193">
        <f t="shared" si="57"/>
        <v>-268.269230769231</v>
      </c>
      <c r="AK52" s="196"/>
      <c r="AL52" s="197">
        <f t="shared" si="58"/>
        <v>3431.73076923077</v>
      </c>
      <c r="AM52" s="197">
        <f t="shared" si="59"/>
        <v>68.2692307692309</v>
      </c>
      <c r="AN52" s="196">
        <f t="shared" si="60"/>
        <v>1.01989352759877</v>
      </c>
      <c r="AO52" s="206"/>
      <c r="AP52" s="116" t="s">
        <v>421</v>
      </c>
      <c r="AQ52" s="141"/>
      <c r="AR52" s="35"/>
    </row>
    <row r="53" ht="17.25" spans="1:44">
      <c r="A53" s="152"/>
      <c r="B53" s="154" t="s">
        <v>422</v>
      </c>
      <c r="C53" s="82" t="s">
        <v>423</v>
      </c>
      <c r="D53" s="48"/>
      <c r="E53" s="48"/>
      <c r="F53" s="48"/>
      <c r="G53" s="48"/>
      <c r="H53" s="48"/>
      <c r="I53" s="48"/>
      <c r="J53" s="48"/>
      <c r="K53" s="166"/>
      <c r="L53" s="166"/>
      <c r="M53" s="144"/>
      <c r="N53" s="172"/>
      <c r="O53" s="173"/>
      <c r="P53" s="173"/>
      <c r="Q53" s="173"/>
      <c r="R53" s="173"/>
      <c r="S53" s="173"/>
      <c r="T53" s="173"/>
      <c r="U53" s="173"/>
      <c r="V53" s="173"/>
      <c r="W53" s="168"/>
      <c r="X53" s="48"/>
      <c r="Y53" s="48"/>
      <c r="Z53" s="48"/>
      <c r="AA53" s="48"/>
      <c r="AB53" s="48"/>
      <c r="AC53" s="78"/>
      <c r="AD53" s="185"/>
      <c r="AE53" s="166"/>
      <c r="AF53" s="166"/>
      <c r="AG53" s="188"/>
      <c r="AH53" s="166"/>
      <c r="AI53" s="166"/>
      <c r="AJ53" s="189"/>
      <c r="AK53" s="194"/>
      <c r="AL53" s="195"/>
      <c r="AM53" s="195"/>
      <c r="AN53" s="194"/>
      <c r="AO53" s="204"/>
      <c r="AP53" s="111" t="s">
        <v>423</v>
      </c>
      <c r="AQ53" s="139" t="s">
        <v>422</v>
      </c>
      <c r="AR53" s="35"/>
    </row>
    <row r="54" ht="17.25" spans="1:44">
      <c r="A54" s="152"/>
      <c r="B54" s="153"/>
      <c r="C54" s="82" t="s">
        <v>424</v>
      </c>
      <c r="D54" s="47"/>
      <c r="K54" s="50"/>
      <c r="M54" s="155">
        <v>5</v>
      </c>
      <c r="N54" s="171"/>
      <c r="O54" s="158"/>
      <c r="P54" s="158"/>
      <c r="Q54" s="158"/>
      <c r="R54" s="158"/>
      <c r="S54" s="158"/>
      <c r="T54" s="158"/>
      <c r="U54" s="158"/>
      <c r="V54" s="158"/>
      <c r="W54" s="169">
        <v>-500</v>
      </c>
      <c r="X54" s="16">
        <v>-200</v>
      </c>
      <c r="AC54" s="82"/>
      <c r="AD54" s="184">
        <f>D54*40+E54*30+F54*60+G54*50+H54*30+I54*50+J54*60+K54*80+L54*120+M54*30</f>
        <v>150</v>
      </c>
      <c r="AE54" s="50">
        <f>N54*30+O54*50+P54*50+Q54*40+R54*100+S54*50+T54*80+U54*30+V54</f>
        <v>0</v>
      </c>
      <c r="AF54" s="50">
        <f>AE54-AD54</f>
        <v>-150</v>
      </c>
      <c r="AG54" s="192">
        <f>AE54/AD54*100%</f>
        <v>0</v>
      </c>
      <c r="AH54" s="50">
        <f t="shared" ref="AH54:AH66" si="61">W54+X54+Y54+Z54+AA54+AB54+AC54</f>
        <v>-700</v>
      </c>
      <c r="AI54" s="50">
        <f t="shared" ref="AI54:AI66" si="62">W54*1+X54*1.5+Y54*3+Z54*5+AA54*2+AB54*6+AC54*3</f>
        <v>-800</v>
      </c>
      <c r="AJ54" s="193">
        <f t="shared" ref="AJ54:AJ66" si="63">3*AI54/52</f>
        <v>-46.1538461538462</v>
      </c>
      <c r="AK54" s="194"/>
      <c r="AL54" s="195">
        <f t="shared" ref="AL54:AL66" si="64">AD54+AJ54</f>
        <v>103.846153846154</v>
      </c>
      <c r="AM54" s="195">
        <f t="shared" ref="AM54:AM66" si="65">AE54-AL54</f>
        <v>-103.846153846154</v>
      </c>
      <c r="AN54" s="194">
        <f>AE54/AL54</f>
        <v>0</v>
      </c>
      <c r="AO54" s="206"/>
      <c r="AP54" s="111" t="s">
        <v>424</v>
      </c>
      <c r="AQ54" s="139"/>
      <c r="AR54" s="35"/>
    </row>
    <row r="55" ht="17.25" spans="1:44">
      <c r="A55" s="152"/>
      <c r="B55" s="153"/>
      <c r="C55" s="82" t="s">
        <v>425</v>
      </c>
      <c r="D55" s="61"/>
      <c r="E55" s="61"/>
      <c r="F55" s="61"/>
      <c r="G55" s="61">
        <v>20</v>
      </c>
      <c r="H55" s="61"/>
      <c r="I55" s="61"/>
      <c r="J55" s="61"/>
      <c r="K55" s="167">
        <v>10</v>
      </c>
      <c r="L55" s="167"/>
      <c r="M55" s="148">
        <v>5</v>
      </c>
      <c r="N55" s="174">
        <v>1</v>
      </c>
      <c r="O55" s="175">
        <v>1</v>
      </c>
      <c r="P55" s="175">
        <v>40</v>
      </c>
      <c r="Q55" s="175">
        <v>1</v>
      </c>
      <c r="R55" s="175"/>
      <c r="S55" s="175"/>
      <c r="T55" s="175"/>
      <c r="U55" s="175"/>
      <c r="V55" s="175"/>
      <c r="W55" s="170">
        <v>-2500</v>
      </c>
      <c r="X55" s="61">
        <v>-400</v>
      </c>
      <c r="Y55" s="61">
        <v>-100</v>
      </c>
      <c r="Z55" s="61">
        <v>100</v>
      </c>
      <c r="AA55" s="61"/>
      <c r="AB55" s="61"/>
      <c r="AC55" s="79"/>
      <c r="AD55" s="186">
        <f>D55*40+E55*30+F55*60+G55*50+H55*30+I55*50+J55*60+K55*80+L55*120+M55*30</f>
        <v>1950</v>
      </c>
      <c r="AE55" s="167">
        <f>N55*30+O55*50+P55*50+Q55*40+R55*100+S55*50+T55*80+U55*30+V55</f>
        <v>2120</v>
      </c>
      <c r="AF55" s="50">
        <f>AE55-AD55</f>
        <v>170</v>
      </c>
      <c r="AG55" s="192">
        <f>AE55/AD55*100%</f>
        <v>1.08717948717949</v>
      </c>
      <c r="AH55" s="50">
        <f t="shared" si="61"/>
        <v>-2900</v>
      </c>
      <c r="AI55" s="167">
        <f t="shared" si="62"/>
        <v>-2900</v>
      </c>
      <c r="AJ55" s="198">
        <f t="shared" si="63"/>
        <v>-167.307692307692</v>
      </c>
      <c r="AK55" s="196"/>
      <c r="AL55" s="197">
        <f t="shared" si="64"/>
        <v>1782.69230769231</v>
      </c>
      <c r="AM55" s="197">
        <f t="shared" si="65"/>
        <v>337.307692307692</v>
      </c>
      <c r="AN55" s="196">
        <f>AE55/AL55</f>
        <v>1.18921251348436</v>
      </c>
      <c r="AO55" s="207"/>
      <c r="AP55" s="111" t="s">
        <v>425</v>
      </c>
      <c r="AQ55" s="139"/>
      <c r="AR55" s="35"/>
    </row>
    <row r="56" ht="17.25" spans="1:44">
      <c r="A56" s="152"/>
      <c r="B56" s="154" t="s">
        <v>426</v>
      </c>
      <c r="C56" s="144" t="s">
        <v>427</v>
      </c>
      <c r="D56" s="158"/>
      <c r="E56" s="158"/>
      <c r="K56" s="50"/>
      <c r="L56" s="50"/>
      <c r="M56" s="158"/>
      <c r="N56" s="171"/>
      <c r="O56" s="158"/>
      <c r="P56" s="158"/>
      <c r="Q56" s="158"/>
      <c r="R56" s="158"/>
      <c r="S56" s="158"/>
      <c r="T56" s="158"/>
      <c r="U56" s="158"/>
      <c r="V56" s="158"/>
      <c r="W56" s="169"/>
      <c r="AA56" s="16">
        <v>500</v>
      </c>
      <c r="AC56" s="82"/>
      <c r="AD56" s="184"/>
      <c r="AE56" s="50"/>
      <c r="AF56" s="166"/>
      <c r="AG56" s="188"/>
      <c r="AH56" s="166">
        <f t="shared" si="61"/>
        <v>500</v>
      </c>
      <c r="AI56" s="50">
        <f t="shared" si="62"/>
        <v>1000</v>
      </c>
      <c r="AJ56" s="193">
        <f t="shared" si="63"/>
        <v>57.6923076923077</v>
      </c>
      <c r="AK56" s="194"/>
      <c r="AL56" s="195">
        <f t="shared" si="64"/>
        <v>57.6923076923077</v>
      </c>
      <c r="AM56" s="195">
        <f t="shared" si="65"/>
        <v>-57.6923076923077</v>
      </c>
      <c r="AN56" s="194"/>
      <c r="AO56" s="206"/>
      <c r="AP56" s="168" t="s">
        <v>427</v>
      </c>
      <c r="AQ56" s="143" t="s">
        <v>426</v>
      </c>
      <c r="AR56" s="35"/>
    </row>
    <row r="57" ht="17.25" spans="1:44">
      <c r="A57" s="152"/>
      <c r="B57" s="153"/>
      <c r="C57" s="140" t="s">
        <v>428</v>
      </c>
      <c r="D57" s="158"/>
      <c r="E57" s="158"/>
      <c r="F57" s="158"/>
      <c r="G57" s="158"/>
      <c r="H57" s="158"/>
      <c r="I57" s="158"/>
      <c r="J57" s="158"/>
      <c r="K57" s="158"/>
      <c r="L57" s="158"/>
      <c r="M57" s="158"/>
      <c r="N57" s="171"/>
      <c r="O57" s="158"/>
      <c r="P57" s="158"/>
      <c r="Q57" s="158"/>
      <c r="R57" s="158"/>
      <c r="S57" s="158"/>
      <c r="T57" s="158"/>
      <c r="U57" s="158"/>
      <c r="V57" s="158"/>
      <c r="W57" s="169"/>
      <c r="AB57" s="16">
        <v>100</v>
      </c>
      <c r="AC57" s="82"/>
      <c r="AD57" s="184"/>
      <c r="AE57" s="50"/>
      <c r="AF57" s="50"/>
      <c r="AG57" s="192"/>
      <c r="AH57" s="50">
        <f t="shared" si="61"/>
        <v>100</v>
      </c>
      <c r="AI57" s="50">
        <f t="shared" si="62"/>
        <v>600</v>
      </c>
      <c r="AJ57" s="193">
        <f t="shared" si="63"/>
        <v>34.6153846153846</v>
      </c>
      <c r="AK57" s="194"/>
      <c r="AL57" s="195">
        <f t="shared" si="64"/>
        <v>34.6153846153846</v>
      </c>
      <c r="AM57" s="195">
        <f t="shared" si="65"/>
        <v>-34.6153846153846</v>
      </c>
      <c r="AN57" s="194"/>
      <c r="AO57" s="206"/>
      <c r="AP57" s="171" t="s">
        <v>428</v>
      </c>
      <c r="AQ57" s="145"/>
      <c r="AR57" s="35"/>
    </row>
    <row r="58" ht="17.25" spans="1:44">
      <c r="A58" s="152"/>
      <c r="B58" s="153"/>
      <c r="C58" s="140" t="s">
        <v>429</v>
      </c>
      <c r="D58" s="158"/>
      <c r="E58" s="158"/>
      <c r="F58" s="158"/>
      <c r="G58" s="158"/>
      <c r="H58" s="158"/>
      <c r="I58" s="158"/>
      <c r="J58" s="158"/>
      <c r="K58" s="158"/>
      <c r="L58" s="158"/>
      <c r="M58" s="158"/>
      <c r="N58" s="171"/>
      <c r="O58" s="158"/>
      <c r="P58" s="158"/>
      <c r="Q58" s="158"/>
      <c r="R58" s="158"/>
      <c r="S58" s="158"/>
      <c r="T58" s="158"/>
      <c r="U58" s="158"/>
      <c r="V58" s="158"/>
      <c r="W58" s="169"/>
      <c r="Z58" s="16">
        <v>300</v>
      </c>
      <c r="AC58" s="82"/>
      <c r="AD58" s="184"/>
      <c r="AE58" s="50"/>
      <c r="AF58" s="50"/>
      <c r="AG58" s="192"/>
      <c r="AH58" s="50">
        <f t="shared" si="61"/>
        <v>300</v>
      </c>
      <c r="AI58" s="50">
        <f t="shared" si="62"/>
        <v>1500</v>
      </c>
      <c r="AJ58" s="193">
        <f t="shared" si="63"/>
        <v>86.5384615384615</v>
      </c>
      <c r="AK58" s="194"/>
      <c r="AL58" s="195">
        <f t="shared" si="64"/>
        <v>86.5384615384615</v>
      </c>
      <c r="AM58" s="195">
        <f t="shared" si="65"/>
        <v>-86.5384615384615</v>
      </c>
      <c r="AN58" s="194"/>
      <c r="AO58" s="206"/>
      <c r="AP58" s="171" t="s">
        <v>430</v>
      </c>
      <c r="AQ58" s="145"/>
      <c r="AR58" s="35"/>
    </row>
    <row r="59" ht="17.25" spans="1:44">
      <c r="A59" s="152"/>
      <c r="B59" s="153"/>
      <c r="C59" s="140" t="s">
        <v>431</v>
      </c>
      <c r="D59" s="158"/>
      <c r="E59" s="158"/>
      <c r="F59" s="158"/>
      <c r="G59" s="158"/>
      <c r="H59" s="158"/>
      <c r="I59" s="158"/>
      <c r="J59" s="158"/>
      <c r="K59" s="158"/>
      <c r="L59" s="158"/>
      <c r="M59" s="158"/>
      <c r="N59" s="171"/>
      <c r="O59" s="158"/>
      <c r="P59" s="158"/>
      <c r="Q59" s="158"/>
      <c r="R59" s="158"/>
      <c r="S59" s="158"/>
      <c r="T59" s="158"/>
      <c r="U59" s="158"/>
      <c r="V59" s="158"/>
      <c r="W59" s="169"/>
      <c r="AC59" s="82">
        <v>150</v>
      </c>
      <c r="AD59" s="184"/>
      <c r="AE59" s="50"/>
      <c r="AF59" s="50"/>
      <c r="AG59" s="192"/>
      <c r="AH59" s="50">
        <f t="shared" si="61"/>
        <v>150</v>
      </c>
      <c r="AI59" s="50">
        <f t="shared" si="62"/>
        <v>450</v>
      </c>
      <c r="AJ59" s="193">
        <f t="shared" si="63"/>
        <v>25.9615384615385</v>
      </c>
      <c r="AK59" s="194"/>
      <c r="AL59" s="195">
        <f t="shared" si="64"/>
        <v>25.9615384615385</v>
      </c>
      <c r="AM59" s="195">
        <f t="shared" si="65"/>
        <v>-25.9615384615385</v>
      </c>
      <c r="AN59" s="194"/>
      <c r="AO59" s="206"/>
      <c r="AP59" s="171" t="s">
        <v>431</v>
      </c>
      <c r="AQ59" s="145"/>
      <c r="AR59" s="35"/>
    </row>
    <row r="60" ht="17.25" spans="1:44">
      <c r="A60" s="152"/>
      <c r="B60" s="153"/>
      <c r="C60" s="155" t="s">
        <v>432</v>
      </c>
      <c r="D60" s="158"/>
      <c r="E60" s="158"/>
      <c r="F60" s="158"/>
      <c r="G60" s="158"/>
      <c r="H60" s="158"/>
      <c r="I60" s="158"/>
      <c r="J60" s="158"/>
      <c r="K60" s="158"/>
      <c r="L60" s="158"/>
      <c r="M60" s="158"/>
      <c r="N60" s="174"/>
      <c r="O60" s="175"/>
      <c r="P60" s="175"/>
      <c r="Q60" s="175"/>
      <c r="R60" s="175"/>
      <c r="S60" s="175"/>
      <c r="T60" s="175"/>
      <c r="U60" s="175"/>
      <c r="V60" s="175"/>
      <c r="W60" s="170">
        <v>100</v>
      </c>
      <c r="X60" s="61">
        <v>100</v>
      </c>
      <c r="Y60" s="61"/>
      <c r="Z60" s="61"/>
      <c r="AA60" s="61"/>
      <c r="AB60" s="61"/>
      <c r="AC60" s="79"/>
      <c r="AD60" s="186"/>
      <c r="AE60" s="167"/>
      <c r="AF60" s="167"/>
      <c r="AG60" s="192"/>
      <c r="AH60" s="50">
        <f t="shared" si="61"/>
        <v>200</v>
      </c>
      <c r="AI60" s="50">
        <f t="shared" si="62"/>
        <v>250</v>
      </c>
      <c r="AJ60" s="198">
        <f t="shared" si="63"/>
        <v>14.4230769230769</v>
      </c>
      <c r="AK60" s="196"/>
      <c r="AL60" s="197">
        <f t="shared" si="64"/>
        <v>14.4230769230769</v>
      </c>
      <c r="AM60" s="197">
        <f t="shared" si="65"/>
        <v>-14.4230769230769</v>
      </c>
      <c r="AN60" s="196"/>
      <c r="AO60" s="207"/>
      <c r="AP60" s="170" t="s">
        <v>432</v>
      </c>
      <c r="AQ60" s="147"/>
      <c r="AR60" s="60"/>
    </row>
    <row r="61" spans="1:44">
      <c r="A61" s="156" t="s">
        <v>122</v>
      </c>
      <c r="B61" s="156"/>
      <c r="C61" s="157"/>
      <c r="D61" s="159">
        <f t="shared" ref="D61:V61" si="66">D43+D47+D50+D53</f>
        <v>5</v>
      </c>
      <c r="E61" s="159">
        <f t="shared" si="66"/>
        <v>0</v>
      </c>
      <c r="F61" s="159">
        <f t="shared" si="66"/>
        <v>0</v>
      </c>
      <c r="G61" s="159">
        <f t="shared" si="66"/>
        <v>0</v>
      </c>
      <c r="H61" s="159">
        <f t="shared" si="66"/>
        <v>0</v>
      </c>
      <c r="I61" s="159">
        <f t="shared" si="66"/>
        <v>0</v>
      </c>
      <c r="J61" s="159">
        <f t="shared" si="66"/>
        <v>0</v>
      </c>
      <c r="K61" s="159">
        <f t="shared" si="66"/>
        <v>0</v>
      </c>
      <c r="L61" s="159">
        <f t="shared" si="66"/>
        <v>0</v>
      </c>
      <c r="M61" s="159">
        <f t="shared" si="66"/>
        <v>0</v>
      </c>
      <c r="N61" s="151">
        <f t="shared" si="66"/>
        <v>0</v>
      </c>
      <c r="O61" s="151">
        <f t="shared" si="66"/>
        <v>0</v>
      </c>
      <c r="P61" s="151">
        <f t="shared" si="66"/>
        <v>20</v>
      </c>
      <c r="Q61" s="151">
        <f t="shared" si="66"/>
        <v>0</v>
      </c>
      <c r="R61" s="151">
        <f t="shared" si="66"/>
        <v>0</v>
      </c>
      <c r="S61" s="151">
        <f t="shared" si="66"/>
        <v>0</v>
      </c>
      <c r="T61" s="151">
        <f t="shared" si="66"/>
        <v>0</v>
      </c>
      <c r="U61" s="151">
        <f t="shared" si="66"/>
        <v>0</v>
      </c>
      <c r="V61" s="151">
        <f t="shared" si="66"/>
        <v>0</v>
      </c>
      <c r="W61" s="151">
        <f t="shared" ref="W61:AC61" si="67">W43+W47+W50+W53+W56</f>
        <v>4500</v>
      </c>
      <c r="X61" s="151">
        <f t="shared" si="67"/>
        <v>0</v>
      </c>
      <c r="Y61" s="151">
        <f t="shared" si="67"/>
        <v>0</v>
      </c>
      <c r="Z61" s="151">
        <f t="shared" si="67"/>
        <v>0</v>
      </c>
      <c r="AA61" s="151">
        <f t="shared" si="67"/>
        <v>500</v>
      </c>
      <c r="AB61" s="151">
        <f t="shared" si="67"/>
        <v>0</v>
      </c>
      <c r="AC61" s="151">
        <f t="shared" si="67"/>
        <v>0</v>
      </c>
      <c r="AD61" s="151">
        <f>AD43+AD47+AD50+AD53</f>
        <v>200</v>
      </c>
      <c r="AE61" s="151">
        <f>AE43+AE47+AE50+AE53</f>
        <v>1000</v>
      </c>
      <c r="AF61" s="151">
        <f t="shared" ref="AF61:AF66" si="68">AE61-AD61</f>
        <v>800</v>
      </c>
      <c r="AG61" s="199">
        <f t="shared" ref="AG61:AG66" si="69">AE61/AD61*100%</f>
        <v>5</v>
      </c>
      <c r="AH61" s="200">
        <f t="shared" si="61"/>
        <v>5000</v>
      </c>
      <c r="AI61" s="159">
        <f t="shared" si="62"/>
        <v>5500</v>
      </c>
      <c r="AJ61" s="201">
        <f t="shared" si="63"/>
        <v>317.307692307692</v>
      </c>
      <c r="AK61" s="202">
        <f t="shared" ref="AK61:AK66" si="70">AJ61/AF61</f>
        <v>0.396634615384615</v>
      </c>
      <c r="AL61" s="201">
        <f t="shared" si="64"/>
        <v>517.307692307692</v>
      </c>
      <c r="AM61" s="201">
        <f t="shared" si="65"/>
        <v>482.692307692308</v>
      </c>
      <c r="AN61" s="202">
        <f t="shared" ref="AN54:AN66" si="71">AE61/AL61</f>
        <v>1.93308550185874</v>
      </c>
      <c r="AO61" s="208">
        <f t="shared" ref="AO61:AO66" si="72">AF61/AH61</f>
        <v>0.16</v>
      </c>
      <c r="AP61" s="209" t="s">
        <v>122</v>
      </c>
      <c r="AQ61" s="210"/>
      <c r="AR61" s="211"/>
    </row>
    <row r="62" spans="1:44">
      <c r="A62" s="149" t="s">
        <v>123</v>
      </c>
      <c r="B62" s="149"/>
      <c r="C62" s="150"/>
      <c r="D62" s="151">
        <f t="shared" ref="D62:V62" si="73">D46+D49+D52+D55</f>
        <v>20</v>
      </c>
      <c r="E62" s="151">
        <f t="shared" si="73"/>
        <v>0</v>
      </c>
      <c r="F62" s="151">
        <f t="shared" si="73"/>
        <v>10</v>
      </c>
      <c r="G62" s="151">
        <f t="shared" si="73"/>
        <v>30</v>
      </c>
      <c r="H62" s="151">
        <f t="shared" si="73"/>
        <v>50</v>
      </c>
      <c r="I62" s="151">
        <f t="shared" si="73"/>
        <v>10</v>
      </c>
      <c r="J62" s="151">
        <f t="shared" si="73"/>
        <v>5</v>
      </c>
      <c r="K62" s="151">
        <f t="shared" si="73"/>
        <v>30</v>
      </c>
      <c r="L62" s="151">
        <f t="shared" si="73"/>
        <v>10</v>
      </c>
      <c r="M62" s="151">
        <f t="shared" si="73"/>
        <v>5</v>
      </c>
      <c r="N62" s="151">
        <f t="shared" si="73"/>
        <v>1</v>
      </c>
      <c r="O62" s="151">
        <f t="shared" si="73"/>
        <v>1</v>
      </c>
      <c r="P62" s="151">
        <f t="shared" si="73"/>
        <v>300</v>
      </c>
      <c r="Q62" s="151">
        <f t="shared" si="73"/>
        <v>1</v>
      </c>
      <c r="R62" s="151">
        <f t="shared" si="73"/>
        <v>0</v>
      </c>
      <c r="S62" s="151">
        <f t="shared" si="73"/>
        <v>0</v>
      </c>
      <c r="T62" s="151">
        <f t="shared" si="73"/>
        <v>0</v>
      </c>
      <c r="U62" s="151">
        <f t="shared" si="73"/>
        <v>0</v>
      </c>
      <c r="V62" s="151">
        <f t="shared" si="73"/>
        <v>0</v>
      </c>
      <c r="W62" s="151">
        <f t="shared" ref="W62:AC62" si="74">IF(W46+W49+W52+W55+W57&lt;0,0,W46+W49+W52+W55+W57)</f>
        <v>0</v>
      </c>
      <c r="X62" s="151">
        <f t="shared" si="74"/>
        <v>500</v>
      </c>
      <c r="Y62" s="151">
        <f t="shared" si="74"/>
        <v>200</v>
      </c>
      <c r="Z62" s="151">
        <f t="shared" si="74"/>
        <v>500</v>
      </c>
      <c r="AA62" s="151">
        <f t="shared" si="74"/>
        <v>0</v>
      </c>
      <c r="AB62" s="151">
        <f t="shared" si="74"/>
        <v>100</v>
      </c>
      <c r="AC62" s="151">
        <f t="shared" si="74"/>
        <v>0</v>
      </c>
      <c r="AD62" s="151">
        <f>AD46+AD49+AD52+AD55</f>
        <v>8950</v>
      </c>
      <c r="AE62" s="151">
        <f>AE46+AE49+AE52+AE55</f>
        <v>15120</v>
      </c>
      <c r="AF62" s="151">
        <f t="shared" si="68"/>
        <v>6170</v>
      </c>
      <c r="AG62" s="202">
        <f t="shared" si="69"/>
        <v>1.68938547486034</v>
      </c>
      <c r="AH62" s="159">
        <f t="shared" si="61"/>
        <v>1300</v>
      </c>
      <c r="AI62" s="159">
        <f t="shared" si="62"/>
        <v>4450</v>
      </c>
      <c r="AJ62" s="201">
        <f t="shared" si="63"/>
        <v>256.730769230769</v>
      </c>
      <c r="AK62" s="202">
        <f t="shared" si="70"/>
        <v>0.0416095249968832</v>
      </c>
      <c r="AL62" s="201">
        <f t="shared" si="64"/>
        <v>9206.73076923077</v>
      </c>
      <c r="AM62" s="201">
        <f t="shared" si="65"/>
        <v>5913.26923076923</v>
      </c>
      <c r="AN62" s="202">
        <f t="shared" si="71"/>
        <v>1.64227676240209</v>
      </c>
      <c r="AO62" s="208">
        <f t="shared" si="72"/>
        <v>4.74615384615385</v>
      </c>
      <c r="AP62" s="209" t="s">
        <v>123</v>
      </c>
      <c r="AQ62" s="210"/>
      <c r="AR62" s="211"/>
    </row>
    <row r="63" ht="17.25" spans="1:44">
      <c r="A63" s="152" t="s">
        <v>435</v>
      </c>
      <c r="B63" s="153" t="s">
        <v>410</v>
      </c>
      <c r="C63" s="140" t="s">
        <v>411</v>
      </c>
      <c r="D63" s="47">
        <v>5</v>
      </c>
      <c r="K63" s="50"/>
      <c r="L63" s="50"/>
      <c r="M63" s="155"/>
      <c r="N63" s="172"/>
      <c r="O63" s="173"/>
      <c r="P63" s="173"/>
      <c r="Q63" s="173">
        <v>20</v>
      </c>
      <c r="R63" s="173"/>
      <c r="S63" s="173"/>
      <c r="T63" s="173"/>
      <c r="U63" s="173"/>
      <c r="V63" s="137"/>
      <c r="W63" s="168">
        <v>4500</v>
      </c>
      <c r="X63" s="48"/>
      <c r="Y63" s="48"/>
      <c r="Z63" s="48"/>
      <c r="AA63" s="48"/>
      <c r="AB63" s="48"/>
      <c r="AC63" s="78"/>
      <c r="AD63" s="48">
        <f t="shared" ref="AD63:AD66" si="75">D63*40+E63*30+F63*60+G63*50+H63*30+I63*50+J63*60+K63*80+L63*120+M63*30</f>
        <v>200</v>
      </c>
      <c r="AE63" s="166">
        <f t="shared" ref="AE63:AE66" si="76">N63*30+O63*50+P63*50+Q63*40+R63*100+S63*50+T63*80+U63*30+V63</f>
        <v>800</v>
      </c>
      <c r="AF63" s="166">
        <f t="shared" si="68"/>
        <v>600</v>
      </c>
      <c r="AG63" s="188">
        <f t="shared" si="69"/>
        <v>4</v>
      </c>
      <c r="AH63" s="166">
        <f t="shared" si="61"/>
        <v>4500</v>
      </c>
      <c r="AI63" s="50">
        <f t="shared" si="62"/>
        <v>4500</v>
      </c>
      <c r="AJ63" s="189">
        <f t="shared" si="63"/>
        <v>259.615384615385</v>
      </c>
      <c r="AK63" s="190">
        <f t="shared" si="70"/>
        <v>0.432692307692308</v>
      </c>
      <c r="AL63" s="191">
        <f t="shared" si="64"/>
        <v>459.615384615385</v>
      </c>
      <c r="AM63" s="191">
        <f t="shared" si="65"/>
        <v>340.384615384615</v>
      </c>
      <c r="AN63" s="190">
        <f t="shared" si="71"/>
        <v>1.74058577405858</v>
      </c>
      <c r="AO63" s="204">
        <f t="shared" si="72"/>
        <v>0.133333333333333</v>
      </c>
      <c r="AP63" s="172" t="s">
        <v>411</v>
      </c>
      <c r="AQ63" s="136" t="s">
        <v>410</v>
      </c>
      <c r="AR63" s="35" t="s">
        <v>435</v>
      </c>
    </row>
    <row r="64" ht="17.25" spans="1:44">
      <c r="A64" s="152"/>
      <c r="B64" s="153"/>
      <c r="C64" s="140" t="s">
        <v>412</v>
      </c>
      <c r="D64" s="47">
        <v>10</v>
      </c>
      <c r="E64" s="16">
        <v>10</v>
      </c>
      <c r="K64" s="50"/>
      <c r="L64" s="50"/>
      <c r="M64" s="155"/>
      <c r="N64" s="171"/>
      <c r="O64" s="158"/>
      <c r="P64" s="158"/>
      <c r="Q64" s="158">
        <v>40</v>
      </c>
      <c r="R64" s="158"/>
      <c r="S64" s="158"/>
      <c r="T64" s="158"/>
      <c r="U64" s="158"/>
      <c r="V64" s="140"/>
      <c r="W64" s="169">
        <v>3750</v>
      </c>
      <c r="X64" s="16">
        <v>900</v>
      </c>
      <c r="Y64" s="16">
        <v>250</v>
      </c>
      <c r="AC64" s="82"/>
      <c r="AD64" s="184">
        <f t="shared" si="75"/>
        <v>700</v>
      </c>
      <c r="AE64" s="50">
        <f t="shared" si="76"/>
        <v>1600</v>
      </c>
      <c r="AF64" s="50">
        <f t="shared" si="68"/>
        <v>900</v>
      </c>
      <c r="AG64" s="192">
        <f t="shared" si="69"/>
        <v>2.28571428571429</v>
      </c>
      <c r="AH64" s="50">
        <f t="shared" si="61"/>
        <v>4900</v>
      </c>
      <c r="AI64" s="50">
        <f t="shared" si="62"/>
        <v>5850</v>
      </c>
      <c r="AJ64" s="193">
        <f t="shared" si="63"/>
        <v>337.5</v>
      </c>
      <c r="AK64" s="194">
        <f t="shared" si="70"/>
        <v>0.375</v>
      </c>
      <c r="AL64" s="195">
        <f t="shared" si="64"/>
        <v>1037.5</v>
      </c>
      <c r="AM64" s="195">
        <f t="shared" si="65"/>
        <v>562.5</v>
      </c>
      <c r="AN64" s="194">
        <f t="shared" si="71"/>
        <v>1.5421686746988</v>
      </c>
      <c r="AO64" s="206">
        <f t="shared" si="72"/>
        <v>0.183673469387755</v>
      </c>
      <c r="AP64" s="171" t="s">
        <v>412</v>
      </c>
      <c r="AQ64" s="139"/>
      <c r="AR64" s="35"/>
    </row>
    <row r="65" ht="17.25" spans="1:44">
      <c r="A65" s="152"/>
      <c r="B65" s="153"/>
      <c r="C65" s="140" t="s">
        <v>413</v>
      </c>
      <c r="D65" s="47">
        <v>15</v>
      </c>
      <c r="E65" s="16">
        <v>10</v>
      </c>
      <c r="G65" s="16">
        <v>10</v>
      </c>
      <c r="K65" s="50"/>
      <c r="L65" s="50"/>
      <c r="M65" s="155"/>
      <c r="N65" s="171"/>
      <c r="O65" s="158"/>
      <c r="P65" s="158"/>
      <c r="Q65" s="158">
        <v>80</v>
      </c>
      <c r="R65" s="158"/>
      <c r="S65" s="158"/>
      <c r="T65" s="158"/>
      <c r="U65" s="158"/>
      <c r="V65" s="140"/>
      <c r="W65" s="169">
        <v>3000</v>
      </c>
      <c r="X65" s="16">
        <v>1250</v>
      </c>
      <c r="Y65" s="16">
        <v>150</v>
      </c>
      <c r="Z65" s="16">
        <v>100</v>
      </c>
      <c r="AC65" s="82"/>
      <c r="AD65" s="184">
        <f t="shared" si="75"/>
        <v>1400</v>
      </c>
      <c r="AE65" s="50">
        <f t="shared" si="76"/>
        <v>3200</v>
      </c>
      <c r="AF65" s="50">
        <f t="shared" si="68"/>
        <v>1800</v>
      </c>
      <c r="AG65" s="192">
        <f t="shared" si="69"/>
        <v>2.28571428571429</v>
      </c>
      <c r="AH65" s="50">
        <f t="shared" si="61"/>
        <v>4500</v>
      </c>
      <c r="AI65" s="50">
        <f t="shared" si="62"/>
        <v>5825</v>
      </c>
      <c r="AJ65" s="193">
        <f t="shared" si="63"/>
        <v>336.057692307692</v>
      </c>
      <c r="AK65" s="194">
        <f t="shared" si="70"/>
        <v>0.186698717948718</v>
      </c>
      <c r="AL65" s="195">
        <f t="shared" si="64"/>
        <v>1736.05769230769</v>
      </c>
      <c r="AM65" s="195">
        <f t="shared" si="65"/>
        <v>1463.94230769231</v>
      </c>
      <c r="AN65" s="194">
        <f t="shared" si="71"/>
        <v>1.84325671559125</v>
      </c>
      <c r="AO65" s="206">
        <f t="shared" si="72"/>
        <v>0.4</v>
      </c>
      <c r="AP65" s="171" t="s">
        <v>413</v>
      </c>
      <c r="AQ65" s="139"/>
      <c r="AR65" s="35"/>
    </row>
    <row r="66" ht="17.25" spans="1:44">
      <c r="A66" s="152"/>
      <c r="B66" s="153"/>
      <c r="C66" s="142" t="s">
        <v>414</v>
      </c>
      <c r="D66" s="47">
        <v>20</v>
      </c>
      <c r="F66" s="16">
        <v>5</v>
      </c>
      <c r="G66" s="16">
        <v>10</v>
      </c>
      <c r="H66" s="16">
        <v>30</v>
      </c>
      <c r="K66" s="50"/>
      <c r="L66" s="50"/>
      <c r="M66" s="155"/>
      <c r="N66" s="111"/>
      <c r="Q66" s="16">
        <v>130</v>
      </c>
      <c r="V66" s="82"/>
      <c r="W66" s="169">
        <v>2500</v>
      </c>
      <c r="X66" s="16">
        <v>900</v>
      </c>
      <c r="Y66" s="16">
        <v>100</v>
      </c>
      <c r="Z66" s="16">
        <v>200</v>
      </c>
      <c r="AC66" s="82"/>
      <c r="AD66" s="184">
        <f t="shared" si="75"/>
        <v>2500</v>
      </c>
      <c r="AE66" s="50">
        <f t="shared" si="76"/>
        <v>5200</v>
      </c>
      <c r="AF66" s="50">
        <f t="shared" si="68"/>
        <v>2700</v>
      </c>
      <c r="AG66" s="192">
        <f t="shared" si="69"/>
        <v>2.08</v>
      </c>
      <c r="AH66" s="50">
        <f t="shared" si="61"/>
        <v>3700</v>
      </c>
      <c r="AI66" s="50">
        <f t="shared" si="62"/>
        <v>5150</v>
      </c>
      <c r="AJ66" s="193">
        <f t="shared" si="63"/>
        <v>297.115384615385</v>
      </c>
      <c r="AK66" s="196">
        <f t="shared" si="70"/>
        <v>0.110042735042735</v>
      </c>
      <c r="AL66" s="197">
        <f t="shared" si="64"/>
        <v>2797.11538461538</v>
      </c>
      <c r="AM66" s="197">
        <f t="shared" si="65"/>
        <v>2402.88461538462</v>
      </c>
      <c r="AN66" s="196">
        <f t="shared" si="71"/>
        <v>1.85905809556549</v>
      </c>
      <c r="AO66" s="206">
        <f t="shared" si="72"/>
        <v>0.72972972972973</v>
      </c>
      <c r="AP66" s="174" t="s">
        <v>414</v>
      </c>
      <c r="AQ66" s="141"/>
      <c r="AR66" s="35"/>
    </row>
    <row r="67" ht="17.25" spans="1:44">
      <c r="A67" s="152"/>
      <c r="B67" s="154" t="s">
        <v>247</v>
      </c>
      <c r="C67" s="82" t="s">
        <v>415</v>
      </c>
      <c r="D67" s="48"/>
      <c r="E67" s="48"/>
      <c r="F67" s="48"/>
      <c r="G67" s="48"/>
      <c r="H67" s="48"/>
      <c r="I67" s="48"/>
      <c r="J67" s="48"/>
      <c r="K67" s="166"/>
      <c r="L67" s="166"/>
      <c r="M67" s="144"/>
      <c r="N67" s="106"/>
      <c r="O67" s="48"/>
      <c r="P67" s="48"/>
      <c r="Q67" s="48"/>
      <c r="R67" s="48"/>
      <c r="S67" s="48"/>
      <c r="T67" s="48"/>
      <c r="U67" s="48"/>
      <c r="V67" s="78"/>
      <c r="W67" s="168"/>
      <c r="X67" s="48"/>
      <c r="Y67" s="48"/>
      <c r="Z67" s="48"/>
      <c r="AA67" s="48"/>
      <c r="AB67" s="48"/>
      <c r="AC67" s="78"/>
      <c r="AD67" s="185"/>
      <c r="AE67" s="166"/>
      <c r="AF67" s="166"/>
      <c r="AG67" s="188"/>
      <c r="AH67" s="166"/>
      <c r="AI67" s="166"/>
      <c r="AJ67" s="189"/>
      <c r="AK67" s="194"/>
      <c r="AL67" s="195"/>
      <c r="AM67" s="195"/>
      <c r="AN67" s="194"/>
      <c r="AO67" s="204"/>
      <c r="AP67" s="111" t="s">
        <v>415</v>
      </c>
      <c r="AQ67" s="139" t="s">
        <v>247</v>
      </c>
      <c r="AR67" s="35"/>
    </row>
    <row r="68" ht="17.25" spans="1:44">
      <c r="A68" s="152"/>
      <c r="B68" s="153"/>
      <c r="C68" s="82" t="s">
        <v>416</v>
      </c>
      <c r="D68" s="47"/>
      <c r="I68" s="16">
        <v>10</v>
      </c>
      <c r="K68" s="50"/>
      <c r="L68" s="50"/>
      <c r="M68" s="155"/>
      <c r="N68" s="111"/>
      <c r="Q68" s="16">
        <v>30</v>
      </c>
      <c r="V68" s="82"/>
      <c r="W68" s="169">
        <v>-500</v>
      </c>
      <c r="X68" s="16">
        <v>350</v>
      </c>
      <c r="Y68" s="16">
        <v>150</v>
      </c>
      <c r="AC68" s="82"/>
      <c r="AD68" s="184">
        <f t="shared" ref="AD68:AD72" si="77">D68*40+E68*30+F68*60+G68*50+H68*30+I68*50+J68*60+K68*80+L68*120+M68*30</f>
        <v>500</v>
      </c>
      <c r="AE68" s="50">
        <f t="shared" ref="AE68:AE72" si="78">N68*30+O68*50+P68*50+Q68*40+R68*100+S68*50+T68*80+U68*30+V68</f>
        <v>1200</v>
      </c>
      <c r="AF68" s="50">
        <f t="shared" ref="AF68:AF72" si="79">AE68-AD68</f>
        <v>700</v>
      </c>
      <c r="AG68" s="192">
        <f t="shared" ref="AG68:AG72" si="80">AE68/AD68*100%</f>
        <v>2.4</v>
      </c>
      <c r="AH68" s="50">
        <f t="shared" ref="AH68:AH72" si="81">W68+X68+Y68+Z68+AA68+AB68+AC68</f>
        <v>0</v>
      </c>
      <c r="AI68" s="50">
        <f t="shared" ref="AI68:AI72" si="82">W68*1+X68*1.5+Y68*3+Z68*5+AA68*2+AB68*6+AC68*3</f>
        <v>475</v>
      </c>
      <c r="AJ68" s="193">
        <f t="shared" ref="AJ68:AJ72" si="83">3*AI68/52</f>
        <v>27.4038461538462</v>
      </c>
      <c r="AK68" s="194">
        <f t="shared" ref="AK68:AK72" si="84">AJ68/AF68</f>
        <v>0.0391483516483516</v>
      </c>
      <c r="AL68" s="195">
        <f t="shared" ref="AL68:AL72" si="85">AD68+AJ68</f>
        <v>527.403846153846</v>
      </c>
      <c r="AM68" s="195">
        <f t="shared" ref="AM68:AM72" si="86">AE68-AL68</f>
        <v>672.596153846154</v>
      </c>
      <c r="AN68" s="194">
        <f t="shared" ref="AN68:AN72" si="87">AE68/AL68</f>
        <v>2.27529626253418</v>
      </c>
      <c r="AO68" s="206"/>
      <c r="AP68" s="111" t="s">
        <v>416</v>
      </c>
      <c r="AQ68" s="139"/>
      <c r="AR68" s="35"/>
    </row>
    <row r="69" ht="17.25" spans="1:44">
      <c r="A69" s="152"/>
      <c r="B69" s="153"/>
      <c r="C69" s="82" t="s">
        <v>417</v>
      </c>
      <c r="D69" s="61"/>
      <c r="E69" s="61"/>
      <c r="F69" s="61"/>
      <c r="G69" s="61"/>
      <c r="H69" s="61"/>
      <c r="I69" s="61">
        <v>10</v>
      </c>
      <c r="J69" s="61">
        <v>5</v>
      </c>
      <c r="K69" s="167"/>
      <c r="L69" s="167"/>
      <c r="M69" s="148"/>
      <c r="N69" s="116"/>
      <c r="O69" s="61"/>
      <c r="P69" s="61"/>
      <c r="Q69" s="61">
        <v>60</v>
      </c>
      <c r="R69" s="61"/>
      <c r="S69" s="61"/>
      <c r="T69" s="61"/>
      <c r="U69" s="61"/>
      <c r="V69" s="79"/>
      <c r="W69" s="170">
        <v>-500</v>
      </c>
      <c r="X69" s="61">
        <v>300</v>
      </c>
      <c r="Y69" s="61">
        <v>100</v>
      </c>
      <c r="Z69" s="61">
        <v>100</v>
      </c>
      <c r="AA69" s="61"/>
      <c r="AB69" s="61"/>
      <c r="AC69" s="79"/>
      <c r="AD69" s="186">
        <f t="shared" si="77"/>
        <v>800</v>
      </c>
      <c r="AE69" s="167">
        <f t="shared" si="78"/>
        <v>2400</v>
      </c>
      <c r="AF69" s="50">
        <f t="shared" si="79"/>
        <v>1600</v>
      </c>
      <c r="AG69" s="192">
        <f t="shared" si="80"/>
        <v>3</v>
      </c>
      <c r="AH69" s="50">
        <f t="shared" si="81"/>
        <v>0</v>
      </c>
      <c r="AI69" s="167">
        <f t="shared" si="82"/>
        <v>750</v>
      </c>
      <c r="AJ69" s="198">
        <f t="shared" si="83"/>
        <v>43.2692307692308</v>
      </c>
      <c r="AK69" s="196">
        <f t="shared" si="84"/>
        <v>0.0270432692307692</v>
      </c>
      <c r="AL69" s="197">
        <f t="shared" si="85"/>
        <v>843.269230769231</v>
      </c>
      <c r="AM69" s="197">
        <f t="shared" si="86"/>
        <v>1556.73076923077</v>
      </c>
      <c r="AN69" s="196">
        <f t="shared" si="87"/>
        <v>2.8460661345496</v>
      </c>
      <c r="AO69" s="207"/>
      <c r="AP69" s="111" t="s">
        <v>417</v>
      </c>
      <c r="AQ69" s="139"/>
      <c r="AR69" s="35"/>
    </row>
    <row r="70" ht="17.25" spans="1:44">
      <c r="A70" s="152"/>
      <c r="B70" s="154" t="s">
        <v>418</v>
      </c>
      <c r="C70" s="78" t="s">
        <v>419</v>
      </c>
      <c r="D70" s="47"/>
      <c r="K70" s="50"/>
      <c r="L70" s="50"/>
      <c r="M70" s="155"/>
      <c r="N70" s="111"/>
      <c r="V70" s="82"/>
      <c r="W70" s="169"/>
      <c r="AC70" s="82"/>
      <c r="AD70" s="184"/>
      <c r="AE70" s="50"/>
      <c r="AF70" s="166"/>
      <c r="AG70" s="188"/>
      <c r="AH70" s="166"/>
      <c r="AI70" s="50"/>
      <c r="AJ70" s="193"/>
      <c r="AK70" s="194"/>
      <c r="AL70" s="195"/>
      <c r="AM70" s="195"/>
      <c r="AN70" s="194"/>
      <c r="AO70" s="206"/>
      <c r="AP70" s="106" t="s">
        <v>419</v>
      </c>
      <c r="AQ70" s="136" t="s">
        <v>418</v>
      </c>
      <c r="AR70" s="35"/>
    </row>
    <row r="71" ht="17.25" spans="1:44">
      <c r="A71" s="152"/>
      <c r="B71" s="153"/>
      <c r="C71" s="140" t="s">
        <v>420</v>
      </c>
      <c r="D71" s="47"/>
      <c r="K71" s="50">
        <v>10</v>
      </c>
      <c r="L71" s="50"/>
      <c r="M71" s="155"/>
      <c r="N71" s="111"/>
      <c r="Q71" s="16">
        <v>20</v>
      </c>
      <c r="V71" s="82"/>
      <c r="W71" s="169">
        <v>-1200</v>
      </c>
      <c r="Z71" s="16">
        <v>50</v>
      </c>
      <c r="AC71" s="82"/>
      <c r="AD71" s="184">
        <f t="shared" si="77"/>
        <v>800</v>
      </c>
      <c r="AE71" s="50">
        <f t="shared" si="78"/>
        <v>800</v>
      </c>
      <c r="AF71" s="50">
        <f t="shared" si="79"/>
        <v>0</v>
      </c>
      <c r="AG71" s="192">
        <f t="shared" si="80"/>
        <v>1</v>
      </c>
      <c r="AH71" s="50">
        <f t="shared" si="81"/>
        <v>-1150</v>
      </c>
      <c r="AI71" s="50">
        <f t="shared" si="82"/>
        <v>-950</v>
      </c>
      <c r="AJ71" s="193">
        <f t="shared" si="83"/>
        <v>-54.8076923076923</v>
      </c>
      <c r="AK71" s="194"/>
      <c r="AL71" s="195">
        <f t="shared" si="85"/>
        <v>745.192307692308</v>
      </c>
      <c r="AM71" s="195">
        <f t="shared" si="86"/>
        <v>54.8076923076923</v>
      </c>
      <c r="AN71" s="194">
        <f t="shared" si="87"/>
        <v>1.07354838709677</v>
      </c>
      <c r="AO71" s="206"/>
      <c r="AP71" s="171" t="s">
        <v>420</v>
      </c>
      <c r="AQ71" s="139"/>
      <c r="AR71" s="35"/>
    </row>
    <row r="72" ht="17.25" spans="1:44">
      <c r="A72" s="152"/>
      <c r="B72" s="153"/>
      <c r="C72" s="79" t="s">
        <v>421</v>
      </c>
      <c r="D72" s="47"/>
      <c r="F72" s="16">
        <v>5</v>
      </c>
      <c r="H72" s="16">
        <v>20</v>
      </c>
      <c r="K72" s="50">
        <v>20</v>
      </c>
      <c r="L72" s="50">
        <v>10</v>
      </c>
      <c r="M72" s="155"/>
      <c r="N72" s="111"/>
      <c r="Q72" s="16">
        <v>70</v>
      </c>
      <c r="V72" s="82"/>
      <c r="W72" s="169">
        <v>-5000</v>
      </c>
      <c r="X72" s="16">
        <v>-300</v>
      </c>
      <c r="Y72" s="16">
        <v>100</v>
      </c>
      <c r="Z72" s="16">
        <v>100</v>
      </c>
      <c r="AC72" s="82"/>
      <c r="AD72" s="184">
        <f t="shared" si="77"/>
        <v>3700</v>
      </c>
      <c r="AE72" s="50">
        <f t="shared" si="78"/>
        <v>2800</v>
      </c>
      <c r="AF72" s="50">
        <f t="shared" si="79"/>
        <v>-900</v>
      </c>
      <c r="AG72" s="192">
        <f t="shared" si="80"/>
        <v>0.756756756756757</v>
      </c>
      <c r="AH72" s="50">
        <f t="shared" si="81"/>
        <v>-5100</v>
      </c>
      <c r="AI72" s="50">
        <f t="shared" si="82"/>
        <v>-4650</v>
      </c>
      <c r="AJ72" s="193">
        <f t="shared" si="83"/>
        <v>-268.269230769231</v>
      </c>
      <c r="AK72" s="196"/>
      <c r="AL72" s="197">
        <f t="shared" si="85"/>
        <v>3431.73076923077</v>
      </c>
      <c r="AM72" s="197">
        <f t="shared" si="86"/>
        <v>-631.730769230769</v>
      </c>
      <c r="AN72" s="196">
        <f t="shared" si="87"/>
        <v>0.815914822079014</v>
      </c>
      <c r="AO72" s="206"/>
      <c r="AP72" s="116" t="s">
        <v>421</v>
      </c>
      <c r="AQ72" s="141"/>
      <c r="AR72" s="35"/>
    </row>
    <row r="73" ht="17.25" spans="1:44">
      <c r="A73" s="152"/>
      <c r="B73" s="154" t="s">
        <v>422</v>
      </c>
      <c r="C73" s="82" t="s">
        <v>423</v>
      </c>
      <c r="D73" s="48"/>
      <c r="E73" s="48"/>
      <c r="F73" s="48"/>
      <c r="G73" s="48"/>
      <c r="H73" s="48"/>
      <c r="I73" s="48"/>
      <c r="J73" s="48"/>
      <c r="K73" s="166"/>
      <c r="L73" s="166"/>
      <c r="M73" s="144"/>
      <c r="N73" s="106"/>
      <c r="O73" s="48"/>
      <c r="P73" s="48"/>
      <c r="Q73" s="48"/>
      <c r="R73" s="48"/>
      <c r="S73" s="48"/>
      <c r="T73" s="48"/>
      <c r="U73" s="48"/>
      <c r="V73" s="78"/>
      <c r="W73" s="168"/>
      <c r="X73" s="48"/>
      <c r="Y73" s="48"/>
      <c r="Z73" s="48"/>
      <c r="AA73" s="48"/>
      <c r="AB73" s="48"/>
      <c r="AC73" s="78"/>
      <c r="AD73" s="185"/>
      <c r="AE73" s="166"/>
      <c r="AF73" s="166"/>
      <c r="AG73" s="188"/>
      <c r="AH73" s="166"/>
      <c r="AI73" s="166"/>
      <c r="AJ73" s="189"/>
      <c r="AK73" s="194"/>
      <c r="AL73" s="195"/>
      <c r="AM73" s="195"/>
      <c r="AN73" s="194"/>
      <c r="AO73" s="204"/>
      <c r="AP73" s="111" t="s">
        <v>423</v>
      </c>
      <c r="AQ73" s="139" t="s">
        <v>422</v>
      </c>
      <c r="AR73" s="35"/>
    </row>
    <row r="74" ht="17.25" spans="1:44">
      <c r="A74" s="152"/>
      <c r="B74" s="153"/>
      <c r="C74" s="82" t="s">
        <v>424</v>
      </c>
      <c r="D74" s="47"/>
      <c r="K74" s="50"/>
      <c r="M74" s="155">
        <v>5</v>
      </c>
      <c r="N74" s="111"/>
      <c r="V74" s="82"/>
      <c r="W74" s="169">
        <v>-500</v>
      </c>
      <c r="X74" s="16">
        <v>-200</v>
      </c>
      <c r="AC74" s="82"/>
      <c r="AD74" s="184">
        <f>D74*40+E74*30+F74*60+G74*50+H74*30+I74*50+J74*60+K74*80+L74*120+M74*30</f>
        <v>150</v>
      </c>
      <c r="AE74" s="50">
        <f>N74*30+O74*50+P74*50+Q74*40+R74*100+S74*50+T74*80+U74*30+V74</f>
        <v>0</v>
      </c>
      <c r="AF74" s="50">
        <f>AE74-AD74</f>
        <v>-150</v>
      </c>
      <c r="AG74" s="192">
        <f>AE74/AD74*100%</f>
        <v>0</v>
      </c>
      <c r="AH74" s="50">
        <f t="shared" ref="AH74:AH86" si="88">W74+X74+Y74+Z74+AA74+AB74+AC74</f>
        <v>-700</v>
      </c>
      <c r="AI74" s="50">
        <f t="shared" ref="AI74:AI86" si="89">W74*1+X74*1.5+Y74*3+Z74*5+AA74*2+AB74*6+AC74*3</f>
        <v>-800</v>
      </c>
      <c r="AJ74" s="193">
        <f t="shared" ref="AJ74:AJ86" si="90">3*AI74/52</f>
        <v>-46.1538461538462</v>
      </c>
      <c r="AK74" s="194"/>
      <c r="AL74" s="195">
        <f t="shared" ref="AL74:AL86" si="91">AD74+AJ74</f>
        <v>103.846153846154</v>
      </c>
      <c r="AM74" s="195">
        <f t="shared" ref="AM74:AM86" si="92">AE74-AL74</f>
        <v>-103.846153846154</v>
      </c>
      <c r="AN74" s="194">
        <f>AE74/AL74</f>
        <v>0</v>
      </c>
      <c r="AO74" s="206"/>
      <c r="AP74" s="111" t="s">
        <v>424</v>
      </c>
      <c r="AQ74" s="139"/>
      <c r="AR74" s="35"/>
    </row>
    <row r="75" ht="17.25" spans="1:44">
      <c r="A75" s="152"/>
      <c r="B75" s="153"/>
      <c r="C75" s="82" t="s">
        <v>425</v>
      </c>
      <c r="D75" s="61"/>
      <c r="E75" s="61"/>
      <c r="F75" s="61"/>
      <c r="G75" s="61">
        <v>20</v>
      </c>
      <c r="H75" s="61"/>
      <c r="I75" s="61"/>
      <c r="J75" s="61"/>
      <c r="K75" s="167">
        <v>10</v>
      </c>
      <c r="L75" s="167"/>
      <c r="M75" s="148">
        <v>5</v>
      </c>
      <c r="N75" s="116">
        <v>1</v>
      </c>
      <c r="O75" s="61">
        <v>1</v>
      </c>
      <c r="P75" s="61">
        <v>1</v>
      </c>
      <c r="Q75" s="61">
        <v>40</v>
      </c>
      <c r="R75" s="61"/>
      <c r="S75" s="61"/>
      <c r="T75" s="61"/>
      <c r="U75" s="61"/>
      <c r="V75" s="79"/>
      <c r="W75" s="170">
        <v>-2500</v>
      </c>
      <c r="X75" s="61">
        <v>-400</v>
      </c>
      <c r="Y75" s="61">
        <v>-100</v>
      </c>
      <c r="Z75" s="61">
        <v>100</v>
      </c>
      <c r="AA75" s="61"/>
      <c r="AB75" s="61"/>
      <c r="AC75" s="79"/>
      <c r="AD75" s="186">
        <f>D75*40+E75*30+F75*60+G75*50+H75*30+I75*50+J75*60+K75*80+L75*120+M75*30</f>
        <v>1950</v>
      </c>
      <c r="AE75" s="167">
        <f>N75*30+O75*50+P75*50+Q75*40+R75*100+S75*50+T75*80+U75*30+V75</f>
        <v>1730</v>
      </c>
      <c r="AF75" s="50">
        <f>AE75-AD75</f>
        <v>-220</v>
      </c>
      <c r="AG75" s="192">
        <f>AE75/AD75*100%</f>
        <v>0.887179487179487</v>
      </c>
      <c r="AH75" s="50">
        <f t="shared" si="88"/>
        <v>-2900</v>
      </c>
      <c r="AI75" s="167">
        <f t="shared" si="89"/>
        <v>-2900</v>
      </c>
      <c r="AJ75" s="198">
        <f t="shared" si="90"/>
        <v>-167.307692307692</v>
      </c>
      <c r="AK75" s="196"/>
      <c r="AL75" s="197">
        <f t="shared" si="91"/>
        <v>1782.69230769231</v>
      </c>
      <c r="AM75" s="197">
        <f t="shared" si="92"/>
        <v>-52.6923076923076</v>
      </c>
      <c r="AN75" s="196">
        <f>AE75/AL75</f>
        <v>0.970442286947141</v>
      </c>
      <c r="AO75" s="207"/>
      <c r="AP75" s="111" t="s">
        <v>425</v>
      </c>
      <c r="AQ75" s="139"/>
      <c r="AR75" s="35"/>
    </row>
    <row r="76" ht="17.25" spans="1:44">
      <c r="A76" s="152"/>
      <c r="B76" s="154" t="s">
        <v>426</v>
      </c>
      <c r="C76" s="144" t="s">
        <v>427</v>
      </c>
      <c r="D76" s="47"/>
      <c r="K76" s="50"/>
      <c r="L76" s="50"/>
      <c r="N76" s="111"/>
      <c r="V76" s="82"/>
      <c r="W76" s="169"/>
      <c r="AA76" s="16">
        <v>500</v>
      </c>
      <c r="AC76" s="82"/>
      <c r="AD76" s="184"/>
      <c r="AE76" s="50"/>
      <c r="AF76" s="166"/>
      <c r="AG76" s="188"/>
      <c r="AH76" s="166">
        <f t="shared" si="88"/>
        <v>500</v>
      </c>
      <c r="AI76" s="50">
        <f t="shared" si="89"/>
        <v>1000</v>
      </c>
      <c r="AJ76" s="193">
        <f t="shared" si="90"/>
        <v>57.6923076923077</v>
      </c>
      <c r="AK76" s="194"/>
      <c r="AL76" s="195">
        <f t="shared" si="91"/>
        <v>57.6923076923077</v>
      </c>
      <c r="AM76" s="195">
        <f t="shared" si="92"/>
        <v>-57.6923076923077</v>
      </c>
      <c r="AN76" s="194"/>
      <c r="AO76" s="206"/>
      <c r="AP76" s="168" t="s">
        <v>427</v>
      </c>
      <c r="AQ76" s="143" t="s">
        <v>426</v>
      </c>
      <c r="AR76" s="35"/>
    </row>
    <row r="77" ht="17.25" spans="1:44">
      <c r="A77" s="152"/>
      <c r="B77" s="153"/>
      <c r="C77" s="140" t="s">
        <v>428</v>
      </c>
      <c r="D77" s="47"/>
      <c r="N77" s="111"/>
      <c r="V77" s="82"/>
      <c r="W77" s="169"/>
      <c r="AB77" s="16">
        <v>100</v>
      </c>
      <c r="AC77" s="82"/>
      <c r="AD77" s="184"/>
      <c r="AE77" s="50"/>
      <c r="AF77" s="50"/>
      <c r="AG77" s="192"/>
      <c r="AH77" s="50">
        <f t="shared" si="88"/>
        <v>100</v>
      </c>
      <c r="AI77" s="50">
        <f t="shared" si="89"/>
        <v>600</v>
      </c>
      <c r="AJ77" s="193">
        <f t="shared" si="90"/>
        <v>34.6153846153846</v>
      </c>
      <c r="AK77" s="194"/>
      <c r="AL77" s="195">
        <f t="shared" si="91"/>
        <v>34.6153846153846</v>
      </c>
      <c r="AM77" s="195">
        <f t="shared" si="92"/>
        <v>-34.6153846153846</v>
      </c>
      <c r="AN77" s="194"/>
      <c r="AO77" s="206"/>
      <c r="AP77" s="171" t="s">
        <v>428</v>
      </c>
      <c r="AQ77" s="145"/>
      <c r="AR77" s="35"/>
    </row>
    <row r="78" ht="17.25" spans="1:44">
      <c r="A78" s="152"/>
      <c r="B78" s="153"/>
      <c r="C78" s="140" t="s">
        <v>429</v>
      </c>
      <c r="D78" s="47"/>
      <c r="N78" s="111"/>
      <c r="V78" s="82"/>
      <c r="W78" s="169"/>
      <c r="Z78" s="16">
        <v>300</v>
      </c>
      <c r="AC78" s="82"/>
      <c r="AD78" s="184"/>
      <c r="AE78" s="50"/>
      <c r="AF78" s="50"/>
      <c r="AG78" s="192"/>
      <c r="AH78" s="50">
        <f t="shared" si="88"/>
        <v>300</v>
      </c>
      <c r="AI78" s="50">
        <f t="shared" si="89"/>
        <v>1500</v>
      </c>
      <c r="AJ78" s="193">
        <f t="shared" si="90"/>
        <v>86.5384615384615</v>
      </c>
      <c r="AK78" s="194"/>
      <c r="AL78" s="195">
        <f t="shared" si="91"/>
        <v>86.5384615384615</v>
      </c>
      <c r="AM78" s="195">
        <f t="shared" si="92"/>
        <v>-86.5384615384615</v>
      </c>
      <c r="AN78" s="194"/>
      <c r="AO78" s="206"/>
      <c r="AP78" s="171" t="s">
        <v>430</v>
      </c>
      <c r="AQ78" s="145"/>
      <c r="AR78" s="35"/>
    </row>
    <row r="79" ht="17.25" spans="1:44">
      <c r="A79" s="152"/>
      <c r="B79" s="153"/>
      <c r="C79" s="140" t="s">
        <v>431</v>
      </c>
      <c r="D79" s="47"/>
      <c r="N79" s="111"/>
      <c r="V79" s="82"/>
      <c r="W79" s="169"/>
      <c r="AC79" s="82">
        <v>150</v>
      </c>
      <c r="AD79" s="184"/>
      <c r="AE79" s="50"/>
      <c r="AF79" s="50"/>
      <c r="AG79" s="192"/>
      <c r="AH79" s="50">
        <f t="shared" si="88"/>
        <v>150</v>
      </c>
      <c r="AI79" s="50">
        <f t="shared" si="89"/>
        <v>450</v>
      </c>
      <c r="AJ79" s="193">
        <f t="shared" si="90"/>
        <v>25.9615384615385</v>
      </c>
      <c r="AK79" s="194"/>
      <c r="AL79" s="195">
        <f t="shared" si="91"/>
        <v>25.9615384615385</v>
      </c>
      <c r="AM79" s="195">
        <f t="shared" si="92"/>
        <v>-25.9615384615385</v>
      </c>
      <c r="AN79" s="194"/>
      <c r="AO79" s="206"/>
      <c r="AP79" s="171" t="s">
        <v>431</v>
      </c>
      <c r="AQ79" s="145"/>
      <c r="AR79" s="35"/>
    </row>
    <row r="80" ht="17.25" spans="1:44">
      <c r="A80" s="152"/>
      <c r="B80" s="153"/>
      <c r="C80" s="155" t="s">
        <v>432</v>
      </c>
      <c r="D80" s="47"/>
      <c r="E80" s="47"/>
      <c r="F80" s="47"/>
      <c r="G80" s="47"/>
      <c r="H80" s="47"/>
      <c r="I80" s="47"/>
      <c r="J80" s="47"/>
      <c r="K80" s="47"/>
      <c r="L80" s="47"/>
      <c r="M80" s="47"/>
      <c r="N80" s="116"/>
      <c r="O80" s="61"/>
      <c r="P80" s="61"/>
      <c r="Q80" s="61"/>
      <c r="R80" s="61"/>
      <c r="S80" s="61"/>
      <c r="T80" s="61"/>
      <c r="U80" s="61"/>
      <c r="V80" s="79"/>
      <c r="W80" s="170">
        <v>100</v>
      </c>
      <c r="X80" s="61">
        <v>100</v>
      </c>
      <c r="Y80" s="61"/>
      <c r="Z80" s="61"/>
      <c r="AA80" s="61"/>
      <c r="AB80" s="61"/>
      <c r="AC80" s="79"/>
      <c r="AD80" s="186"/>
      <c r="AE80" s="167"/>
      <c r="AF80" s="167"/>
      <c r="AG80" s="192"/>
      <c r="AH80" s="50">
        <f t="shared" si="88"/>
        <v>200</v>
      </c>
      <c r="AI80" s="50">
        <f t="shared" si="89"/>
        <v>250</v>
      </c>
      <c r="AJ80" s="198">
        <f t="shared" si="90"/>
        <v>14.4230769230769</v>
      </c>
      <c r="AK80" s="196"/>
      <c r="AL80" s="197">
        <f t="shared" si="91"/>
        <v>14.4230769230769</v>
      </c>
      <c r="AM80" s="197">
        <f t="shared" si="92"/>
        <v>-14.4230769230769</v>
      </c>
      <c r="AN80" s="196"/>
      <c r="AO80" s="207"/>
      <c r="AP80" s="170" t="s">
        <v>432</v>
      </c>
      <c r="AQ80" s="147"/>
      <c r="AR80" s="60"/>
    </row>
    <row r="81" spans="1:44">
      <c r="A81" s="156" t="s">
        <v>122</v>
      </c>
      <c r="B81" s="156"/>
      <c r="C81" s="157"/>
      <c r="D81" s="159">
        <f t="shared" ref="D81:V81" si="93">D63+D67+D70+D73</f>
        <v>5</v>
      </c>
      <c r="E81" s="159">
        <f t="shared" si="93"/>
        <v>0</v>
      </c>
      <c r="F81" s="159">
        <f t="shared" si="93"/>
        <v>0</v>
      </c>
      <c r="G81" s="159">
        <f t="shared" si="93"/>
        <v>0</v>
      </c>
      <c r="H81" s="159">
        <f t="shared" si="93"/>
        <v>0</v>
      </c>
      <c r="I81" s="159">
        <f t="shared" si="93"/>
        <v>0</v>
      </c>
      <c r="J81" s="159">
        <f t="shared" si="93"/>
        <v>0</v>
      </c>
      <c r="K81" s="159">
        <f t="shared" si="93"/>
        <v>0</v>
      </c>
      <c r="L81" s="159">
        <f t="shared" si="93"/>
        <v>0</v>
      </c>
      <c r="M81" s="159">
        <f t="shared" si="93"/>
        <v>0</v>
      </c>
      <c r="N81" s="151">
        <f t="shared" si="93"/>
        <v>0</v>
      </c>
      <c r="O81" s="151">
        <f t="shared" si="93"/>
        <v>0</v>
      </c>
      <c r="P81" s="151">
        <f t="shared" si="93"/>
        <v>0</v>
      </c>
      <c r="Q81" s="151">
        <f t="shared" si="93"/>
        <v>20</v>
      </c>
      <c r="R81" s="151">
        <f t="shared" si="93"/>
        <v>0</v>
      </c>
      <c r="S81" s="151">
        <f t="shared" si="93"/>
        <v>0</v>
      </c>
      <c r="T81" s="151">
        <f t="shared" si="93"/>
        <v>0</v>
      </c>
      <c r="U81" s="151">
        <f t="shared" si="93"/>
        <v>0</v>
      </c>
      <c r="V81" s="151">
        <f t="shared" si="93"/>
        <v>0</v>
      </c>
      <c r="W81" s="151">
        <f t="shared" ref="W81:AC81" si="94">W63+W67+W70+W73+W76</f>
        <v>4500</v>
      </c>
      <c r="X81" s="151">
        <f t="shared" si="94"/>
        <v>0</v>
      </c>
      <c r="Y81" s="151">
        <f t="shared" si="94"/>
        <v>0</v>
      </c>
      <c r="Z81" s="151">
        <f t="shared" si="94"/>
        <v>0</v>
      </c>
      <c r="AA81" s="151">
        <f t="shared" si="94"/>
        <v>500</v>
      </c>
      <c r="AB81" s="151">
        <f t="shared" si="94"/>
        <v>0</v>
      </c>
      <c r="AC81" s="151">
        <f t="shared" si="94"/>
        <v>0</v>
      </c>
      <c r="AD81" s="151">
        <f>AD63+AD67+AD70+AD73</f>
        <v>200</v>
      </c>
      <c r="AE81" s="151">
        <f>AE63+AE67+AE70+AE73</f>
        <v>800</v>
      </c>
      <c r="AF81" s="151">
        <f t="shared" ref="AF81:AF86" si="95">AE81-AD81</f>
        <v>600</v>
      </c>
      <c r="AG81" s="199">
        <f t="shared" ref="AG81:AG86" si="96">AE81/AD81*100%</f>
        <v>4</v>
      </c>
      <c r="AH81" s="200">
        <f t="shared" si="88"/>
        <v>5000</v>
      </c>
      <c r="AI81" s="159">
        <f t="shared" si="89"/>
        <v>5500</v>
      </c>
      <c r="AJ81" s="201">
        <f t="shared" si="90"/>
        <v>317.307692307692</v>
      </c>
      <c r="AK81" s="202">
        <f t="shared" ref="AK81:AK86" si="97">AJ81/AF81</f>
        <v>0.528846153846154</v>
      </c>
      <c r="AL81" s="201">
        <f t="shared" si="91"/>
        <v>517.307692307692</v>
      </c>
      <c r="AM81" s="201">
        <f t="shared" si="92"/>
        <v>282.692307692308</v>
      </c>
      <c r="AN81" s="202">
        <f t="shared" ref="AN81:AN86" si="98">AE81/AL81</f>
        <v>1.54646840148699</v>
      </c>
      <c r="AO81" s="208">
        <f t="shared" ref="AO81:AO86" si="99">AF81/AH81</f>
        <v>0.12</v>
      </c>
      <c r="AP81" s="209" t="s">
        <v>122</v>
      </c>
      <c r="AQ81" s="210"/>
      <c r="AR81" s="211"/>
    </row>
    <row r="82" spans="1:44">
      <c r="A82" s="149" t="s">
        <v>123</v>
      </c>
      <c r="B82" s="149"/>
      <c r="C82" s="150"/>
      <c r="D82" s="151">
        <f t="shared" ref="D82:V82" si="100">D66+D69+D72+D75</f>
        <v>20</v>
      </c>
      <c r="E82" s="151">
        <f t="shared" si="100"/>
        <v>0</v>
      </c>
      <c r="F82" s="151">
        <f t="shared" si="100"/>
        <v>10</v>
      </c>
      <c r="G82" s="151">
        <f t="shared" si="100"/>
        <v>30</v>
      </c>
      <c r="H82" s="151">
        <f t="shared" si="100"/>
        <v>50</v>
      </c>
      <c r="I82" s="151">
        <f t="shared" si="100"/>
        <v>10</v>
      </c>
      <c r="J82" s="151">
        <f t="shared" si="100"/>
        <v>5</v>
      </c>
      <c r="K82" s="151">
        <f t="shared" si="100"/>
        <v>30</v>
      </c>
      <c r="L82" s="151">
        <f t="shared" si="100"/>
        <v>10</v>
      </c>
      <c r="M82" s="151">
        <f t="shared" si="100"/>
        <v>5</v>
      </c>
      <c r="N82" s="151">
        <f t="shared" si="100"/>
        <v>1</v>
      </c>
      <c r="O82" s="151">
        <f t="shared" si="100"/>
        <v>1</v>
      </c>
      <c r="P82" s="151">
        <f t="shared" si="100"/>
        <v>1</v>
      </c>
      <c r="Q82" s="151">
        <f t="shared" si="100"/>
        <v>300</v>
      </c>
      <c r="R82" s="151">
        <f t="shared" si="100"/>
        <v>0</v>
      </c>
      <c r="S82" s="151">
        <f t="shared" si="100"/>
        <v>0</v>
      </c>
      <c r="T82" s="151">
        <f t="shared" si="100"/>
        <v>0</v>
      </c>
      <c r="U82" s="151">
        <f t="shared" si="100"/>
        <v>0</v>
      </c>
      <c r="V82" s="151">
        <f t="shared" si="100"/>
        <v>0</v>
      </c>
      <c r="W82" s="151">
        <f t="shared" ref="W82:AC82" si="101">IF(W66+W69+W72+W75+W77&lt;0,0,W66+W69+W72+W75+W77)</f>
        <v>0</v>
      </c>
      <c r="X82" s="151">
        <f t="shared" si="101"/>
        <v>500</v>
      </c>
      <c r="Y82" s="151">
        <f t="shared" si="101"/>
        <v>200</v>
      </c>
      <c r="Z82" s="151">
        <f t="shared" si="101"/>
        <v>500</v>
      </c>
      <c r="AA82" s="151">
        <f t="shared" si="101"/>
        <v>0</v>
      </c>
      <c r="AB82" s="151">
        <f t="shared" si="101"/>
        <v>100</v>
      </c>
      <c r="AC82" s="151">
        <f t="shared" si="101"/>
        <v>0</v>
      </c>
      <c r="AD82" s="151">
        <f>AD66+AD69+AD72+AD75</f>
        <v>8950</v>
      </c>
      <c r="AE82" s="151">
        <f>AE66+AE69+AE72+AE75</f>
        <v>12130</v>
      </c>
      <c r="AF82" s="151">
        <f t="shared" si="95"/>
        <v>3180</v>
      </c>
      <c r="AG82" s="202">
        <f t="shared" si="96"/>
        <v>1.35530726256983</v>
      </c>
      <c r="AH82" s="159">
        <f t="shared" si="88"/>
        <v>1300</v>
      </c>
      <c r="AI82" s="159">
        <f t="shared" si="89"/>
        <v>4450</v>
      </c>
      <c r="AJ82" s="201">
        <f t="shared" si="90"/>
        <v>256.730769230769</v>
      </c>
      <c r="AK82" s="202">
        <f t="shared" si="97"/>
        <v>0.080732946298984</v>
      </c>
      <c r="AL82" s="201">
        <f t="shared" si="91"/>
        <v>9206.73076923077</v>
      </c>
      <c r="AM82" s="201">
        <f t="shared" si="92"/>
        <v>2923.26923076923</v>
      </c>
      <c r="AN82" s="202">
        <f t="shared" si="98"/>
        <v>1.31751436031332</v>
      </c>
      <c r="AO82" s="208">
        <f t="shared" si="99"/>
        <v>2.44615384615385</v>
      </c>
      <c r="AP82" s="209" t="s">
        <v>123</v>
      </c>
      <c r="AQ82" s="210"/>
      <c r="AR82" s="211"/>
    </row>
    <row r="83" ht="17.25" spans="1:44">
      <c r="A83" s="152" t="s">
        <v>436</v>
      </c>
      <c r="B83" s="153" t="s">
        <v>410</v>
      </c>
      <c r="C83" s="140" t="s">
        <v>411</v>
      </c>
      <c r="D83" s="47">
        <v>5</v>
      </c>
      <c r="K83" s="50"/>
      <c r="L83" s="50"/>
      <c r="M83" s="155"/>
      <c r="N83" s="172"/>
      <c r="O83" s="173"/>
      <c r="P83" s="173"/>
      <c r="Q83" s="173"/>
      <c r="R83" s="173">
        <v>10</v>
      </c>
      <c r="S83" s="173"/>
      <c r="T83" s="173"/>
      <c r="U83" s="173"/>
      <c r="V83" s="173">
        <v>500</v>
      </c>
      <c r="W83" s="168">
        <v>4500</v>
      </c>
      <c r="X83" s="48"/>
      <c r="Y83" s="48"/>
      <c r="Z83" s="48"/>
      <c r="AA83" s="48"/>
      <c r="AB83" s="48"/>
      <c r="AC83" s="78"/>
      <c r="AD83" s="48">
        <f t="shared" ref="AD83:AD86" si="102">D83*40+E83*30+F83*60+G83*50+H83*30+I83*50+J83*60+K83*80+L83*120+M83*30</f>
        <v>200</v>
      </c>
      <c r="AE83" s="166">
        <f>N83*30+O83*50+P83*50+Q83*40+R83*100+S83*50+T83*80+U83*30</f>
        <v>1000</v>
      </c>
      <c r="AF83" s="166">
        <f t="shared" si="95"/>
        <v>800</v>
      </c>
      <c r="AG83" s="188">
        <f t="shared" si="96"/>
        <v>5</v>
      </c>
      <c r="AH83" s="166">
        <f t="shared" si="88"/>
        <v>4500</v>
      </c>
      <c r="AI83" s="50">
        <f t="shared" si="89"/>
        <v>4500</v>
      </c>
      <c r="AJ83" s="189">
        <f t="shared" si="90"/>
        <v>259.615384615385</v>
      </c>
      <c r="AK83" s="190">
        <f t="shared" si="97"/>
        <v>0.324519230769231</v>
      </c>
      <c r="AL83" s="191">
        <f t="shared" si="91"/>
        <v>459.615384615385</v>
      </c>
      <c r="AM83" s="191">
        <f t="shared" si="92"/>
        <v>540.384615384615</v>
      </c>
      <c r="AN83" s="190">
        <f t="shared" si="98"/>
        <v>2.17573221757322</v>
      </c>
      <c r="AO83" s="204">
        <f t="shared" si="99"/>
        <v>0.177777777777778</v>
      </c>
      <c r="AP83" s="172" t="s">
        <v>411</v>
      </c>
      <c r="AQ83" s="136" t="s">
        <v>410</v>
      </c>
      <c r="AR83" s="35" t="s">
        <v>436</v>
      </c>
    </row>
    <row r="84" ht="17.25" spans="1:44">
      <c r="A84" s="152"/>
      <c r="B84" s="153"/>
      <c r="C84" s="140" t="s">
        <v>412</v>
      </c>
      <c r="D84" s="47">
        <v>10</v>
      </c>
      <c r="E84" s="16">
        <v>10</v>
      </c>
      <c r="K84" s="50"/>
      <c r="L84" s="50"/>
      <c r="M84" s="155"/>
      <c r="N84" s="171"/>
      <c r="O84" s="158"/>
      <c r="P84" s="158"/>
      <c r="Q84" s="158"/>
      <c r="R84" s="158">
        <v>20</v>
      </c>
      <c r="S84" s="158"/>
      <c r="T84" s="158"/>
      <c r="U84" s="158"/>
      <c r="V84" s="158">
        <v>1000</v>
      </c>
      <c r="W84" s="169">
        <v>3750</v>
      </c>
      <c r="X84" s="16">
        <v>900</v>
      </c>
      <c r="Y84" s="16">
        <v>250</v>
      </c>
      <c r="AC84" s="82"/>
      <c r="AD84" s="184">
        <f t="shared" si="102"/>
        <v>700</v>
      </c>
      <c r="AE84" s="50">
        <f>N84*30+O84*50+P84*50+Q84*40+R84*100+S84*50+T84*80+U84*30</f>
        <v>2000</v>
      </c>
      <c r="AF84" s="50">
        <f t="shared" si="95"/>
        <v>1300</v>
      </c>
      <c r="AG84" s="192">
        <f t="shared" si="96"/>
        <v>2.85714285714286</v>
      </c>
      <c r="AH84" s="50">
        <f t="shared" si="88"/>
        <v>4900</v>
      </c>
      <c r="AI84" s="50">
        <f t="shared" si="89"/>
        <v>5850</v>
      </c>
      <c r="AJ84" s="193">
        <f t="shared" si="90"/>
        <v>337.5</v>
      </c>
      <c r="AK84" s="194">
        <f t="shared" si="97"/>
        <v>0.259615384615385</v>
      </c>
      <c r="AL84" s="195">
        <f t="shared" si="91"/>
        <v>1037.5</v>
      </c>
      <c r="AM84" s="195">
        <f t="shared" si="92"/>
        <v>962.5</v>
      </c>
      <c r="AN84" s="194">
        <f t="shared" si="98"/>
        <v>1.92771084337349</v>
      </c>
      <c r="AO84" s="206">
        <f t="shared" si="99"/>
        <v>0.26530612244898</v>
      </c>
      <c r="AP84" s="171" t="s">
        <v>412</v>
      </c>
      <c r="AQ84" s="139"/>
      <c r="AR84" s="35"/>
    </row>
    <row r="85" ht="17.25" spans="1:44">
      <c r="A85" s="152"/>
      <c r="B85" s="153"/>
      <c r="C85" s="140" t="s">
        <v>413</v>
      </c>
      <c r="D85" s="47">
        <v>15</v>
      </c>
      <c r="E85" s="16">
        <v>10</v>
      </c>
      <c r="G85" s="16">
        <v>10</v>
      </c>
      <c r="K85" s="50"/>
      <c r="L85" s="50"/>
      <c r="M85" s="155"/>
      <c r="N85" s="171"/>
      <c r="O85" s="158"/>
      <c r="P85" s="158"/>
      <c r="Q85" s="158"/>
      <c r="R85" s="158">
        <v>35</v>
      </c>
      <c r="S85" s="158"/>
      <c r="T85" s="158"/>
      <c r="U85" s="158"/>
      <c r="V85" s="158">
        <v>1750</v>
      </c>
      <c r="W85" s="169">
        <v>3000</v>
      </c>
      <c r="X85" s="16">
        <v>1250</v>
      </c>
      <c r="Y85" s="16">
        <v>150</v>
      </c>
      <c r="Z85" s="16">
        <v>100</v>
      </c>
      <c r="AC85" s="82"/>
      <c r="AD85" s="184">
        <f t="shared" si="102"/>
        <v>1400</v>
      </c>
      <c r="AE85" s="50">
        <f>N85*30+O85*50+P85*50+Q85*40+R85*100+S85*50+T85*80+U85*30</f>
        <v>3500</v>
      </c>
      <c r="AF85" s="50">
        <f t="shared" si="95"/>
        <v>2100</v>
      </c>
      <c r="AG85" s="192">
        <f t="shared" si="96"/>
        <v>2.5</v>
      </c>
      <c r="AH85" s="50">
        <f t="shared" si="88"/>
        <v>4500</v>
      </c>
      <c r="AI85" s="50">
        <f t="shared" si="89"/>
        <v>5825</v>
      </c>
      <c r="AJ85" s="193">
        <f t="shared" si="90"/>
        <v>336.057692307692</v>
      </c>
      <c r="AK85" s="194">
        <f t="shared" si="97"/>
        <v>0.160027472527473</v>
      </c>
      <c r="AL85" s="195">
        <f t="shared" si="91"/>
        <v>1736.05769230769</v>
      </c>
      <c r="AM85" s="195">
        <f t="shared" si="92"/>
        <v>1763.94230769231</v>
      </c>
      <c r="AN85" s="194">
        <f t="shared" si="98"/>
        <v>2.01606203267793</v>
      </c>
      <c r="AO85" s="206">
        <f t="shared" si="99"/>
        <v>0.466666666666667</v>
      </c>
      <c r="AP85" s="171" t="s">
        <v>413</v>
      </c>
      <c r="AQ85" s="139"/>
      <c r="AR85" s="35"/>
    </row>
    <row r="86" ht="17.25" spans="1:44">
      <c r="A86" s="152"/>
      <c r="B86" s="153"/>
      <c r="C86" s="142" t="s">
        <v>414</v>
      </c>
      <c r="D86" s="47">
        <v>20</v>
      </c>
      <c r="F86" s="16">
        <v>5</v>
      </c>
      <c r="G86" s="16">
        <v>10</v>
      </c>
      <c r="H86" s="16">
        <v>30</v>
      </c>
      <c r="K86" s="50"/>
      <c r="L86" s="50"/>
      <c r="M86" s="155"/>
      <c r="N86" s="111"/>
      <c r="R86" s="16">
        <v>50</v>
      </c>
      <c r="V86" s="16">
        <v>2500</v>
      </c>
      <c r="W86" s="169">
        <v>2500</v>
      </c>
      <c r="X86" s="16">
        <v>900</v>
      </c>
      <c r="Y86" s="16">
        <v>100</v>
      </c>
      <c r="Z86" s="16">
        <v>200</v>
      </c>
      <c r="AC86" s="82"/>
      <c r="AD86" s="184">
        <f t="shared" si="102"/>
        <v>2500</v>
      </c>
      <c r="AE86" s="50">
        <f>N86*30+O86*50+P86*50+Q86*40+R86*100+S86*50+T86*80+U86*30</f>
        <v>5000</v>
      </c>
      <c r="AF86" s="50">
        <f t="shared" si="95"/>
        <v>2500</v>
      </c>
      <c r="AG86" s="192">
        <f t="shared" si="96"/>
        <v>2</v>
      </c>
      <c r="AH86" s="50">
        <f t="shared" si="88"/>
        <v>3700</v>
      </c>
      <c r="AI86" s="50">
        <f t="shared" si="89"/>
        <v>5150</v>
      </c>
      <c r="AJ86" s="193">
        <f t="shared" si="90"/>
        <v>297.115384615385</v>
      </c>
      <c r="AK86" s="196">
        <f t="shared" si="97"/>
        <v>0.118846153846154</v>
      </c>
      <c r="AL86" s="197">
        <f t="shared" si="91"/>
        <v>2797.11538461538</v>
      </c>
      <c r="AM86" s="197">
        <f t="shared" si="92"/>
        <v>2202.88461538462</v>
      </c>
      <c r="AN86" s="196">
        <f t="shared" si="98"/>
        <v>1.78755586112066</v>
      </c>
      <c r="AO86" s="206">
        <f t="shared" si="99"/>
        <v>0.675675675675676</v>
      </c>
      <c r="AP86" s="174" t="s">
        <v>414</v>
      </c>
      <c r="AQ86" s="141"/>
      <c r="AR86" s="35"/>
    </row>
    <row r="87" ht="17.25" spans="1:44">
      <c r="A87" s="152"/>
      <c r="B87" s="154" t="s">
        <v>247</v>
      </c>
      <c r="C87" s="82" t="s">
        <v>415</v>
      </c>
      <c r="D87" s="48"/>
      <c r="E87" s="48"/>
      <c r="F87" s="48"/>
      <c r="G87" s="48"/>
      <c r="H87" s="48"/>
      <c r="I87" s="48"/>
      <c r="J87" s="48"/>
      <c r="K87" s="166"/>
      <c r="L87" s="166"/>
      <c r="M87" s="144"/>
      <c r="N87" s="106"/>
      <c r="O87" s="48"/>
      <c r="P87" s="48"/>
      <c r="Q87" s="48"/>
      <c r="R87" s="48"/>
      <c r="S87" s="48"/>
      <c r="T87" s="48"/>
      <c r="U87" s="48"/>
      <c r="V87" s="48"/>
      <c r="W87" s="168"/>
      <c r="X87" s="48"/>
      <c r="Y87" s="48"/>
      <c r="Z87" s="48"/>
      <c r="AA87" s="48"/>
      <c r="AB87" s="48"/>
      <c r="AC87" s="78"/>
      <c r="AD87" s="185"/>
      <c r="AE87" s="166"/>
      <c r="AF87" s="166"/>
      <c r="AG87" s="188"/>
      <c r="AH87" s="166"/>
      <c r="AI87" s="166"/>
      <c r="AJ87" s="189"/>
      <c r="AK87" s="194"/>
      <c r="AL87" s="195"/>
      <c r="AM87" s="195"/>
      <c r="AN87" s="194"/>
      <c r="AO87" s="204"/>
      <c r="AP87" s="111" t="s">
        <v>415</v>
      </c>
      <c r="AQ87" s="139" t="s">
        <v>247</v>
      </c>
      <c r="AR87" s="35"/>
    </row>
    <row r="88" ht="17.25" spans="1:44">
      <c r="A88" s="152"/>
      <c r="B88" s="153"/>
      <c r="C88" s="82" t="s">
        <v>416</v>
      </c>
      <c r="D88" s="47"/>
      <c r="I88" s="16">
        <v>10</v>
      </c>
      <c r="K88" s="50"/>
      <c r="L88" s="50"/>
      <c r="M88" s="155"/>
      <c r="N88" s="111"/>
      <c r="R88" s="16">
        <v>15</v>
      </c>
      <c r="V88" s="16">
        <v>750</v>
      </c>
      <c r="W88" s="169">
        <v>-500</v>
      </c>
      <c r="X88" s="16">
        <v>350</v>
      </c>
      <c r="Y88" s="16">
        <v>150</v>
      </c>
      <c r="AC88" s="82"/>
      <c r="AD88" s="184">
        <f t="shared" ref="AD88:AD92" si="103">D88*40+E88*30+F88*60+G88*50+H88*30+I88*50+J88*60+K88*80+L88*120+M88*30</f>
        <v>500</v>
      </c>
      <c r="AE88" s="50">
        <f>N88*30+O88*50+P88*50+Q88*40+R88*100+S88*50+T88*80+U88*30</f>
        <v>1500</v>
      </c>
      <c r="AF88" s="50">
        <f t="shared" ref="AF88:AF92" si="104">AE88-AD88</f>
        <v>1000</v>
      </c>
      <c r="AG88" s="192">
        <f t="shared" ref="AG88:AG92" si="105">AE88/AD88*100%</f>
        <v>3</v>
      </c>
      <c r="AH88" s="50">
        <f t="shared" ref="AH88:AH92" si="106">W88+X88+Y88+Z88+AA88+AB88+AC88</f>
        <v>0</v>
      </c>
      <c r="AI88" s="50">
        <f t="shared" ref="AI88:AI92" si="107">W88*1+X88*1.5+Y88*3+Z88*5+AA88*2+AB88*6+AC88*3</f>
        <v>475</v>
      </c>
      <c r="AJ88" s="193">
        <f t="shared" ref="AJ88:AJ92" si="108">3*AI88/52</f>
        <v>27.4038461538462</v>
      </c>
      <c r="AK88" s="194">
        <f>AJ88/AF88</f>
        <v>0.0274038461538462</v>
      </c>
      <c r="AL88" s="195">
        <f t="shared" ref="AL88:AL92" si="109">AD88+AJ88</f>
        <v>527.403846153846</v>
      </c>
      <c r="AM88" s="195">
        <f t="shared" ref="AM88:AM92" si="110">AE88-AL88</f>
        <v>972.596153846154</v>
      </c>
      <c r="AN88" s="194">
        <f t="shared" ref="AN88:AN92" si="111">AE88/AL88</f>
        <v>2.84412032816773</v>
      </c>
      <c r="AO88" s="206"/>
      <c r="AP88" s="111" t="s">
        <v>416</v>
      </c>
      <c r="AQ88" s="139"/>
      <c r="AR88" s="35"/>
    </row>
    <row r="89" ht="17.25" spans="1:44">
      <c r="A89" s="152"/>
      <c r="B89" s="153"/>
      <c r="C89" s="82" t="s">
        <v>417</v>
      </c>
      <c r="D89" s="61"/>
      <c r="E89" s="61"/>
      <c r="F89" s="61"/>
      <c r="G89" s="61"/>
      <c r="H89" s="61"/>
      <c r="I89" s="61">
        <v>10</v>
      </c>
      <c r="J89" s="61">
        <v>5</v>
      </c>
      <c r="K89" s="167"/>
      <c r="L89" s="167"/>
      <c r="M89" s="148"/>
      <c r="N89" s="116"/>
      <c r="O89" s="61"/>
      <c r="P89" s="61"/>
      <c r="Q89" s="61"/>
      <c r="R89" s="61">
        <v>30</v>
      </c>
      <c r="S89" s="61"/>
      <c r="T89" s="61"/>
      <c r="U89" s="61"/>
      <c r="V89" s="61">
        <v>1500</v>
      </c>
      <c r="W89" s="170">
        <v>-500</v>
      </c>
      <c r="X89" s="61">
        <v>300</v>
      </c>
      <c r="Y89" s="61">
        <v>100</v>
      </c>
      <c r="Z89" s="61">
        <v>100</v>
      </c>
      <c r="AA89" s="61"/>
      <c r="AB89" s="61"/>
      <c r="AC89" s="79"/>
      <c r="AD89" s="186">
        <f t="shared" si="103"/>
        <v>800</v>
      </c>
      <c r="AE89" s="167">
        <f>N89*30+O89*50+P89*50+Q89*40+R89*100+S89*50+T89*80+U89*30</f>
        <v>3000</v>
      </c>
      <c r="AF89" s="50">
        <f t="shared" si="104"/>
        <v>2200</v>
      </c>
      <c r="AG89" s="192">
        <f t="shared" si="105"/>
        <v>3.75</v>
      </c>
      <c r="AH89" s="50">
        <f t="shared" si="106"/>
        <v>0</v>
      </c>
      <c r="AI89" s="167">
        <f t="shared" si="107"/>
        <v>750</v>
      </c>
      <c r="AJ89" s="198">
        <f t="shared" si="108"/>
        <v>43.2692307692308</v>
      </c>
      <c r="AK89" s="196">
        <f>AJ89/AF89</f>
        <v>0.0196678321678322</v>
      </c>
      <c r="AL89" s="197">
        <f t="shared" si="109"/>
        <v>843.269230769231</v>
      </c>
      <c r="AM89" s="197">
        <f t="shared" si="110"/>
        <v>2156.73076923077</v>
      </c>
      <c r="AN89" s="196">
        <f t="shared" si="111"/>
        <v>3.557582668187</v>
      </c>
      <c r="AO89" s="207"/>
      <c r="AP89" s="111" t="s">
        <v>417</v>
      </c>
      <c r="AQ89" s="139"/>
      <c r="AR89" s="35"/>
    </row>
    <row r="90" ht="17.25" spans="1:44">
      <c r="A90" s="152"/>
      <c r="B90" s="154" t="s">
        <v>418</v>
      </c>
      <c r="C90" s="78" t="s">
        <v>419</v>
      </c>
      <c r="D90" s="47"/>
      <c r="K90" s="50"/>
      <c r="L90" s="50"/>
      <c r="M90" s="155"/>
      <c r="N90" s="111"/>
      <c r="W90" s="169"/>
      <c r="AC90" s="82"/>
      <c r="AD90" s="184"/>
      <c r="AE90" s="50"/>
      <c r="AF90" s="166"/>
      <c r="AG90" s="188"/>
      <c r="AH90" s="166"/>
      <c r="AI90" s="50"/>
      <c r="AJ90" s="193"/>
      <c r="AK90" s="194"/>
      <c r="AL90" s="195"/>
      <c r="AM90" s="195"/>
      <c r="AN90" s="194"/>
      <c r="AO90" s="206"/>
      <c r="AP90" s="106" t="s">
        <v>419</v>
      </c>
      <c r="AQ90" s="136" t="s">
        <v>418</v>
      </c>
      <c r="AR90" s="35"/>
    </row>
    <row r="91" ht="17.25" spans="1:44">
      <c r="A91" s="152"/>
      <c r="B91" s="153"/>
      <c r="C91" s="140" t="s">
        <v>420</v>
      </c>
      <c r="D91" s="47"/>
      <c r="K91" s="50">
        <v>10</v>
      </c>
      <c r="L91" s="50"/>
      <c r="M91" s="155"/>
      <c r="N91" s="111"/>
      <c r="R91" s="16">
        <v>5</v>
      </c>
      <c r="V91" s="16">
        <v>250</v>
      </c>
      <c r="W91" s="169">
        <v>-1200</v>
      </c>
      <c r="Z91" s="16">
        <v>50</v>
      </c>
      <c r="AC91" s="82"/>
      <c r="AD91" s="184">
        <f t="shared" si="103"/>
        <v>800</v>
      </c>
      <c r="AE91" s="50">
        <f>N91*30+O91*50+P91*50+Q91*40+R91*100+S91*50+T91*80+U91*30</f>
        <v>500</v>
      </c>
      <c r="AF91" s="50">
        <f t="shared" si="104"/>
        <v>-300</v>
      </c>
      <c r="AG91" s="192">
        <f t="shared" si="105"/>
        <v>0.625</v>
      </c>
      <c r="AH91" s="50">
        <f t="shared" si="106"/>
        <v>-1150</v>
      </c>
      <c r="AI91" s="50">
        <f t="shared" si="107"/>
        <v>-950</v>
      </c>
      <c r="AJ91" s="193">
        <f t="shared" si="108"/>
        <v>-54.8076923076923</v>
      </c>
      <c r="AK91" s="194"/>
      <c r="AL91" s="195">
        <f t="shared" si="109"/>
        <v>745.192307692308</v>
      </c>
      <c r="AM91" s="195">
        <f t="shared" si="110"/>
        <v>-245.192307692308</v>
      </c>
      <c r="AN91" s="194">
        <f t="shared" si="111"/>
        <v>0.670967741935484</v>
      </c>
      <c r="AO91" s="206"/>
      <c r="AP91" s="171" t="s">
        <v>420</v>
      </c>
      <c r="AQ91" s="139"/>
      <c r="AR91" s="35"/>
    </row>
    <row r="92" ht="17.25" spans="1:44">
      <c r="A92" s="152"/>
      <c r="B92" s="153"/>
      <c r="C92" s="79" t="s">
        <v>421</v>
      </c>
      <c r="D92" s="47"/>
      <c r="F92" s="16">
        <v>5</v>
      </c>
      <c r="H92" s="16">
        <v>20</v>
      </c>
      <c r="K92" s="50">
        <v>20</v>
      </c>
      <c r="L92" s="50">
        <v>10</v>
      </c>
      <c r="M92" s="155"/>
      <c r="N92" s="111"/>
      <c r="R92" s="16">
        <v>30</v>
      </c>
      <c r="V92" s="16">
        <v>1500</v>
      </c>
      <c r="W92" s="169">
        <v>-5000</v>
      </c>
      <c r="X92" s="16">
        <v>-300</v>
      </c>
      <c r="Y92" s="16">
        <v>100</v>
      </c>
      <c r="Z92" s="16">
        <v>100</v>
      </c>
      <c r="AC92" s="82"/>
      <c r="AD92" s="184">
        <f t="shared" si="103"/>
        <v>3700</v>
      </c>
      <c r="AE92" s="50">
        <f>N92*30+O92*50+P92*50+Q92*40+R92*100+S92*50+T92*80+U92*30</f>
        <v>3000</v>
      </c>
      <c r="AF92" s="50">
        <f t="shared" si="104"/>
        <v>-700</v>
      </c>
      <c r="AG92" s="192">
        <f t="shared" si="105"/>
        <v>0.810810810810811</v>
      </c>
      <c r="AH92" s="50">
        <f t="shared" si="106"/>
        <v>-5100</v>
      </c>
      <c r="AI92" s="50">
        <f t="shared" si="107"/>
        <v>-4650</v>
      </c>
      <c r="AJ92" s="193">
        <f t="shared" si="108"/>
        <v>-268.269230769231</v>
      </c>
      <c r="AK92" s="196"/>
      <c r="AL92" s="197">
        <f t="shared" si="109"/>
        <v>3431.73076923077</v>
      </c>
      <c r="AM92" s="197">
        <f t="shared" si="110"/>
        <v>-431.730769230769</v>
      </c>
      <c r="AN92" s="196">
        <f t="shared" si="111"/>
        <v>0.874194452227515</v>
      </c>
      <c r="AO92" s="206"/>
      <c r="AP92" s="116" t="s">
        <v>421</v>
      </c>
      <c r="AQ92" s="141"/>
      <c r="AR92" s="35"/>
    </row>
    <row r="93" ht="17.25" spans="1:44">
      <c r="A93" s="152"/>
      <c r="B93" s="154" t="s">
        <v>422</v>
      </c>
      <c r="C93" s="82" t="s">
        <v>423</v>
      </c>
      <c r="D93" s="48"/>
      <c r="E93" s="48"/>
      <c r="F93" s="48"/>
      <c r="G93" s="48"/>
      <c r="H93" s="48"/>
      <c r="I93" s="48"/>
      <c r="J93" s="48"/>
      <c r="K93" s="166"/>
      <c r="L93" s="166"/>
      <c r="M93" s="144"/>
      <c r="N93" s="106"/>
      <c r="O93" s="48"/>
      <c r="P93" s="48"/>
      <c r="Q93" s="48"/>
      <c r="R93" s="48"/>
      <c r="S93" s="48"/>
      <c r="T93" s="48"/>
      <c r="U93" s="48"/>
      <c r="V93" s="48"/>
      <c r="W93" s="168"/>
      <c r="X93" s="48"/>
      <c r="Y93" s="48"/>
      <c r="Z93" s="48"/>
      <c r="AA93" s="48"/>
      <c r="AB93" s="48"/>
      <c r="AC93" s="78"/>
      <c r="AD93" s="185"/>
      <c r="AE93" s="166"/>
      <c r="AF93" s="166"/>
      <c r="AG93" s="188"/>
      <c r="AH93" s="166"/>
      <c r="AI93" s="166"/>
      <c r="AJ93" s="189"/>
      <c r="AK93" s="194"/>
      <c r="AL93" s="195"/>
      <c r="AM93" s="195"/>
      <c r="AN93" s="194"/>
      <c r="AO93" s="204"/>
      <c r="AP93" s="111" t="s">
        <v>423</v>
      </c>
      <c r="AQ93" s="139" t="s">
        <v>422</v>
      </c>
      <c r="AR93" s="35"/>
    </row>
    <row r="94" ht="17.25" spans="1:44">
      <c r="A94" s="152"/>
      <c r="B94" s="153"/>
      <c r="C94" s="82" t="s">
        <v>424</v>
      </c>
      <c r="D94" s="47"/>
      <c r="K94" s="50"/>
      <c r="M94" s="155">
        <v>5</v>
      </c>
      <c r="N94" s="111"/>
      <c r="W94" s="169">
        <v>-500</v>
      </c>
      <c r="X94" s="16">
        <v>-200</v>
      </c>
      <c r="AC94" s="82"/>
      <c r="AD94" s="184">
        <f>D94*40+E94*30+F94*60+G94*50+H94*30+I94*50+J94*60+K94*80+L94*120+M94*30</f>
        <v>150</v>
      </c>
      <c r="AE94" s="50">
        <f>N94*30+O94*50+P94*50+Q94*40+R94*100+S94*50+T94*80+U94*30</f>
        <v>0</v>
      </c>
      <c r="AF94" s="50">
        <f>AE94-AD94</f>
        <v>-150</v>
      </c>
      <c r="AG94" s="192">
        <f>AE94/AD94*100%</f>
        <v>0</v>
      </c>
      <c r="AH94" s="50">
        <f t="shared" ref="AH94:AH102" si="112">W94+X94+Y94+Z94+AA94+AB94+AC94</f>
        <v>-700</v>
      </c>
      <c r="AI94" s="50">
        <f t="shared" ref="AI94:AI103" si="113">W94*1+X94*1.5+Y94*3+Z94*5+AA94*2+AB94*6+AC94*3</f>
        <v>-800</v>
      </c>
      <c r="AJ94" s="193">
        <f t="shared" ref="AJ94:AJ102" si="114">3*AI94/52</f>
        <v>-46.1538461538462</v>
      </c>
      <c r="AK94" s="194"/>
      <c r="AL94" s="195">
        <f t="shared" ref="AL94:AL102" si="115">AD94+AJ94</f>
        <v>103.846153846154</v>
      </c>
      <c r="AM94" s="195">
        <f t="shared" ref="AM94:AM102" si="116">AE94-AL94</f>
        <v>-103.846153846154</v>
      </c>
      <c r="AN94" s="194">
        <f>AE94/AL94</f>
        <v>0</v>
      </c>
      <c r="AO94" s="206"/>
      <c r="AP94" s="111" t="s">
        <v>424</v>
      </c>
      <c r="AQ94" s="139"/>
      <c r="AR94" s="35"/>
    </row>
    <row r="95" ht="17.25" spans="1:44">
      <c r="A95" s="152"/>
      <c r="B95" s="153"/>
      <c r="C95" s="82" t="s">
        <v>425</v>
      </c>
      <c r="D95" s="61"/>
      <c r="E95" s="61"/>
      <c r="F95" s="61"/>
      <c r="G95" s="61">
        <v>20</v>
      </c>
      <c r="H95" s="61"/>
      <c r="I95" s="61"/>
      <c r="J95" s="61"/>
      <c r="K95" s="167">
        <v>10</v>
      </c>
      <c r="L95" s="167"/>
      <c r="M95" s="148">
        <v>5</v>
      </c>
      <c r="N95" s="116">
        <v>1</v>
      </c>
      <c r="O95" s="61">
        <v>1</v>
      </c>
      <c r="P95" s="61">
        <v>1</v>
      </c>
      <c r="Q95" s="61">
        <v>1</v>
      </c>
      <c r="R95" s="61">
        <v>10</v>
      </c>
      <c r="S95" s="61"/>
      <c r="T95" s="61"/>
      <c r="U95" s="61"/>
      <c r="V95" s="61">
        <v>500</v>
      </c>
      <c r="W95" s="170">
        <v>-2500</v>
      </c>
      <c r="X95" s="61">
        <v>-400</v>
      </c>
      <c r="Y95" s="61">
        <v>-100</v>
      </c>
      <c r="Z95" s="61">
        <v>100</v>
      </c>
      <c r="AA95" s="61"/>
      <c r="AB95" s="61"/>
      <c r="AC95" s="79"/>
      <c r="AD95" s="186">
        <f>D95*40+E95*30+F95*60+G95*50+H95*30+I95*50+J95*60+K95*80+L95*120+M95*30</f>
        <v>1950</v>
      </c>
      <c r="AE95" s="167">
        <f>N95*30+O95*50+P95*50+Q95*40+R95*100+S95*50+T95*80+U95*30</f>
        <v>1170</v>
      </c>
      <c r="AF95" s="50">
        <f>AE95-AD95</f>
        <v>-780</v>
      </c>
      <c r="AG95" s="192">
        <f>AE95/AD95*100%</f>
        <v>0.6</v>
      </c>
      <c r="AH95" s="50">
        <f t="shared" si="112"/>
        <v>-2900</v>
      </c>
      <c r="AI95" s="167">
        <f t="shared" si="113"/>
        <v>-2900</v>
      </c>
      <c r="AJ95" s="198">
        <f t="shared" si="114"/>
        <v>-167.307692307692</v>
      </c>
      <c r="AK95" s="196"/>
      <c r="AL95" s="197">
        <f t="shared" si="115"/>
        <v>1782.69230769231</v>
      </c>
      <c r="AM95" s="197">
        <f t="shared" si="116"/>
        <v>-612.692307692308</v>
      </c>
      <c r="AN95" s="196">
        <f>AE95/AL95</f>
        <v>0.65631067961165</v>
      </c>
      <c r="AO95" s="207"/>
      <c r="AP95" s="111" t="s">
        <v>425</v>
      </c>
      <c r="AQ95" s="139"/>
      <c r="AR95" s="35"/>
    </row>
    <row r="96" ht="17.25" spans="1:44">
      <c r="A96" s="152"/>
      <c r="B96" s="154" t="s">
        <v>426</v>
      </c>
      <c r="C96" s="144" t="s">
        <v>427</v>
      </c>
      <c r="D96" s="47"/>
      <c r="K96" s="50"/>
      <c r="L96" s="50"/>
      <c r="N96" s="111"/>
      <c r="W96" s="169"/>
      <c r="AA96" s="16">
        <v>500</v>
      </c>
      <c r="AC96" s="82"/>
      <c r="AD96" s="184"/>
      <c r="AE96" s="50"/>
      <c r="AF96" s="166"/>
      <c r="AG96" s="188"/>
      <c r="AH96" s="166">
        <f t="shared" si="112"/>
        <v>500</v>
      </c>
      <c r="AI96" s="50">
        <f t="shared" si="113"/>
        <v>1000</v>
      </c>
      <c r="AJ96" s="193">
        <f t="shared" si="114"/>
        <v>57.6923076923077</v>
      </c>
      <c r="AK96" s="194"/>
      <c r="AL96" s="195">
        <f t="shared" si="115"/>
        <v>57.6923076923077</v>
      </c>
      <c r="AM96" s="195">
        <f t="shared" si="116"/>
        <v>-57.6923076923077</v>
      </c>
      <c r="AN96" s="194"/>
      <c r="AO96" s="206"/>
      <c r="AP96" s="168" t="s">
        <v>427</v>
      </c>
      <c r="AQ96" s="143" t="s">
        <v>426</v>
      </c>
      <c r="AR96" s="35"/>
    </row>
    <row r="97" ht="17.25" spans="1:44">
      <c r="A97" s="152"/>
      <c r="B97" s="153"/>
      <c r="C97" s="140" t="s">
        <v>428</v>
      </c>
      <c r="D97" s="47"/>
      <c r="N97" s="111"/>
      <c r="W97" s="169"/>
      <c r="AB97" s="16">
        <v>100</v>
      </c>
      <c r="AC97" s="82"/>
      <c r="AD97" s="184"/>
      <c r="AE97" s="50"/>
      <c r="AF97" s="50"/>
      <c r="AG97" s="192"/>
      <c r="AH97" s="50">
        <f t="shared" si="112"/>
        <v>100</v>
      </c>
      <c r="AI97" s="50">
        <f t="shared" si="113"/>
        <v>600</v>
      </c>
      <c r="AJ97" s="193">
        <f t="shared" si="114"/>
        <v>34.6153846153846</v>
      </c>
      <c r="AK97" s="194"/>
      <c r="AL97" s="195">
        <f t="shared" si="115"/>
        <v>34.6153846153846</v>
      </c>
      <c r="AM97" s="195">
        <f t="shared" si="116"/>
        <v>-34.6153846153846</v>
      </c>
      <c r="AN97" s="194"/>
      <c r="AO97" s="206"/>
      <c r="AP97" s="171" t="s">
        <v>428</v>
      </c>
      <c r="AQ97" s="145"/>
      <c r="AR97" s="35"/>
    </row>
    <row r="98" ht="17.25" spans="1:44">
      <c r="A98" s="152"/>
      <c r="B98" s="153"/>
      <c r="C98" s="140" t="s">
        <v>429</v>
      </c>
      <c r="D98" s="47"/>
      <c r="N98" s="111"/>
      <c r="W98" s="169"/>
      <c r="Z98" s="16">
        <v>300</v>
      </c>
      <c r="AC98" s="82"/>
      <c r="AD98" s="184"/>
      <c r="AE98" s="50"/>
      <c r="AF98" s="50"/>
      <c r="AG98" s="192"/>
      <c r="AH98" s="50">
        <f t="shared" si="112"/>
        <v>300</v>
      </c>
      <c r="AI98" s="50">
        <f t="shared" si="113"/>
        <v>1500</v>
      </c>
      <c r="AJ98" s="193">
        <f t="shared" si="114"/>
        <v>86.5384615384615</v>
      </c>
      <c r="AK98" s="194"/>
      <c r="AL98" s="195">
        <f t="shared" si="115"/>
        <v>86.5384615384615</v>
      </c>
      <c r="AM98" s="195">
        <f t="shared" si="116"/>
        <v>-86.5384615384615</v>
      </c>
      <c r="AN98" s="194"/>
      <c r="AO98" s="206"/>
      <c r="AP98" s="171" t="s">
        <v>430</v>
      </c>
      <c r="AQ98" s="145"/>
      <c r="AR98" s="35"/>
    </row>
    <row r="99" ht="17.25" spans="1:44">
      <c r="A99" s="152"/>
      <c r="B99" s="153"/>
      <c r="C99" s="140" t="s">
        <v>431</v>
      </c>
      <c r="D99" s="47"/>
      <c r="N99" s="111"/>
      <c r="W99" s="169"/>
      <c r="AC99" s="82">
        <v>150</v>
      </c>
      <c r="AD99" s="184"/>
      <c r="AE99" s="50"/>
      <c r="AF99" s="50"/>
      <c r="AG99" s="192"/>
      <c r="AH99" s="50">
        <f t="shared" si="112"/>
        <v>150</v>
      </c>
      <c r="AI99" s="50">
        <f t="shared" si="113"/>
        <v>450</v>
      </c>
      <c r="AJ99" s="193">
        <f t="shared" si="114"/>
        <v>25.9615384615385</v>
      </c>
      <c r="AK99" s="194"/>
      <c r="AL99" s="195">
        <f t="shared" si="115"/>
        <v>25.9615384615385</v>
      </c>
      <c r="AM99" s="195">
        <f t="shared" si="116"/>
        <v>-25.9615384615385</v>
      </c>
      <c r="AN99" s="194"/>
      <c r="AO99" s="206"/>
      <c r="AP99" s="171" t="s">
        <v>431</v>
      </c>
      <c r="AQ99" s="145"/>
      <c r="AR99" s="35"/>
    </row>
    <row r="100" ht="17.25" spans="1:44">
      <c r="A100" s="152"/>
      <c r="B100" s="153"/>
      <c r="C100" s="155" t="s">
        <v>432</v>
      </c>
      <c r="D100" s="61"/>
      <c r="E100" s="61"/>
      <c r="F100" s="61"/>
      <c r="G100" s="61"/>
      <c r="H100" s="61"/>
      <c r="I100" s="61"/>
      <c r="J100" s="61"/>
      <c r="K100" s="61"/>
      <c r="L100" s="61"/>
      <c r="M100" s="61"/>
      <c r="N100" s="116"/>
      <c r="O100" s="61"/>
      <c r="P100" s="61"/>
      <c r="Q100" s="61"/>
      <c r="R100" s="61"/>
      <c r="S100" s="61"/>
      <c r="T100" s="61"/>
      <c r="U100" s="61"/>
      <c r="V100" s="61"/>
      <c r="W100" s="170">
        <v>100</v>
      </c>
      <c r="X100" s="61">
        <v>100</v>
      </c>
      <c r="Y100" s="61"/>
      <c r="Z100" s="61"/>
      <c r="AA100" s="61"/>
      <c r="AB100" s="61"/>
      <c r="AC100" s="79"/>
      <c r="AD100" s="186"/>
      <c r="AE100" s="167"/>
      <c r="AF100" s="167"/>
      <c r="AG100" s="192"/>
      <c r="AH100" s="50">
        <f t="shared" si="112"/>
        <v>200</v>
      </c>
      <c r="AI100" s="50">
        <f t="shared" si="113"/>
        <v>250</v>
      </c>
      <c r="AJ100" s="198">
        <f t="shared" si="114"/>
        <v>14.4230769230769</v>
      </c>
      <c r="AK100" s="196"/>
      <c r="AL100" s="197">
        <f t="shared" si="115"/>
        <v>14.4230769230769</v>
      </c>
      <c r="AM100" s="197">
        <f t="shared" si="116"/>
        <v>-14.4230769230769</v>
      </c>
      <c r="AN100" s="196"/>
      <c r="AO100" s="207"/>
      <c r="AP100" s="170" t="s">
        <v>432</v>
      </c>
      <c r="AQ100" s="147"/>
      <c r="AR100" s="60"/>
    </row>
    <row r="101" spans="1:44">
      <c r="A101" s="156" t="s">
        <v>122</v>
      </c>
      <c r="B101" s="156"/>
      <c r="C101" s="157"/>
      <c r="D101" s="159">
        <f t="shared" ref="D101:V101" si="117">D83+D87+D90+D93</f>
        <v>5</v>
      </c>
      <c r="E101" s="159">
        <f t="shared" si="117"/>
        <v>0</v>
      </c>
      <c r="F101" s="159">
        <f t="shared" si="117"/>
        <v>0</v>
      </c>
      <c r="G101" s="159">
        <f t="shared" si="117"/>
        <v>0</v>
      </c>
      <c r="H101" s="159">
        <f t="shared" si="117"/>
        <v>0</v>
      </c>
      <c r="I101" s="159">
        <f t="shared" si="117"/>
        <v>0</v>
      </c>
      <c r="J101" s="159">
        <f t="shared" si="117"/>
        <v>0</v>
      </c>
      <c r="K101" s="159">
        <f t="shared" si="117"/>
        <v>0</v>
      </c>
      <c r="L101" s="159">
        <f t="shared" si="117"/>
        <v>0</v>
      </c>
      <c r="M101" s="159">
        <f t="shared" si="117"/>
        <v>0</v>
      </c>
      <c r="N101" s="151">
        <f t="shared" si="117"/>
        <v>0</v>
      </c>
      <c r="O101" s="151">
        <f t="shared" si="117"/>
        <v>0</v>
      </c>
      <c r="P101" s="151">
        <f t="shared" si="117"/>
        <v>0</v>
      </c>
      <c r="Q101" s="151">
        <f t="shared" si="117"/>
        <v>0</v>
      </c>
      <c r="R101" s="151">
        <f t="shared" si="117"/>
        <v>10</v>
      </c>
      <c r="S101" s="151">
        <f t="shared" si="117"/>
        <v>0</v>
      </c>
      <c r="T101" s="151">
        <f t="shared" si="117"/>
        <v>0</v>
      </c>
      <c r="U101" s="151">
        <f t="shared" si="117"/>
        <v>0</v>
      </c>
      <c r="V101" s="151">
        <f t="shared" si="117"/>
        <v>500</v>
      </c>
      <c r="W101" s="151">
        <v>4500</v>
      </c>
      <c r="X101" s="151">
        <v>0</v>
      </c>
      <c r="Y101" s="151">
        <v>0</v>
      </c>
      <c r="Z101" s="151">
        <v>0</v>
      </c>
      <c r="AA101" s="151">
        <v>500</v>
      </c>
      <c r="AB101" s="151">
        <v>0</v>
      </c>
      <c r="AC101" s="151">
        <v>0</v>
      </c>
      <c r="AD101" s="151">
        <f>AD83+AD87+AD90+AD93</f>
        <v>200</v>
      </c>
      <c r="AE101" s="151">
        <f>AE83+AE87+AE90+AE93</f>
        <v>1000</v>
      </c>
      <c r="AF101" s="151">
        <f t="shared" ref="AF101:AF107" si="118">AE101-AD101</f>
        <v>800</v>
      </c>
      <c r="AG101" s="199">
        <f t="shared" ref="AG101:AG107" si="119">AE101/AD101*100%</f>
        <v>5</v>
      </c>
      <c r="AH101" s="200">
        <f t="shared" si="112"/>
        <v>5000</v>
      </c>
      <c r="AI101" s="159">
        <f t="shared" si="113"/>
        <v>5500</v>
      </c>
      <c r="AJ101" s="201">
        <f t="shared" si="114"/>
        <v>317.307692307692</v>
      </c>
      <c r="AK101" s="202">
        <f t="shared" ref="AK101:AK107" si="120">AJ101/AF101</f>
        <v>0.396634615384615</v>
      </c>
      <c r="AL101" s="201">
        <f t="shared" si="115"/>
        <v>517.307692307692</v>
      </c>
      <c r="AM101" s="201">
        <f t="shared" si="116"/>
        <v>482.692307692308</v>
      </c>
      <c r="AN101" s="202">
        <f t="shared" ref="AN101:AN107" si="121">AE101/AL101</f>
        <v>1.93308550185874</v>
      </c>
      <c r="AO101" s="208">
        <f t="shared" ref="AO101:AO107" si="122">AF101/AH101</f>
        <v>0.16</v>
      </c>
      <c r="AP101" s="209" t="s">
        <v>122</v>
      </c>
      <c r="AQ101" s="210"/>
      <c r="AR101" s="211"/>
    </row>
    <row r="102" spans="1:44">
      <c r="A102" s="149" t="s">
        <v>123</v>
      </c>
      <c r="B102" s="149"/>
      <c r="C102" s="150"/>
      <c r="D102" s="151">
        <f t="shared" ref="D102:V102" si="123">D86+D89+D92+D95</f>
        <v>20</v>
      </c>
      <c r="E102" s="151">
        <f t="shared" si="123"/>
        <v>0</v>
      </c>
      <c r="F102" s="151">
        <f t="shared" si="123"/>
        <v>10</v>
      </c>
      <c r="G102" s="151">
        <f t="shared" si="123"/>
        <v>30</v>
      </c>
      <c r="H102" s="151">
        <f t="shared" si="123"/>
        <v>50</v>
      </c>
      <c r="I102" s="151">
        <f t="shared" si="123"/>
        <v>10</v>
      </c>
      <c r="J102" s="151">
        <f t="shared" si="123"/>
        <v>5</v>
      </c>
      <c r="K102" s="151">
        <f t="shared" si="123"/>
        <v>30</v>
      </c>
      <c r="L102" s="151">
        <f t="shared" si="123"/>
        <v>10</v>
      </c>
      <c r="M102" s="151">
        <f t="shared" si="123"/>
        <v>5</v>
      </c>
      <c r="N102" s="151">
        <f t="shared" si="123"/>
        <v>1</v>
      </c>
      <c r="O102" s="151">
        <f t="shared" si="123"/>
        <v>1</v>
      </c>
      <c r="P102" s="151">
        <f t="shared" si="123"/>
        <v>1</v>
      </c>
      <c r="Q102" s="151">
        <f t="shared" si="123"/>
        <v>1</v>
      </c>
      <c r="R102" s="151">
        <f t="shared" si="123"/>
        <v>120</v>
      </c>
      <c r="S102" s="151">
        <f t="shared" si="123"/>
        <v>0</v>
      </c>
      <c r="T102" s="151">
        <f t="shared" si="123"/>
        <v>0</v>
      </c>
      <c r="U102" s="151">
        <f t="shared" si="123"/>
        <v>0</v>
      </c>
      <c r="V102" s="151">
        <f t="shared" si="123"/>
        <v>6000</v>
      </c>
      <c r="W102" s="151">
        <v>0</v>
      </c>
      <c r="X102" s="151">
        <v>500</v>
      </c>
      <c r="Y102" s="151">
        <v>200</v>
      </c>
      <c r="Z102" s="151">
        <v>500</v>
      </c>
      <c r="AA102" s="151">
        <v>0</v>
      </c>
      <c r="AB102" s="151">
        <v>100</v>
      </c>
      <c r="AC102" s="151">
        <v>0</v>
      </c>
      <c r="AD102" s="151">
        <f>AD86+AD89+AD92+AD95</f>
        <v>8950</v>
      </c>
      <c r="AE102" s="151">
        <f>AE86+AE89+AE92+AE95</f>
        <v>12170</v>
      </c>
      <c r="AF102" s="151">
        <f t="shared" si="118"/>
        <v>3220</v>
      </c>
      <c r="AG102" s="202">
        <f t="shared" si="119"/>
        <v>1.35977653631285</v>
      </c>
      <c r="AH102" s="159">
        <f t="shared" si="112"/>
        <v>1300</v>
      </c>
      <c r="AI102" s="159">
        <f t="shared" si="113"/>
        <v>4450</v>
      </c>
      <c r="AJ102" s="201">
        <f t="shared" si="114"/>
        <v>256.730769230769</v>
      </c>
      <c r="AK102" s="202">
        <f t="shared" si="120"/>
        <v>0.0797300525561395</v>
      </c>
      <c r="AL102" s="201">
        <f t="shared" si="115"/>
        <v>9206.73076923077</v>
      </c>
      <c r="AM102" s="201">
        <f t="shared" si="116"/>
        <v>2963.26923076923</v>
      </c>
      <c r="AN102" s="202">
        <f t="shared" si="121"/>
        <v>1.3218590078329</v>
      </c>
      <c r="AO102" s="208">
        <f t="shared" si="122"/>
        <v>2.47692307692308</v>
      </c>
      <c r="AP102" s="209" t="s">
        <v>123</v>
      </c>
      <c r="AQ102" s="210"/>
      <c r="AR102" s="211"/>
    </row>
    <row r="103" spans="1:44">
      <c r="A103" s="212" t="s">
        <v>437</v>
      </c>
      <c r="B103" s="212"/>
      <c r="C103" s="213"/>
      <c r="D103" s="214"/>
      <c r="E103" s="214"/>
      <c r="F103" s="215"/>
      <c r="G103" s="215"/>
      <c r="H103" s="215"/>
      <c r="I103" s="215"/>
      <c r="J103" s="215"/>
      <c r="K103" s="215"/>
      <c r="L103" s="215"/>
      <c r="M103" s="215"/>
      <c r="N103" s="216"/>
      <c r="O103" s="215"/>
      <c r="P103" s="215"/>
      <c r="Q103" s="215"/>
      <c r="R103" s="215">
        <v>20</v>
      </c>
      <c r="S103" s="215"/>
      <c r="T103" s="215"/>
      <c r="U103" s="215"/>
      <c r="V103" s="215">
        <v>500</v>
      </c>
      <c r="W103" s="216">
        <v>5000</v>
      </c>
      <c r="X103" s="215"/>
      <c r="Y103" s="215"/>
      <c r="Z103" s="215"/>
      <c r="AA103" s="215"/>
      <c r="AB103" s="214"/>
      <c r="AC103" s="214"/>
      <c r="AD103" s="217">
        <f>D103+E103+F103+G103+H103+I103+J103+K103+L103+M103</f>
        <v>0</v>
      </c>
      <c r="AE103" s="214">
        <f>R103*100</f>
        <v>2000</v>
      </c>
      <c r="AF103" s="214">
        <f t="shared" si="118"/>
        <v>2000</v>
      </c>
      <c r="AG103" s="214" t="s">
        <v>438</v>
      </c>
      <c r="AH103" s="214">
        <f t="shared" ref="AH103:AH107" si="124">W103+X103+Y103+Z103+AA103+AB103+AC103</f>
        <v>5000</v>
      </c>
      <c r="AI103" s="214">
        <f t="shared" si="113"/>
        <v>5000</v>
      </c>
      <c r="AJ103" s="218">
        <f>3*AI103/52</f>
        <v>288.461538461538</v>
      </c>
      <c r="AK103" s="219">
        <f>AJ103/AF103</f>
        <v>0.144230769230769</v>
      </c>
      <c r="AL103" s="218">
        <f>AD103+AJ103</f>
        <v>288.461538461538</v>
      </c>
      <c r="AM103" s="218">
        <f>AE103-AL103</f>
        <v>1711.53846153846</v>
      </c>
      <c r="AN103" s="219">
        <f>AE103/AL103</f>
        <v>6.93333333333333</v>
      </c>
      <c r="AO103" s="220">
        <f>AF103/AH103</f>
        <v>0.4</v>
      </c>
      <c r="AP103" s="221" t="s">
        <v>437</v>
      </c>
      <c r="AQ103" s="222"/>
      <c r="AR103" s="223"/>
    </row>
    <row r="104" ht="17.25" spans="1:44">
      <c r="A104" s="136" t="s">
        <v>439</v>
      </c>
      <c r="B104" s="154" t="s">
        <v>410</v>
      </c>
      <c r="C104" s="137" t="s">
        <v>411</v>
      </c>
      <c r="D104" s="48">
        <v>5</v>
      </c>
      <c r="E104" s="48"/>
      <c r="F104" s="173"/>
      <c r="G104" s="173"/>
      <c r="H104" s="173"/>
      <c r="I104" s="173"/>
      <c r="J104" s="173"/>
      <c r="K104" s="173"/>
      <c r="L104" s="173"/>
      <c r="M104" s="173"/>
      <c r="N104" s="172"/>
      <c r="O104" s="173"/>
      <c r="P104" s="173"/>
      <c r="Q104" s="173"/>
      <c r="R104" s="173"/>
      <c r="S104" s="50">
        <v>15</v>
      </c>
      <c r="T104" s="173"/>
      <c r="U104" s="173"/>
      <c r="V104" s="173"/>
      <c r="W104" s="168">
        <v>4500</v>
      </c>
      <c r="X104" s="48"/>
      <c r="Y104" s="48"/>
      <c r="Z104" s="48"/>
      <c r="AA104" s="48"/>
      <c r="AB104" s="48"/>
      <c r="AC104" s="78"/>
      <c r="AD104" s="48">
        <f t="shared" ref="AD104:AD107" si="125">D104*40+E104*30+F104*60+G104*50+H104*30+I104*50+J104*60+K104*80+L104*120+M104*30</f>
        <v>200</v>
      </c>
      <c r="AE104" s="166">
        <f t="shared" ref="AE104:AE107" si="126">N104*30+O104*50+P104*50+Q104*40+R104*100+S104*50+T104*80+U104*30</f>
        <v>750</v>
      </c>
      <c r="AF104" s="166">
        <f t="shared" si="118"/>
        <v>550</v>
      </c>
      <c r="AG104" s="188">
        <f t="shared" si="119"/>
        <v>3.75</v>
      </c>
      <c r="AH104" s="166">
        <f t="shared" si="124"/>
        <v>4500</v>
      </c>
      <c r="AI104" s="50">
        <f t="shared" ref="AI104:AI107" si="127">W104*1+X104*1.5+Y104*3+Z104*5+AA104*2+AB104*6+AC104*3</f>
        <v>4500</v>
      </c>
      <c r="AJ104" s="189">
        <f t="shared" ref="AJ104:AJ107" si="128">3*AI104/52</f>
        <v>259.615384615385</v>
      </c>
      <c r="AK104" s="190">
        <f t="shared" si="120"/>
        <v>0.472027972027972</v>
      </c>
      <c r="AL104" s="191">
        <f t="shared" ref="AL104:AL107" si="129">AD104+AJ104</f>
        <v>459.615384615385</v>
      </c>
      <c r="AM104" s="191">
        <f t="shared" ref="AM104:AM107" si="130">AE104-AL104</f>
        <v>290.384615384615</v>
      </c>
      <c r="AN104" s="190">
        <f t="shared" si="121"/>
        <v>1.63179916317992</v>
      </c>
      <c r="AO104" s="204">
        <f t="shared" si="122"/>
        <v>0.122222222222222</v>
      </c>
      <c r="AP104" s="172" t="s">
        <v>411</v>
      </c>
      <c r="AQ104" s="136" t="s">
        <v>410</v>
      </c>
      <c r="AR104" s="35" t="s">
        <v>439</v>
      </c>
    </row>
    <row r="105" ht="17.25" spans="1:44">
      <c r="A105" s="152"/>
      <c r="B105" s="153"/>
      <c r="C105" s="140" t="s">
        <v>412</v>
      </c>
      <c r="D105" s="47">
        <v>10</v>
      </c>
      <c r="E105" s="16">
        <v>10</v>
      </c>
      <c r="K105" s="50"/>
      <c r="L105" s="50"/>
      <c r="M105" s="158"/>
      <c r="N105" s="171"/>
      <c r="O105" s="158"/>
      <c r="P105" s="158"/>
      <c r="Q105" s="158"/>
      <c r="R105" s="158"/>
      <c r="S105" s="50">
        <v>30</v>
      </c>
      <c r="T105" s="158"/>
      <c r="U105" s="158"/>
      <c r="V105" s="158"/>
      <c r="W105" s="169">
        <v>3750</v>
      </c>
      <c r="X105" s="16">
        <v>900</v>
      </c>
      <c r="Y105" s="16">
        <v>250</v>
      </c>
      <c r="AC105" s="82"/>
      <c r="AD105" s="184">
        <f t="shared" si="125"/>
        <v>700</v>
      </c>
      <c r="AE105" s="50">
        <f t="shared" si="126"/>
        <v>1500</v>
      </c>
      <c r="AF105" s="50">
        <f t="shared" si="118"/>
        <v>800</v>
      </c>
      <c r="AG105" s="192">
        <f t="shared" si="119"/>
        <v>2.14285714285714</v>
      </c>
      <c r="AH105" s="50">
        <f t="shared" si="124"/>
        <v>4900</v>
      </c>
      <c r="AI105" s="50">
        <f t="shared" si="127"/>
        <v>5850</v>
      </c>
      <c r="AJ105" s="193">
        <f t="shared" si="128"/>
        <v>337.5</v>
      </c>
      <c r="AK105" s="194">
        <f t="shared" si="120"/>
        <v>0.421875</v>
      </c>
      <c r="AL105" s="195">
        <f t="shared" si="129"/>
        <v>1037.5</v>
      </c>
      <c r="AM105" s="195">
        <f t="shared" si="130"/>
        <v>462.5</v>
      </c>
      <c r="AN105" s="194">
        <f t="shared" si="121"/>
        <v>1.44578313253012</v>
      </c>
      <c r="AO105" s="206">
        <f t="shared" si="122"/>
        <v>0.163265306122449</v>
      </c>
      <c r="AP105" s="171" t="s">
        <v>412</v>
      </c>
      <c r="AQ105" s="139"/>
      <c r="AR105" s="35"/>
    </row>
    <row r="106" ht="17.25" spans="1:44">
      <c r="A106" s="152"/>
      <c r="B106" s="153"/>
      <c r="C106" s="140" t="s">
        <v>413</v>
      </c>
      <c r="D106" s="47">
        <v>15</v>
      </c>
      <c r="E106" s="16">
        <v>10</v>
      </c>
      <c r="G106" s="16">
        <v>0</v>
      </c>
      <c r="K106" s="50"/>
      <c r="L106" s="50"/>
      <c r="M106" s="158"/>
      <c r="N106" s="171"/>
      <c r="O106" s="158"/>
      <c r="P106" s="158"/>
      <c r="Q106" s="158"/>
      <c r="R106" s="158"/>
      <c r="S106" s="50">
        <v>50</v>
      </c>
      <c r="T106" s="158"/>
      <c r="U106" s="158">
        <v>10</v>
      </c>
      <c r="V106" s="158"/>
      <c r="W106" s="169">
        <v>3000</v>
      </c>
      <c r="X106" s="16">
        <v>1250</v>
      </c>
      <c r="Y106" s="16">
        <v>150</v>
      </c>
      <c r="Z106" s="16">
        <v>100</v>
      </c>
      <c r="AC106" s="82"/>
      <c r="AD106" s="184">
        <f t="shared" si="125"/>
        <v>900</v>
      </c>
      <c r="AE106" s="50">
        <f t="shared" si="126"/>
        <v>2800</v>
      </c>
      <c r="AF106" s="50">
        <f t="shared" si="118"/>
        <v>1900</v>
      </c>
      <c r="AG106" s="192">
        <f t="shared" si="119"/>
        <v>3.11111111111111</v>
      </c>
      <c r="AH106" s="50">
        <f t="shared" si="124"/>
        <v>4500</v>
      </c>
      <c r="AI106" s="50">
        <f t="shared" si="127"/>
        <v>5825</v>
      </c>
      <c r="AJ106" s="193">
        <f t="shared" si="128"/>
        <v>336.057692307692</v>
      </c>
      <c r="AK106" s="194">
        <f t="shared" si="120"/>
        <v>0.176872469635628</v>
      </c>
      <c r="AL106" s="195">
        <f t="shared" si="129"/>
        <v>1236.05769230769</v>
      </c>
      <c r="AM106" s="195">
        <f t="shared" si="130"/>
        <v>1563.94230769231</v>
      </c>
      <c r="AN106" s="194">
        <f t="shared" si="121"/>
        <v>2.26526643329444</v>
      </c>
      <c r="AO106" s="206">
        <f t="shared" si="122"/>
        <v>0.422222222222222</v>
      </c>
      <c r="AP106" s="171" t="s">
        <v>413</v>
      </c>
      <c r="AQ106" s="139"/>
      <c r="AR106" s="35"/>
    </row>
    <row r="107" ht="17.25" spans="1:44">
      <c r="A107" s="152"/>
      <c r="B107" s="153"/>
      <c r="C107" s="142" t="s">
        <v>414</v>
      </c>
      <c r="D107" s="47">
        <v>20</v>
      </c>
      <c r="F107" s="16">
        <v>5</v>
      </c>
      <c r="G107" s="16">
        <v>0</v>
      </c>
      <c r="H107" s="16">
        <v>10</v>
      </c>
      <c r="K107" s="50"/>
      <c r="L107" s="50"/>
      <c r="N107" s="111"/>
      <c r="S107" s="50">
        <v>90</v>
      </c>
      <c r="U107" s="16">
        <v>0</v>
      </c>
      <c r="W107" s="169">
        <v>2500</v>
      </c>
      <c r="X107" s="16">
        <v>900</v>
      </c>
      <c r="Y107" s="16">
        <v>100</v>
      </c>
      <c r="Z107" s="16">
        <v>200</v>
      </c>
      <c r="AC107" s="82"/>
      <c r="AD107" s="184">
        <f t="shared" si="125"/>
        <v>1400</v>
      </c>
      <c r="AE107" s="50">
        <f t="shared" si="126"/>
        <v>4500</v>
      </c>
      <c r="AF107" s="50">
        <f t="shared" si="118"/>
        <v>3100</v>
      </c>
      <c r="AG107" s="192">
        <f t="shared" si="119"/>
        <v>3.21428571428571</v>
      </c>
      <c r="AH107" s="50">
        <f t="shared" si="124"/>
        <v>3700</v>
      </c>
      <c r="AI107" s="50">
        <f t="shared" si="127"/>
        <v>5150</v>
      </c>
      <c r="AJ107" s="193">
        <f t="shared" si="128"/>
        <v>297.115384615385</v>
      </c>
      <c r="AK107" s="196">
        <f t="shared" si="120"/>
        <v>0.0958436724565757</v>
      </c>
      <c r="AL107" s="197">
        <f t="shared" si="129"/>
        <v>1697.11538461538</v>
      </c>
      <c r="AM107" s="197">
        <f t="shared" si="130"/>
        <v>2802.88461538462</v>
      </c>
      <c r="AN107" s="196">
        <f t="shared" si="121"/>
        <v>2.65155807365439</v>
      </c>
      <c r="AO107" s="206">
        <f t="shared" si="122"/>
        <v>0.837837837837838</v>
      </c>
      <c r="AP107" s="174" t="s">
        <v>414</v>
      </c>
      <c r="AQ107" s="141"/>
      <c r="AR107" s="35"/>
    </row>
    <row r="108" ht="17.25" spans="1:44">
      <c r="A108" s="152"/>
      <c r="B108" s="154" t="s">
        <v>247</v>
      </c>
      <c r="C108" s="82" t="s">
        <v>415</v>
      </c>
      <c r="D108" s="48"/>
      <c r="E108" s="48"/>
      <c r="F108" s="48"/>
      <c r="G108" s="48"/>
      <c r="H108" s="48"/>
      <c r="I108" s="48"/>
      <c r="J108" s="48"/>
      <c r="K108" s="166"/>
      <c r="L108" s="166"/>
      <c r="M108" s="48"/>
      <c r="N108" s="106"/>
      <c r="O108" s="48"/>
      <c r="P108" s="48"/>
      <c r="Q108" s="48"/>
      <c r="R108" s="48"/>
      <c r="S108" s="166"/>
      <c r="T108" s="48"/>
      <c r="U108" s="48"/>
      <c r="V108" s="48"/>
      <c r="W108" s="168"/>
      <c r="X108" s="48"/>
      <c r="Y108" s="48"/>
      <c r="Z108" s="48"/>
      <c r="AA108" s="48"/>
      <c r="AB108" s="48"/>
      <c r="AC108" s="78"/>
      <c r="AD108" s="185"/>
      <c r="AE108" s="166"/>
      <c r="AF108" s="166"/>
      <c r="AG108" s="188"/>
      <c r="AH108" s="166"/>
      <c r="AI108" s="166"/>
      <c r="AJ108" s="189"/>
      <c r="AK108" s="194"/>
      <c r="AL108" s="195"/>
      <c r="AM108" s="195"/>
      <c r="AN108" s="194"/>
      <c r="AO108" s="204"/>
      <c r="AP108" s="111" t="s">
        <v>415</v>
      </c>
      <c r="AQ108" s="139" t="s">
        <v>247</v>
      </c>
      <c r="AR108" s="35"/>
    </row>
    <row r="109" ht="17.25" spans="1:44">
      <c r="A109" s="152"/>
      <c r="B109" s="153"/>
      <c r="C109" s="82" t="s">
        <v>416</v>
      </c>
      <c r="D109" s="47"/>
      <c r="I109" s="16">
        <v>10</v>
      </c>
      <c r="K109" s="50"/>
      <c r="L109" s="50"/>
      <c r="N109" s="111"/>
      <c r="S109" s="50">
        <v>25</v>
      </c>
      <c r="W109" s="169">
        <v>-500</v>
      </c>
      <c r="X109" s="16">
        <v>350</v>
      </c>
      <c r="Y109" s="16">
        <v>150</v>
      </c>
      <c r="AC109" s="82"/>
      <c r="AD109" s="184">
        <f t="shared" ref="AD109:AD113" si="131">D109*40+E109*30+F109*60+G109*50+H109*30+I109*50+J109*60+K109*80+L109*120+M109*30</f>
        <v>500</v>
      </c>
      <c r="AE109" s="50">
        <f t="shared" ref="AE109:AE113" si="132">N109*30+O109*50+P109*50+Q109*40+R109*100+S109*50+T109*80+U109*30</f>
        <v>1250</v>
      </c>
      <c r="AF109" s="50">
        <f t="shared" ref="AF109:AF113" si="133">AE109-AD109</f>
        <v>750</v>
      </c>
      <c r="AG109" s="192">
        <f t="shared" ref="AG109:AG113" si="134">AE109/AD109*100%</f>
        <v>2.5</v>
      </c>
      <c r="AH109" s="50">
        <f t="shared" ref="AH109:AH113" si="135">W109+X109+Y109+Z109+AA109+AB109+AC109</f>
        <v>0</v>
      </c>
      <c r="AI109" s="50">
        <f t="shared" ref="AI109:AI113" si="136">W109*1+X109*1.5+Y109*3+Z109*5+AA109*2+AB109*6+AC109*3</f>
        <v>475</v>
      </c>
      <c r="AJ109" s="193">
        <f t="shared" ref="AJ109:AJ113" si="137">3*AI109/52</f>
        <v>27.4038461538462</v>
      </c>
      <c r="AK109" s="194">
        <f>AJ109/AF109</f>
        <v>0.0365384615384615</v>
      </c>
      <c r="AL109" s="195">
        <f t="shared" ref="AL109:AL113" si="138">AD109+AJ109</f>
        <v>527.403846153846</v>
      </c>
      <c r="AM109" s="195">
        <f t="shared" ref="AM109:AM113" si="139">AE109-AL109</f>
        <v>722.596153846154</v>
      </c>
      <c r="AN109" s="194">
        <f t="shared" ref="AN109:AN113" si="140">AE109/AL109</f>
        <v>2.37010027347311</v>
      </c>
      <c r="AO109" s="206"/>
      <c r="AP109" s="111" t="s">
        <v>416</v>
      </c>
      <c r="AQ109" s="139"/>
      <c r="AR109" s="35"/>
    </row>
    <row r="110" ht="17.25" spans="1:44">
      <c r="A110" s="152"/>
      <c r="B110" s="153"/>
      <c r="C110" s="82" t="s">
        <v>417</v>
      </c>
      <c r="D110" s="61"/>
      <c r="E110" s="61"/>
      <c r="F110" s="61"/>
      <c r="G110" s="61"/>
      <c r="H110" s="61"/>
      <c r="I110" s="61">
        <v>10</v>
      </c>
      <c r="J110" s="61">
        <v>5</v>
      </c>
      <c r="K110" s="167"/>
      <c r="L110" s="167"/>
      <c r="M110" s="61"/>
      <c r="N110" s="116"/>
      <c r="O110" s="61"/>
      <c r="P110" s="61"/>
      <c r="Q110" s="61"/>
      <c r="R110" s="61"/>
      <c r="S110" s="167">
        <v>50</v>
      </c>
      <c r="T110" s="61"/>
      <c r="U110" s="61">
        <v>10</v>
      </c>
      <c r="V110" s="61"/>
      <c r="W110" s="170">
        <v>-500</v>
      </c>
      <c r="X110" s="61">
        <v>300</v>
      </c>
      <c r="Y110" s="61">
        <v>100</v>
      </c>
      <c r="Z110" s="61">
        <v>100</v>
      </c>
      <c r="AA110" s="61"/>
      <c r="AB110" s="61"/>
      <c r="AC110" s="79"/>
      <c r="AD110" s="186">
        <f t="shared" si="131"/>
        <v>800</v>
      </c>
      <c r="AE110" s="167">
        <f t="shared" si="132"/>
        <v>2800</v>
      </c>
      <c r="AF110" s="50">
        <f t="shared" si="133"/>
        <v>2000</v>
      </c>
      <c r="AG110" s="192">
        <f t="shared" si="134"/>
        <v>3.5</v>
      </c>
      <c r="AH110" s="50">
        <f t="shared" si="135"/>
        <v>0</v>
      </c>
      <c r="AI110" s="167">
        <f t="shared" si="136"/>
        <v>750</v>
      </c>
      <c r="AJ110" s="198">
        <f t="shared" si="137"/>
        <v>43.2692307692308</v>
      </c>
      <c r="AK110" s="196">
        <f>AJ110/AF110</f>
        <v>0.0216346153846154</v>
      </c>
      <c r="AL110" s="197">
        <f t="shared" si="138"/>
        <v>843.269230769231</v>
      </c>
      <c r="AM110" s="197">
        <f t="shared" si="139"/>
        <v>1956.73076923077</v>
      </c>
      <c r="AN110" s="196">
        <f t="shared" si="140"/>
        <v>3.32041049030787</v>
      </c>
      <c r="AO110" s="207"/>
      <c r="AP110" s="111" t="s">
        <v>417</v>
      </c>
      <c r="AQ110" s="139"/>
      <c r="AR110" s="35"/>
    </row>
    <row r="111" ht="17.25" spans="1:44">
      <c r="A111" s="152"/>
      <c r="B111" s="154" t="s">
        <v>418</v>
      </c>
      <c r="C111" s="78" t="s">
        <v>419</v>
      </c>
      <c r="D111" s="47"/>
      <c r="K111" s="50"/>
      <c r="L111" s="50"/>
      <c r="N111" s="111"/>
      <c r="S111" s="50"/>
      <c r="W111" s="169"/>
      <c r="AC111" s="82"/>
      <c r="AD111" s="184"/>
      <c r="AE111" s="50"/>
      <c r="AF111" s="166"/>
      <c r="AG111" s="188"/>
      <c r="AH111" s="166"/>
      <c r="AI111" s="50"/>
      <c r="AJ111" s="193"/>
      <c r="AK111" s="194"/>
      <c r="AL111" s="195"/>
      <c r="AM111" s="195"/>
      <c r="AN111" s="194"/>
      <c r="AO111" s="206"/>
      <c r="AP111" s="106" t="s">
        <v>419</v>
      </c>
      <c r="AQ111" s="136" t="s">
        <v>418</v>
      </c>
      <c r="AR111" s="35"/>
    </row>
    <row r="112" ht="17.25" spans="1:44">
      <c r="A112" s="152"/>
      <c r="B112" s="153"/>
      <c r="C112" s="140" t="s">
        <v>420</v>
      </c>
      <c r="D112" s="47"/>
      <c r="K112" s="50">
        <v>5</v>
      </c>
      <c r="L112" s="50"/>
      <c r="N112" s="111"/>
      <c r="S112" s="50">
        <v>15</v>
      </c>
      <c r="U112" s="16">
        <v>5</v>
      </c>
      <c r="W112" s="169">
        <v>-1200</v>
      </c>
      <c r="Z112" s="16">
        <v>50</v>
      </c>
      <c r="AC112" s="82"/>
      <c r="AD112" s="184">
        <f t="shared" si="131"/>
        <v>400</v>
      </c>
      <c r="AE112" s="50">
        <f t="shared" si="132"/>
        <v>900</v>
      </c>
      <c r="AF112" s="50">
        <f t="shared" si="133"/>
        <v>500</v>
      </c>
      <c r="AG112" s="192">
        <f t="shared" si="134"/>
        <v>2.25</v>
      </c>
      <c r="AH112" s="50">
        <f t="shared" si="135"/>
        <v>-1150</v>
      </c>
      <c r="AI112" s="50">
        <f t="shared" si="136"/>
        <v>-950</v>
      </c>
      <c r="AJ112" s="193">
        <f t="shared" si="137"/>
        <v>-54.8076923076923</v>
      </c>
      <c r="AK112" s="194"/>
      <c r="AL112" s="195">
        <f t="shared" si="138"/>
        <v>345.192307692308</v>
      </c>
      <c r="AM112" s="195">
        <f t="shared" si="139"/>
        <v>554.807692307692</v>
      </c>
      <c r="AN112" s="194">
        <f t="shared" si="140"/>
        <v>2.60724233983287</v>
      </c>
      <c r="AO112" s="206"/>
      <c r="AP112" s="171" t="s">
        <v>420</v>
      </c>
      <c r="AQ112" s="139"/>
      <c r="AR112" s="35"/>
    </row>
    <row r="113" ht="17.25" spans="1:44">
      <c r="A113" s="152"/>
      <c r="B113" s="153"/>
      <c r="C113" s="79" t="s">
        <v>421</v>
      </c>
      <c r="D113" s="47"/>
      <c r="F113" s="16">
        <v>5</v>
      </c>
      <c r="H113" s="16">
        <v>10</v>
      </c>
      <c r="K113" s="50">
        <v>20</v>
      </c>
      <c r="L113" s="50">
        <v>10</v>
      </c>
      <c r="N113" s="111"/>
      <c r="S113" s="50">
        <v>50</v>
      </c>
      <c r="U113" s="16">
        <v>0</v>
      </c>
      <c r="W113" s="169">
        <v>-5000</v>
      </c>
      <c r="X113" s="16">
        <v>-300</v>
      </c>
      <c r="Y113" s="16">
        <v>100</v>
      </c>
      <c r="Z113" s="16">
        <v>100</v>
      </c>
      <c r="AC113" s="82"/>
      <c r="AD113" s="184">
        <f t="shared" si="131"/>
        <v>3400</v>
      </c>
      <c r="AE113" s="50">
        <f t="shared" si="132"/>
        <v>2500</v>
      </c>
      <c r="AF113" s="50">
        <f t="shared" si="133"/>
        <v>-900</v>
      </c>
      <c r="AG113" s="192">
        <f t="shared" si="134"/>
        <v>0.735294117647059</v>
      </c>
      <c r="AH113" s="50">
        <f t="shared" si="135"/>
        <v>-5100</v>
      </c>
      <c r="AI113" s="50">
        <f t="shared" si="136"/>
        <v>-4650</v>
      </c>
      <c r="AJ113" s="193">
        <f t="shared" si="137"/>
        <v>-268.269230769231</v>
      </c>
      <c r="AK113" s="196"/>
      <c r="AL113" s="197">
        <f t="shared" si="138"/>
        <v>3131.73076923077</v>
      </c>
      <c r="AM113" s="197">
        <f t="shared" si="139"/>
        <v>-631.730769230769</v>
      </c>
      <c r="AN113" s="196">
        <f t="shared" si="140"/>
        <v>0.798280626343261</v>
      </c>
      <c r="AO113" s="206"/>
      <c r="AP113" s="116" t="s">
        <v>421</v>
      </c>
      <c r="AQ113" s="141"/>
      <c r="AR113" s="35"/>
    </row>
    <row r="114" ht="17.25" spans="1:44">
      <c r="A114" s="152"/>
      <c r="B114" s="154" t="s">
        <v>422</v>
      </c>
      <c r="C114" s="82" t="s">
        <v>423</v>
      </c>
      <c r="D114" s="48"/>
      <c r="E114" s="48"/>
      <c r="F114" s="48"/>
      <c r="G114" s="48"/>
      <c r="H114" s="48"/>
      <c r="I114" s="48"/>
      <c r="J114" s="48"/>
      <c r="K114" s="166"/>
      <c r="L114" s="166"/>
      <c r="M114" s="48"/>
      <c r="N114" s="106"/>
      <c r="O114" s="48"/>
      <c r="P114" s="48"/>
      <c r="Q114" s="48"/>
      <c r="R114" s="48"/>
      <c r="S114" s="166"/>
      <c r="T114" s="48"/>
      <c r="U114" s="48"/>
      <c r="V114" s="48"/>
      <c r="W114" s="168"/>
      <c r="X114" s="48"/>
      <c r="Y114" s="48"/>
      <c r="Z114" s="48"/>
      <c r="AA114" s="48"/>
      <c r="AB114" s="48"/>
      <c r="AC114" s="78"/>
      <c r="AD114" s="185"/>
      <c r="AE114" s="166"/>
      <c r="AF114" s="166"/>
      <c r="AG114" s="188"/>
      <c r="AH114" s="166"/>
      <c r="AI114" s="166"/>
      <c r="AJ114" s="189"/>
      <c r="AK114" s="194"/>
      <c r="AL114" s="195"/>
      <c r="AM114" s="195"/>
      <c r="AN114" s="194"/>
      <c r="AO114" s="204"/>
      <c r="AP114" s="111" t="s">
        <v>423</v>
      </c>
      <c r="AQ114" s="139" t="s">
        <v>422</v>
      </c>
      <c r="AR114" s="35"/>
    </row>
    <row r="115" ht="17.25" spans="1:44">
      <c r="A115" s="152"/>
      <c r="B115" s="153"/>
      <c r="C115" s="82" t="s">
        <v>424</v>
      </c>
      <c r="D115" s="47"/>
      <c r="K115" s="50"/>
      <c r="M115" s="16">
        <v>5</v>
      </c>
      <c r="N115" s="111"/>
      <c r="S115" s="50"/>
      <c r="W115" s="169">
        <v>-500</v>
      </c>
      <c r="X115" s="16">
        <v>-200</v>
      </c>
      <c r="AC115" s="82"/>
      <c r="AD115" s="184">
        <f>D115*40+E115*30+F115*60+G115*50+H115*30+I115*50+J115*60+K115*80+L115*120+M115*30</f>
        <v>150</v>
      </c>
      <c r="AE115" s="50">
        <f>N115*30+O115*50+P115*50+Q115*40+R115*100+S115*50+T115*80+U115*30</f>
        <v>0</v>
      </c>
      <c r="AF115" s="50">
        <f>AE115-AD115</f>
        <v>-150</v>
      </c>
      <c r="AG115" s="192">
        <f>AE115/AD115*100%</f>
        <v>0</v>
      </c>
      <c r="AH115" s="50">
        <f t="shared" ref="AH115:AH127" si="141">W115+X115+Y115+Z115+AA115+AB115+AC115</f>
        <v>-700</v>
      </c>
      <c r="AI115" s="50">
        <f t="shared" ref="AI115:AI127" si="142">W115*1+X115*1.5+Y115*3+Z115*5+AA115*2+AB115*6+AC115*3</f>
        <v>-800</v>
      </c>
      <c r="AJ115" s="193">
        <f t="shared" ref="AJ115:AJ127" si="143">3*AI115/52</f>
        <v>-46.1538461538462</v>
      </c>
      <c r="AK115" s="194"/>
      <c r="AL115" s="195">
        <f t="shared" ref="AL115:AL127" si="144">AD115+AJ115</f>
        <v>103.846153846154</v>
      </c>
      <c r="AM115" s="195">
        <f t="shared" ref="AM115:AM127" si="145">AE115-AL115</f>
        <v>-103.846153846154</v>
      </c>
      <c r="AN115" s="194">
        <f>AE115/AL115</f>
        <v>0</v>
      </c>
      <c r="AO115" s="206"/>
      <c r="AP115" s="111" t="s">
        <v>424</v>
      </c>
      <c r="AQ115" s="139"/>
      <c r="AR115" s="35"/>
    </row>
    <row r="116" ht="17.25" spans="1:44">
      <c r="A116" s="152"/>
      <c r="B116" s="153"/>
      <c r="C116" s="82" t="s">
        <v>425</v>
      </c>
      <c r="D116" s="61"/>
      <c r="E116" s="61"/>
      <c r="F116" s="61"/>
      <c r="G116" s="61">
        <v>0</v>
      </c>
      <c r="H116" s="61"/>
      <c r="I116" s="61"/>
      <c r="J116" s="61"/>
      <c r="K116" s="167">
        <v>10</v>
      </c>
      <c r="L116" s="167"/>
      <c r="M116" s="61">
        <v>5</v>
      </c>
      <c r="N116" s="116">
        <v>1</v>
      </c>
      <c r="O116" s="61">
        <v>1</v>
      </c>
      <c r="P116" s="61">
        <v>1</v>
      </c>
      <c r="Q116" s="61">
        <v>1</v>
      </c>
      <c r="R116" s="61"/>
      <c r="S116" s="167">
        <v>10</v>
      </c>
      <c r="T116" s="61"/>
      <c r="U116" s="61">
        <v>20</v>
      </c>
      <c r="V116" s="61"/>
      <c r="W116" s="170">
        <v>-2500</v>
      </c>
      <c r="X116" s="61">
        <v>-400</v>
      </c>
      <c r="Y116" s="61">
        <v>-100</v>
      </c>
      <c r="Z116" s="61">
        <v>100</v>
      </c>
      <c r="AA116" s="61"/>
      <c r="AB116" s="61"/>
      <c r="AC116" s="79"/>
      <c r="AD116" s="186">
        <f>D116*40+E116*30+F116*60+G116*50+H116*30+I116*50+J116*60+K116*80+L116*120+M116*30</f>
        <v>950</v>
      </c>
      <c r="AE116" s="167">
        <f>N116*30+O116*50+P116*50+Q116*40+R116*100+S116*50+T116*80+U116*30</f>
        <v>1270</v>
      </c>
      <c r="AF116" s="50">
        <f>AE116-AD116</f>
        <v>320</v>
      </c>
      <c r="AG116" s="192">
        <f>AE116/AD116*100%</f>
        <v>1.33684210526316</v>
      </c>
      <c r="AH116" s="50">
        <f t="shared" si="141"/>
        <v>-2900</v>
      </c>
      <c r="AI116" s="167">
        <f t="shared" si="142"/>
        <v>-2900</v>
      </c>
      <c r="AJ116" s="198">
        <f t="shared" si="143"/>
        <v>-167.307692307692</v>
      </c>
      <c r="AK116" s="196"/>
      <c r="AL116" s="197">
        <f t="shared" si="144"/>
        <v>782.692307692308</v>
      </c>
      <c r="AM116" s="197">
        <f t="shared" si="145"/>
        <v>487.307692307692</v>
      </c>
      <c r="AN116" s="196">
        <f>AE116/AL116</f>
        <v>1.62260442260442</v>
      </c>
      <c r="AO116" s="207"/>
      <c r="AP116" s="111" t="s">
        <v>425</v>
      </c>
      <c r="AQ116" s="139"/>
      <c r="AR116" s="35"/>
    </row>
    <row r="117" ht="17.25" spans="1:44">
      <c r="A117" s="152"/>
      <c r="B117" s="154" t="s">
        <v>426</v>
      </c>
      <c r="C117" s="144" t="s">
        <v>427</v>
      </c>
      <c r="D117" s="47"/>
      <c r="K117" s="50"/>
      <c r="L117" s="50"/>
      <c r="N117" s="111"/>
      <c r="W117" s="169"/>
      <c r="AA117" s="16">
        <v>500</v>
      </c>
      <c r="AC117" s="82"/>
      <c r="AD117" s="184"/>
      <c r="AE117" s="50"/>
      <c r="AF117" s="166"/>
      <c r="AG117" s="188"/>
      <c r="AH117" s="166">
        <f t="shared" si="141"/>
        <v>500</v>
      </c>
      <c r="AI117" s="50">
        <f t="shared" si="142"/>
        <v>1000</v>
      </c>
      <c r="AJ117" s="193">
        <f t="shared" si="143"/>
        <v>57.6923076923077</v>
      </c>
      <c r="AK117" s="194"/>
      <c r="AL117" s="195">
        <f t="shared" si="144"/>
        <v>57.6923076923077</v>
      </c>
      <c r="AM117" s="195">
        <f t="shared" si="145"/>
        <v>-57.6923076923077</v>
      </c>
      <c r="AN117" s="194"/>
      <c r="AO117" s="206"/>
      <c r="AP117" s="168" t="s">
        <v>427</v>
      </c>
      <c r="AQ117" s="143" t="s">
        <v>426</v>
      </c>
      <c r="AR117" s="35"/>
    </row>
    <row r="118" ht="17.25" spans="1:44">
      <c r="A118" s="152"/>
      <c r="B118" s="153"/>
      <c r="C118" s="140" t="s">
        <v>428</v>
      </c>
      <c r="D118" s="47"/>
      <c r="N118" s="111"/>
      <c r="W118" s="169"/>
      <c r="AB118" s="16">
        <v>100</v>
      </c>
      <c r="AC118" s="82"/>
      <c r="AD118" s="184"/>
      <c r="AE118" s="50"/>
      <c r="AF118" s="50"/>
      <c r="AG118" s="192"/>
      <c r="AH118" s="50">
        <f t="shared" si="141"/>
        <v>100</v>
      </c>
      <c r="AI118" s="50">
        <f t="shared" si="142"/>
        <v>600</v>
      </c>
      <c r="AJ118" s="193">
        <f t="shared" si="143"/>
        <v>34.6153846153846</v>
      </c>
      <c r="AK118" s="194"/>
      <c r="AL118" s="195">
        <f t="shared" si="144"/>
        <v>34.6153846153846</v>
      </c>
      <c r="AM118" s="195">
        <f t="shared" si="145"/>
        <v>-34.6153846153846</v>
      </c>
      <c r="AN118" s="194"/>
      <c r="AO118" s="206"/>
      <c r="AP118" s="171" t="s">
        <v>428</v>
      </c>
      <c r="AQ118" s="145"/>
      <c r="AR118" s="35"/>
    </row>
    <row r="119" ht="17.25" spans="1:44">
      <c r="A119" s="152"/>
      <c r="B119" s="153"/>
      <c r="C119" s="140" t="s">
        <v>429</v>
      </c>
      <c r="D119" s="47"/>
      <c r="N119" s="111"/>
      <c r="W119" s="169"/>
      <c r="Z119" s="16">
        <v>300</v>
      </c>
      <c r="AC119" s="82"/>
      <c r="AD119" s="184"/>
      <c r="AE119" s="50"/>
      <c r="AF119" s="50"/>
      <c r="AG119" s="192"/>
      <c r="AH119" s="50">
        <f t="shared" si="141"/>
        <v>300</v>
      </c>
      <c r="AI119" s="50">
        <f t="shared" si="142"/>
        <v>1500</v>
      </c>
      <c r="AJ119" s="193">
        <f t="shared" si="143"/>
        <v>86.5384615384615</v>
      </c>
      <c r="AK119" s="194"/>
      <c r="AL119" s="195">
        <f t="shared" si="144"/>
        <v>86.5384615384615</v>
      </c>
      <c r="AM119" s="195">
        <f t="shared" si="145"/>
        <v>-86.5384615384615</v>
      </c>
      <c r="AN119" s="194"/>
      <c r="AO119" s="206"/>
      <c r="AP119" s="171" t="s">
        <v>430</v>
      </c>
      <c r="AQ119" s="145"/>
      <c r="AR119" s="35"/>
    </row>
    <row r="120" ht="17.25" spans="1:44">
      <c r="A120" s="152"/>
      <c r="B120" s="153"/>
      <c r="C120" s="140" t="s">
        <v>431</v>
      </c>
      <c r="D120" s="47"/>
      <c r="N120" s="111"/>
      <c r="W120" s="169"/>
      <c r="AC120" s="82">
        <v>150</v>
      </c>
      <c r="AD120" s="184"/>
      <c r="AE120" s="50"/>
      <c r="AF120" s="50"/>
      <c r="AG120" s="192"/>
      <c r="AH120" s="50">
        <f t="shared" si="141"/>
        <v>150</v>
      </c>
      <c r="AI120" s="50">
        <f t="shared" si="142"/>
        <v>450</v>
      </c>
      <c r="AJ120" s="193">
        <f t="shared" si="143"/>
        <v>25.9615384615385</v>
      </c>
      <c r="AK120" s="194"/>
      <c r="AL120" s="195">
        <f t="shared" si="144"/>
        <v>25.9615384615385</v>
      </c>
      <c r="AM120" s="195">
        <f t="shared" si="145"/>
        <v>-25.9615384615385</v>
      </c>
      <c r="AN120" s="194"/>
      <c r="AO120" s="206"/>
      <c r="AP120" s="171" t="s">
        <v>431</v>
      </c>
      <c r="AQ120" s="145"/>
      <c r="AR120" s="35"/>
    </row>
    <row r="121" ht="17.25" spans="1:44">
      <c r="A121" s="152"/>
      <c r="B121" s="153"/>
      <c r="C121" s="155" t="s">
        <v>432</v>
      </c>
      <c r="D121" s="61"/>
      <c r="E121" s="61"/>
      <c r="F121" s="61"/>
      <c r="G121" s="61"/>
      <c r="H121" s="61"/>
      <c r="I121" s="61"/>
      <c r="J121" s="61"/>
      <c r="K121" s="61"/>
      <c r="L121" s="61"/>
      <c r="M121" s="61"/>
      <c r="N121" s="116"/>
      <c r="O121" s="61"/>
      <c r="P121" s="61"/>
      <c r="Q121" s="61"/>
      <c r="R121" s="61"/>
      <c r="S121" s="61"/>
      <c r="T121" s="61"/>
      <c r="U121" s="61"/>
      <c r="V121" s="61"/>
      <c r="W121" s="170">
        <v>100</v>
      </c>
      <c r="X121" s="61">
        <v>100</v>
      </c>
      <c r="Y121" s="61"/>
      <c r="Z121" s="61"/>
      <c r="AA121" s="61"/>
      <c r="AB121" s="61"/>
      <c r="AC121" s="79"/>
      <c r="AD121" s="186"/>
      <c r="AE121" s="167"/>
      <c r="AF121" s="167"/>
      <c r="AG121" s="192"/>
      <c r="AH121" s="50">
        <f t="shared" si="141"/>
        <v>200</v>
      </c>
      <c r="AI121" s="50">
        <f t="shared" si="142"/>
        <v>250</v>
      </c>
      <c r="AJ121" s="198">
        <f t="shared" si="143"/>
        <v>14.4230769230769</v>
      </c>
      <c r="AK121" s="196"/>
      <c r="AL121" s="197">
        <f t="shared" si="144"/>
        <v>14.4230769230769</v>
      </c>
      <c r="AM121" s="197">
        <f t="shared" si="145"/>
        <v>-14.4230769230769</v>
      </c>
      <c r="AN121" s="196"/>
      <c r="AO121" s="207"/>
      <c r="AP121" s="170" t="s">
        <v>432</v>
      </c>
      <c r="AQ121" s="147"/>
      <c r="AR121" s="60"/>
    </row>
    <row r="122" spans="1:44">
      <c r="A122" s="156" t="s">
        <v>122</v>
      </c>
      <c r="B122" s="156"/>
      <c r="C122" s="157"/>
      <c r="D122" s="159">
        <f t="shared" ref="D122:V122" si="146">D104+D108+D111+D114</f>
        <v>5</v>
      </c>
      <c r="E122" s="159">
        <f t="shared" si="146"/>
        <v>0</v>
      </c>
      <c r="F122" s="159">
        <f t="shared" si="146"/>
        <v>0</v>
      </c>
      <c r="G122" s="159">
        <f t="shared" si="146"/>
        <v>0</v>
      </c>
      <c r="H122" s="159">
        <f t="shared" si="146"/>
        <v>0</v>
      </c>
      <c r="I122" s="159">
        <f t="shared" si="146"/>
        <v>0</v>
      </c>
      <c r="J122" s="159">
        <f t="shared" si="146"/>
        <v>0</v>
      </c>
      <c r="K122" s="159">
        <f t="shared" si="146"/>
        <v>0</v>
      </c>
      <c r="L122" s="159">
        <f t="shared" si="146"/>
        <v>0</v>
      </c>
      <c r="M122" s="159">
        <f t="shared" si="146"/>
        <v>0</v>
      </c>
      <c r="N122" s="151">
        <f t="shared" si="146"/>
        <v>0</v>
      </c>
      <c r="O122" s="151">
        <f t="shared" si="146"/>
        <v>0</v>
      </c>
      <c r="P122" s="151">
        <f t="shared" si="146"/>
        <v>0</v>
      </c>
      <c r="Q122" s="151">
        <f t="shared" si="146"/>
        <v>0</v>
      </c>
      <c r="R122" s="151">
        <f t="shared" si="146"/>
        <v>0</v>
      </c>
      <c r="S122" s="151">
        <f t="shared" si="146"/>
        <v>15</v>
      </c>
      <c r="T122" s="151">
        <f t="shared" si="146"/>
        <v>0</v>
      </c>
      <c r="U122" s="151">
        <f t="shared" si="146"/>
        <v>0</v>
      </c>
      <c r="V122" s="151">
        <f t="shared" si="146"/>
        <v>0</v>
      </c>
      <c r="W122" s="151">
        <v>4500</v>
      </c>
      <c r="X122" s="151">
        <v>0</v>
      </c>
      <c r="Y122" s="151">
        <v>0</v>
      </c>
      <c r="Z122" s="151">
        <v>0</v>
      </c>
      <c r="AA122" s="151">
        <v>500</v>
      </c>
      <c r="AB122" s="151">
        <v>0</v>
      </c>
      <c r="AC122" s="151">
        <v>0</v>
      </c>
      <c r="AD122" s="151">
        <f>AD104+AD108+AD111+AD114</f>
        <v>200</v>
      </c>
      <c r="AE122" s="151">
        <f>AE104+AE108+AE111+AE114</f>
        <v>750</v>
      </c>
      <c r="AF122" s="151">
        <f t="shared" ref="AF122:AF127" si="147">AE122-AD122</f>
        <v>550</v>
      </c>
      <c r="AG122" s="199">
        <f t="shared" ref="AG122:AG127" si="148">AE122/AD122*100%</f>
        <v>3.75</v>
      </c>
      <c r="AH122" s="200">
        <f t="shared" si="141"/>
        <v>5000</v>
      </c>
      <c r="AI122" s="159">
        <f t="shared" si="142"/>
        <v>5500</v>
      </c>
      <c r="AJ122" s="201">
        <f t="shared" si="143"/>
        <v>317.307692307692</v>
      </c>
      <c r="AK122" s="202">
        <f t="shared" ref="AK122:AK127" si="149">AJ122/AF122</f>
        <v>0.576923076923077</v>
      </c>
      <c r="AL122" s="201">
        <f t="shared" si="144"/>
        <v>517.307692307692</v>
      </c>
      <c r="AM122" s="201">
        <f t="shared" si="145"/>
        <v>232.692307692308</v>
      </c>
      <c r="AN122" s="202">
        <f t="shared" ref="AN122:AN127" si="150">AE122/AL122</f>
        <v>1.44981412639405</v>
      </c>
      <c r="AO122" s="208">
        <f t="shared" ref="AO122:AO127" si="151">AF122/AH122</f>
        <v>0.11</v>
      </c>
      <c r="AP122" s="209" t="s">
        <v>122</v>
      </c>
      <c r="AQ122" s="210"/>
      <c r="AR122" s="211"/>
    </row>
    <row r="123" spans="1:44">
      <c r="A123" s="149" t="s">
        <v>123</v>
      </c>
      <c r="B123" s="149"/>
      <c r="C123" s="150"/>
      <c r="D123" s="151">
        <f t="shared" ref="D123:V123" si="152">D107+D110+D113+D116</f>
        <v>20</v>
      </c>
      <c r="E123" s="151">
        <f t="shared" si="152"/>
        <v>0</v>
      </c>
      <c r="F123" s="151">
        <f t="shared" si="152"/>
        <v>10</v>
      </c>
      <c r="G123" s="151">
        <f t="shared" si="152"/>
        <v>0</v>
      </c>
      <c r="H123" s="151">
        <f t="shared" si="152"/>
        <v>20</v>
      </c>
      <c r="I123" s="151">
        <f t="shared" si="152"/>
        <v>10</v>
      </c>
      <c r="J123" s="151">
        <f t="shared" si="152"/>
        <v>5</v>
      </c>
      <c r="K123" s="151">
        <f t="shared" si="152"/>
        <v>30</v>
      </c>
      <c r="L123" s="151">
        <f t="shared" si="152"/>
        <v>10</v>
      </c>
      <c r="M123" s="151">
        <f t="shared" si="152"/>
        <v>5</v>
      </c>
      <c r="N123" s="151">
        <f t="shared" si="152"/>
        <v>1</v>
      </c>
      <c r="O123" s="151">
        <f t="shared" si="152"/>
        <v>1</v>
      </c>
      <c r="P123" s="151">
        <f t="shared" si="152"/>
        <v>1</v>
      </c>
      <c r="Q123" s="151">
        <f t="shared" si="152"/>
        <v>1</v>
      </c>
      <c r="R123" s="151">
        <f t="shared" si="152"/>
        <v>0</v>
      </c>
      <c r="S123" s="151">
        <f t="shared" si="152"/>
        <v>200</v>
      </c>
      <c r="T123" s="151">
        <f t="shared" si="152"/>
        <v>0</v>
      </c>
      <c r="U123" s="151">
        <f t="shared" si="152"/>
        <v>30</v>
      </c>
      <c r="V123" s="151">
        <f t="shared" si="152"/>
        <v>0</v>
      </c>
      <c r="W123" s="151">
        <v>0</v>
      </c>
      <c r="X123" s="151">
        <v>500</v>
      </c>
      <c r="Y123" s="151">
        <v>200</v>
      </c>
      <c r="Z123" s="151">
        <v>500</v>
      </c>
      <c r="AA123" s="151">
        <v>0</v>
      </c>
      <c r="AB123" s="151">
        <v>100</v>
      </c>
      <c r="AC123" s="151">
        <v>0</v>
      </c>
      <c r="AD123" s="151">
        <f>AD107+AD110+AD113+AD116</f>
        <v>6550</v>
      </c>
      <c r="AE123" s="151">
        <f>AE107+AE110+AE113+AE116</f>
        <v>11070</v>
      </c>
      <c r="AF123" s="151">
        <f t="shared" si="147"/>
        <v>4520</v>
      </c>
      <c r="AG123" s="202">
        <f t="shared" si="148"/>
        <v>1.69007633587786</v>
      </c>
      <c r="AH123" s="159">
        <f t="shared" si="141"/>
        <v>1300</v>
      </c>
      <c r="AI123" s="159">
        <f t="shared" si="142"/>
        <v>4450</v>
      </c>
      <c r="AJ123" s="201">
        <f t="shared" si="143"/>
        <v>256.730769230769</v>
      </c>
      <c r="AK123" s="202">
        <f t="shared" si="149"/>
        <v>0.0567988427501702</v>
      </c>
      <c r="AL123" s="201">
        <f t="shared" si="144"/>
        <v>6806.73076923077</v>
      </c>
      <c r="AM123" s="201">
        <f t="shared" si="145"/>
        <v>4263.26923076923</v>
      </c>
      <c r="AN123" s="202">
        <f t="shared" si="150"/>
        <v>1.6263314027405</v>
      </c>
      <c r="AO123" s="208">
        <f t="shared" si="151"/>
        <v>3.47692307692308</v>
      </c>
      <c r="AP123" s="209" t="s">
        <v>123</v>
      </c>
      <c r="AQ123" s="210"/>
      <c r="AR123" s="211"/>
    </row>
    <row r="124" ht="17.25" spans="1:44">
      <c r="A124" s="152" t="s">
        <v>440</v>
      </c>
      <c r="B124" s="153" t="s">
        <v>410</v>
      </c>
      <c r="C124" s="140" t="s">
        <v>411</v>
      </c>
      <c r="D124" s="48">
        <v>5</v>
      </c>
      <c r="E124" s="48"/>
      <c r="F124" s="173"/>
      <c r="G124" s="173"/>
      <c r="H124" s="173"/>
      <c r="I124" s="173"/>
      <c r="J124" s="173"/>
      <c r="K124" s="173"/>
      <c r="L124" s="173"/>
      <c r="M124" s="173"/>
      <c r="N124" s="172"/>
      <c r="O124" s="173"/>
      <c r="P124" s="173"/>
      <c r="Q124" s="173"/>
      <c r="R124" s="173"/>
      <c r="S124" s="173"/>
      <c r="T124" s="173">
        <v>10</v>
      </c>
      <c r="U124" s="173"/>
      <c r="V124" s="173"/>
      <c r="W124" s="168">
        <v>4500</v>
      </c>
      <c r="X124" s="48"/>
      <c r="Y124" s="48"/>
      <c r="Z124" s="48"/>
      <c r="AA124" s="48"/>
      <c r="AB124" s="48"/>
      <c r="AC124" s="78"/>
      <c r="AD124" s="48">
        <f t="shared" ref="AD124:AD127" si="153">D124*40+E124*30+F124*60+G124*50+H124*30+I124*50+J124*60+K124*80+L124*120+M124*30</f>
        <v>200</v>
      </c>
      <c r="AE124" s="166">
        <f t="shared" ref="AE124:AE127" si="154">N124*30+O124*50+P124*50+Q124*40+R124*100+S124*50+T124*80+U124*30</f>
        <v>800</v>
      </c>
      <c r="AF124" s="166">
        <f t="shared" si="147"/>
        <v>600</v>
      </c>
      <c r="AG124" s="188">
        <f t="shared" si="148"/>
        <v>4</v>
      </c>
      <c r="AH124" s="166">
        <f t="shared" si="141"/>
        <v>4500</v>
      </c>
      <c r="AI124" s="50">
        <f t="shared" si="142"/>
        <v>4500</v>
      </c>
      <c r="AJ124" s="189">
        <f t="shared" si="143"/>
        <v>259.615384615385</v>
      </c>
      <c r="AK124" s="190">
        <f t="shared" si="149"/>
        <v>0.432692307692308</v>
      </c>
      <c r="AL124" s="191">
        <f t="shared" si="144"/>
        <v>459.615384615385</v>
      </c>
      <c r="AM124" s="191">
        <f t="shared" si="145"/>
        <v>340.384615384615</v>
      </c>
      <c r="AN124" s="190">
        <f t="shared" si="150"/>
        <v>1.74058577405858</v>
      </c>
      <c r="AO124" s="204">
        <f t="shared" si="151"/>
        <v>0.133333333333333</v>
      </c>
      <c r="AP124" s="172" t="s">
        <v>411</v>
      </c>
      <c r="AQ124" s="136" t="s">
        <v>410</v>
      </c>
      <c r="AR124" s="35" t="s">
        <v>440</v>
      </c>
    </row>
    <row r="125" ht="17.25" spans="1:44">
      <c r="A125" s="152"/>
      <c r="B125" s="153"/>
      <c r="C125" s="140" t="s">
        <v>412</v>
      </c>
      <c r="D125" s="47">
        <v>10</v>
      </c>
      <c r="E125" s="16">
        <v>10</v>
      </c>
      <c r="K125" s="50"/>
      <c r="L125" s="50"/>
      <c r="M125" s="158"/>
      <c r="N125" s="171"/>
      <c r="O125" s="158"/>
      <c r="P125" s="158"/>
      <c r="Q125" s="158"/>
      <c r="R125" s="158"/>
      <c r="S125" s="158"/>
      <c r="T125" s="158">
        <v>20</v>
      </c>
      <c r="U125" s="158"/>
      <c r="V125" s="158"/>
      <c r="W125" s="169">
        <v>3750</v>
      </c>
      <c r="X125" s="16">
        <v>900</v>
      </c>
      <c r="Y125" s="16">
        <v>250</v>
      </c>
      <c r="AC125" s="82"/>
      <c r="AD125" s="184">
        <f t="shared" si="153"/>
        <v>700</v>
      </c>
      <c r="AE125" s="50">
        <f t="shared" si="154"/>
        <v>1600</v>
      </c>
      <c r="AF125" s="50">
        <f t="shared" si="147"/>
        <v>900</v>
      </c>
      <c r="AG125" s="192">
        <f t="shared" si="148"/>
        <v>2.28571428571429</v>
      </c>
      <c r="AH125" s="50">
        <f t="shared" si="141"/>
        <v>4900</v>
      </c>
      <c r="AI125" s="50">
        <f t="shared" si="142"/>
        <v>5850</v>
      </c>
      <c r="AJ125" s="193">
        <f t="shared" si="143"/>
        <v>337.5</v>
      </c>
      <c r="AK125" s="194">
        <f t="shared" si="149"/>
        <v>0.375</v>
      </c>
      <c r="AL125" s="195">
        <f t="shared" si="144"/>
        <v>1037.5</v>
      </c>
      <c r="AM125" s="195">
        <f t="shared" si="145"/>
        <v>562.5</v>
      </c>
      <c r="AN125" s="194">
        <f t="shared" si="150"/>
        <v>1.5421686746988</v>
      </c>
      <c r="AO125" s="206">
        <f t="shared" si="151"/>
        <v>0.183673469387755</v>
      </c>
      <c r="AP125" s="171" t="s">
        <v>412</v>
      </c>
      <c r="AQ125" s="139"/>
      <c r="AR125" s="35"/>
    </row>
    <row r="126" ht="17.25" spans="1:44">
      <c r="A126" s="152"/>
      <c r="B126" s="153"/>
      <c r="C126" s="140" t="s">
        <v>413</v>
      </c>
      <c r="D126" s="47">
        <v>15</v>
      </c>
      <c r="E126" s="16">
        <v>10</v>
      </c>
      <c r="G126" s="16">
        <v>10</v>
      </c>
      <c r="K126" s="50"/>
      <c r="L126" s="50"/>
      <c r="M126" s="158"/>
      <c r="N126" s="171"/>
      <c r="O126" s="158"/>
      <c r="P126" s="158"/>
      <c r="Q126" s="158"/>
      <c r="R126" s="158"/>
      <c r="S126" s="158"/>
      <c r="T126" s="158">
        <v>40</v>
      </c>
      <c r="U126" s="158">
        <v>20</v>
      </c>
      <c r="V126" s="158"/>
      <c r="W126" s="169">
        <v>3000</v>
      </c>
      <c r="X126" s="16">
        <v>1250</v>
      </c>
      <c r="Y126" s="16">
        <v>150</v>
      </c>
      <c r="Z126" s="16">
        <v>100</v>
      </c>
      <c r="AC126" s="82"/>
      <c r="AD126" s="184">
        <f t="shared" si="153"/>
        <v>1400</v>
      </c>
      <c r="AE126" s="50">
        <f t="shared" si="154"/>
        <v>3800</v>
      </c>
      <c r="AF126" s="50">
        <f t="shared" si="147"/>
        <v>2400</v>
      </c>
      <c r="AG126" s="192">
        <f t="shared" si="148"/>
        <v>2.71428571428571</v>
      </c>
      <c r="AH126" s="50">
        <f t="shared" si="141"/>
        <v>4500</v>
      </c>
      <c r="AI126" s="50">
        <f t="shared" si="142"/>
        <v>5825</v>
      </c>
      <c r="AJ126" s="193">
        <f t="shared" si="143"/>
        <v>336.057692307692</v>
      </c>
      <c r="AK126" s="194">
        <f t="shared" si="149"/>
        <v>0.140024038461538</v>
      </c>
      <c r="AL126" s="195">
        <f t="shared" si="144"/>
        <v>1736.05769230769</v>
      </c>
      <c r="AM126" s="195">
        <f t="shared" si="145"/>
        <v>2063.94230769231</v>
      </c>
      <c r="AN126" s="194">
        <f t="shared" si="150"/>
        <v>2.18886734976461</v>
      </c>
      <c r="AO126" s="206">
        <f t="shared" si="151"/>
        <v>0.533333333333333</v>
      </c>
      <c r="AP126" s="171" t="s">
        <v>413</v>
      </c>
      <c r="AQ126" s="139"/>
      <c r="AR126" s="35"/>
    </row>
    <row r="127" ht="17.25" spans="1:44">
      <c r="A127" s="152"/>
      <c r="B127" s="153"/>
      <c r="C127" s="142" t="s">
        <v>414</v>
      </c>
      <c r="D127" s="47">
        <v>20</v>
      </c>
      <c r="F127" s="16">
        <v>5</v>
      </c>
      <c r="G127" s="16">
        <v>10</v>
      </c>
      <c r="H127" s="16">
        <v>0</v>
      </c>
      <c r="K127" s="50"/>
      <c r="L127" s="50"/>
      <c r="N127" s="111"/>
      <c r="T127" s="16">
        <v>70</v>
      </c>
      <c r="U127" s="16">
        <v>10</v>
      </c>
      <c r="W127" s="169">
        <v>2500</v>
      </c>
      <c r="X127" s="16">
        <v>900</v>
      </c>
      <c r="Y127" s="16">
        <v>100</v>
      </c>
      <c r="Z127" s="16">
        <v>200</v>
      </c>
      <c r="AC127" s="82"/>
      <c r="AD127" s="184">
        <f t="shared" si="153"/>
        <v>1600</v>
      </c>
      <c r="AE127" s="50">
        <f t="shared" si="154"/>
        <v>5900</v>
      </c>
      <c r="AF127" s="50">
        <f t="shared" si="147"/>
        <v>4300</v>
      </c>
      <c r="AG127" s="192">
        <f t="shared" si="148"/>
        <v>3.6875</v>
      </c>
      <c r="AH127" s="50">
        <f t="shared" si="141"/>
        <v>3700</v>
      </c>
      <c r="AI127" s="50">
        <f t="shared" si="142"/>
        <v>5150</v>
      </c>
      <c r="AJ127" s="193">
        <f t="shared" si="143"/>
        <v>297.115384615385</v>
      </c>
      <c r="AK127" s="196">
        <f t="shared" si="149"/>
        <v>0.0690966010733453</v>
      </c>
      <c r="AL127" s="197">
        <f t="shared" si="144"/>
        <v>1897.11538461538</v>
      </c>
      <c r="AM127" s="197">
        <f t="shared" si="145"/>
        <v>4002.88461538462</v>
      </c>
      <c r="AN127" s="196">
        <f t="shared" si="150"/>
        <v>3.10998479472884</v>
      </c>
      <c r="AO127" s="206">
        <f t="shared" si="151"/>
        <v>1.16216216216216</v>
      </c>
      <c r="AP127" s="174" t="s">
        <v>414</v>
      </c>
      <c r="AQ127" s="141"/>
      <c r="AR127" s="35"/>
    </row>
    <row r="128" ht="17.25" spans="1:44">
      <c r="A128" s="152"/>
      <c r="B128" s="154" t="s">
        <v>247</v>
      </c>
      <c r="C128" s="82" t="s">
        <v>415</v>
      </c>
      <c r="D128" s="48"/>
      <c r="E128" s="48"/>
      <c r="F128" s="48"/>
      <c r="G128" s="48"/>
      <c r="H128" s="48"/>
      <c r="I128" s="48"/>
      <c r="J128" s="48"/>
      <c r="K128" s="166"/>
      <c r="L128" s="166"/>
      <c r="M128" s="48"/>
      <c r="N128" s="106"/>
      <c r="O128" s="48"/>
      <c r="P128" s="48"/>
      <c r="Q128" s="48"/>
      <c r="R128" s="48"/>
      <c r="S128" s="48"/>
      <c r="T128" s="48"/>
      <c r="U128" s="48"/>
      <c r="V128" s="48"/>
      <c r="W128" s="168"/>
      <c r="X128" s="48"/>
      <c r="Y128" s="48"/>
      <c r="Z128" s="48"/>
      <c r="AA128" s="48"/>
      <c r="AB128" s="48"/>
      <c r="AC128" s="78"/>
      <c r="AD128" s="185"/>
      <c r="AE128" s="166"/>
      <c r="AF128" s="166"/>
      <c r="AG128" s="188"/>
      <c r="AH128" s="166"/>
      <c r="AI128" s="166"/>
      <c r="AJ128" s="189"/>
      <c r="AK128" s="194"/>
      <c r="AL128" s="195"/>
      <c r="AM128" s="195"/>
      <c r="AN128" s="194"/>
      <c r="AO128" s="204"/>
      <c r="AP128" s="111" t="s">
        <v>415</v>
      </c>
      <c r="AQ128" s="139" t="s">
        <v>247</v>
      </c>
      <c r="AR128" s="35"/>
    </row>
    <row r="129" ht="17.25" spans="1:44">
      <c r="A129" s="152"/>
      <c r="B129" s="153"/>
      <c r="C129" s="82" t="s">
        <v>416</v>
      </c>
      <c r="D129" s="47"/>
      <c r="I129" s="16">
        <v>10</v>
      </c>
      <c r="K129" s="50"/>
      <c r="L129" s="50"/>
      <c r="N129" s="111"/>
      <c r="T129" s="16">
        <v>15</v>
      </c>
      <c r="W129" s="169">
        <v>-500</v>
      </c>
      <c r="X129" s="16">
        <v>350</v>
      </c>
      <c r="Y129" s="16">
        <v>150</v>
      </c>
      <c r="AC129" s="82"/>
      <c r="AD129" s="184">
        <f t="shared" ref="AD129:AD133" si="155">D129*40+E129*30+F129*60+G129*50+H129*30+I129*50+J129*60+K129*80+L129*120+M129*30</f>
        <v>500</v>
      </c>
      <c r="AE129" s="50">
        <f t="shared" ref="AE129:AE133" si="156">N129*30+O129*50+P129*50+Q129*40+R129*100+S129*50+T129*80+U129*30</f>
        <v>1200</v>
      </c>
      <c r="AF129" s="50">
        <f t="shared" ref="AF129:AF133" si="157">AE129-AD129</f>
        <v>700</v>
      </c>
      <c r="AG129" s="192">
        <f t="shared" ref="AG129:AG133" si="158">AE129/AD129*100%</f>
        <v>2.4</v>
      </c>
      <c r="AH129" s="50">
        <f t="shared" ref="AH129:AH133" si="159">W129+X129+Y129+Z129+AA129+AB129+AC129</f>
        <v>0</v>
      </c>
      <c r="AI129" s="50">
        <f t="shared" ref="AI129:AI133" si="160">W129*1+X129*1.5+Y129*3+Z129*5+AA129*2+AB129*6+AC129*3</f>
        <v>475</v>
      </c>
      <c r="AJ129" s="193">
        <f t="shared" ref="AJ129:AJ133" si="161">3*AI129/52</f>
        <v>27.4038461538462</v>
      </c>
      <c r="AK129" s="194">
        <f>AJ129/AF129</f>
        <v>0.0391483516483516</v>
      </c>
      <c r="AL129" s="195">
        <f t="shared" ref="AL129:AL133" si="162">AD129+AJ129</f>
        <v>527.403846153846</v>
      </c>
      <c r="AM129" s="195">
        <f t="shared" ref="AM129:AM133" si="163">AE129-AL129</f>
        <v>672.596153846154</v>
      </c>
      <c r="AN129" s="194">
        <f t="shared" ref="AN129:AN133" si="164">AE129/AL129</f>
        <v>2.27529626253418</v>
      </c>
      <c r="AO129" s="206"/>
      <c r="AP129" s="111" t="s">
        <v>416</v>
      </c>
      <c r="AQ129" s="139"/>
      <c r="AR129" s="35"/>
    </row>
    <row r="130" ht="17.25" spans="1:44">
      <c r="A130" s="152"/>
      <c r="B130" s="153"/>
      <c r="C130" s="82" t="s">
        <v>417</v>
      </c>
      <c r="D130" s="61"/>
      <c r="E130" s="61"/>
      <c r="F130" s="61"/>
      <c r="G130" s="61"/>
      <c r="H130" s="61"/>
      <c r="I130" s="61">
        <v>10</v>
      </c>
      <c r="J130" s="61">
        <v>5</v>
      </c>
      <c r="K130" s="167"/>
      <c r="L130" s="167"/>
      <c r="M130" s="61"/>
      <c r="N130" s="116"/>
      <c r="O130" s="61"/>
      <c r="P130" s="61"/>
      <c r="Q130" s="61"/>
      <c r="R130" s="61"/>
      <c r="S130" s="61"/>
      <c r="T130" s="61">
        <v>30</v>
      </c>
      <c r="U130" s="61">
        <v>20</v>
      </c>
      <c r="V130" s="61"/>
      <c r="W130" s="170">
        <v>-500</v>
      </c>
      <c r="X130" s="61">
        <v>300</v>
      </c>
      <c r="Y130" s="61">
        <v>100</v>
      </c>
      <c r="Z130" s="61">
        <v>100</v>
      </c>
      <c r="AA130" s="61"/>
      <c r="AB130" s="61"/>
      <c r="AC130" s="79"/>
      <c r="AD130" s="186">
        <f t="shared" si="155"/>
        <v>800</v>
      </c>
      <c r="AE130" s="167">
        <f t="shared" si="156"/>
        <v>3000</v>
      </c>
      <c r="AF130" s="50">
        <f t="shared" si="157"/>
        <v>2200</v>
      </c>
      <c r="AG130" s="192">
        <f t="shared" si="158"/>
        <v>3.75</v>
      </c>
      <c r="AH130" s="50">
        <f t="shared" si="159"/>
        <v>0</v>
      </c>
      <c r="AI130" s="167">
        <f t="shared" si="160"/>
        <v>750</v>
      </c>
      <c r="AJ130" s="198">
        <f t="shared" si="161"/>
        <v>43.2692307692308</v>
      </c>
      <c r="AK130" s="196">
        <f>AJ130/AF130</f>
        <v>0.0196678321678322</v>
      </c>
      <c r="AL130" s="197">
        <f t="shared" si="162"/>
        <v>843.269230769231</v>
      </c>
      <c r="AM130" s="197">
        <f t="shared" si="163"/>
        <v>2156.73076923077</v>
      </c>
      <c r="AN130" s="196">
        <f t="shared" si="164"/>
        <v>3.557582668187</v>
      </c>
      <c r="AO130" s="207"/>
      <c r="AP130" s="111" t="s">
        <v>417</v>
      </c>
      <c r="AQ130" s="139"/>
      <c r="AR130" s="35"/>
    </row>
    <row r="131" ht="17.25" spans="1:44">
      <c r="A131" s="152"/>
      <c r="B131" s="154" t="s">
        <v>418</v>
      </c>
      <c r="C131" s="78" t="s">
        <v>419</v>
      </c>
      <c r="D131" s="47"/>
      <c r="K131" s="50"/>
      <c r="L131" s="50"/>
      <c r="N131" s="111"/>
      <c r="W131" s="169"/>
      <c r="AC131" s="82"/>
      <c r="AD131" s="184"/>
      <c r="AE131" s="50"/>
      <c r="AF131" s="166"/>
      <c r="AG131" s="188"/>
      <c r="AH131" s="166"/>
      <c r="AI131" s="50"/>
      <c r="AJ131" s="193"/>
      <c r="AK131" s="194"/>
      <c r="AL131" s="195"/>
      <c r="AM131" s="195"/>
      <c r="AN131" s="194"/>
      <c r="AO131" s="206"/>
      <c r="AP131" s="106" t="s">
        <v>419</v>
      </c>
      <c r="AQ131" s="136" t="s">
        <v>418</v>
      </c>
      <c r="AR131" s="35"/>
    </row>
    <row r="132" ht="17.25" spans="1:44">
      <c r="A132" s="152"/>
      <c r="B132" s="153"/>
      <c r="C132" s="140" t="s">
        <v>420</v>
      </c>
      <c r="D132" s="47"/>
      <c r="K132" s="50">
        <v>0</v>
      </c>
      <c r="L132" s="50"/>
      <c r="N132" s="111"/>
      <c r="T132" s="16">
        <v>5</v>
      </c>
      <c r="U132" s="16">
        <v>10</v>
      </c>
      <c r="W132" s="169">
        <v>-1200</v>
      </c>
      <c r="Z132" s="16">
        <v>50</v>
      </c>
      <c r="AC132" s="82"/>
      <c r="AD132" s="184">
        <f t="shared" si="155"/>
        <v>0</v>
      </c>
      <c r="AE132" s="50">
        <f t="shared" si="156"/>
        <v>700</v>
      </c>
      <c r="AF132" s="50">
        <f t="shared" si="157"/>
        <v>700</v>
      </c>
      <c r="AG132" s="192" t="s">
        <v>438</v>
      </c>
      <c r="AH132" s="50">
        <f t="shared" si="159"/>
        <v>-1150</v>
      </c>
      <c r="AI132" s="50">
        <f t="shared" si="160"/>
        <v>-950</v>
      </c>
      <c r="AJ132" s="193">
        <f t="shared" si="161"/>
        <v>-54.8076923076923</v>
      </c>
      <c r="AK132" s="194"/>
      <c r="AL132" s="195">
        <f t="shared" si="162"/>
        <v>-54.8076923076923</v>
      </c>
      <c r="AM132" s="195">
        <f t="shared" si="163"/>
        <v>754.807692307692</v>
      </c>
      <c r="AN132" s="194">
        <f t="shared" si="164"/>
        <v>-12.7719298245614</v>
      </c>
      <c r="AO132" s="206"/>
      <c r="AP132" s="171" t="s">
        <v>420</v>
      </c>
      <c r="AQ132" s="139"/>
      <c r="AR132" s="35"/>
    </row>
    <row r="133" ht="17.25" spans="1:44">
      <c r="A133" s="152"/>
      <c r="B133" s="153"/>
      <c r="C133" s="79" t="s">
        <v>421</v>
      </c>
      <c r="D133" s="47"/>
      <c r="F133" s="16">
        <v>5</v>
      </c>
      <c r="H133" s="16">
        <v>0</v>
      </c>
      <c r="K133" s="50">
        <v>0</v>
      </c>
      <c r="L133" s="50">
        <v>10</v>
      </c>
      <c r="N133" s="111"/>
      <c r="T133" s="16">
        <v>10</v>
      </c>
      <c r="U133" s="16">
        <v>0</v>
      </c>
      <c r="W133" s="169">
        <v>-5000</v>
      </c>
      <c r="X133" s="16">
        <v>-300</v>
      </c>
      <c r="Y133" s="16">
        <v>100</v>
      </c>
      <c r="Z133" s="16">
        <v>100</v>
      </c>
      <c r="AC133" s="82"/>
      <c r="AD133" s="184">
        <f t="shared" si="155"/>
        <v>1500</v>
      </c>
      <c r="AE133" s="50">
        <f t="shared" si="156"/>
        <v>800</v>
      </c>
      <c r="AF133" s="50">
        <f t="shared" si="157"/>
        <v>-700</v>
      </c>
      <c r="AG133" s="192">
        <f t="shared" si="158"/>
        <v>0.533333333333333</v>
      </c>
      <c r="AH133" s="50">
        <f t="shared" si="159"/>
        <v>-5100</v>
      </c>
      <c r="AI133" s="50">
        <f t="shared" si="160"/>
        <v>-4650</v>
      </c>
      <c r="AJ133" s="193">
        <f t="shared" si="161"/>
        <v>-268.269230769231</v>
      </c>
      <c r="AK133" s="196"/>
      <c r="AL133" s="197">
        <f t="shared" si="162"/>
        <v>1231.73076923077</v>
      </c>
      <c r="AM133" s="197">
        <f t="shared" si="163"/>
        <v>-431.730769230769</v>
      </c>
      <c r="AN133" s="196">
        <f t="shared" si="164"/>
        <v>0.649492583918813</v>
      </c>
      <c r="AO133" s="206"/>
      <c r="AP133" s="116" t="s">
        <v>421</v>
      </c>
      <c r="AQ133" s="141"/>
      <c r="AR133" s="35"/>
    </row>
    <row r="134" ht="17.25" spans="1:44">
      <c r="A134" s="152"/>
      <c r="B134" s="154" t="s">
        <v>422</v>
      </c>
      <c r="C134" s="82" t="s">
        <v>423</v>
      </c>
      <c r="D134" s="48"/>
      <c r="E134" s="48"/>
      <c r="F134" s="48"/>
      <c r="G134" s="48"/>
      <c r="H134" s="48"/>
      <c r="I134" s="48"/>
      <c r="J134" s="48"/>
      <c r="K134" s="166"/>
      <c r="L134" s="166"/>
      <c r="M134" s="48"/>
      <c r="N134" s="106"/>
      <c r="O134" s="48"/>
      <c r="P134" s="48"/>
      <c r="Q134" s="48"/>
      <c r="R134" s="48"/>
      <c r="S134" s="48"/>
      <c r="T134" s="48"/>
      <c r="U134" s="48"/>
      <c r="V134" s="48"/>
      <c r="W134" s="168"/>
      <c r="X134" s="48"/>
      <c r="Y134" s="48"/>
      <c r="Z134" s="48"/>
      <c r="AA134" s="48"/>
      <c r="AB134" s="48"/>
      <c r="AC134" s="78"/>
      <c r="AD134" s="185"/>
      <c r="AE134" s="166"/>
      <c r="AF134" s="166"/>
      <c r="AG134" s="188"/>
      <c r="AH134" s="166"/>
      <c r="AI134" s="166"/>
      <c r="AJ134" s="189"/>
      <c r="AK134" s="194"/>
      <c r="AL134" s="195"/>
      <c r="AM134" s="195"/>
      <c r="AN134" s="194"/>
      <c r="AO134" s="204"/>
      <c r="AP134" s="111" t="s">
        <v>423</v>
      </c>
      <c r="AQ134" s="139" t="s">
        <v>422</v>
      </c>
      <c r="AR134" s="35"/>
    </row>
    <row r="135" ht="17.25" spans="1:44">
      <c r="A135" s="152"/>
      <c r="B135" s="153"/>
      <c r="C135" s="82" t="s">
        <v>424</v>
      </c>
      <c r="D135" s="47"/>
      <c r="K135" s="50"/>
      <c r="M135" s="16">
        <v>5</v>
      </c>
      <c r="N135" s="111"/>
      <c r="W135" s="169">
        <v>-500</v>
      </c>
      <c r="X135" s="16">
        <v>-200</v>
      </c>
      <c r="AC135" s="82"/>
      <c r="AD135" s="184">
        <f>D135*40+E135*30+F135*60+G135*50+H135*30+I135*50+J135*60+K135*80+L135*120+M135*30</f>
        <v>150</v>
      </c>
      <c r="AE135" s="50">
        <f>N135*30+O135*50+P135*50+Q135*40+R135*100+S135*50+T135*80+U135*30</f>
        <v>0</v>
      </c>
      <c r="AF135" s="50">
        <f>AE135-AD135</f>
        <v>-150</v>
      </c>
      <c r="AG135" s="192">
        <f>AE135/AD135*100%</f>
        <v>0</v>
      </c>
      <c r="AH135" s="50">
        <f t="shared" ref="AH135:AH143" si="165">W135+X135+Y135+Z135+AA135+AB135+AC135</f>
        <v>-700</v>
      </c>
      <c r="AI135" s="50">
        <f t="shared" ref="AI135:AI143" si="166">W135*1+X135*1.5+Y135*3+Z135*5+AA135*2+AB135*6+AC135*3</f>
        <v>-800</v>
      </c>
      <c r="AJ135" s="193">
        <f t="shared" ref="AJ135:AJ143" si="167">3*AI135/52</f>
        <v>-46.1538461538462</v>
      </c>
      <c r="AK135" s="194"/>
      <c r="AL135" s="195">
        <f t="shared" ref="AL135:AL143" si="168">AD135+AJ135</f>
        <v>103.846153846154</v>
      </c>
      <c r="AM135" s="195">
        <f t="shared" ref="AM135:AM143" si="169">AE135-AL135</f>
        <v>-103.846153846154</v>
      </c>
      <c r="AN135" s="194">
        <f>AE135/AL135</f>
        <v>0</v>
      </c>
      <c r="AO135" s="206"/>
      <c r="AP135" s="111" t="s">
        <v>424</v>
      </c>
      <c r="AQ135" s="139"/>
      <c r="AR135" s="35"/>
    </row>
    <row r="136" ht="17.25" spans="1:44">
      <c r="A136" s="152"/>
      <c r="B136" s="153"/>
      <c r="C136" s="82" t="s">
        <v>425</v>
      </c>
      <c r="D136" s="61"/>
      <c r="E136" s="61"/>
      <c r="F136" s="61"/>
      <c r="G136" s="61">
        <v>20</v>
      </c>
      <c r="H136" s="61"/>
      <c r="I136" s="61"/>
      <c r="J136" s="61"/>
      <c r="K136" s="167">
        <v>0</v>
      </c>
      <c r="L136" s="167"/>
      <c r="M136" s="61">
        <v>5</v>
      </c>
      <c r="N136" s="116">
        <v>1</v>
      </c>
      <c r="O136" s="61">
        <v>1</v>
      </c>
      <c r="P136" s="61">
        <v>1</v>
      </c>
      <c r="Q136" s="61">
        <v>1</v>
      </c>
      <c r="R136" s="61"/>
      <c r="S136" s="61"/>
      <c r="T136" s="61">
        <v>10</v>
      </c>
      <c r="U136" s="61">
        <v>40</v>
      </c>
      <c r="V136" s="61"/>
      <c r="W136" s="170">
        <v>-2500</v>
      </c>
      <c r="X136" s="61">
        <v>-400</v>
      </c>
      <c r="Y136" s="61">
        <v>-100</v>
      </c>
      <c r="Z136" s="61">
        <v>100</v>
      </c>
      <c r="AA136" s="61"/>
      <c r="AB136" s="61"/>
      <c r="AC136" s="79"/>
      <c r="AD136" s="186">
        <f>D136*40+E136*30+F136*60+G136*50+H136*30+I136*50+J136*60+K136*80+L136*120+M136*30</f>
        <v>1150</v>
      </c>
      <c r="AE136" s="167">
        <f>N136*30+O136*50+P136*50+Q136*40+R136*100+S136*50+T136*80+U136*30</f>
        <v>2170</v>
      </c>
      <c r="AF136" s="50">
        <f>AE136-AD136</f>
        <v>1020</v>
      </c>
      <c r="AG136" s="192">
        <f>AE136/AD136*100%</f>
        <v>1.88695652173913</v>
      </c>
      <c r="AH136" s="50">
        <f t="shared" si="165"/>
        <v>-2900</v>
      </c>
      <c r="AI136" s="167">
        <f t="shared" si="166"/>
        <v>-2900</v>
      </c>
      <c r="AJ136" s="198">
        <f t="shared" si="167"/>
        <v>-167.307692307692</v>
      </c>
      <c r="AK136" s="196"/>
      <c r="AL136" s="197">
        <f t="shared" si="168"/>
        <v>982.692307692308</v>
      </c>
      <c r="AM136" s="197">
        <f t="shared" si="169"/>
        <v>1187.30769230769</v>
      </c>
      <c r="AN136" s="196">
        <f>AE136/AL136</f>
        <v>2.20821917808219</v>
      </c>
      <c r="AO136" s="207"/>
      <c r="AP136" s="111" t="s">
        <v>425</v>
      </c>
      <c r="AQ136" s="139"/>
      <c r="AR136" s="35"/>
    </row>
    <row r="137" ht="17.25" spans="1:44">
      <c r="A137" s="152"/>
      <c r="B137" s="154" t="s">
        <v>426</v>
      </c>
      <c r="C137" s="144" t="s">
        <v>427</v>
      </c>
      <c r="D137" s="47"/>
      <c r="K137" s="50"/>
      <c r="L137" s="50"/>
      <c r="N137" s="111"/>
      <c r="W137" s="169"/>
      <c r="AA137" s="16">
        <v>500</v>
      </c>
      <c r="AC137" s="82"/>
      <c r="AD137" s="184"/>
      <c r="AE137" s="50"/>
      <c r="AF137" s="166"/>
      <c r="AG137" s="188"/>
      <c r="AH137" s="166">
        <f t="shared" si="165"/>
        <v>500</v>
      </c>
      <c r="AI137" s="50">
        <f t="shared" si="166"/>
        <v>1000</v>
      </c>
      <c r="AJ137" s="193">
        <f t="shared" si="167"/>
        <v>57.6923076923077</v>
      </c>
      <c r="AK137" s="194"/>
      <c r="AL137" s="195">
        <f t="shared" si="168"/>
        <v>57.6923076923077</v>
      </c>
      <c r="AM137" s="195">
        <f t="shared" si="169"/>
        <v>-57.6923076923077</v>
      </c>
      <c r="AN137" s="194"/>
      <c r="AO137" s="206"/>
      <c r="AP137" s="168" t="s">
        <v>427</v>
      </c>
      <c r="AQ137" s="143" t="s">
        <v>426</v>
      </c>
      <c r="AR137" s="35"/>
    </row>
    <row r="138" ht="17.25" spans="1:44">
      <c r="A138" s="152"/>
      <c r="B138" s="153"/>
      <c r="C138" s="140" t="s">
        <v>428</v>
      </c>
      <c r="D138" s="47"/>
      <c r="N138" s="111"/>
      <c r="W138" s="169"/>
      <c r="AB138" s="16">
        <v>100</v>
      </c>
      <c r="AC138" s="82"/>
      <c r="AD138" s="184"/>
      <c r="AE138" s="50"/>
      <c r="AF138" s="50"/>
      <c r="AG138" s="192"/>
      <c r="AH138" s="50">
        <f t="shared" si="165"/>
        <v>100</v>
      </c>
      <c r="AI138" s="50">
        <f t="shared" si="166"/>
        <v>600</v>
      </c>
      <c r="AJ138" s="193">
        <f t="shared" si="167"/>
        <v>34.6153846153846</v>
      </c>
      <c r="AK138" s="194"/>
      <c r="AL138" s="195">
        <f t="shared" si="168"/>
        <v>34.6153846153846</v>
      </c>
      <c r="AM138" s="195">
        <f t="shared" si="169"/>
        <v>-34.6153846153846</v>
      </c>
      <c r="AN138" s="194"/>
      <c r="AO138" s="206"/>
      <c r="AP138" s="171" t="s">
        <v>428</v>
      </c>
      <c r="AQ138" s="145"/>
      <c r="AR138" s="35"/>
    </row>
    <row r="139" ht="17.25" spans="1:44">
      <c r="A139" s="152"/>
      <c r="B139" s="153"/>
      <c r="C139" s="140" t="s">
        <v>429</v>
      </c>
      <c r="D139" s="47"/>
      <c r="N139" s="111"/>
      <c r="W139" s="169"/>
      <c r="Z139" s="16">
        <v>300</v>
      </c>
      <c r="AC139" s="82"/>
      <c r="AD139" s="184"/>
      <c r="AE139" s="50"/>
      <c r="AF139" s="50"/>
      <c r="AG139" s="192"/>
      <c r="AH139" s="50">
        <f t="shared" si="165"/>
        <v>300</v>
      </c>
      <c r="AI139" s="50">
        <f t="shared" si="166"/>
        <v>1500</v>
      </c>
      <c r="AJ139" s="193">
        <f t="shared" si="167"/>
        <v>86.5384615384615</v>
      </c>
      <c r="AK139" s="194"/>
      <c r="AL139" s="195">
        <f t="shared" si="168"/>
        <v>86.5384615384615</v>
      </c>
      <c r="AM139" s="195">
        <f t="shared" si="169"/>
        <v>-86.5384615384615</v>
      </c>
      <c r="AN139" s="194"/>
      <c r="AO139" s="206"/>
      <c r="AP139" s="171" t="s">
        <v>430</v>
      </c>
      <c r="AQ139" s="145"/>
      <c r="AR139" s="35"/>
    </row>
    <row r="140" ht="17.25" spans="1:44">
      <c r="A140" s="152"/>
      <c r="B140" s="153"/>
      <c r="C140" s="140" t="s">
        <v>431</v>
      </c>
      <c r="D140" s="47"/>
      <c r="N140" s="111"/>
      <c r="W140" s="169"/>
      <c r="AC140" s="82">
        <v>150</v>
      </c>
      <c r="AD140" s="184"/>
      <c r="AE140" s="50"/>
      <c r="AF140" s="50"/>
      <c r="AG140" s="192"/>
      <c r="AH140" s="50">
        <f t="shared" si="165"/>
        <v>150</v>
      </c>
      <c r="AI140" s="50">
        <f t="shared" si="166"/>
        <v>450</v>
      </c>
      <c r="AJ140" s="193">
        <f t="shared" si="167"/>
        <v>25.9615384615385</v>
      </c>
      <c r="AK140" s="194"/>
      <c r="AL140" s="195">
        <f t="shared" si="168"/>
        <v>25.9615384615385</v>
      </c>
      <c r="AM140" s="195">
        <f t="shared" si="169"/>
        <v>-25.9615384615385</v>
      </c>
      <c r="AN140" s="194"/>
      <c r="AO140" s="206"/>
      <c r="AP140" s="171" t="s">
        <v>431</v>
      </c>
      <c r="AQ140" s="145"/>
      <c r="AR140" s="35"/>
    </row>
    <row r="141" ht="17.25" spans="1:44">
      <c r="A141" s="152"/>
      <c r="B141" s="153"/>
      <c r="C141" s="155" t="s">
        <v>432</v>
      </c>
      <c r="D141" s="61"/>
      <c r="E141" s="61"/>
      <c r="F141" s="61"/>
      <c r="G141" s="61"/>
      <c r="H141" s="61"/>
      <c r="I141" s="61"/>
      <c r="J141" s="61"/>
      <c r="K141" s="61"/>
      <c r="L141" s="61"/>
      <c r="M141" s="61"/>
      <c r="N141" s="116"/>
      <c r="O141" s="61"/>
      <c r="P141" s="61"/>
      <c r="Q141" s="61"/>
      <c r="R141" s="61"/>
      <c r="S141" s="61"/>
      <c r="T141" s="61"/>
      <c r="U141" s="61"/>
      <c r="V141" s="61"/>
      <c r="W141" s="170">
        <v>100</v>
      </c>
      <c r="X141" s="61">
        <v>100</v>
      </c>
      <c r="Y141" s="61"/>
      <c r="Z141" s="61"/>
      <c r="AA141" s="61"/>
      <c r="AB141" s="61"/>
      <c r="AC141" s="79"/>
      <c r="AD141" s="186"/>
      <c r="AE141" s="167"/>
      <c r="AF141" s="167"/>
      <c r="AG141" s="192"/>
      <c r="AH141" s="50">
        <f t="shared" si="165"/>
        <v>200</v>
      </c>
      <c r="AI141" s="50">
        <f t="shared" si="166"/>
        <v>250</v>
      </c>
      <c r="AJ141" s="198">
        <f t="shared" si="167"/>
        <v>14.4230769230769</v>
      </c>
      <c r="AK141" s="196"/>
      <c r="AL141" s="197">
        <f t="shared" si="168"/>
        <v>14.4230769230769</v>
      </c>
      <c r="AM141" s="197">
        <f t="shared" si="169"/>
        <v>-14.4230769230769</v>
      </c>
      <c r="AN141" s="196"/>
      <c r="AO141" s="207"/>
      <c r="AP141" s="170" t="s">
        <v>432</v>
      </c>
      <c r="AQ141" s="147"/>
      <c r="AR141" s="60"/>
    </row>
    <row r="142" spans="1:47">
      <c r="A142" s="156" t="s">
        <v>122</v>
      </c>
      <c r="B142" s="156"/>
      <c r="C142" s="157"/>
      <c r="D142" s="159">
        <f t="shared" ref="D142:V142" si="170">D124+D128+D131+D134</f>
        <v>5</v>
      </c>
      <c r="E142" s="159">
        <f t="shared" si="170"/>
        <v>0</v>
      </c>
      <c r="F142" s="159">
        <f t="shared" si="170"/>
        <v>0</v>
      </c>
      <c r="G142" s="159">
        <f t="shared" si="170"/>
        <v>0</v>
      </c>
      <c r="H142" s="159">
        <f t="shared" si="170"/>
        <v>0</v>
      </c>
      <c r="I142" s="159">
        <f t="shared" si="170"/>
        <v>0</v>
      </c>
      <c r="J142" s="159">
        <f t="shared" si="170"/>
        <v>0</v>
      </c>
      <c r="K142" s="159">
        <f t="shared" si="170"/>
        <v>0</v>
      </c>
      <c r="L142" s="159">
        <f t="shared" si="170"/>
        <v>0</v>
      </c>
      <c r="M142" s="159">
        <f t="shared" si="170"/>
        <v>0</v>
      </c>
      <c r="N142" s="151">
        <f t="shared" si="170"/>
        <v>0</v>
      </c>
      <c r="O142" s="151">
        <f t="shared" si="170"/>
        <v>0</v>
      </c>
      <c r="P142" s="151">
        <f t="shared" si="170"/>
        <v>0</v>
      </c>
      <c r="Q142" s="151">
        <f t="shared" si="170"/>
        <v>0</v>
      </c>
      <c r="R142" s="151">
        <f t="shared" si="170"/>
        <v>0</v>
      </c>
      <c r="S142" s="151">
        <f t="shared" si="170"/>
        <v>0</v>
      </c>
      <c r="T142" s="151">
        <f t="shared" si="170"/>
        <v>10</v>
      </c>
      <c r="U142" s="151">
        <f t="shared" si="170"/>
        <v>0</v>
      </c>
      <c r="V142" s="151">
        <f t="shared" si="170"/>
        <v>0</v>
      </c>
      <c r="W142" s="151">
        <v>4500</v>
      </c>
      <c r="X142" s="151">
        <v>0</v>
      </c>
      <c r="Y142" s="151">
        <v>0</v>
      </c>
      <c r="Z142" s="151">
        <v>0</v>
      </c>
      <c r="AA142" s="151">
        <v>500</v>
      </c>
      <c r="AB142" s="151">
        <v>0</v>
      </c>
      <c r="AC142" s="151">
        <v>0</v>
      </c>
      <c r="AD142" s="151">
        <f>AD124+AD128+AD131+AD134</f>
        <v>200</v>
      </c>
      <c r="AE142" s="151">
        <f>AE124+AE128+AE131+AE134</f>
        <v>800</v>
      </c>
      <c r="AF142" s="151">
        <f>AE142-AD142</f>
        <v>600</v>
      </c>
      <c r="AG142" s="199">
        <f>AE142/AD142*100%</f>
        <v>4</v>
      </c>
      <c r="AH142" s="200">
        <f t="shared" si="165"/>
        <v>5000</v>
      </c>
      <c r="AI142" s="159">
        <f t="shared" si="166"/>
        <v>5500</v>
      </c>
      <c r="AJ142" s="201">
        <f t="shared" si="167"/>
        <v>317.307692307692</v>
      </c>
      <c r="AK142" s="202">
        <f>AJ142/AF142</f>
        <v>0.528846153846154</v>
      </c>
      <c r="AL142" s="201">
        <f t="shared" si="168"/>
        <v>517.307692307692</v>
      </c>
      <c r="AM142" s="201">
        <f t="shared" si="169"/>
        <v>282.692307692308</v>
      </c>
      <c r="AN142" s="202">
        <f>AE142/AL142</f>
        <v>1.54646840148699</v>
      </c>
      <c r="AO142" s="208">
        <f>AF142/AH142</f>
        <v>0.12</v>
      </c>
      <c r="AP142" s="209" t="s">
        <v>122</v>
      </c>
      <c r="AQ142" s="210"/>
      <c r="AR142" s="211"/>
      <c r="AS142" s="47"/>
      <c r="AT142" s="47"/>
      <c r="AU142" s="47"/>
    </row>
    <row r="143" spans="1:47">
      <c r="A143" s="149" t="s">
        <v>123</v>
      </c>
      <c r="B143" s="149"/>
      <c r="C143" s="150"/>
      <c r="D143" s="151">
        <f t="shared" ref="D143:V143" si="171">D127+D130+D133+D136</f>
        <v>20</v>
      </c>
      <c r="E143" s="151">
        <f t="shared" si="171"/>
        <v>0</v>
      </c>
      <c r="F143" s="151">
        <f t="shared" si="171"/>
        <v>10</v>
      </c>
      <c r="G143" s="151">
        <f t="shared" si="171"/>
        <v>30</v>
      </c>
      <c r="H143" s="151">
        <f t="shared" si="171"/>
        <v>0</v>
      </c>
      <c r="I143" s="151">
        <f t="shared" si="171"/>
        <v>10</v>
      </c>
      <c r="J143" s="151">
        <f t="shared" si="171"/>
        <v>5</v>
      </c>
      <c r="K143" s="151">
        <f t="shared" si="171"/>
        <v>0</v>
      </c>
      <c r="L143" s="151">
        <f t="shared" si="171"/>
        <v>10</v>
      </c>
      <c r="M143" s="151">
        <f t="shared" si="171"/>
        <v>5</v>
      </c>
      <c r="N143" s="151">
        <f t="shared" si="171"/>
        <v>1</v>
      </c>
      <c r="O143" s="151">
        <f t="shared" si="171"/>
        <v>1</v>
      </c>
      <c r="P143" s="151">
        <f t="shared" si="171"/>
        <v>1</v>
      </c>
      <c r="Q143" s="151">
        <f t="shared" si="171"/>
        <v>1</v>
      </c>
      <c r="R143" s="151">
        <f t="shared" si="171"/>
        <v>0</v>
      </c>
      <c r="S143" s="151">
        <f t="shared" si="171"/>
        <v>0</v>
      </c>
      <c r="T143" s="151">
        <f t="shared" si="171"/>
        <v>120</v>
      </c>
      <c r="U143" s="151">
        <f t="shared" si="171"/>
        <v>70</v>
      </c>
      <c r="V143" s="151">
        <f t="shared" si="171"/>
        <v>0</v>
      </c>
      <c r="W143" s="151">
        <v>0</v>
      </c>
      <c r="X143" s="151">
        <v>500</v>
      </c>
      <c r="Y143" s="151">
        <v>200</v>
      </c>
      <c r="Z143" s="151">
        <v>500</v>
      </c>
      <c r="AA143" s="151">
        <v>0</v>
      </c>
      <c r="AB143" s="151">
        <v>100</v>
      </c>
      <c r="AC143" s="151">
        <v>0</v>
      </c>
      <c r="AD143" s="151">
        <f>AD127+AD130+AD133+AD136</f>
        <v>5050</v>
      </c>
      <c r="AE143" s="151">
        <f>AE127+AE130+AE133+AE136</f>
        <v>11870</v>
      </c>
      <c r="AF143" s="151">
        <f>AE143-AD143</f>
        <v>6820</v>
      </c>
      <c r="AG143" s="202">
        <f>AE143/AD143*100%</f>
        <v>2.35049504950495</v>
      </c>
      <c r="AH143" s="159">
        <f t="shared" si="165"/>
        <v>1300</v>
      </c>
      <c r="AI143" s="159">
        <f t="shared" si="166"/>
        <v>4450</v>
      </c>
      <c r="AJ143" s="201">
        <f t="shared" si="167"/>
        <v>256.730769230769</v>
      </c>
      <c r="AK143" s="202">
        <f>AJ143/AF143</f>
        <v>0.0376438078050981</v>
      </c>
      <c r="AL143" s="201">
        <f t="shared" si="168"/>
        <v>5306.73076923077</v>
      </c>
      <c r="AM143" s="201">
        <f t="shared" si="169"/>
        <v>6563.26923076923</v>
      </c>
      <c r="AN143" s="202">
        <f>AE143/AL143</f>
        <v>2.2367820257293</v>
      </c>
      <c r="AO143" s="208">
        <f>AF143/AH143</f>
        <v>5.24615384615385</v>
      </c>
      <c r="AP143" s="209" t="s">
        <v>123</v>
      </c>
      <c r="AQ143" s="210"/>
      <c r="AR143" s="211"/>
      <c r="AS143" s="47"/>
      <c r="AT143" s="47"/>
      <c r="AU143" s="47"/>
    </row>
    <row r="144" spans="1:47">
      <c r="A144" s="139"/>
      <c r="B144" s="145"/>
      <c r="C144" s="158"/>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224"/>
      <c r="AP144" s="47"/>
      <c r="AQ144" s="47"/>
      <c r="AR144" s="46"/>
      <c r="AS144" s="47"/>
      <c r="AT144" s="47"/>
      <c r="AU144" s="47"/>
    </row>
    <row r="145" spans="1:47">
      <c r="A145" s="139"/>
      <c r="B145" s="145"/>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224"/>
      <c r="AP145" s="47"/>
      <c r="AQ145" s="47"/>
      <c r="AR145" s="46"/>
      <c r="AS145" s="47"/>
      <c r="AT145" s="47"/>
      <c r="AU145" s="47"/>
    </row>
    <row r="146" spans="1:47">
      <c r="A146" s="139"/>
      <c r="B146" s="145"/>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224"/>
      <c r="AP146" s="47"/>
      <c r="AQ146" s="47"/>
      <c r="AR146" s="46"/>
      <c r="AS146" s="47"/>
      <c r="AT146" s="47"/>
      <c r="AU146" s="47"/>
    </row>
    <row r="147" spans="1:47">
      <c r="A147" s="139"/>
      <c r="B147" s="145"/>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224"/>
      <c r="AP147" s="47"/>
      <c r="AQ147" s="47"/>
      <c r="AR147" s="46"/>
      <c r="AS147" s="47"/>
      <c r="AT147" s="47"/>
      <c r="AU147" s="47"/>
    </row>
    <row r="148" spans="1:47">
      <c r="A148" s="139"/>
      <c r="B148" s="145"/>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224"/>
      <c r="AP148" s="47"/>
      <c r="AQ148" s="47"/>
      <c r="AR148" s="46"/>
      <c r="AS148" s="47"/>
      <c r="AT148" s="47"/>
      <c r="AU148" s="47"/>
    </row>
    <row r="149" spans="1:47">
      <c r="A149" s="139"/>
      <c r="B149" s="145"/>
      <c r="C149" s="158"/>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224"/>
      <c r="AP149" s="47"/>
      <c r="AQ149" s="47"/>
      <c r="AR149" s="46"/>
      <c r="AS149" s="47"/>
      <c r="AT149" s="47"/>
      <c r="AU149" s="47"/>
    </row>
    <row r="150" spans="1:47">
      <c r="A150" s="139"/>
      <c r="B150" s="145"/>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224"/>
      <c r="AP150" s="47"/>
      <c r="AQ150" s="47"/>
      <c r="AR150" s="46"/>
      <c r="AS150" s="47"/>
      <c r="AT150" s="47"/>
      <c r="AU150" s="47"/>
    </row>
    <row r="151" spans="1:47">
      <c r="A151" s="139"/>
      <c r="B151" s="145"/>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224"/>
      <c r="AP151" s="47"/>
      <c r="AQ151" s="47"/>
      <c r="AR151" s="46"/>
      <c r="AS151" s="47"/>
      <c r="AT151" s="47"/>
      <c r="AU151" s="47"/>
    </row>
    <row r="152" spans="1:47">
      <c r="A152" s="139"/>
      <c r="B152" s="145"/>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224"/>
      <c r="AP152" s="47"/>
      <c r="AQ152" s="47"/>
      <c r="AR152" s="46"/>
      <c r="AS152" s="47"/>
      <c r="AT152" s="47"/>
      <c r="AU152" s="47"/>
    </row>
    <row r="153" spans="1:47">
      <c r="A153" s="139"/>
      <c r="B153" s="145"/>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224"/>
      <c r="AP153" s="47"/>
      <c r="AQ153" s="47"/>
      <c r="AR153" s="46"/>
      <c r="AS153" s="47"/>
      <c r="AT153" s="47"/>
      <c r="AU153" s="47"/>
    </row>
    <row r="154" spans="1:47">
      <c r="A154" s="139"/>
      <c r="B154" s="145"/>
      <c r="C154" s="50"/>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224"/>
      <c r="AP154" s="47"/>
      <c r="AQ154" s="47"/>
      <c r="AR154" s="46"/>
      <c r="AS154" s="47"/>
      <c r="AT154" s="47"/>
      <c r="AU154" s="47"/>
    </row>
    <row r="155" spans="1:47">
      <c r="A155" s="139"/>
      <c r="B155" s="145"/>
      <c r="C155" s="158"/>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224"/>
      <c r="AP155" s="47"/>
      <c r="AQ155" s="47"/>
      <c r="AR155" s="46"/>
      <c r="AS155" s="47"/>
      <c r="AT155" s="47"/>
      <c r="AU155" s="47"/>
    </row>
    <row r="156" spans="1:47">
      <c r="A156" s="139"/>
      <c r="B156" s="145"/>
      <c r="C156" s="158"/>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224"/>
      <c r="AP156" s="47"/>
      <c r="AQ156" s="47"/>
      <c r="AR156" s="46"/>
      <c r="AS156" s="47"/>
      <c r="AT156" s="47"/>
      <c r="AU156" s="47"/>
    </row>
    <row r="157" spans="1:47">
      <c r="A157" s="139"/>
      <c r="B157" s="145"/>
      <c r="C157" s="158"/>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224"/>
      <c r="AP157" s="47"/>
      <c r="AQ157" s="47"/>
      <c r="AR157" s="46"/>
      <c r="AS157" s="47"/>
      <c r="AT157" s="47"/>
      <c r="AU157" s="47"/>
    </row>
    <row r="158" spans="1:47">
      <c r="A158" s="139"/>
      <c r="B158" s="145"/>
      <c r="C158" s="50"/>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224"/>
      <c r="AP158" s="47"/>
      <c r="AQ158" s="46"/>
      <c r="AR158" s="46"/>
      <c r="AS158" s="47"/>
      <c r="AT158" s="47"/>
      <c r="AU158" s="47"/>
    </row>
    <row r="159" spans="1:47">
      <c r="A159" s="46"/>
      <c r="B159" s="46"/>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224"/>
      <c r="AP159" s="47"/>
      <c r="AQ159" s="46"/>
      <c r="AR159" s="46"/>
      <c r="AS159" s="47"/>
      <c r="AT159" s="47"/>
      <c r="AU159" s="47"/>
    </row>
  </sheetData>
  <sheetProtection formatCells="0" insertHyperlinks="0" autoFilter="0"/>
  <mergeCells count="132">
    <mergeCell ref="A21:C21"/>
    <mergeCell ref="AP21:AR21"/>
    <mergeCell ref="A22:C22"/>
    <mergeCell ref="AP22:AR22"/>
    <mergeCell ref="A41:C41"/>
    <mergeCell ref="AP41:AR41"/>
    <mergeCell ref="A42:C42"/>
    <mergeCell ref="AP42:AR42"/>
    <mergeCell ref="A61:C61"/>
    <mergeCell ref="AP61:AR61"/>
    <mergeCell ref="A62:C62"/>
    <mergeCell ref="AP62:AR62"/>
    <mergeCell ref="A81:C81"/>
    <mergeCell ref="AP81:AR81"/>
    <mergeCell ref="A82:C82"/>
    <mergeCell ref="AP82:AR82"/>
    <mergeCell ref="A101:C101"/>
    <mergeCell ref="AP101:AR101"/>
    <mergeCell ref="A102:C102"/>
    <mergeCell ref="AP102:AR102"/>
    <mergeCell ref="A103:C103"/>
    <mergeCell ref="AP103:AR103"/>
    <mergeCell ref="A122:C122"/>
    <mergeCell ref="AP122:AR122"/>
    <mergeCell ref="A123:C123"/>
    <mergeCell ref="AP123:AR123"/>
    <mergeCell ref="A142:C142"/>
    <mergeCell ref="AP142:AR142"/>
    <mergeCell ref="A143:C143"/>
    <mergeCell ref="AP143:AR143"/>
    <mergeCell ref="A1:A2"/>
    <mergeCell ref="A3:A20"/>
    <mergeCell ref="A23:A40"/>
    <mergeCell ref="A43:A60"/>
    <mergeCell ref="A63:A80"/>
    <mergeCell ref="A83:A100"/>
    <mergeCell ref="A104:A121"/>
    <mergeCell ref="A124:A141"/>
    <mergeCell ref="B1:B2"/>
    <mergeCell ref="B3:B6"/>
    <mergeCell ref="B7:B9"/>
    <mergeCell ref="B10:B12"/>
    <mergeCell ref="B13:B15"/>
    <mergeCell ref="B16:B20"/>
    <mergeCell ref="B23:B26"/>
    <mergeCell ref="B27:B29"/>
    <mergeCell ref="B30:B32"/>
    <mergeCell ref="B33:B35"/>
    <mergeCell ref="B36:B40"/>
    <mergeCell ref="B43:B46"/>
    <mergeCell ref="B47:B49"/>
    <mergeCell ref="B50:B52"/>
    <mergeCell ref="B53:B55"/>
    <mergeCell ref="B56:B60"/>
    <mergeCell ref="B63:B66"/>
    <mergeCell ref="B67:B69"/>
    <mergeCell ref="B70:B72"/>
    <mergeCell ref="B73:B75"/>
    <mergeCell ref="B76:B80"/>
    <mergeCell ref="B83:B86"/>
    <mergeCell ref="B87:B89"/>
    <mergeCell ref="B90:B92"/>
    <mergeCell ref="B93:B95"/>
    <mergeCell ref="B96:B100"/>
    <mergeCell ref="B104:B107"/>
    <mergeCell ref="B108:B110"/>
    <mergeCell ref="B111:B113"/>
    <mergeCell ref="B114:B116"/>
    <mergeCell ref="B117:B121"/>
    <mergeCell ref="B124:B127"/>
    <mergeCell ref="B128:B130"/>
    <mergeCell ref="B131:B133"/>
    <mergeCell ref="B134:B136"/>
    <mergeCell ref="B137:B141"/>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Q23:AQ26"/>
    <mergeCell ref="AQ27:AQ29"/>
    <mergeCell ref="AQ30:AQ32"/>
    <mergeCell ref="AQ33:AQ35"/>
    <mergeCell ref="AQ36:AQ40"/>
    <mergeCell ref="AQ43:AQ46"/>
    <mergeCell ref="AQ47:AQ49"/>
    <mergeCell ref="AQ50:AQ52"/>
    <mergeCell ref="AQ53:AQ55"/>
    <mergeCell ref="AQ56:AQ60"/>
    <mergeCell ref="AQ63:AQ66"/>
    <mergeCell ref="AQ67:AQ69"/>
    <mergeCell ref="AQ70:AQ72"/>
    <mergeCell ref="AQ73:AQ75"/>
    <mergeCell ref="AQ76:AQ80"/>
    <mergeCell ref="AQ83:AQ86"/>
    <mergeCell ref="AQ87:AQ89"/>
    <mergeCell ref="AQ90:AQ92"/>
    <mergeCell ref="AQ93:AQ95"/>
    <mergeCell ref="AQ96:AQ100"/>
    <mergeCell ref="AQ104:AQ107"/>
    <mergeCell ref="AQ108:AQ110"/>
    <mergeCell ref="AQ111:AQ113"/>
    <mergeCell ref="AQ114:AQ116"/>
    <mergeCell ref="AQ117:AQ121"/>
    <mergeCell ref="AQ124:AQ127"/>
    <mergeCell ref="AQ128:AQ130"/>
    <mergeCell ref="AQ131:AQ133"/>
    <mergeCell ref="AQ134:AQ136"/>
    <mergeCell ref="AQ137:AQ141"/>
    <mergeCell ref="AR1:AR2"/>
    <mergeCell ref="AR3:AR20"/>
    <mergeCell ref="AR23:AR40"/>
    <mergeCell ref="AR43:AR60"/>
    <mergeCell ref="AR63:AR80"/>
    <mergeCell ref="AR83:AR100"/>
    <mergeCell ref="AR104:AR121"/>
    <mergeCell ref="AR124:AR141"/>
  </mergeCells>
  <pageMargins left="0.75" right="0.75" top="1" bottom="1" header="0.5" footer="0.5"/>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rgb="FFF7FC7E"/>
  </sheetPr>
  <dimension ref="A1"/>
  <sheetViews>
    <sheetView workbookViewId="0">
      <selection activeCell="O41" sqref="O41"/>
    </sheetView>
  </sheetViews>
  <sheetFormatPr defaultColWidth="9" defaultRowHeight="13.5"/>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13</vt:i4>
      </vt:variant>
    </vt:vector>
  </HeadingPairs>
  <TitlesOfParts>
    <vt:vector size="13" baseType="lpstr">
      <vt:lpstr>建筑群组</vt:lpstr>
      <vt:lpstr>中心类建筑</vt:lpstr>
      <vt:lpstr>政府建筑</vt:lpstr>
      <vt:lpstr>工厂建筑</vt:lpstr>
      <vt:lpstr>自给建筑</vt:lpstr>
      <vt:lpstr>农场建筑</vt:lpstr>
      <vt:lpstr>种植园建筑</vt:lpstr>
      <vt:lpstr>矿业建筑</vt:lpstr>
      <vt:lpstr>其余资源建筑</vt:lpstr>
      <vt:lpstr>职业种类</vt:lpstr>
      <vt:lpstr>商品</vt:lpstr>
      <vt:lpstr>生活水平</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2022-07-04T07:05:20Z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2052-11.1.0.11830</vt:lpwstr>
  </property>
</Properties>
</file>