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6"/>
  </bookViews>
  <sheets>
    <sheet name="工厂" sheetId="1" r:id="rId1"/>
    <sheet name="基础设施与城镇中心" sheetId="3" r:id="rId2"/>
    <sheet name="农场与自给" sheetId="4" r:id="rId3"/>
    <sheet name="种植园" sheetId="5" r:id="rId4"/>
    <sheet name="政府建筑" sheetId="7" r:id="rId5"/>
    <sheet name="矿业建筑" sheetId="9" r:id="rId6"/>
    <sheet name="商品" sheetId="2" r:id="rId7"/>
    <sheet name="科技" sheetId="10" r:id="rId8"/>
  </sheets>
  <definedNames>
    <definedName name="_xlnm._FilterDatabase" localSheetId="0" hidden="1">工厂!$A$1:$W$58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Z1" authorId="0">
      <text>
        <r>
          <rPr>
            <sz val="9"/>
            <rFont val="宋体"/>
            <charset val="134"/>
          </rPr>
          <t>财富等级就是生活水平，且一定会是整数，因为有太多的整数，所以平均值才能精确到两位小数。1是最小值，99是最大值，如果没有人则会是0。</t>
        </r>
      </text>
    </comment>
  </commentList>
</comments>
</file>

<file path=xl/sharedStrings.xml><?xml version="1.0" encoding="utf-8"?>
<sst xmlns="http://schemas.openxmlformats.org/spreadsheetml/2006/main" count="399">
  <si>
    <t>钢铁厂</t>
  </si>
  <si>
    <t>消耗</t>
  </si>
  <si>
    <t>橡胶</t>
  </si>
  <si>
    <t>煤炭</t>
  </si>
  <si>
    <t>铁矿石</t>
  </si>
  <si>
    <t>工具</t>
  </si>
  <si>
    <t>魔偶</t>
  </si>
  <si>
    <t>灵能水晶</t>
  </si>
  <si>
    <t>产出</t>
  </si>
  <si>
    <t>钢</t>
  </si>
  <si>
    <t>铁</t>
  </si>
  <si>
    <t>雇佣</t>
  </si>
  <si>
    <t>劳工</t>
  </si>
  <si>
    <t>机械师</t>
  </si>
  <si>
    <t>工程师</t>
  </si>
  <si>
    <t>法士</t>
  </si>
  <si>
    <t>收益</t>
  </si>
  <si>
    <t>支出</t>
  </si>
  <si>
    <t>收入</t>
  </si>
  <si>
    <t>利润</t>
  </si>
  <si>
    <t>劳动生产率</t>
  </si>
  <si>
    <t>高炉炼铁</t>
  </si>
  <si>
    <t>泡钢法</t>
  </si>
  <si>
    <t>贝塞麦转炉炼钢法</t>
  </si>
  <si>
    <t>平炉炼钢法</t>
  </si>
  <si>
    <t>冲击分离法</t>
  </si>
  <si>
    <t>漂浮分离法</t>
  </si>
  <si>
    <t>魔能丝线分离法</t>
  </si>
  <si>
    <t>水管锅炉</t>
  </si>
  <si>
    <t>旋转阀发动机</t>
  </si>
  <si>
    <t>基础魔偶</t>
  </si>
  <si>
    <t>智能魔偶</t>
  </si>
  <si>
    <t>强智能魔偶</t>
  </si>
  <si>
    <t>魔偶流水线</t>
  </si>
  <si>
    <t>纺织厂</t>
  </si>
  <si>
    <t>染料</t>
  </si>
  <si>
    <t>布料</t>
  </si>
  <si>
    <t>丝绸</t>
  </si>
  <si>
    <t>普通衣物</t>
  </si>
  <si>
    <t>奢侈衣物</t>
  </si>
  <si>
    <t>店主</t>
  </si>
  <si>
    <t>技工</t>
  </si>
  <si>
    <t>手工衣物</t>
  </si>
  <si>
    <t>染料工坊</t>
  </si>
  <si>
    <t>机械缝纫机</t>
  </si>
  <si>
    <t>手工缝纫</t>
  </si>
  <si>
    <t>弹性织物</t>
  </si>
  <si>
    <t>机械织机</t>
  </si>
  <si>
    <t>蒸汽织机</t>
  </si>
  <si>
    <t>家具制造厂</t>
  </si>
  <si>
    <t>木头</t>
  </si>
  <si>
    <t>硬木</t>
  </si>
  <si>
    <t>普通家具</t>
  </si>
  <si>
    <t>奢侈家具</t>
  </si>
  <si>
    <t>手工加工</t>
  </si>
  <si>
    <t>车床加工</t>
  </si>
  <si>
    <t>机械化工坊</t>
  </si>
  <si>
    <t>豪华家具生产</t>
  </si>
  <si>
    <t>精密工具</t>
  </si>
  <si>
    <t>流水线</t>
  </si>
  <si>
    <t>玻璃厂</t>
  </si>
  <si>
    <t>铅</t>
  </si>
  <si>
    <t>玻璃</t>
  </si>
  <si>
    <t>陶瓷</t>
  </si>
  <si>
    <t>草木灰玻璃</t>
  </si>
  <si>
    <t>含铅玻璃</t>
  </si>
  <si>
    <t>水晶玻璃</t>
  </si>
  <si>
    <t>骨瓷</t>
  </si>
  <si>
    <t>自动吹瓶器</t>
  </si>
  <si>
    <t>魔能武器厂</t>
  </si>
  <si>
    <t>泽洛</t>
  </si>
  <si>
    <t>魔能枪</t>
  </si>
  <si>
    <t>制式法杖</t>
  </si>
  <si>
    <t>教国法铳</t>
  </si>
  <si>
    <t>制式法铳</t>
  </si>
  <si>
    <t>复合法铳</t>
  </si>
  <si>
    <t>科学武器厂</t>
  </si>
  <si>
    <t>炸药</t>
  </si>
  <si>
    <t>步枪</t>
  </si>
  <si>
    <t>子弹</t>
  </si>
  <si>
    <t>火炮</t>
  </si>
  <si>
    <t>收支</t>
  </si>
  <si>
    <t xml:space="preserve">支出 </t>
  </si>
  <si>
    <t>连发步枪</t>
  </si>
  <si>
    <t>栓动步枪</t>
  </si>
  <si>
    <t>优先轻武器</t>
  </si>
  <si>
    <t>火炮生产</t>
  </si>
  <si>
    <t>前膛炮</t>
  </si>
  <si>
    <t>后膛炮</t>
  </si>
  <si>
    <t>撞击式雷管</t>
  </si>
  <si>
    <t>爆破榴弹</t>
  </si>
  <si>
    <t>酿酒厂</t>
  </si>
  <si>
    <t>糖</t>
  </si>
  <si>
    <t>粮食</t>
  </si>
  <si>
    <t>烈酒</t>
  </si>
  <si>
    <t>罐蒸馏</t>
  </si>
  <si>
    <t>流蒸馏</t>
  </si>
  <si>
    <t>造纸厂</t>
  </si>
  <si>
    <t>硫</t>
  </si>
  <si>
    <t>纸张</t>
  </si>
  <si>
    <t>投入产出比</t>
  </si>
  <si>
    <t>纸浆压榨</t>
  </si>
  <si>
    <t>亚硝酸盐制浆</t>
  </si>
  <si>
    <t>纸浆漂白</t>
  </si>
  <si>
    <t>食品厂</t>
  </si>
  <si>
    <t>谷物</t>
  </si>
  <si>
    <t>鱼类</t>
  </si>
  <si>
    <t>加工食品</t>
  </si>
  <si>
    <t>面包房</t>
  </si>
  <si>
    <t>甜味剂</t>
  </si>
  <si>
    <t>发酵粉</t>
  </si>
  <si>
    <t>无罐头</t>
  </si>
  <si>
    <t>广口瓶</t>
  </si>
  <si>
    <t>罐装机</t>
  </si>
  <si>
    <t>手工面团加工</t>
  </si>
  <si>
    <t>自动化面包房</t>
  </si>
  <si>
    <t>炼金厂</t>
  </si>
  <si>
    <t>秘银</t>
  </si>
  <si>
    <t>魔能锻造法</t>
  </si>
  <si>
    <t>雌雄金属融合法</t>
  </si>
  <si>
    <t>传送叠加融合法</t>
  </si>
  <si>
    <t>手工制造</t>
  </si>
  <si>
    <t>超智能魔偶</t>
  </si>
  <si>
    <t>魔偶工厂</t>
  </si>
  <si>
    <r>
      <rPr>
        <sz val="14"/>
        <color rgb="FF000000"/>
        <rFont val="宋体"/>
        <charset val="134"/>
      </rPr>
      <t xml:space="preserve">  </t>
    </r>
    <r>
      <rPr>
        <b/>
        <sz val="14"/>
        <color rgb="FF000000"/>
        <rFont val="宋体"/>
        <charset val="134"/>
      </rPr>
      <t>产出</t>
    </r>
  </si>
  <si>
    <r>
      <rPr>
        <sz val="14"/>
        <color rgb="FF000000"/>
        <rFont val="宋体"/>
        <charset val="134"/>
      </rPr>
      <t xml:space="preserve">  </t>
    </r>
    <r>
      <rPr>
        <b/>
        <sz val="14"/>
        <color rgb="FF000000"/>
        <rFont val="宋体"/>
        <charset val="134"/>
      </rPr>
      <t>雇佣</t>
    </r>
  </si>
  <si>
    <r>
      <rPr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"/>
        <charset val="134"/>
      </rPr>
      <t>收益</t>
    </r>
  </si>
  <si>
    <t>化工厂</t>
  </si>
  <si>
    <t xml:space="preserve">  产出</t>
  </si>
  <si>
    <t>肥料</t>
  </si>
  <si>
    <t xml:space="preserve"> 雇佣</t>
  </si>
  <si>
    <t xml:space="preserve"> 收益</t>
  </si>
  <si>
    <t>人工化肥</t>
  </si>
  <si>
    <t>改进型化肥</t>
  </si>
  <si>
    <t>固氮法</t>
  </si>
  <si>
    <t>动力机械厂</t>
  </si>
  <si>
    <r>
      <rPr>
        <sz val="14"/>
        <color rgb="FF000000"/>
        <rFont val="宋体"/>
        <charset val="134"/>
      </rPr>
      <t xml:space="preserve">  </t>
    </r>
    <r>
      <rPr>
        <b/>
        <sz val="14"/>
        <color rgb="FF000000"/>
        <rFont val="宋体"/>
        <charset val="134"/>
      </rPr>
      <t xml:space="preserve"> 产出</t>
    </r>
  </si>
  <si>
    <t>发动机</t>
  </si>
  <si>
    <t>往复式发动机</t>
  </si>
  <si>
    <t xml:space="preserve">通用化蒸汽核心 </t>
  </si>
  <si>
    <t>魔能装备厂</t>
  </si>
  <si>
    <r>
      <rPr>
        <sz val="14"/>
        <color rgb="FF000000"/>
        <rFont val="宋体"/>
        <charset val="134"/>
      </rPr>
      <t xml:space="preserve">   </t>
    </r>
    <r>
      <rPr>
        <b/>
        <sz val="14"/>
        <color rgb="FF000000"/>
        <rFont val="宋体"/>
        <charset val="134"/>
      </rPr>
      <t>产出</t>
    </r>
  </si>
  <si>
    <t>魔能浮空车</t>
  </si>
  <si>
    <t>魔能冲击法</t>
  </si>
  <si>
    <t>魔能聚集法</t>
  </si>
  <si>
    <t>魔能召唤法</t>
  </si>
  <si>
    <t>无魔能浮空车生产</t>
  </si>
  <si>
    <t>魔能浮空车生产</t>
  </si>
  <si>
    <t>魔能军械厂</t>
  </si>
  <si>
    <t>魔法飞行器</t>
  </si>
  <si>
    <t>魔能机甲</t>
  </si>
  <si>
    <t>混合机甲</t>
  </si>
  <si>
    <t xml:space="preserve">   收益</t>
  </si>
  <si>
    <t>无飞行器生产</t>
  </si>
  <si>
    <t>无机甲生产</t>
  </si>
  <si>
    <t>混合机甲生产</t>
  </si>
  <si>
    <t>魔法机甲</t>
  </si>
  <si>
    <t>魔导机甲</t>
  </si>
  <si>
    <t>魔法浮空平台</t>
  </si>
  <si>
    <t>魔法浮空城</t>
  </si>
  <si>
    <t>科学军械厂</t>
  </si>
  <si>
    <t>蒸汽飞行器</t>
  </si>
  <si>
    <t>蒸汽机甲</t>
  </si>
  <si>
    <t>蒸汽飞机</t>
  </si>
  <si>
    <t>空天母舰</t>
  </si>
  <si>
    <t>蒸汽机甲生产</t>
  </si>
  <si>
    <t>工具作坊</t>
  </si>
  <si>
    <t>粗制工具</t>
  </si>
  <si>
    <t>生铁工具</t>
  </si>
  <si>
    <t>钢制工具</t>
  </si>
  <si>
    <t>流水线（需要石油和电力）</t>
  </si>
  <si>
    <t>铁路</t>
  </si>
  <si>
    <t xml:space="preserve">引擎 </t>
  </si>
  <si>
    <t>运力</t>
  </si>
  <si>
    <t>其他</t>
  </si>
  <si>
    <t>基础设施</t>
  </si>
  <si>
    <t>蒸汽列车</t>
  </si>
  <si>
    <t>高压列车</t>
  </si>
  <si>
    <t>超流体列车</t>
  </si>
  <si>
    <t>传送阵</t>
  </si>
  <si>
    <t>小规模传送</t>
  </si>
  <si>
    <t>规模化传送</t>
  </si>
  <si>
    <t>恒定传送阵</t>
  </si>
  <si>
    <t>道路</t>
  </si>
  <si>
    <t>平整道路</t>
  </si>
  <si>
    <t>鹅卵石道路</t>
  </si>
  <si>
    <t>沥青道路</t>
  </si>
  <si>
    <t>人力运输</t>
  </si>
  <si>
    <t>畜力运输</t>
  </si>
  <si>
    <t>魔能浮空车运输</t>
  </si>
  <si>
    <t>城镇中心</t>
  </si>
  <si>
    <t>引擎</t>
  </si>
  <si>
    <t>浮空车</t>
  </si>
  <si>
    <t>服务</t>
  </si>
  <si>
    <t>职工</t>
  </si>
  <si>
    <t>街市摊位</t>
  </si>
  <si>
    <t>世纪广场</t>
  </si>
  <si>
    <t>室内市场</t>
  </si>
  <si>
    <t>购物拱廊</t>
  </si>
  <si>
    <t>煤气路灯</t>
  </si>
  <si>
    <t>魔法路灯</t>
  </si>
  <si>
    <t>公共蒸汽地铁</t>
  </si>
  <si>
    <t>公共魔能悬浮车</t>
  </si>
  <si>
    <t>智能城市</t>
  </si>
  <si>
    <t>材料强化建筑</t>
  </si>
  <si>
    <t>法术立场加固</t>
  </si>
  <si>
    <t>魔导建筑结构</t>
  </si>
  <si>
    <t>木质建筑</t>
  </si>
  <si>
    <t>钢筋混凝土结构</t>
  </si>
  <si>
    <t>蒸汽一体化构建</t>
  </si>
  <si>
    <t>建造部门</t>
  </si>
  <si>
    <t>建造</t>
  </si>
  <si>
    <t>投入产出率</t>
  </si>
  <si>
    <t>建造能力</t>
  </si>
  <si>
    <t>生产方式</t>
  </si>
  <si>
    <t>化肥</t>
  </si>
  <si>
    <t>水果</t>
  </si>
  <si>
    <t>葡萄酒</t>
  </si>
  <si>
    <t>肉类</t>
  </si>
  <si>
    <t>农民</t>
  </si>
  <si>
    <t>简单农场</t>
  </si>
  <si>
    <t>土壤优化</t>
  </si>
  <si>
    <t>土壤施肥</t>
  </si>
  <si>
    <t>化学肥料</t>
  </si>
  <si>
    <t>祝福魔法</t>
  </si>
  <si>
    <t>生命力注入</t>
  </si>
  <si>
    <t>快速生长</t>
  </si>
  <si>
    <t>葡萄酒庄</t>
  </si>
  <si>
    <t>土豆生产</t>
  </si>
  <si>
    <t>苹果果园</t>
  </si>
  <si>
    <t>使用工具</t>
  </si>
  <si>
    <t>蒸汽脱粒机</t>
  </si>
  <si>
    <t>拖拉机使用</t>
  </si>
  <si>
    <t>自动魔偶</t>
  </si>
  <si>
    <t>简单牧场</t>
  </si>
  <si>
    <t>集约放牧</t>
  </si>
  <si>
    <t>开放屠宰</t>
  </si>
  <si>
    <t>屠宰工具</t>
  </si>
  <si>
    <t>屠宰场</t>
  </si>
  <si>
    <t>机械屠宰</t>
  </si>
  <si>
    <t>铁丝网围栏</t>
  </si>
  <si>
    <t>魔能围栏</t>
  </si>
  <si>
    <t>温度控制法</t>
  </si>
  <si>
    <t>灵能注入法</t>
  </si>
  <si>
    <t>咖啡</t>
  </si>
  <si>
    <t>鸦片</t>
  </si>
  <si>
    <t>茶</t>
  </si>
  <si>
    <t>烟草</t>
  </si>
  <si>
    <t>默认棉花</t>
  </si>
  <si>
    <t>化肥肥料</t>
  </si>
  <si>
    <t>默认染料</t>
  </si>
  <si>
    <t>默认鸦片</t>
  </si>
  <si>
    <t>默认茶叶</t>
  </si>
  <si>
    <t>默认烟草</t>
  </si>
  <si>
    <t>默认香蕉</t>
  </si>
  <si>
    <t>默认糖类</t>
  </si>
  <si>
    <t>默认丝绸</t>
  </si>
  <si>
    <t>矿车运输</t>
  </si>
  <si>
    <t>蒸汽运输</t>
  </si>
  <si>
    <t>码头</t>
  </si>
  <si>
    <t>船队</t>
  </si>
  <si>
    <t>城镇化</t>
  </si>
  <si>
    <t>职员</t>
  </si>
  <si>
    <t>官僚</t>
  </si>
  <si>
    <t>法士（？）</t>
  </si>
  <si>
    <t>工程法术运输</t>
  </si>
  <si>
    <t>法阵化运输体系</t>
  </si>
  <si>
    <t>魔能机械化</t>
  </si>
  <si>
    <t>人力转运码头</t>
  </si>
  <si>
    <t>机器货运码头</t>
  </si>
  <si>
    <t>蒸汽机械化码头</t>
  </si>
  <si>
    <t>政府行政机构</t>
  </si>
  <si>
    <t>纸</t>
  </si>
  <si>
    <t>每周行政力</t>
  </si>
  <si>
    <t>机构行政力人口花费乘数</t>
  </si>
  <si>
    <t>教士</t>
  </si>
  <si>
    <t>地主</t>
  </si>
  <si>
    <t>智能魔偶辅助书写</t>
  </si>
  <si>
    <t>强智能魔偶辅助处理</t>
  </si>
  <si>
    <t>魔法信使</t>
  </si>
  <si>
    <t>通信魔法</t>
  </si>
  <si>
    <t>纸质</t>
  </si>
  <si>
    <t>打字机</t>
  </si>
  <si>
    <t>差分机辅助</t>
  </si>
  <si>
    <t>普通邮寄</t>
  </si>
  <si>
    <t>飞鸽传书</t>
  </si>
  <si>
    <t>蒸汽管道邮寄</t>
  </si>
  <si>
    <t>封建世袭职务</t>
  </si>
  <si>
    <t>神权叙职制</t>
  </si>
  <si>
    <t>公务员体系</t>
  </si>
  <si>
    <t>法师官僚制</t>
  </si>
  <si>
    <t>大学</t>
  </si>
  <si>
    <t>创新点</t>
  </si>
  <si>
    <t>受教育机会</t>
  </si>
  <si>
    <t>学者</t>
  </si>
  <si>
    <t>基础魔法研究</t>
  </si>
  <si>
    <t>魔法工业研究</t>
  </si>
  <si>
    <t>综合性魔法大学</t>
  </si>
  <si>
    <t>前现代教育</t>
  </si>
  <si>
    <t>蒸汽工业研究</t>
  </si>
  <si>
    <t>综合性大学</t>
  </si>
  <si>
    <t>建筑</t>
  </si>
  <si>
    <t>生产方式群组</t>
  </si>
  <si>
    <t>黄金</t>
  </si>
  <si>
    <t>煤矿</t>
  </si>
  <si>
    <t>采矿设备</t>
  </si>
  <si>
    <t>镐和铲</t>
  </si>
  <si>
    <t>蒸汽机泵</t>
  </si>
  <si>
    <t>魔能蒸汽机泵</t>
  </si>
  <si>
    <t>元素富集</t>
  </si>
  <si>
    <t>重力魔法运用</t>
  </si>
  <si>
    <t>硝化甘油</t>
  </si>
  <si>
    <t>黄色炸药</t>
  </si>
  <si>
    <t>土地操纵</t>
  </si>
  <si>
    <t>爆裂魔法</t>
  </si>
  <si>
    <t>默认铁矿</t>
  </si>
  <si>
    <t>大气蒸汽机泵</t>
  </si>
  <si>
    <t>冷凝蒸汽机泵</t>
  </si>
  <si>
    <t>默认铅矿</t>
  </si>
  <si>
    <t>默认硫矿</t>
  </si>
  <si>
    <t>默认金矿</t>
  </si>
  <si>
    <t>基础生产方式</t>
  </si>
  <si>
    <t>灵能水晶矿</t>
  </si>
  <si>
    <t>秘银矿</t>
  </si>
  <si>
    <t>泽洛矿</t>
  </si>
  <si>
    <t>商品</t>
  </si>
  <si>
    <t>实际种类</t>
  </si>
  <si>
    <t>总种类</t>
  </si>
  <si>
    <t>商品类别</t>
  </si>
  <si>
    <t>所需财富等级</t>
  </si>
  <si>
    <t>轻工业商品</t>
  </si>
  <si>
    <t>服装</t>
  </si>
  <si>
    <t>豪华服装</t>
  </si>
  <si>
    <t>家具</t>
  </si>
  <si>
    <t>豪华家具</t>
  </si>
  <si>
    <t>电话机</t>
  </si>
  <si>
    <t>药物</t>
  </si>
  <si>
    <t>供暖</t>
  </si>
  <si>
    <t>1~99</t>
  </si>
  <si>
    <t>木材</t>
  </si>
  <si>
    <t>油</t>
  </si>
  <si>
    <t>电力</t>
  </si>
  <si>
    <t>default</t>
  </si>
  <si>
    <t>1.00</t>
  </si>
  <si>
    <t>1.50</t>
  </si>
  <si>
    <t>2.00</t>
  </si>
  <si>
    <t>重工业商品</t>
  </si>
  <si>
    <t>魔法药水</t>
  </si>
  <si>
    <t>汽车</t>
  </si>
  <si>
    <t>飞机</t>
  </si>
  <si>
    <t>魔能枪械</t>
  </si>
  <si>
    <t>弹药</t>
  </si>
  <si>
    <t>魔能火炮</t>
  </si>
  <si>
    <t>致瘾品</t>
  </si>
  <si>
    <t>服务业商品</t>
  </si>
  <si>
    <t>艺术品</t>
  </si>
  <si>
    <t>基本食物</t>
  </si>
  <si>
    <t>1~29</t>
  </si>
  <si>
    <t>农业商品</t>
  </si>
  <si>
    <t>泽露</t>
  </si>
  <si>
    <t>基本衣物</t>
  </si>
  <si>
    <t>1~14</t>
  </si>
  <si>
    <t>林业商品</t>
  </si>
  <si>
    <t>必需品</t>
  </si>
  <si>
    <t>5~14</t>
  </si>
  <si>
    <t>鱼业商品</t>
  </si>
  <si>
    <t>日用品</t>
  </si>
  <si>
    <t>10~44</t>
  </si>
  <si>
    <t>1.33</t>
  </si>
  <si>
    <t>矿业商品</t>
  </si>
  <si>
    <t>铁矿</t>
  </si>
  <si>
    <t>铅矿</t>
  </si>
  <si>
    <t>硫矿</t>
  </si>
  <si>
    <t>金矿</t>
  </si>
  <si>
    <t>奢侈品</t>
  </si>
  <si>
    <t>15~99</t>
  </si>
  <si>
    <t>瓷器</t>
  </si>
  <si>
    <t>无线电</t>
  </si>
  <si>
    <t>1.16</t>
  </si>
  <si>
    <t>AOM新增商品（重复）</t>
  </si>
  <si>
    <t>机械人偶</t>
  </si>
  <si>
    <t>魔法人偶</t>
  </si>
  <si>
    <t>魔法汽车</t>
  </si>
  <si>
    <t>魔法飞机</t>
  </si>
  <si>
    <t>高档食物</t>
  </si>
  <si>
    <t>20~99</t>
  </si>
  <si>
    <t>未知（无效）</t>
  </si>
  <si>
    <t>高档饮品</t>
  </si>
  <si>
    <t>商品总量</t>
  </si>
  <si>
    <t>无效或重复商品的单元格是橙色</t>
  </si>
  <si>
    <t>秘银是合成的，前期只有矮人能造。泽露相当于2单位默认高档饮品及葡萄酒。魔偶也算致瘾品，也是更高效的日用品。</t>
  </si>
  <si>
    <t>10~99</t>
  </si>
  <si>
    <t>自由出行</t>
  </si>
  <si>
    <t>2.33</t>
  </si>
  <si>
    <t>通信</t>
  </si>
  <si>
    <t>艺术</t>
  </si>
  <si>
    <t>40~99</t>
  </si>
  <si>
    <t>6.66</t>
  </si>
  <si>
    <t>AOM科技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</si>
</sst>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"/>
    <numFmt numFmtId="177" formatCode="#,##0.00_ "/>
  </numFmts>
  <fonts count="37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rgb="FF1A1A1A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0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5" borderId="30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13" borderId="31" applyNumberFormat="0" applyAlignment="0" applyProtection="0">
      <alignment vertical="center"/>
    </xf>
    <xf numFmtId="0" fontId="25" fillId="13" borderId="29" applyNumberFormat="0" applyAlignment="0" applyProtection="0">
      <alignment vertical="center"/>
    </xf>
    <xf numFmtId="0" fontId="34" fillId="28" borderId="33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6" fillId="0" borderId="34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3" borderId="23" xfId="0" applyFont="1" applyFill="1" applyBorder="1" applyAlignment="1">
      <alignment horizontal="center" vertical="center"/>
    </xf>
    <xf numFmtId="0" fontId="2" fillId="3" borderId="23" xfId="0" applyFont="1" applyFill="1" applyBorder="1">
      <alignment vertical="center"/>
    </xf>
    <xf numFmtId="0" fontId="6" fillId="3" borderId="23" xfId="0" applyFont="1" applyFill="1" applyBorder="1">
      <alignment vertical="center"/>
    </xf>
    <xf numFmtId="0" fontId="7" fillId="3" borderId="24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2" fillId="4" borderId="23" xfId="0" applyFont="1" applyFill="1" applyBorder="1">
      <alignment vertical="center"/>
    </xf>
    <xf numFmtId="0" fontId="6" fillId="4" borderId="23" xfId="0" applyFont="1" applyFill="1" applyBorder="1">
      <alignment vertical="center"/>
    </xf>
    <xf numFmtId="0" fontId="7" fillId="4" borderId="23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8" fillId="4" borderId="23" xfId="0" applyFont="1" applyFill="1" applyBorder="1">
      <alignment vertical="center"/>
    </xf>
    <xf numFmtId="0" fontId="8" fillId="3" borderId="23" xfId="0" applyFont="1" applyFill="1" applyBorder="1">
      <alignment vertical="center"/>
    </xf>
    <xf numFmtId="10" fontId="6" fillId="0" borderId="0" xfId="0" applyNumberFormat="1" applyFont="1">
      <alignment vertical="center"/>
    </xf>
    <xf numFmtId="10" fontId="6" fillId="3" borderId="23" xfId="0" applyNumberFormat="1" applyFont="1" applyFill="1" applyBorder="1">
      <alignment vertical="center"/>
    </xf>
    <xf numFmtId="10" fontId="6" fillId="4" borderId="23" xfId="0" applyNumberFormat="1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Alignment="1">
      <alignment vertical="center"/>
    </xf>
    <xf numFmtId="10" fontId="0" fillId="0" borderId="0" xfId="0" applyNumberFormat="1">
      <alignment vertical="center"/>
    </xf>
    <xf numFmtId="0" fontId="12" fillId="0" borderId="0" xfId="0" applyFont="1">
      <alignment vertical="center"/>
    </xf>
    <xf numFmtId="0" fontId="12" fillId="4" borderId="23" xfId="0" applyFont="1" applyFill="1" applyBorder="1">
      <alignment vertical="center"/>
    </xf>
    <xf numFmtId="0" fontId="0" fillId="4" borderId="23" xfId="0" applyFill="1" applyBorder="1">
      <alignment vertical="center"/>
    </xf>
    <xf numFmtId="0" fontId="12" fillId="3" borderId="23" xfId="0" applyFont="1" applyFill="1" applyBorder="1">
      <alignment vertical="center"/>
    </xf>
    <xf numFmtId="0" fontId="0" fillId="3" borderId="23" xfId="0" applyFill="1" applyBorder="1">
      <alignment vertical="center"/>
    </xf>
    <xf numFmtId="0" fontId="9" fillId="3" borderId="23" xfId="0" applyFont="1" applyFill="1" applyBorder="1">
      <alignment vertical="center"/>
    </xf>
    <xf numFmtId="10" fontId="0" fillId="4" borderId="23" xfId="0" applyNumberFormat="1" applyFill="1" applyBorder="1">
      <alignment vertical="center"/>
    </xf>
    <xf numFmtId="10" fontId="0" fillId="3" borderId="23" xfId="0" applyNumberFormat="1" applyFill="1" applyBorder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9" fontId="0" fillId="0" borderId="0" xfId="11" applyAlignment="1">
      <alignment vertical="center"/>
    </xf>
    <xf numFmtId="176" fontId="0" fillId="0" borderId="0" xfId="4" applyNumberFormat="1">
      <alignment vertical="center"/>
    </xf>
    <xf numFmtId="177" fontId="0" fillId="0" borderId="0" xfId="11" applyNumberFormat="1">
      <alignment vertical="center"/>
    </xf>
    <xf numFmtId="9" fontId="0" fillId="0" borderId="0" xfId="1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9" fontId="14" fillId="0" borderId="0" xfId="11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vertical="center" wrapText="1"/>
    </xf>
    <xf numFmtId="2" fontId="14" fillId="0" borderId="0" xfId="0" applyNumberFormat="1" applyFont="1">
      <alignment vertical="center"/>
    </xf>
    <xf numFmtId="0" fontId="17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3"/>
  <sheetViews>
    <sheetView topLeftCell="A118" workbookViewId="0">
      <selection activeCell="M139" sqref="M139"/>
    </sheetView>
  </sheetViews>
  <sheetFormatPr defaultColWidth="8.725" defaultRowHeight="18.75"/>
  <cols>
    <col min="1" max="1" width="23.6333333333333" style="120" customWidth="1"/>
    <col min="2" max="2" width="7" style="120" customWidth="1"/>
    <col min="3" max="3" width="8.09166666666667" style="120" customWidth="1"/>
    <col min="4" max="6" width="12.1833333333333" style="120" customWidth="1"/>
    <col min="7" max="7" width="15.0916666666667" style="120" customWidth="1"/>
    <col min="8" max="10" width="12.1833333333333" style="120" customWidth="1"/>
    <col min="11" max="11" width="9.36666666666667" style="120" customWidth="1"/>
    <col min="12" max="13" width="12.1833333333333" style="120" customWidth="1"/>
    <col min="14" max="16" width="9.36666666666667" style="120" customWidth="1"/>
    <col min="17" max="18" width="16.3666666666667" style="120" customWidth="1"/>
    <col min="19" max="19" width="9.36666666666667" style="120" customWidth="1"/>
    <col min="20" max="25" width="16.3666666666667" style="120" customWidth="1"/>
  </cols>
  <sheetData>
    <row r="1" spans="1:21">
      <c r="A1" s="118" t="s">
        <v>0</v>
      </c>
      <c r="B1" s="119" t="s">
        <v>1</v>
      </c>
      <c r="C1" s="120" t="s">
        <v>2</v>
      </c>
      <c r="D1" s="120" t="s">
        <v>3</v>
      </c>
      <c r="E1" s="120" t="s">
        <v>4</v>
      </c>
      <c r="F1" s="120" t="s">
        <v>5</v>
      </c>
      <c r="G1" s="120" t="s">
        <v>6</v>
      </c>
      <c r="H1" s="120" t="s">
        <v>7</v>
      </c>
      <c r="I1" s="119" t="s">
        <v>8</v>
      </c>
      <c r="J1" s="120" t="s">
        <v>9</v>
      </c>
      <c r="K1" s="120" t="s">
        <v>10</v>
      </c>
      <c r="L1" s="120" t="s">
        <v>11</v>
      </c>
      <c r="M1" s="120" t="s">
        <v>12</v>
      </c>
      <c r="N1" s="120" t="s">
        <v>13</v>
      </c>
      <c r="O1" s="120" t="s">
        <v>14</v>
      </c>
      <c r="P1" s="121" t="s">
        <v>15</v>
      </c>
      <c r="Q1" s="119" t="s">
        <v>16</v>
      </c>
      <c r="R1" s="120" t="s">
        <v>17</v>
      </c>
      <c r="S1" s="120" t="s">
        <v>18</v>
      </c>
      <c r="T1" s="120" t="s">
        <v>19</v>
      </c>
      <c r="U1" s="121" t="s">
        <v>20</v>
      </c>
    </row>
    <row r="2" spans="1:21">
      <c r="A2" s="120" t="s">
        <v>21</v>
      </c>
      <c r="B2" s="119"/>
      <c r="C2" s="120">
        <v>0</v>
      </c>
      <c r="D2" s="120">
        <v>20</v>
      </c>
      <c r="E2" s="120">
        <v>20</v>
      </c>
      <c r="F2" s="120">
        <v>0</v>
      </c>
      <c r="G2" s="120">
        <v>0</v>
      </c>
      <c r="H2" s="120">
        <v>0</v>
      </c>
      <c r="I2" s="119"/>
      <c r="J2" s="120">
        <v>0</v>
      </c>
      <c r="K2" s="120">
        <v>40</v>
      </c>
      <c r="M2" s="120">
        <v>4500</v>
      </c>
      <c r="N2" s="120">
        <v>0</v>
      </c>
      <c r="O2" s="120">
        <v>0</v>
      </c>
      <c r="P2" s="120">
        <v>0</v>
      </c>
      <c r="Q2" s="119"/>
      <c r="R2" s="120">
        <f>PRODUCT(D2,商品!F15)+PRODUCT(E2,商品!H15)+PRODUCT(F2,商品!I2)+PRODUCT(H2,商品!L14)+PRODUCT(C2,商品!P9)+G2*商品!N5</f>
        <v>1400</v>
      </c>
      <c r="S2" s="120">
        <f>PRODUCT(J2,商品!J5)+PRODUCT(K2,商品!G15)</f>
        <v>2000</v>
      </c>
      <c r="T2" s="120">
        <f>SUM(-R2,S2)</f>
        <v>600</v>
      </c>
      <c r="U2" s="126">
        <f>T2/(M2+N2+O2+P2)</f>
        <v>0.133333333333333</v>
      </c>
    </row>
    <row r="3" spans="1:21">
      <c r="A3" s="120" t="s">
        <v>22</v>
      </c>
      <c r="B3" s="119"/>
      <c r="C3" s="120">
        <v>0</v>
      </c>
      <c r="D3" s="120">
        <v>25</v>
      </c>
      <c r="E3" s="120">
        <v>40</v>
      </c>
      <c r="F3" s="120">
        <v>0</v>
      </c>
      <c r="G3" s="120">
        <v>0</v>
      </c>
      <c r="H3" s="120">
        <v>0</v>
      </c>
      <c r="I3" s="119"/>
      <c r="J3" s="120">
        <v>40</v>
      </c>
      <c r="K3" s="120">
        <v>30</v>
      </c>
      <c r="M3" s="120">
        <v>4000</v>
      </c>
      <c r="N3" s="120">
        <v>300</v>
      </c>
      <c r="O3" s="120">
        <v>200</v>
      </c>
      <c r="P3" s="120">
        <v>0</v>
      </c>
      <c r="Q3" s="119"/>
      <c r="R3" s="120" t="e">
        <f>PRODUCT(D3,商品!#REF!)+PRODUCT(E3,商品!#REF!)+PRODUCT(F3,商品!I3)+PRODUCT(H3,商品!L15)+PRODUCT(C3,商品!#REF!)+G3*商品!#REF!</f>
        <v>#REF!</v>
      </c>
      <c r="S3" s="120">
        <f>PRODUCT(J3,商品!J5)+PRODUCT(K3,商品!G15)</f>
        <v>4300</v>
      </c>
      <c r="T3" s="120" t="e">
        <f t="shared" ref="T2:T8" si="0">SUM(-R3,S3)</f>
        <v>#REF!</v>
      </c>
      <c r="U3" s="126" t="e">
        <f t="shared" ref="U3:U8" si="1">T3/(M3+N3+O3+P3)</f>
        <v>#REF!</v>
      </c>
    </row>
    <row r="4" spans="1:21">
      <c r="A4" s="120" t="s">
        <v>23</v>
      </c>
      <c r="B4" s="119"/>
      <c r="C4" s="120">
        <v>0</v>
      </c>
      <c r="D4" s="120">
        <v>30</v>
      </c>
      <c r="E4" s="120">
        <v>60</v>
      </c>
      <c r="F4" s="120">
        <v>0</v>
      </c>
      <c r="G4" s="120">
        <v>0</v>
      </c>
      <c r="H4" s="120">
        <v>0</v>
      </c>
      <c r="I4" s="119"/>
      <c r="J4" s="120">
        <v>60</v>
      </c>
      <c r="K4" s="120">
        <v>35</v>
      </c>
      <c r="M4" s="120">
        <v>3500</v>
      </c>
      <c r="N4" s="120">
        <v>600</v>
      </c>
      <c r="O4" s="120">
        <v>400</v>
      </c>
      <c r="P4" s="120">
        <v>0</v>
      </c>
      <c r="Q4" s="119"/>
      <c r="R4" s="120" t="e">
        <f>PRODUCT(D4,商品!A8)+PRODUCT(E4,商品!B8)+PRODUCT(F4,商品!#REF!)+PRODUCT(H4,商品!#REF!)+PRODUCT(C4,商品!#REF!)+G4*商品!#REF!</f>
        <v>#REF!</v>
      </c>
      <c r="S4" s="120" t="e">
        <f>PRODUCT(J4,商品!#REF!)+PRODUCT(K4,商品!#REF!)</f>
        <v>#REF!</v>
      </c>
      <c r="T4" s="120" t="e">
        <f t="shared" si="0"/>
        <v>#REF!</v>
      </c>
      <c r="U4" s="126" t="e">
        <f t="shared" si="1"/>
        <v>#REF!</v>
      </c>
    </row>
    <row r="5" spans="1:21">
      <c r="A5" s="120" t="s">
        <v>24</v>
      </c>
      <c r="B5" s="119"/>
      <c r="C5" s="120">
        <v>0</v>
      </c>
      <c r="D5" s="120">
        <v>35</v>
      </c>
      <c r="E5" s="120">
        <v>80</v>
      </c>
      <c r="F5" s="120">
        <v>0</v>
      </c>
      <c r="G5" s="120">
        <v>0</v>
      </c>
      <c r="H5" s="120">
        <v>0</v>
      </c>
      <c r="I5" s="119"/>
      <c r="J5" s="120">
        <v>80</v>
      </c>
      <c r="K5" s="120">
        <v>40</v>
      </c>
      <c r="M5" s="120">
        <v>3000</v>
      </c>
      <c r="N5" s="120">
        <v>800</v>
      </c>
      <c r="O5" s="120">
        <v>600</v>
      </c>
      <c r="P5" s="120">
        <v>0</v>
      </c>
      <c r="Q5" s="119"/>
      <c r="R5" s="120" t="e">
        <f>PRODUCT(D5,商品!#REF!)+PRODUCT(E5,商品!#REF!)+PRODUCT(F5,商品!#REF!)+PRODUCT(H5,商品!#REF!)+PRODUCT(C5,商品!#REF!)+G5*商品!#REF!</f>
        <v>#REF!</v>
      </c>
      <c r="S5" s="120">
        <f>PRODUCT(J5,商品!D4)+PRODUCT(K5,商品!C8)</f>
        <v>920</v>
      </c>
      <c r="T5" s="120" t="e">
        <f t="shared" si="0"/>
        <v>#REF!</v>
      </c>
      <c r="U5" s="126" t="e">
        <f t="shared" si="1"/>
        <v>#REF!</v>
      </c>
    </row>
    <row r="6" spans="1:21">
      <c r="A6" s="120" t="s">
        <v>25</v>
      </c>
      <c r="B6" s="119"/>
      <c r="C6" s="120">
        <v>0</v>
      </c>
      <c r="D6" s="120">
        <v>0</v>
      </c>
      <c r="E6" s="120">
        <v>40</v>
      </c>
      <c r="F6" s="120">
        <v>0</v>
      </c>
      <c r="G6" s="120">
        <v>0</v>
      </c>
      <c r="H6" s="120">
        <v>30</v>
      </c>
      <c r="I6" s="119"/>
      <c r="J6" s="120">
        <v>60</v>
      </c>
      <c r="K6" s="120">
        <v>35</v>
      </c>
      <c r="M6" s="120">
        <v>4000</v>
      </c>
      <c r="N6" s="120">
        <v>0</v>
      </c>
      <c r="O6" s="120">
        <v>0</v>
      </c>
      <c r="P6" s="120">
        <v>500</v>
      </c>
      <c r="Q6" s="119"/>
      <c r="R6" s="120" t="e">
        <f>PRODUCT(D6,商品!#REF!)+PRODUCT(E6,商品!#REF!)+PRODUCT(F6,商品!#REF!)+PRODUCT(H6,商品!#REF!)+PRODUCT(C6,商品!#REF!)+G6*商品!#REF!</f>
        <v>#REF!</v>
      </c>
      <c r="S6" s="120" t="e">
        <f>PRODUCT(J6,商品!#REF!)+PRODUCT(K6,商品!#REF!)</f>
        <v>#REF!</v>
      </c>
      <c r="T6" s="120" t="e">
        <f t="shared" si="0"/>
        <v>#REF!</v>
      </c>
      <c r="U6" s="126" t="e">
        <f t="shared" si="1"/>
        <v>#REF!</v>
      </c>
    </row>
    <row r="7" spans="1:21">
      <c r="A7" s="120" t="s">
        <v>26</v>
      </c>
      <c r="B7" s="119"/>
      <c r="C7" s="120">
        <v>0</v>
      </c>
      <c r="D7" s="120">
        <v>0</v>
      </c>
      <c r="E7" s="120">
        <v>50</v>
      </c>
      <c r="F7" s="120">
        <v>0</v>
      </c>
      <c r="G7" s="120">
        <v>0</v>
      </c>
      <c r="H7" s="120">
        <v>40</v>
      </c>
      <c r="I7" s="119"/>
      <c r="J7" s="120">
        <v>80</v>
      </c>
      <c r="K7" s="120">
        <v>40</v>
      </c>
      <c r="M7" s="120">
        <v>3500</v>
      </c>
      <c r="N7" s="120">
        <v>0</v>
      </c>
      <c r="O7" s="120">
        <v>0</v>
      </c>
      <c r="P7" s="120">
        <v>750</v>
      </c>
      <c r="Q7" s="119"/>
      <c r="R7" s="120" t="e">
        <f>PRODUCT(D7,商品!A14)+PRODUCT(E7,商品!B14)+PRODUCT(F7,商品!#REF!)+PRODUCT(H7,商品!#REF!)+PRODUCT(C7,商品!#REF!)+G7*商品!M5</f>
        <v>#REF!</v>
      </c>
      <c r="S7" s="120" t="e">
        <f>PRODUCT(J7,商品!#REF!)+PRODUCT(K7,商品!#REF!)</f>
        <v>#REF!</v>
      </c>
      <c r="T7" s="120" t="e">
        <f t="shared" si="0"/>
        <v>#REF!</v>
      </c>
      <c r="U7" s="126" t="e">
        <f t="shared" si="1"/>
        <v>#REF!</v>
      </c>
    </row>
    <row r="8" spans="1:21">
      <c r="A8" s="120" t="s">
        <v>27</v>
      </c>
      <c r="B8" s="119"/>
      <c r="C8" s="120">
        <v>0</v>
      </c>
      <c r="D8" s="120">
        <v>0</v>
      </c>
      <c r="E8" s="120">
        <v>60</v>
      </c>
      <c r="F8" s="120">
        <v>0</v>
      </c>
      <c r="G8" s="120">
        <v>0</v>
      </c>
      <c r="H8" s="120">
        <v>50</v>
      </c>
      <c r="I8" s="119"/>
      <c r="J8" s="120">
        <v>100</v>
      </c>
      <c r="K8" s="120">
        <v>45</v>
      </c>
      <c r="M8" s="120">
        <v>3000</v>
      </c>
      <c r="N8" s="120">
        <v>0</v>
      </c>
      <c r="O8" s="120">
        <v>0</v>
      </c>
      <c r="P8" s="120">
        <v>1000</v>
      </c>
      <c r="Q8" s="119"/>
      <c r="R8" s="120" t="e">
        <f>PRODUCT(D8,商品!#REF!)+PRODUCT(E8,商品!#REF!)+PRODUCT(F8,商品!#REF!)+PRODUCT(H8,商品!#REF!)+PRODUCT(C8,商品!#REF!)+G8*商品!#REF!</f>
        <v>#REF!</v>
      </c>
      <c r="S8" s="120" t="e">
        <f>PRODUCT(J8,商品!#REF!)+PRODUCT(K8,商品!C14)</f>
        <v>#REF!</v>
      </c>
      <c r="T8" s="120" t="e">
        <f t="shared" si="0"/>
        <v>#REF!</v>
      </c>
      <c r="U8" s="126" t="e">
        <f t="shared" si="1"/>
        <v>#REF!</v>
      </c>
    </row>
    <row r="9" spans="1:21">
      <c r="A9" s="120" t="s">
        <v>28</v>
      </c>
      <c r="B9" s="119"/>
      <c r="C9" s="120">
        <v>0</v>
      </c>
      <c r="D9" s="120">
        <v>5</v>
      </c>
      <c r="E9" s="120">
        <v>0</v>
      </c>
      <c r="F9" s="120">
        <v>5</v>
      </c>
      <c r="G9" s="120">
        <v>0</v>
      </c>
      <c r="H9" s="120">
        <v>0</v>
      </c>
      <c r="I9" s="119"/>
      <c r="J9" s="120">
        <v>0</v>
      </c>
      <c r="K9" s="120">
        <v>0</v>
      </c>
      <c r="M9" s="120">
        <v>-500</v>
      </c>
      <c r="N9" s="120">
        <v>350</v>
      </c>
      <c r="O9" s="120">
        <v>150</v>
      </c>
      <c r="P9" s="120">
        <v>0</v>
      </c>
      <c r="Q9" s="119"/>
      <c r="R9" s="120" t="e">
        <f>PRODUCT(D9,商品!#REF!)+PRODUCT(E9,商品!#REF!)+PRODUCT(F9,商品!#REF!)+PRODUCT(H9,商品!#REF!)+PRODUCT(C9,商品!#REF!)+G9*商品!#REF!</f>
        <v>#REF!</v>
      </c>
      <c r="S9" s="120" t="e">
        <f>PRODUCT(J9,商品!#REF!)+PRODUCT(K9,商品!#REF!)</f>
        <v>#REF!</v>
      </c>
      <c r="T9" s="120" t="e">
        <f t="shared" ref="T9:T14" si="2">SUM(-R9,S9)</f>
        <v>#REF!</v>
      </c>
      <c r="U9" s="126" t="e">
        <f t="shared" ref="U9:U14" si="3">T9/(M9+N9+O9+P9)</f>
        <v>#REF!</v>
      </c>
    </row>
    <row r="10" spans="1:21">
      <c r="A10" s="120" t="s">
        <v>29</v>
      </c>
      <c r="B10" s="119"/>
      <c r="C10" s="120">
        <v>0</v>
      </c>
      <c r="D10" s="120">
        <v>10</v>
      </c>
      <c r="E10" s="120">
        <v>0</v>
      </c>
      <c r="F10" s="120">
        <v>5</v>
      </c>
      <c r="G10" s="120">
        <v>0</v>
      </c>
      <c r="H10" s="120">
        <v>0</v>
      </c>
      <c r="I10" s="119"/>
      <c r="J10" s="120">
        <v>0</v>
      </c>
      <c r="K10" s="120">
        <v>0</v>
      </c>
      <c r="M10" s="120">
        <v>-1250</v>
      </c>
      <c r="N10" s="120">
        <v>250</v>
      </c>
      <c r="O10" s="120">
        <v>250</v>
      </c>
      <c r="P10" s="120">
        <v>0</v>
      </c>
      <c r="Q10" s="119"/>
      <c r="R10" s="120" t="e">
        <f>PRODUCT(D10,商品!A16)+PRODUCT(E10,商品!B16)+PRODUCT(F10,商品!#REF!)+PRODUCT(H10,商品!#REF!)+PRODUCT(C10,商品!#REF!)+G10*商品!I16</f>
        <v>#REF!</v>
      </c>
      <c r="S10" s="120">
        <f>PRODUCT(J10,商品!D19)+PRODUCT(K10,商品!C16)</f>
        <v>0</v>
      </c>
      <c r="T10" s="120" t="e">
        <f t="shared" si="2"/>
        <v>#REF!</v>
      </c>
      <c r="U10" s="126" t="e">
        <f t="shared" si="3"/>
        <v>#REF!</v>
      </c>
    </row>
    <row r="11" spans="1:21">
      <c r="A11" s="120" t="s">
        <v>30</v>
      </c>
      <c r="B11" s="119"/>
      <c r="C11" s="120">
        <v>0</v>
      </c>
      <c r="D11" s="120">
        <v>0</v>
      </c>
      <c r="E11" s="120">
        <v>0</v>
      </c>
      <c r="F11" s="120">
        <v>2</v>
      </c>
      <c r="G11" s="120">
        <v>1</v>
      </c>
      <c r="H11" s="120">
        <v>2</v>
      </c>
      <c r="I11" s="119"/>
      <c r="J11" s="120">
        <v>0</v>
      </c>
      <c r="K11" s="120">
        <v>0</v>
      </c>
      <c r="M11" s="120">
        <v>-500</v>
      </c>
      <c r="N11" s="120">
        <v>0</v>
      </c>
      <c r="O11" s="120">
        <v>0</v>
      </c>
      <c r="P11" s="120">
        <v>200</v>
      </c>
      <c r="Q11" s="119"/>
      <c r="R11" s="120" t="e">
        <f>PRODUCT(D11,商品!#REF!)+PRODUCT(E11,商品!#REF!)+PRODUCT(F11,商品!#REF!)+PRODUCT(H11,商品!G19)+PRODUCT(C11,商品!#REF!)+G11*商品!I17</f>
        <v>#REF!</v>
      </c>
      <c r="S11" s="120" t="e">
        <f>PRODUCT(J11,商品!#REF!)+PRODUCT(K11,商品!#REF!)</f>
        <v>#REF!</v>
      </c>
      <c r="T11" s="120" t="e">
        <f t="shared" si="2"/>
        <v>#REF!</v>
      </c>
      <c r="U11" s="126" t="e">
        <f t="shared" si="3"/>
        <v>#REF!</v>
      </c>
    </row>
    <row r="12" spans="1:21">
      <c r="A12" s="120" t="s">
        <v>31</v>
      </c>
      <c r="B12" s="119"/>
      <c r="C12" s="120">
        <v>0</v>
      </c>
      <c r="D12" s="120">
        <v>0</v>
      </c>
      <c r="E12" s="120">
        <v>0</v>
      </c>
      <c r="F12" s="120">
        <v>2</v>
      </c>
      <c r="G12" s="120">
        <v>2</v>
      </c>
      <c r="H12" s="120">
        <v>4</v>
      </c>
      <c r="I12" s="119"/>
      <c r="J12" s="120">
        <v>0</v>
      </c>
      <c r="K12" s="120">
        <v>0</v>
      </c>
      <c r="M12" s="120">
        <v>-1250</v>
      </c>
      <c r="N12" s="120">
        <v>0</v>
      </c>
      <c r="O12" s="120">
        <v>0</v>
      </c>
      <c r="P12" s="120">
        <v>400</v>
      </c>
      <c r="Q12" s="119"/>
      <c r="R12" s="120" t="e">
        <f>PRODUCT(D12,商品!#REF!)+PRODUCT(E12,商品!#REF!)+PRODUCT(F12,商品!#REF!)+PRODUCT(H12,商品!#REF!)+PRODUCT(C12,商品!N18)+G12*商品!H18</f>
        <v>#REF!</v>
      </c>
      <c r="S12" s="120" t="e">
        <f>PRODUCT(J12,商品!#REF!)+PRODUCT(K12,商品!#REF!)</f>
        <v>#REF!</v>
      </c>
      <c r="T12" s="120" t="e">
        <f t="shared" si="2"/>
        <v>#REF!</v>
      </c>
      <c r="U12" s="126" t="e">
        <f t="shared" si="3"/>
        <v>#REF!</v>
      </c>
    </row>
    <row r="13" spans="1:21">
      <c r="A13" s="120" t="s">
        <v>32</v>
      </c>
      <c r="B13" s="119"/>
      <c r="C13" s="120">
        <v>0</v>
      </c>
      <c r="D13" s="120">
        <v>0</v>
      </c>
      <c r="E13" s="120">
        <v>0</v>
      </c>
      <c r="F13" s="120">
        <v>2</v>
      </c>
      <c r="G13" s="120">
        <v>3</v>
      </c>
      <c r="H13" s="120">
        <v>6</v>
      </c>
      <c r="I13" s="119"/>
      <c r="J13" s="120">
        <v>0</v>
      </c>
      <c r="K13" s="120">
        <v>0</v>
      </c>
      <c r="M13" s="120">
        <v>-1750</v>
      </c>
      <c r="N13" s="120">
        <v>0</v>
      </c>
      <c r="O13" s="120">
        <v>0</v>
      </c>
      <c r="P13" s="120">
        <v>600</v>
      </c>
      <c r="Q13" s="119"/>
      <c r="R13" s="120" t="e">
        <f>PRODUCT(D13,商品!#REF!)+PRODUCT(E13,商品!#REF!)+PRODUCT(F13,商品!#REF!)+PRODUCT(H13,商品!#REF!)+PRODUCT(C13,商品!N19)+G13*商品!H19</f>
        <v>#REF!</v>
      </c>
      <c r="S13" s="120" t="e">
        <f>PRODUCT(J13,商品!D22)+PRODUCT(K13,商品!#REF!)</f>
        <v>#REF!</v>
      </c>
      <c r="T13" s="120" t="e">
        <f t="shared" si="2"/>
        <v>#REF!</v>
      </c>
      <c r="U13" s="126" t="e">
        <f t="shared" si="3"/>
        <v>#REF!</v>
      </c>
    </row>
    <row r="14" spans="1:21">
      <c r="A14" s="120" t="s">
        <v>33</v>
      </c>
      <c r="B14" s="119"/>
      <c r="C14" s="120">
        <v>5</v>
      </c>
      <c r="D14" s="120">
        <v>8</v>
      </c>
      <c r="E14" s="120">
        <v>0</v>
      </c>
      <c r="F14" s="120">
        <v>5</v>
      </c>
      <c r="G14" s="120">
        <v>2</v>
      </c>
      <c r="H14" s="120">
        <v>3</v>
      </c>
      <c r="I14" s="119"/>
      <c r="J14" s="120">
        <v>0</v>
      </c>
      <c r="K14" s="120">
        <v>0</v>
      </c>
      <c r="M14" s="120">
        <v>-3000</v>
      </c>
      <c r="N14" s="120">
        <v>150</v>
      </c>
      <c r="O14" s="120">
        <v>350</v>
      </c>
      <c r="P14" s="120">
        <v>400</v>
      </c>
      <c r="Q14" s="119"/>
      <c r="R14" s="120" t="e">
        <f>PRODUCT(D14,商品!A23)+PRODUCT(E14,商品!B23)+PRODUCT(F14,商品!E22)+PRODUCT(H14,商品!F22)+PRODUCT(C14,商品!N20)+G14*商品!#REF!</f>
        <v>#REF!</v>
      </c>
      <c r="S14" s="120" t="e">
        <f>PRODUCT(J14,商品!#REF!)+PRODUCT(K14,商品!#REF!)</f>
        <v>#REF!</v>
      </c>
      <c r="T14" s="120" t="e">
        <f t="shared" si="2"/>
        <v>#REF!</v>
      </c>
      <c r="U14" s="126" t="e">
        <f t="shared" si="3"/>
        <v>#REF!</v>
      </c>
    </row>
    <row r="16" spans="1:24">
      <c r="A16" s="118" t="s">
        <v>34</v>
      </c>
      <c r="B16" s="119" t="s">
        <v>1</v>
      </c>
      <c r="C16" s="120" t="s">
        <v>2</v>
      </c>
      <c r="D16" s="120" t="s">
        <v>35</v>
      </c>
      <c r="E16" s="120" t="s">
        <v>3</v>
      </c>
      <c r="F16" s="120" t="s">
        <v>36</v>
      </c>
      <c r="G16" s="120" t="s">
        <v>5</v>
      </c>
      <c r="H16" s="120" t="s">
        <v>6</v>
      </c>
      <c r="I16" s="120" t="s">
        <v>7</v>
      </c>
      <c r="J16" s="120" t="s">
        <v>37</v>
      </c>
      <c r="K16" s="119" t="s">
        <v>8</v>
      </c>
      <c r="L16" s="120" t="s">
        <v>38</v>
      </c>
      <c r="M16" s="120" t="s">
        <v>39</v>
      </c>
      <c r="N16" s="120" t="s">
        <v>11</v>
      </c>
      <c r="O16" s="120" t="s">
        <v>40</v>
      </c>
      <c r="P16" s="120" t="s">
        <v>12</v>
      </c>
      <c r="Q16" s="120" t="s">
        <v>41</v>
      </c>
      <c r="R16" s="120" t="s">
        <v>14</v>
      </c>
      <c r="S16" s="121" t="s">
        <v>15</v>
      </c>
      <c r="T16" s="119" t="s">
        <v>16</v>
      </c>
      <c r="U16" s="120" t="s">
        <v>17</v>
      </c>
      <c r="V16" s="120" t="s">
        <v>18</v>
      </c>
      <c r="W16" s="120" t="s">
        <v>19</v>
      </c>
      <c r="X16" s="121" t="s">
        <v>20</v>
      </c>
    </row>
    <row r="17" spans="1:24">
      <c r="A17" s="120" t="s">
        <v>42</v>
      </c>
      <c r="B17" s="119"/>
      <c r="C17" s="120">
        <v>0</v>
      </c>
      <c r="D17" s="120">
        <v>0</v>
      </c>
      <c r="E17" s="120">
        <v>0</v>
      </c>
      <c r="F17" s="120">
        <v>50</v>
      </c>
      <c r="G17" s="120">
        <v>0</v>
      </c>
      <c r="H17" s="120">
        <v>0</v>
      </c>
      <c r="I17" s="120">
        <v>0</v>
      </c>
      <c r="J17" s="120">
        <v>0</v>
      </c>
      <c r="K17" s="119"/>
      <c r="L17" s="120">
        <v>50</v>
      </c>
      <c r="M17" s="120">
        <v>0</v>
      </c>
      <c r="O17" s="120">
        <v>0</v>
      </c>
      <c r="P17" s="120">
        <v>4500</v>
      </c>
      <c r="Q17" s="120">
        <v>0</v>
      </c>
      <c r="R17" s="120">
        <v>0</v>
      </c>
      <c r="S17" s="120">
        <v>0</v>
      </c>
      <c r="T17" s="119"/>
      <c r="U17" s="120">
        <f>PRODUCT(E17,商品!F15)+PRODUCT(F17,商品!H9)+PRODUCT(G17,商品!I3)+PRODUCT(H17,商品!N5)+PRODUCT(I17,商品!L15)+PRODUCT(J17,商品!M9)+PRODUCT(D17,商品!L9)+PRODUCT(C17,商品!P9)</f>
        <v>1000</v>
      </c>
      <c r="V17" s="120">
        <f>PRODUCT(L17,商品!L3)+PRODUCT(商品!M3,M17)</f>
        <v>1500</v>
      </c>
      <c r="W17" s="120">
        <f t="shared" ref="W17:W25" si="4">SUM(-U17,V17)</f>
        <v>500</v>
      </c>
      <c r="X17" s="126">
        <f>W17/(P17+Q17+R17+S17+O17)</f>
        <v>0.111111111111111</v>
      </c>
    </row>
    <row r="18" spans="1:24">
      <c r="A18" s="120" t="s">
        <v>43</v>
      </c>
      <c r="B18" s="119"/>
      <c r="C18" s="120">
        <v>0</v>
      </c>
      <c r="D18" s="120">
        <v>10</v>
      </c>
      <c r="E18" s="120">
        <v>0</v>
      </c>
      <c r="F18" s="120">
        <v>90</v>
      </c>
      <c r="G18" s="120">
        <v>0</v>
      </c>
      <c r="H18" s="120">
        <v>0</v>
      </c>
      <c r="I18" s="120">
        <v>0</v>
      </c>
      <c r="J18" s="120">
        <v>0</v>
      </c>
      <c r="K18" s="119"/>
      <c r="L18" s="120">
        <v>120</v>
      </c>
      <c r="M18" s="120">
        <v>0</v>
      </c>
      <c r="O18" s="120">
        <v>0</v>
      </c>
      <c r="P18" s="120">
        <v>4000</v>
      </c>
      <c r="Q18" s="120">
        <v>500</v>
      </c>
      <c r="R18" s="120">
        <v>0</v>
      </c>
      <c r="S18" s="120">
        <v>0</v>
      </c>
      <c r="T18" s="119"/>
      <c r="U18" s="120" t="e">
        <f>PRODUCT(E18,商品!#REF!)+PRODUCT(F18,商品!#REF!)+PRODUCT(G18,商品!#REF!)+PRODUCT(H18,商品!#REF!)+PRODUCT(I18,商品!#REF!)+PRODUCT(J18,商品!#REF!)+PRODUCT(D18,商品!#REF!)</f>
        <v>#REF!</v>
      </c>
      <c r="V18" s="120" t="e">
        <f>PRODUCT(L18,商品!#REF!)+PRODUCT(商品!#REF!,M18)</f>
        <v>#REF!</v>
      </c>
      <c r="W18" s="120" t="e">
        <f t="shared" si="4"/>
        <v>#REF!</v>
      </c>
      <c r="X18" s="126" t="e">
        <f>W18/(P18+Q18+R18+S18+O18)</f>
        <v>#REF!</v>
      </c>
    </row>
    <row r="19" spans="1:24">
      <c r="A19" s="120" t="s">
        <v>44</v>
      </c>
      <c r="B19" s="119"/>
      <c r="C19" s="120">
        <v>0</v>
      </c>
      <c r="D19" s="120">
        <v>20</v>
      </c>
      <c r="E19" s="120">
        <v>0</v>
      </c>
      <c r="F19" s="120">
        <v>160</v>
      </c>
      <c r="G19" s="120">
        <v>0</v>
      </c>
      <c r="H19" s="120">
        <v>0</v>
      </c>
      <c r="I19" s="120">
        <v>0</v>
      </c>
      <c r="J19" s="120">
        <v>0</v>
      </c>
      <c r="K19" s="119"/>
      <c r="L19" s="120">
        <v>180</v>
      </c>
      <c r="M19" s="120">
        <v>0</v>
      </c>
      <c r="O19" s="120">
        <v>0</v>
      </c>
      <c r="P19" s="120">
        <v>3350</v>
      </c>
      <c r="Q19" s="120">
        <v>300</v>
      </c>
      <c r="R19" s="120">
        <v>200</v>
      </c>
      <c r="S19" s="120">
        <v>0</v>
      </c>
      <c r="T19" s="119"/>
      <c r="U19" s="120" t="e">
        <f>PRODUCT(E19,商品!A8)+PRODUCT(F19,商品!#REF!)+PRODUCT(G19,商品!#REF!)+PRODUCT(H19,商品!#REF!)+PRODUCT(I19,商品!#REF!)+PRODUCT(J19,商品!#REF!)+PRODUCT(D19,商品!#REF!)</f>
        <v>#REF!</v>
      </c>
      <c r="V19" s="120" t="e">
        <f>PRODUCT(L19,商品!#REF!)+PRODUCT(商品!#REF!,M19)</f>
        <v>#REF!</v>
      </c>
      <c r="W19" s="120" t="e">
        <f t="shared" si="4"/>
        <v>#REF!</v>
      </c>
      <c r="X19" s="126" t="e">
        <f>W19/(P19+Q19+R19+S19+O19)</f>
        <v>#REF!</v>
      </c>
    </row>
    <row r="20" spans="1:24">
      <c r="A20" s="120" t="s">
        <v>45</v>
      </c>
      <c r="B20" s="119"/>
      <c r="C20" s="120">
        <v>0</v>
      </c>
      <c r="D20" s="120">
        <v>0</v>
      </c>
      <c r="E20" s="120">
        <v>0</v>
      </c>
      <c r="F20" s="120">
        <v>-10</v>
      </c>
      <c r="G20" s="120">
        <v>0</v>
      </c>
      <c r="H20" s="120">
        <v>0</v>
      </c>
      <c r="I20" s="120">
        <v>0</v>
      </c>
      <c r="J20" s="120">
        <v>10</v>
      </c>
      <c r="K20" s="119"/>
      <c r="L20" s="120">
        <v>-20</v>
      </c>
      <c r="M20" s="120">
        <v>40</v>
      </c>
      <c r="O20" s="120">
        <v>100</v>
      </c>
      <c r="P20" s="120">
        <v>-100</v>
      </c>
      <c r="Q20" s="120">
        <v>0</v>
      </c>
      <c r="R20" s="120">
        <v>0</v>
      </c>
      <c r="S20" s="120">
        <v>0</v>
      </c>
      <c r="T20" s="119"/>
      <c r="U20" s="120" t="e">
        <f>PRODUCT(E20,商品!#REF!)+PRODUCT(F20,商品!#REF!)+PRODUCT(G20,商品!#REF!)+PRODUCT(H20,商品!#REF!)+PRODUCT(I20,商品!#REF!)+PRODUCT(J20,商品!#REF!)+PRODUCT(D20,商品!#REF!)</f>
        <v>#REF!</v>
      </c>
      <c r="V20" s="120" t="e">
        <f>PRODUCT(L20,商品!#REF!)+PRODUCT(商品!#REF!,M20)</f>
        <v>#REF!</v>
      </c>
      <c r="W20" s="120" t="e">
        <f t="shared" si="4"/>
        <v>#REF!</v>
      </c>
      <c r="X20" s="126"/>
    </row>
    <row r="21" spans="1:24">
      <c r="A21" s="120" t="s">
        <v>46</v>
      </c>
      <c r="B21" s="119"/>
      <c r="C21" s="120">
        <v>15</v>
      </c>
      <c r="D21" s="120">
        <v>15</v>
      </c>
      <c r="E21" s="120">
        <v>0</v>
      </c>
      <c r="F21" s="120">
        <v>-20</v>
      </c>
      <c r="G21" s="120">
        <v>0</v>
      </c>
      <c r="H21" s="120">
        <v>0</v>
      </c>
      <c r="I21" s="120">
        <v>0</v>
      </c>
      <c r="J21" s="120">
        <v>0</v>
      </c>
      <c r="K21" s="119"/>
      <c r="L21" s="120">
        <v>-40</v>
      </c>
      <c r="M21" s="120">
        <v>60</v>
      </c>
      <c r="O21" s="120">
        <v>250</v>
      </c>
      <c r="P21" s="120">
        <v>-250</v>
      </c>
      <c r="Q21" s="120">
        <v>0</v>
      </c>
      <c r="R21" s="120">
        <v>0</v>
      </c>
      <c r="S21" s="120">
        <v>0</v>
      </c>
      <c r="T21" s="119"/>
      <c r="U21" s="120" t="e">
        <f>PRODUCT(E21,商品!#REF!)+PRODUCT(F21,商品!#REF!)+PRODUCT(G21,商品!#REF!)+PRODUCT(H21,商品!#REF!)+PRODUCT(I21,商品!#REF!)+PRODUCT(J21,商品!#REF!)+PRODUCT(D21,商品!#REF!)+PRODUCT(C21,商品!#REF!)</f>
        <v>#REF!</v>
      </c>
      <c r="V21" s="120" t="e">
        <f>PRODUCT(L21,商品!#REF!)+PRODUCT(商品!#REF!,M21)</f>
        <v>#REF!</v>
      </c>
      <c r="W21" s="120" t="e">
        <f t="shared" si="4"/>
        <v>#REF!</v>
      </c>
      <c r="X21" s="126"/>
    </row>
    <row r="22" spans="1:24">
      <c r="A22" s="120" t="s">
        <v>47</v>
      </c>
      <c r="B22" s="119"/>
      <c r="C22" s="120">
        <v>0</v>
      </c>
      <c r="D22" s="120">
        <v>0</v>
      </c>
      <c r="E22" s="120">
        <v>0</v>
      </c>
      <c r="F22" s="120">
        <v>0</v>
      </c>
      <c r="G22" s="120">
        <v>10</v>
      </c>
      <c r="H22" s="120">
        <v>0</v>
      </c>
      <c r="I22" s="120">
        <v>0</v>
      </c>
      <c r="J22" s="120">
        <v>0</v>
      </c>
      <c r="K22" s="119"/>
      <c r="L22" s="120">
        <v>0</v>
      </c>
      <c r="M22" s="120">
        <v>0</v>
      </c>
      <c r="O22" s="120">
        <v>0</v>
      </c>
      <c r="P22" s="120">
        <v>-500</v>
      </c>
      <c r="Q22" s="120">
        <v>0</v>
      </c>
      <c r="R22" s="120">
        <v>0</v>
      </c>
      <c r="S22" s="120">
        <v>0</v>
      </c>
      <c r="T22" s="119"/>
      <c r="U22" s="120" t="e">
        <f>PRODUCT(E22,商品!#REF!)+PRODUCT(F22,商品!#REF!)+PRODUCT(G22,商品!#REF!)+PRODUCT(H22,商品!#REF!)+PRODUCT(I22,商品!#REF!)+PRODUCT(J22,商品!#REF!)+PRODUCT(D22,商品!#REF!)</f>
        <v>#REF!</v>
      </c>
      <c r="V22" s="120" t="e">
        <f>PRODUCT(L22,商品!#REF!)+PRODUCT(商品!#REF!,M22)</f>
        <v>#REF!</v>
      </c>
      <c r="W22" s="120" t="e">
        <f t="shared" si="4"/>
        <v>#REF!</v>
      </c>
      <c r="X22" s="126"/>
    </row>
    <row r="23" spans="1:24">
      <c r="A23" s="120" t="s">
        <v>48</v>
      </c>
      <c r="B23" s="119"/>
      <c r="C23" s="120">
        <v>0</v>
      </c>
      <c r="D23" s="120">
        <v>0</v>
      </c>
      <c r="E23" s="120">
        <v>10</v>
      </c>
      <c r="F23" s="120">
        <v>0</v>
      </c>
      <c r="G23" s="120">
        <v>15</v>
      </c>
      <c r="H23" s="120">
        <v>0</v>
      </c>
      <c r="I23" s="120">
        <v>0</v>
      </c>
      <c r="J23" s="120">
        <v>0</v>
      </c>
      <c r="K23" s="119"/>
      <c r="L23" s="120">
        <v>0</v>
      </c>
      <c r="M23" s="120">
        <v>0</v>
      </c>
      <c r="O23" s="120">
        <v>0</v>
      </c>
      <c r="P23" s="120">
        <v>-1000</v>
      </c>
      <c r="Q23" s="120">
        <v>0</v>
      </c>
      <c r="R23" s="120">
        <v>0</v>
      </c>
      <c r="S23" s="120">
        <v>0</v>
      </c>
      <c r="T23" s="119"/>
      <c r="U23" s="120" t="e">
        <f>PRODUCT(E23,商品!#REF!)+PRODUCT(F23,商品!#REF!)+PRODUCT(G23,商品!#REF!)+PRODUCT(H23,商品!#REF!)+PRODUCT(I23,商品!#REF!)+PRODUCT(J23,商品!#REF!)+PRODUCT(D23,商品!#REF!)</f>
        <v>#REF!</v>
      </c>
      <c r="V23" s="120" t="e">
        <f>PRODUCT(L23,商品!#REF!)+PRODUCT(商品!#REF!,M23)</f>
        <v>#REF!</v>
      </c>
      <c r="W23" s="120" t="e">
        <f t="shared" si="4"/>
        <v>#REF!</v>
      </c>
      <c r="X23" s="126"/>
    </row>
    <row r="24" spans="1:23">
      <c r="A24" s="120" t="s">
        <v>30</v>
      </c>
      <c r="B24" s="119"/>
      <c r="C24" s="120">
        <v>0</v>
      </c>
      <c r="D24" s="120">
        <v>0</v>
      </c>
      <c r="E24" s="120">
        <v>0</v>
      </c>
      <c r="F24" s="120">
        <v>0</v>
      </c>
      <c r="G24" s="120">
        <v>5</v>
      </c>
      <c r="H24" s="120">
        <v>1</v>
      </c>
      <c r="I24" s="120">
        <v>3</v>
      </c>
      <c r="J24" s="120">
        <v>0</v>
      </c>
      <c r="K24" s="119"/>
      <c r="L24" s="120">
        <v>0</v>
      </c>
      <c r="M24" s="120">
        <v>0</v>
      </c>
      <c r="O24" s="120">
        <v>0</v>
      </c>
      <c r="P24" s="120">
        <v>-1500</v>
      </c>
      <c r="Q24" s="120">
        <v>0</v>
      </c>
      <c r="R24" s="120">
        <v>0</v>
      </c>
      <c r="S24" s="120">
        <v>500</v>
      </c>
      <c r="T24" s="119"/>
      <c r="U24" s="120" t="e">
        <f>PRODUCT(E24,商品!A16)+PRODUCT(F24,商品!J16)+PRODUCT(G24,商品!#REF!)+PRODUCT(H24,商品!I16)+PRODUCT(I24,商品!G19)+PRODUCT(J24,商品!K16)+PRODUCT(D24,商品!N16)</f>
        <v>#REF!</v>
      </c>
      <c r="V24" s="120">
        <f>PRODUCT(L24,商品!L16)+PRODUCT(商品!M16,M24)</f>
        <v>0</v>
      </c>
      <c r="W24" s="120" t="e">
        <f t="shared" si="4"/>
        <v>#REF!</v>
      </c>
    </row>
    <row r="25" spans="1:23">
      <c r="A25" s="120" t="s">
        <v>32</v>
      </c>
      <c r="B25" s="119"/>
      <c r="C25" s="120">
        <v>0</v>
      </c>
      <c r="D25" s="120">
        <v>0</v>
      </c>
      <c r="E25" s="120">
        <v>0</v>
      </c>
      <c r="F25" s="120">
        <v>0</v>
      </c>
      <c r="G25" s="120">
        <v>5</v>
      </c>
      <c r="H25" s="120">
        <v>3</v>
      </c>
      <c r="I25" s="120">
        <v>6</v>
      </c>
      <c r="J25" s="120">
        <v>0</v>
      </c>
      <c r="K25" s="119"/>
      <c r="L25" s="120">
        <v>0</v>
      </c>
      <c r="M25" s="120">
        <v>0</v>
      </c>
      <c r="O25" s="120">
        <v>0</v>
      </c>
      <c r="P25" s="120">
        <v>-2000</v>
      </c>
      <c r="Q25" s="120">
        <v>0</v>
      </c>
      <c r="R25" s="120">
        <v>0</v>
      </c>
      <c r="S25" s="120">
        <v>1000</v>
      </c>
      <c r="T25" s="119"/>
      <c r="U25" s="120" t="e">
        <f>PRODUCT(E25,商品!#REF!)+PRODUCT(F25,商品!J17)+PRODUCT(G25,商品!#REF!)+PRODUCT(H25,商品!I17)+PRODUCT(I25,商品!#REF!)+PRODUCT(J25,商品!K17)+PRODUCT(D25,商品!N17)</f>
        <v>#REF!</v>
      </c>
      <c r="V25" s="120">
        <f>PRODUCT(L25,商品!L17)+PRODUCT(商品!M17,M25)</f>
        <v>0</v>
      </c>
      <c r="W25" s="120" t="e">
        <f t="shared" si="4"/>
        <v>#REF!</v>
      </c>
    </row>
    <row r="27" ht="15" customHeight="1" spans="1:24">
      <c r="A27" s="118" t="s">
        <v>49</v>
      </c>
      <c r="B27" s="119" t="s">
        <v>1</v>
      </c>
      <c r="C27" s="120" t="s">
        <v>2</v>
      </c>
      <c r="D27" s="120" t="s">
        <v>50</v>
      </c>
      <c r="E27" s="120" t="s">
        <v>36</v>
      </c>
      <c r="F27" s="120" t="s">
        <v>51</v>
      </c>
      <c r="G27" s="120" t="s">
        <v>5</v>
      </c>
      <c r="H27" s="120" t="s">
        <v>3</v>
      </c>
      <c r="I27" s="120" t="s">
        <v>6</v>
      </c>
      <c r="J27" s="121" t="s">
        <v>7</v>
      </c>
      <c r="K27" s="119" t="s">
        <v>8</v>
      </c>
      <c r="L27" s="120" t="s">
        <v>52</v>
      </c>
      <c r="M27" s="120" t="s">
        <v>53</v>
      </c>
      <c r="N27" s="120" t="s">
        <v>11</v>
      </c>
      <c r="O27" s="120" t="s">
        <v>40</v>
      </c>
      <c r="P27" s="120" t="s">
        <v>12</v>
      </c>
      <c r="Q27" s="120" t="s">
        <v>41</v>
      </c>
      <c r="R27" s="120" t="s">
        <v>14</v>
      </c>
      <c r="S27" s="121" t="s">
        <v>15</v>
      </c>
      <c r="T27" s="119" t="s">
        <v>16</v>
      </c>
      <c r="U27" s="120" t="s">
        <v>17</v>
      </c>
      <c r="V27" s="120" t="s">
        <v>18</v>
      </c>
      <c r="W27" s="120" t="s">
        <v>19</v>
      </c>
      <c r="X27" s="121" t="s">
        <v>20</v>
      </c>
    </row>
    <row r="28" spans="1:24">
      <c r="A28" s="120" t="s">
        <v>54</v>
      </c>
      <c r="B28" s="119"/>
      <c r="C28" s="120">
        <v>0</v>
      </c>
      <c r="D28" s="120">
        <v>40</v>
      </c>
      <c r="E28" s="120">
        <v>10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19"/>
      <c r="L28" s="120">
        <v>50</v>
      </c>
      <c r="M28" s="120">
        <v>0</v>
      </c>
      <c r="O28" s="120">
        <v>0</v>
      </c>
      <c r="P28" s="120">
        <v>4500</v>
      </c>
      <c r="Q28" s="120">
        <v>0</v>
      </c>
      <c r="R28" s="120">
        <v>0</v>
      </c>
      <c r="S28" s="120">
        <v>0</v>
      </c>
      <c r="T28" s="119"/>
      <c r="U28" s="120">
        <f>PRODUCT(D28,商品!F11)+PRODUCT(商品!G11,F28)+PRODUCT(E28,商品!H9)+PRODUCT(G28,商品!I3)+PRODUCT(H28,商品!F15)+PRODUCT(I28,商品!N5)+PRODUCT(J28,商品!L15)+PRODUCT(C28,商品!P9)</f>
        <v>1000</v>
      </c>
      <c r="V28" s="120">
        <f>PRODUCT(L28,商品!N3)+PRODUCT(商品!O3,M28)</f>
        <v>1500</v>
      </c>
      <c r="W28" s="120">
        <f>SUM(-U28,V28)</f>
        <v>500</v>
      </c>
      <c r="X28" s="120">
        <f>W28/(P28+Q28+R28+S28)</f>
        <v>0.111111111111111</v>
      </c>
    </row>
    <row r="29" spans="1:24">
      <c r="A29" s="120" t="s">
        <v>55</v>
      </c>
      <c r="B29" s="119"/>
      <c r="C29" s="120">
        <v>0</v>
      </c>
      <c r="D29" s="120">
        <v>60</v>
      </c>
      <c r="E29" s="120">
        <v>30</v>
      </c>
      <c r="F29" s="120">
        <v>0</v>
      </c>
      <c r="G29" s="120">
        <v>5</v>
      </c>
      <c r="H29" s="120">
        <v>5</v>
      </c>
      <c r="I29" s="120">
        <v>0</v>
      </c>
      <c r="J29" s="120">
        <v>0</v>
      </c>
      <c r="K29" s="119"/>
      <c r="L29" s="120">
        <v>100</v>
      </c>
      <c r="M29" s="120">
        <v>0</v>
      </c>
      <c r="O29" s="120">
        <v>0</v>
      </c>
      <c r="P29" s="120">
        <v>4000</v>
      </c>
      <c r="Q29" s="120">
        <v>500</v>
      </c>
      <c r="R29" s="120">
        <v>0</v>
      </c>
      <c r="S29" s="120">
        <v>0</v>
      </c>
      <c r="T29" s="119"/>
      <c r="U29" s="120" t="e">
        <f>PRODUCT(D29,商品!#REF!)+PRODUCT(商品!#REF!,F29)+PRODUCT(E29,商品!#REF!)+PRODUCT(G29,商品!#REF!)+PRODUCT(H29,商品!#REF!)+PRODUCT(I29,商品!#REF!)+PRODUCT(J29,商品!#REF!)+PRODUCT(C29,商品!#REF!)</f>
        <v>#REF!</v>
      </c>
      <c r="V29" s="120" t="e">
        <f>PRODUCT(L29,商品!#REF!)+PRODUCT(商品!#REF!,M29)</f>
        <v>#REF!</v>
      </c>
      <c r="W29" s="120" t="e">
        <f t="shared" ref="W29:W39" si="5">SUM(-U29,V29)</f>
        <v>#REF!</v>
      </c>
      <c r="X29" s="120" t="e">
        <f>W29/(P29+Q29+R29+S29)</f>
        <v>#REF!</v>
      </c>
    </row>
    <row r="30" spans="1:24">
      <c r="A30" s="120" t="s">
        <v>56</v>
      </c>
      <c r="B30" s="119"/>
      <c r="C30" s="120">
        <v>0</v>
      </c>
      <c r="D30" s="120">
        <v>90</v>
      </c>
      <c r="E30" s="120">
        <v>50</v>
      </c>
      <c r="F30" s="120">
        <v>0</v>
      </c>
      <c r="G30" s="120">
        <v>10</v>
      </c>
      <c r="H30" s="120">
        <v>20</v>
      </c>
      <c r="I30" s="120">
        <v>0</v>
      </c>
      <c r="J30" s="120">
        <v>0</v>
      </c>
      <c r="K30" s="119"/>
      <c r="L30" s="120">
        <v>180</v>
      </c>
      <c r="M30" s="120">
        <v>0</v>
      </c>
      <c r="O30" s="120">
        <v>0</v>
      </c>
      <c r="P30" s="120">
        <v>3350</v>
      </c>
      <c r="Q30" s="120">
        <v>300</v>
      </c>
      <c r="R30" s="120">
        <v>200</v>
      </c>
      <c r="S30" s="120">
        <v>0</v>
      </c>
      <c r="T30" s="119"/>
      <c r="U30" s="120" t="e">
        <f>PRODUCT(D30,商品!#REF!)+PRODUCT(商品!#REF!,F30)+PRODUCT(E30,商品!#REF!)+PRODUCT(G30,商品!#REF!)+PRODUCT(H30,商品!A8)+PRODUCT(I30,商品!#REF!)+PRODUCT(J30,商品!#REF!)+PRODUCT(C30,商品!#REF!)</f>
        <v>#REF!</v>
      </c>
      <c r="V30" s="120" t="e">
        <f>PRODUCT(L30,商品!#REF!)+PRODUCT(商品!#REF!,M30)</f>
        <v>#REF!</v>
      </c>
      <c r="W30" s="120" t="e">
        <f t="shared" si="5"/>
        <v>#REF!</v>
      </c>
      <c r="X30" s="120" t="e">
        <f>W30/(P30+Q30+R30+S30)</f>
        <v>#REF!</v>
      </c>
    </row>
    <row r="31" spans="1:24">
      <c r="A31" s="120" t="s">
        <v>57</v>
      </c>
      <c r="B31" s="119"/>
      <c r="C31" s="120">
        <v>0</v>
      </c>
      <c r="D31" s="120">
        <v>-10</v>
      </c>
      <c r="E31" s="120">
        <v>0</v>
      </c>
      <c r="F31" s="120">
        <v>10</v>
      </c>
      <c r="G31" s="120">
        <v>0</v>
      </c>
      <c r="H31" s="120">
        <v>0</v>
      </c>
      <c r="I31" s="120">
        <v>0</v>
      </c>
      <c r="J31" s="120">
        <v>0</v>
      </c>
      <c r="K31" s="119"/>
      <c r="L31" s="120">
        <v>-20</v>
      </c>
      <c r="M31" s="120">
        <v>40</v>
      </c>
      <c r="O31" s="120">
        <v>100</v>
      </c>
      <c r="P31" s="120">
        <v>-100</v>
      </c>
      <c r="Q31" s="120">
        <v>0</v>
      </c>
      <c r="R31" s="120">
        <v>0</v>
      </c>
      <c r="S31" s="120">
        <v>0</v>
      </c>
      <c r="T31" s="119"/>
      <c r="U31" s="120" t="e">
        <f>PRODUCT(D31,商品!#REF!)+PRODUCT(商品!#REF!,F31)+PRODUCT(E31,商品!#REF!)+PRODUCT(G31,商品!#REF!)+PRODUCT(H31,商品!#REF!)+PRODUCT(I31,商品!#REF!)+PRODUCT(J31,商品!#REF!)+PRODUCT(C31,商品!#REF!)</f>
        <v>#REF!</v>
      </c>
      <c r="V31" s="120" t="e">
        <f>PRODUCT(L31,商品!#REF!)+PRODUCT(商品!#REF!,M31)</f>
        <v>#REF!</v>
      </c>
      <c r="W31" s="120" t="e">
        <f t="shared" si="5"/>
        <v>#REF!</v>
      </c>
      <c r="X31" s="120" t="e">
        <f t="shared" ref="X31:X39" si="6">W31/(P31+Q31+R31+S31)</f>
        <v>#REF!</v>
      </c>
    </row>
    <row r="32" spans="1:24">
      <c r="A32" s="120" t="s">
        <v>58</v>
      </c>
      <c r="B32" s="119"/>
      <c r="C32" s="120">
        <v>0</v>
      </c>
      <c r="D32" s="120">
        <v>-15</v>
      </c>
      <c r="E32" s="120">
        <v>0</v>
      </c>
      <c r="F32" s="120">
        <v>20</v>
      </c>
      <c r="G32" s="120">
        <v>5</v>
      </c>
      <c r="H32" s="120">
        <v>0</v>
      </c>
      <c r="I32" s="120">
        <v>0</v>
      </c>
      <c r="J32" s="120">
        <v>0</v>
      </c>
      <c r="K32" s="119"/>
      <c r="L32" s="120">
        <v>-40</v>
      </c>
      <c r="M32" s="120">
        <v>60</v>
      </c>
      <c r="O32" s="120">
        <v>250</v>
      </c>
      <c r="P32" s="120">
        <v>-250</v>
      </c>
      <c r="Q32" s="120">
        <v>0</v>
      </c>
      <c r="R32" s="120">
        <v>0</v>
      </c>
      <c r="S32" s="120">
        <v>0</v>
      </c>
      <c r="T32" s="119"/>
      <c r="U32" s="120" t="e">
        <f>PRODUCT(D32,商品!#REF!)+PRODUCT(商品!#REF!,F32)+PRODUCT(E32,商品!#REF!)+PRODUCT(G32,商品!#REF!)+PRODUCT(H32,商品!#REF!)+PRODUCT(I32,商品!#REF!)+PRODUCT(J32,商品!#REF!)+PRODUCT(C32,商品!#REF!)</f>
        <v>#REF!</v>
      </c>
      <c r="V32" s="120" t="e">
        <f>PRODUCT(L32,商品!#REF!)+PRODUCT(商品!#REF!,M32)</f>
        <v>#REF!</v>
      </c>
      <c r="W32" s="120" t="e">
        <f t="shared" si="5"/>
        <v>#REF!</v>
      </c>
      <c r="X32" s="120" t="e">
        <f t="shared" si="6"/>
        <v>#REF!</v>
      </c>
    </row>
    <row r="33" spans="1:24">
      <c r="A33" s="120" t="s">
        <v>28</v>
      </c>
      <c r="B33" s="119"/>
      <c r="C33" s="120">
        <v>0</v>
      </c>
      <c r="D33" s="120">
        <v>0</v>
      </c>
      <c r="E33" s="120">
        <v>0</v>
      </c>
      <c r="F33" s="120">
        <v>0</v>
      </c>
      <c r="G33" s="120">
        <v>10</v>
      </c>
      <c r="H33" s="120">
        <v>10</v>
      </c>
      <c r="I33" s="120">
        <v>0</v>
      </c>
      <c r="J33" s="120">
        <v>0</v>
      </c>
      <c r="K33" s="119"/>
      <c r="L33" s="120">
        <v>0</v>
      </c>
      <c r="M33" s="120">
        <v>0</v>
      </c>
      <c r="O33" s="120">
        <v>0</v>
      </c>
      <c r="P33" s="120">
        <v>-450</v>
      </c>
      <c r="Q33" s="120">
        <v>250</v>
      </c>
      <c r="R33" s="120">
        <v>150</v>
      </c>
      <c r="S33" s="120">
        <v>0</v>
      </c>
      <c r="T33" s="119"/>
      <c r="U33" s="120" t="e">
        <f>PRODUCT(D33,商品!#REF!)+PRODUCT(商品!O10,F33)+PRODUCT(E33,商品!I10)+PRODUCT(G33,商品!#REF!)+PRODUCT(H33,商品!A14)+PRODUCT(I33,商品!M5)+PRODUCT(J33,商品!#REF!)+PRODUCT(C33,商品!#REF!)</f>
        <v>#REF!</v>
      </c>
      <c r="V33" s="120">
        <f>PRODUCT(L33,商品!P10)+PRODUCT(商品!Q10,M33)</f>
        <v>0</v>
      </c>
      <c r="W33" s="120" t="e">
        <f t="shared" si="5"/>
        <v>#REF!</v>
      </c>
      <c r="X33" s="120" t="e">
        <f t="shared" si="6"/>
        <v>#REF!</v>
      </c>
    </row>
    <row r="34" spans="1:24">
      <c r="A34" s="120" t="s">
        <v>29</v>
      </c>
      <c r="B34" s="119"/>
      <c r="C34" s="120">
        <v>0</v>
      </c>
      <c r="D34" s="120">
        <v>0</v>
      </c>
      <c r="E34" s="120">
        <v>0</v>
      </c>
      <c r="F34" s="120">
        <v>0</v>
      </c>
      <c r="G34" s="120">
        <v>15</v>
      </c>
      <c r="H34" s="120">
        <v>10</v>
      </c>
      <c r="I34" s="120">
        <v>0</v>
      </c>
      <c r="J34" s="120">
        <v>0</v>
      </c>
      <c r="K34" s="119"/>
      <c r="L34" s="120">
        <v>0</v>
      </c>
      <c r="M34" s="120">
        <v>0</v>
      </c>
      <c r="O34" s="120">
        <v>0</v>
      </c>
      <c r="P34" s="120">
        <v>-750</v>
      </c>
      <c r="Q34" s="120">
        <v>150</v>
      </c>
      <c r="R34" s="120">
        <v>250</v>
      </c>
      <c r="S34" s="120">
        <v>0</v>
      </c>
      <c r="T34" s="119"/>
      <c r="U34" s="120" t="e">
        <f>PRODUCT(D34,商品!#REF!)+PRODUCT(商品!#REF!,F34)+PRODUCT(E34,商品!#REF!)+PRODUCT(G34,商品!#REF!)+PRODUCT(H34,商品!#REF!)+PRODUCT(I34,商品!#REF!)+PRODUCT(J34,商品!#REF!)+PRODUCT(C34,商品!#REF!)</f>
        <v>#REF!</v>
      </c>
      <c r="V34" s="120" t="e">
        <f>PRODUCT(L34,商品!#REF!)+PRODUCT(商品!#REF!,M34)</f>
        <v>#REF!</v>
      </c>
      <c r="W34" s="120" t="e">
        <f t="shared" si="5"/>
        <v>#REF!</v>
      </c>
      <c r="X34" s="120" t="e">
        <f t="shared" si="6"/>
        <v>#REF!</v>
      </c>
    </row>
    <row r="35" spans="1:24">
      <c r="A35" s="120" t="s">
        <v>59</v>
      </c>
      <c r="B35" s="119"/>
      <c r="C35" s="120">
        <v>5</v>
      </c>
      <c r="D35" s="120">
        <v>0</v>
      </c>
      <c r="E35" s="120">
        <v>0</v>
      </c>
      <c r="F35" s="120">
        <v>0</v>
      </c>
      <c r="G35" s="120">
        <v>20</v>
      </c>
      <c r="H35" s="120">
        <v>15</v>
      </c>
      <c r="I35" s="120">
        <v>0</v>
      </c>
      <c r="J35" s="120">
        <v>0</v>
      </c>
      <c r="K35" s="119"/>
      <c r="L35" s="120">
        <v>0</v>
      </c>
      <c r="M35" s="120">
        <v>0</v>
      </c>
      <c r="O35" s="120">
        <v>0</v>
      </c>
      <c r="P35" s="120">
        <v>-1250</v>
      </c>
      <c r="Q35" s="120">
        <v>150</v>
      </c>
      <c r="R35" s="120">
        <v>350</v>
      </c>
      <c r="S35" s="120">
        <v>0</v>
      </c>
      <c r="T35" s="119"/>
      <c r="U35" s="120" t="e">
        <f>PRODUCT(D35,商品!#REF!)+PRODUCT(商品!#REF!,F35)+PRODUCT(E35,商品!#REF!)+PRODUCT(G35,商品!#REF!)+PRODUCT(H35,商品!#REF!)+PRODUCT(I35,商品!#REF!)+PRODUCT(J35,商品!#REF!)+PRODUCT(C35,商品!#REF!)</f>
        <v>#REF!</v>
      </c>
      <c r="V35" s="120" t="e">
        <f>PRODUCT(L35,商品!#REF!)+PRODUCT(商品!#REF!,M35)</f>
        <v>#REF!</v>
      </c>
      <c r="W35" s="120" t="e">
        <f t="shared" si="5"/>
        <v>#REF!</v>
      </c>
      <c r="X35" s="120" t="e">
        <f t="shared" si="6"/>
        <v>#REF!</v>
      </c>
    </row>
    <row r="36" spans="1:24">
      <c r="A36" s="120" t="s">
        <v>30</v>
      </c>
      <c r="B36" s="119"/>
      <c r="C36" s="120">
        <v>0</v>
      </c>
      <c r="D36" s="120">
        <v>0</v>
      </c>
      <c r="E36" s="120">
        <v>0</v>
      </c>
      <c r="F36" s="120">
        <v>0</v>
      </c>
      <c r="G36" s="120">
        <v>2</v>
      </c>
      <c r="H36" s="120">
        <v>0</v>
      </c>
      <c r="I36" s="120">
        <v>1</v>
      </c>
      <c r="J36" s="120">
        <v>2</v>
      </c>
      <c r="K36" s="119"/>
      <c r="L36" s="120">
        <v>0</v>
      </c>
      <c r="M36" s="120">
        <v>0</v>
      </c>
      <c r="O36" s="120">
        <v>0</v>
      </c>
      <c r="P36" s="120">
        <v>-500</v>
      </c>
      <c r="Q36" s="120">
        <v>0</v>
      </c>
      <c r="R36" s="120">
        <v>0</v>
      </c>
      <c r="S36" s="120">
        <v>200</v>
      </c>
      <c r="T36" s="119"/>
      <c r="U36" s="120" t="e">
        <f>PRODUCT(D36,商品!#REF!)+PRODUCT(商品!#REF!,F36)+PRODUCT(E36,商品!J16)+PRODUCT(G36,商品!#REF!)+PRODUCT(H36,商品!A16)+PRODUCT(I36,商品!I16)+PRODUCT(J36,商品!G19)+PRODUCT(C36,商品!#REF!)</f>
        <v>#REF!</v>
      </c>
      <c r="V36" s="120" t="e">
        <f>PRODUCT(L36,商品!P16)+PRODUCT(商品!#REF!,M36)</f>
        <v>#REF!</v>
      </c>
      <c r="W36" s="120" t="e">
        <f t="shared" si="5"/>
        <v>#REF!</v>
      </c>
      <c r="X36" s="120" t="e">
        <f t="shared" si="6"/>
        <v>#REF!</v>
      </c>
    </row>
    <row r="37" spans="1:24">
      <c r="A37" s="120" t="s">
        <v>31</v>
      </c>
      <c r="B37" s="119"/>
      <c r="C37" s="120">
        <v>0</v>
      </c>
      <c r="D37" s="120">
        <v>0</v>
      </c>
      <c r="E37" s="120">
        <v>0</v>
      </c>
      <c r="F37" s="120">
        <v>0</v>
      </c>
      <c r="G37" s="120">
        <v>2</v>
      </c>
      <c r="H37" s="120">
        <v>0</v>
      </c>
      <c r="I37" s="120">
        <v>2</v>
      </c>
      <c r="J37" s="120">
        <v>4</v>
      </c>
      <c r="K37" s="119"/>
      <c r="L37" s="120">
        <v>0</v>
      </c>
      <c r="M37" s="120">
        <v>0</v>
      </c>
      <c r="O37" s="120">
        <v>0</v>
      </c>
      <c r="P37" s="120">
        <v>-1250</v>
      </c>
      <c r="Q37" s="120">
        <v>0</v>
      </c>
      <c r="R37" s="120">
        <v>0</v>
      </c>
      <c r="S37" s="120">
        <v>400</v>
      </c>
      <c r="T37" s="119"/>
      <c r="U37" s="120" t="e">
        <f>PRODUCT(D37,商品!#REF!)+PRODUCT(商品!#REF!,F37)+PRODUCT(E37,商品!J17)+PRODUCT(G37,商品!#REF!)+PRODUCT(H37,商品!#REF!)+PRODUCT(I37,商品!I17)+PRODUCT(J37,商品!#REF!)+PRODUCT(C37,商品!#REF!)</f>
        <v>#REF!</v>
      </c>
      <c r="V37" s="120" t="e">
        <f>PRODUCT(L37,商品!P17)+PRODUCT(商品!#REF!,M37)</f>
        <v>#REF!</v>
      </c>
      <c r="W37" s="120" t="e">
        <f t="shared" si="5"/>
        <v>#REF!</v>
      </c>
      <c r="X37" s="120" t="e">
        <f t="shared" si="6"/>
        <v>#REF!</v>
      </c>
    </row>
    <row r="38" spans="1:24">
      <c r="A38" s="120" t="s">
        <v>32</v>
      </c>
      <c r="B38" s="119"/>
      <c r="C38" s="120">
        <v>0</v>
      </c>
      <c r="D38" s="120">
        <v>0</v>
      </c>
      <c r="E38" s="120">
        <v>0</v>
      </c>
      <c r="F38" s="120">
        <v>0</v>
      </c>
      <c r="G38" s="120">
        <v>2</v>
      </c>
      <c r="H38" s="120">
        <v>0</v>
      </c>
      <c r="I38" s="120">
        <v>3</v>
      </c>
      <c r="J38" s="120">
        <v>6</v>
      </c>
      <c r="K38" s="119"/>
      <c r="L38" s="120">
        <v>0</v>
      </c>
      <c r="M38" s="120">
        <v>0</v>
      </c>
      <c r="O38" s="120">
        <v>0</v>
      </c>
      <c r="P38" s="120">
        <v>-1750</v>
      </c>
      <c r="Q38" s="120">
        <v>0</v>
      </c>
      <c r="R38" s="120">
        <v>0</v>
      </c>
      <c r="S38" s="120">
        <v>600</v>
      </c>
      <c r="T38" s="119"/>
      <c r="U38" s="120" t="e">
        <f>PRODUCT(D38,商品!#REF!)+PRODUCT(商品!O18,F38)+PRODUCT(E38,商品!I18)+PRODUCT(G38,商品!#REF!)+PRODUCT(H38,商品!#REF!)+PRODUCT(I38,商品!H18)+PRODUCT(J38,商品!#REF!)+PRODUCT(C38,商品!N18)</f>
        <v>#REF!</v>
      </c>
      <c r="V38" s="120">
        <f>PRODUCT(L38,商品!P18)+PRODUCT(商品!Q18,M38)</f>
        <v>0</v>
      </c>
      <c r="W38" s="120" t="e">
        <f t="shared" si="5"/>
        <v>#REF!</v>
      </c>
      <c r="X38" s="120" t="e">
        <f t="shared" si="6"/>
        <v>#REF!</v>
      </c>
    </row>
    <row r="39" spans="1:24">
      <c r="A39" s="120" t="s">
        <v>33</v>
      </c>
      <c r="B39" s="119"/>
      <c r="C39" s="120">
        <f>C14</f>
        <v>5</v>
      </c>
      <c r="D39" s="120">
        <v>0</v>
      </c>
      <c r="E39" s="120">
        <v>0</v>
      </c>
      <c r="F39" s="120">
        <v>0</v>
      </c>
      <c r="G39" s="120">
        <f>F14</f>
        <v>5</v>
      </c>
      <c r="H39" s="120">
        <f>D14</f>
        <v>8</v>
      </c>
      <c r="I39" s="120">
        <v>2</v>
      </c>
      <c r="J39" s="120">
        <v>3</v>
      </c>
      <c r="K39" s="119"/>
      <c r="L39" s="120">
        <v>0</v>
      </c>
      <c r="M39" s="120">
        <v>0</v>
      </c>
      <c r="O39" s="120">
        <v>0</v>
      </c>
      <c r="P39" s="120">
        <v>-3000</v>
      </c>
      <c r="Q39" s="120">
        <v>150</v>
      </c>
      <c r="R39" s="120">
        <v>350</v>
      </c>
      <c r="S39" s="120">
        <v>400</v>
      </c>
      <c r="T39" s="119"/>
      <c r="U39" s="120" t="e">
        <f>PRODUCT(D39,商品!#REF!)+PRODUCT(商品!O19,F39)+PRODUCT(E39,商品!I19)+PRODUCT(G39,商品!E22)+PRODUCT(H39,商品!#REF!)+PRODUCT(I39,商品!H19)+PRODUCT(J39,商品!F22)+PRODUCT(C39,商品!N19)</f>
        <v>#REF!</v>
      </c>
      <c r="V39" s="120">
        <f>PRODUCT(L39,商品!P19)+PRODUCT(商品!Q19,M39)</f>
        <v>0</v>
      </c>
      <c r="W39" s="120" t="e">
        <f t="shared" si="5"/>
        <v>#REF!</v>
      </c>
      <c r="X39" s="120" t="e">
        <f t="shared" si="6"/>
        <v>#REF!</v>
      </c>
    </row>
    <row r="41" spans="1:24">
      <c r="A41" s="118" t="s">
        <v>60</v>
      </c>
      <c r="B41" s="119" t="s">
        <v>1</v>
      </c>
      <c r="C41" s="120" t="s">
        <v>50</v>
      </c>
      <c r="D41" s="120" t="s">
        <v>61</v>
      </c>
      <c r="E41" s="120" t="s">
        <v>3</v>
      </c>
      <c r="F41" s="120" t="s">
        <v>5</v>
      </c>
      <c r="G41" s="120" t="s">
        <v>2</v>
      </c>
      <c r="H41" s="120" t="s">
        <v>6</v>
      </c>
      <c r="I41" s="121" t="s">
        <v>7</v>
      </c>
      <c r="J41" s="120" t="s">
        <v>35</v>
      </c>
      <c r="K41" s="119" t="s">
        <v>8</v>
      </c>
      <c r="L41" s="120" t="s">
        <v>62</v>
      </c>
      <c r="M41" s="120" t="s">
        <v>63</v>
      </c>
      <c r="N41" s="120" t="s">
        <v>11</v>
      </c>
      <c r="O41" s="120" t="s">
        <v>40</v>
      </c>
      <c r="P41" s="120" t="s">
        <v>12</v>
      </c>
      <c r="Q41" s="120" t="s">
        <v>41</v>
      </c>
      <c r="R41" s="120" t="s">
        <v>14</v>
      </c>
      <c r="S41" s="121" t="s">
        <v>15</v>
      </c>
      <c r="T41" s="119" t="s">
        <v>16</v>
      </c>
      <c r="U41" s="120" t="s">
        <v>17</v>
      </c>
      <c r="V41" s="120" t="s">
        <v>18</v>
      </c>
      <c r="W41" s="120" t="s">
        <v>19</v>
      </c>
      <c r="X41" s="121" t="s">
        <v>20</v>
      </c>
    </row>
    <row r="42" spans="1:24">
      <c r="A42" s="120" t="s">
        <v>64</v>
      </c>
      <c r="B42" s="119"/>
      <c r="C42" s="120">
        <v>40</v>
      </c>
      <c r="D42" s="120">
        <v>0</v>
      </c>
      <c r="E42" s="120">
        <v>0</v>
      </c>
      <c r="F42" s="120">
        <v>0</v>
      </c>
      <c r="G42" s="120">
        <v>0</v>
      </c>
      <c r="H42" s="120">
        <v>0</v>
      </c>
      <c r="I42" s="120">
        <v>0</v>
      </c>
      <c r="J42" s="120">
        <v>0</v>
      </c>
      <c r="K42" s="119"/>
      <c r="L42" s="120">
        <v>35</v>
      </c>
      <c r="M42" s="120">
        <v>0</v>
      </c>
      <c r="O42" s="120">
        <v>0</v>
      </c>
      <c r="P42" s="120">
        <v>4500</v>
      </c>
      <c r="Q42" s="120">
        <v>0</v>
      </c>
      <c r="R42" s="120">
        <v>0</v>
      </c>
      <c r="S42" s="120">
        <v>0</v>
      </c>
      <c r="T42" s="119"/>
      <c r="U42" s="120">
        <f>PRODUCT(C42,商品!F11)+PRODUCT(D42,商品!I15)+PRODUCT(E42,商品!F15)+PRODUCT(F42,商品!I3)+PRODUCT(商品!P9,G42)+PRODUCT(J42,商品!L9)+H42*商品!N5+I42*商品!L15</f>
        <v>800</v>
      </c>
      <c r="V42" s="120">
        <f>PRODUCT(L42,商品!J3)+PRODUCT(M42,商品!K3)</f>
        <v>1400</v>
      </c>
      <c r="W42" s="120">
        <f>SUM(-U42,V42)</f>
        <v>600</v>
      </c>
      <c r="X42" s="120">
        <f>W42/(P42+Q42+R42+S42+O42)</f>
        <v>0.133333333333333</v>
      </c>
    </row>
    <row r="43" spans="1:24">
      <c r="A43" s="120" t="s">
        <v>65</v>
      </c>
      <c r="B43" s="119"/>
      <c r="C43" s="120">
        <v>15</v>
      </c>
      <c r="D43" s="120">
        <v>15</v>
      </c>
      <c r="E43" s="120">
        <v>0</v>
      </c>
      <c r="F43" s="120">
        <v>0</v>
      </c>
      <c r="G43" s="120">
        <v>0</v>
      </c>
      <c r="H43" s="120">
        <v>0</v>
      </c>
      <c r="I43" s="120">
        <v>0</v>
      </c>
      <c r="J43" s="120">
        <v>0</v>
      </c>
      <c r="K43" s="119"/>
      <c r="L43" s="120">
        <v>60</v>
      </c>
      <c r="M43" s="120">
        <v>0</v>
      </c>
      <c r="O43" s="120">
        <v>0</v>
      </c>
      <c r="P43" s="120">
        <v>4000</v>
      </c>
      <c r="Q43" s="120">
        <v>500</v>
      </c>
      <c r="R43" s="120">
        <v>0</v>
      </c>
      <c r="S43" s="120">
        <v>0</v>
      </c>
      <c r="T43" s="119"/>
      <c r="U43" s="120" t="e">
        <f>PRODUCT(C43,商品!#REF!)+PRODUCT(D43,商品!#REF!)+PRODUCT(E43,商品!#REF!)+PRODUCT(F43,商品!#REF!)+PRODUCT(商品!#REF!,G43)+PRODUCT(J43,商品!#REF!)+H43*商品!#REF!+I43*商品!#REF!</f>
        <v>#REF!</v>
      </c>
      <c r="V43" s="120" t="e">
        <f>PRODUCT(L43,商品!#REF!)+PRODUCT(M43,商品!#REF!)</f>
        <v>#REF!</v>
      </c>
      <c r="W43" s="120" t="e">
        <f t="shared" ref="W43:W48" si="7">SUM(-U43,V43)</f>
        <v>#REF!</v>
      </c>
      <c r="X43" s="120" t="e">
        <f t="shared" ref="X43:X48" si="8">W43/(P43+Q43+R43+S43+O43)</f>
        <v>#REF!</v>
      </c>
    </row>
    <row r="44" spans="1:24">
      <c r="A44" s="120" t="s">
        <v>66</v>
      </c>
      <c r="B44" s="119"/>
      <c r="C44" s="120">
        <v>0</v>
      </c>
      <c r="D44" s="120">
        <v>50</v>
      </c>
      <c r="E44" s="120">
        <v>0</v>
      </c>
      <c r="F44" s="120">
        <v>0</v>
      </c>
      <c r="G44" s="120">
        <v>0</v>
      </c>
      <c r="H44" s="120">
        <v>0</v>
      </c>
      <c r="I44" s="120">
        <v>0</v>
      </c>
      <c r="J44" s="120">
        <v>0</v>
      </c>
      <c r="K44" s="119"/>
      <c r="L44" s="120">
        <v>100</v>
      </c>
      <c r="M44" s="120">
        <v>0</v>
      </c>
      <c r="O44" s="120">
        <v>0</v>
      </c>
      <c r="P44" s="120">
        <v>3350</v>
      </c>
      <c r="Q44" s="120">
        <v>300</v>
      </c>
      <c r="R44" s="120">
        <v>200</v>
      </c>
      <c r="S44" s="120">
        <v>0</v>
      </c>
      <c r="T44" s="119"/>
      <c r="U44" s="120" t="e">
        <f>PRODUCT(C44,商品!#REF!)+PRODUCT(D44,商品!#REF!)+PRODUCT(E44,商品!A8)+PRODUCT(F44,商品!#REF!)+PRODUCT(商品!#REF!,G44)+PRODUCT(J44,商品!#REF!)+H44*商品!#REF!+I44*商品!#REF!</f>
        <v>#REF!</v>
      </c>
      <c r="V44" s="120" t="e">
        <f>PRODUCT(L44,商品!#REF!)+PRODUCT(M44,商品!#REF!)</f>
        <v>#REF!</v>
      </c>
      <c r="W44" s="120" t="e">
        <f t="shared" si="7"/>
        <v>#REF!</v>
      </c>
      <c r="X44" s="120" t="e">
        <f t="shared" si="8"/>
        <v>#REF!</v>
      </c>
    </row>
    <row r="45" spans="1:24">
      <c r="A45" s="120" t="s">
        <v>63</v>
      </c>
      <c r="B45" s="119"/>
      <c r="C45" s="120">
        <v>0</v>
      </c>
      <c r="D45" s="120">
        <v>0</v>
      </c>
      <c r="E45" s="120">
        <v>0</v>
      </c>
      <c r="F45" s="120">
        <v>0</v>
      </c>
      <c r="G45" s="120">
        <v>0</v>
      </c>
      <c r="H45" s="120">
        <v>0</v>
      </c>
      <c r="I45" s="120">
        <v>0</v>
      </c>
      <c r="J45" s="120">
        <v>20</v>
      </c>
      <c r="K45" s="119"/>
      <c r="L45" s="120">
        <v>-20</v>
      </c>
      <c r="M45" s="120">
        <v>40</v>
      </c>
      <c r="O45" s="120">
        <v>100</v>
      </c>
      <c r="P45" s="120">
        <v>-100</v>
      </c>
      <c r="Q45" s="120">
        <v>0</v>
      </c>
      <c r="R45" s="120">
        <v>0</v>
      </c>
      <c r="S45" s="120">
        <v>0</v>
      </c>
      <c r="T45" s="119"/>
      <c r="U45" s="120" t="e">
        <f>PRODUCT(C45,商品!#REF!)+PRODUCT(D45,商品!#REF!)+PRODUCT(E45,商品!#REF!)+PRODUCT(F45,商品!#REF!)+PRODUCT(商品!#REF!,G45)+PRODUCT(J45,商品!#REF!)+H45*商品!#REF!+I45*商品!#REF!</f>
        <v>#REF!</v>
      </c>
      <c r="V45" s="120" t="e">
        <f>PRODUCT(L45,商品!#REF!)+PRODUCT(M45,商品!#REF!)</f>
        <v>#REF!</v>
      </c>
      <c r="W45" s="120" t="e">
        <f t="shared" si="7"/>
        <v>#REF!</v>
      </c>
      <c r="X45" s="120" t="e">
        <f t="shared" si="8"/>
        <v>#REF!</v>
      </c>
    </row>
    <row r="46" spans="1:24">
      <c r="A46" s="120" t="s">
        <v>67</v>
      </c>
      <c r="B46" s="119"/>
      <c r="C46" s="120">
        <v>0</v>
      </c>
      <c r="D46" s="120">
        <v>0</v>
      </c>
      <c r="E46" s="120">
        <v>0</v>
      </c>
      <c r="F46" s="120">
        <v>0</v>
      </c>
      <c r="G46" s="120">
        <v>0</v>
      </c>
      <c r="H46" s="120">
        <v>0</v>
      </c>
      <c r="I46" s="120">
        <v>0</v>
      </c>
      <c r="J46" s="120">
        <v>30</v>
      </c>
      <c r="K46" s="119"/>
      <c r="L46" s="120">
        <v>-40</v>
      </c>
      <c r="M46" s="120">
        <v>60</v>
      </c>
      <c r="O46" s="120">
        <v>250</v>
      </c>
      <c r="P46" s="120">
        <v>-250</v>
      </c>
      <c r="Q46" s="120">
        <v>0</v>
      </c>
      <c r="R46" s="120">
        <v>0</v>
      </c>
      <c r="S46" s="120">
        <v>0</v>
      </c>
      <c r="T46" s="119"/>
      <c r="U46" s="120" t="e">
        <f>PRODUCT(C46,商品!#REF!)+PRODUCT(D46,商品!#REF!)+PRODUCT(E46,商品!#REF!)+PRODUCT(F46,商品!#REF!)+PRODUCT(商品!#REF!,G46)+PRODUCT(J46,商品!#REF!)+H46*商品!#REF!+I46*商品!#REF!</f>
        <v>#REF!</v>
      </c>
      <c r="V46" s="120" t="e">
        <f>PRODUCT(L46,商品!#REF!)+PRODUCT(M46,商品!#REF!)</f>
        <v>#REF!</v>
      </c>
      <c r="W46" s="120" t="e">
        <f t="shared" si="7"/>
        <v>#REF!</v>
      </c>
      <c r="X46" s="120" t="e">
        <f t="shared" si="8"/>
        <v>#REF!</v>
      </c>
    </row>
    <row r="47" spans="1:24">
      <c r="A47" s="120" t="s">
        <v>68</v>
      </c>
      <c r="B47" s="119"/>
      <c r="C47" s="120">
        <v>0</v>
      </c>
      <c r="D47" s="120">
        <v>0</v>
      </c>
      <c r="E47" s="120">
        <v>8</v>
      </c>
      <c r="F47" s="120">
        <v>8</v>
      </c>
      <c r="G47" s="120">
        <v>0</v>
      </c>
      <c r="H47" s="120">
        <v>0</v>
      </c>
      <c r="I47" s="120">
        <v>0</v>
      </c>
      <c r="J47" s="120">
        <v>0</v>
      </c>
      <c r="K47" s="119"/>
      <c r="L47" s="120">
        <v>0</v>
      </c>
      <c r="M47" s="120">
        <v>0</v>
      </c>
      <c r="O47" s="120">
        <v>0</v>
      </c>
      <c r="P47" s="120">
        <v>-1500</v>
      </c>
      <c r="Q47" s="120">
        <v>150</v>
      </c>
      <c r="R47" s="120">
        <v>350</v>
      </c>
      <c r="S47" s="120">
        <v>0</v>
      </c>
      <c r="T47" s="119"/>
      <c r="U47" s="120" t="e">
        <f>PRODUCT(C47,商品!#REF!)+PRODUCT(D47,商品!#REF!)+PRODUCT(E47,商品!A14)+PRODUCT(F47,商品!#REF!)+PRODUCT(商品!#REF!,G47)+PRODUCT(J47,商品!M10)+H47*商品!M5+I47*商品!#REF!</f>
        <v>#REF!</v>
      </c>
      <c r="V47" s="120" t="e">
        <f>PRODUCT(L47,商品!#REF!)+PRODUCT(M47,商品!#REF!)</f>
        <v>#REF!</v>
      </c>
      <c r="W47" s="120" t="e">
        <f t="shared" si="7"/>
        <v>#REF!</v>
      </c>
      <c r="X47" s="120" t="e">
        <f t="shared" si="8"/>
        <v>#REF!</v>
      </c>
    </row>
    <row r="48" spans="1:24">
      <c r="A48" s="120" t="s">
        <v>32</v>
      </c>
      <c r="B48" s="119"/>
      <c r="C48" s="120">
        <v>0</v>
      </c>
      <c r="D48" s="120">
        <v>0</v>
      </c>
      <c r="E48" s="120">
        <v>0</v>
      </c>
      <c r="F48" s="120">
        <v>2</v>
      </c>
      <c r="G48" s="120">
        <v>0</v>
      </c>
      <c r="H48" s="120">
        <v>3</v>
      </c>
      <c r="I48" s="120">
        <v>6</v>
      </c>
      <c r="J48" s="120">
        <v>0</v>
      </c>
      <c r="K48" s="119"/>
      <c r="L48" s="120">
        <v>0</v>
      </c>
      <c r="M48" s="120">
        <v>0</v>
      </c>
      <c r="O48" s="120">
        <v>0</v>
      </c>
      <c r="P48" s="120">
        <v>-2000</v>
      </c>
      <c r="Q48" s="120">
        <v>0</v>
      </c>
      <c r="R48" s="120">
        <v>0</v>
      </c>
      <c r="S48" s="120">
        <v>500</v>
      </c>
      <c r="T48" s="119"/>
      <c r="U48" s="120" t="e">
        <f>PRODUCT(C48,商品!#REF!)+PRODUCT(D48,商品!#REF!)+PRODUCT(E48,商品!#REF!)+PRODUCT(F48,商品!#REF!)+PRODUCT(商品!#REF!,G48)+PRODUCT(J48,商品!#REF!)+H48*商品!#REF!+I48*商品!#REF!</f>
        <v>#REF!</v>
      </c>
      <c r="V48" s="120">
        <v>0</v>
      </c>
      <c r="W48" s="120" t="e">
        <f t="shared" si="7"/>
        <v>#REF!</v>
      </c>
      <c r="X48" s="120" t="e">
        <f t="shared" si="8"/>
        <v>#REF!</v>
      </c>
    </row>
    <row r="49" spans="1:1">
      <c r="A49" s="121"/>
    </row>
    <row r="50" spans="1:23">
      <c r="A50" s="124" t="s">
        <v>69</v>
      </c>
      <c r="B50" s="119" t="s">
        <v>1</v>
      </c>
      <c r="C50" s="121" t="s">
        <v>2</v>
      </c>
      <c r="D50" s="121" t="s">
        <v>51</v>
      </c>
      <c r="E50" s="121" t="s">
        <v>70</v>
      </c>
      <c r="F50" s="121" t="s">
        <v>7</v>
      </c>
      <c r="G50" s="121" t="s">
        <v>3</v>
      </c>
      <c r="H50" s="120" t="s">
        <v>5</v>
      </c>
      <c r="I50" s="121" t="s">
        <v>9</v>
      </c>
      <c r="J50" s="121" t="s">
        <v>6</v>
      </c>
      <c r="K50" s="121" t="s">
        <v>10</v>
      </c>
      <c r="L50" s="119" t="s">
        <v>8</v>
      </c>
      <c r="M50" s="121" t="s">
        <v>71</v>
      </c>
      <c r="N50" s="119" t="s">
        <v>11</v>
      </c>
      <c r="O50" s="120" t="s">
        <v>12</v>
      </c>
      <c r="P50" s="120" t="s">
        <v>41</v>
      </c>
      <c r="Q50" s="120" t="s">
        <v>14</v>
      </c>
      <c r="R50" s="121" t="s">
        <v>15</v>
      </c>
      <c r="T50" s="120" t="s">
        <v>17</v>
      </c>
      <c r="U50" s="120" t="s">
        <v>18</v>
      </c>
      <c r="V50" s="120" t="s">
        <v>19</v>
      </c>
      <c r="W50" s="121" t="s">
        <v>20</v>
      </c>
    </row>
    <row r="51" spans="1:23">
      <c r="A51" s="120" t="s">
        <v>72</v>
      </c>
      <c r="B51" s="119"/>
      <c r="C51" s="120">
        <v>0</v>
      </c>
      <c r="D51" s="120">
        <v>10</v>
      </c>
      <c r="E51" s="120">
        <v>5</v>
      </c>
      <c r="F51" s="120">
        <v>0</v>
      </c>
      <c r="G51" s="120">
        <v>0</v>
      </c>
      <c r="H51" s="120">
        <v>5</v>
      </c>
      <c r="I51" s="120">
        <v>0</v>
      </c>
      <c r="J51" s="120">
        <v>0</v>
      </c>
      <c r="K51" s="120">
        <v>10</v>
      </c>
      <c r="L51" s="119"/>
      <c r="M51" s="120">
        <v>30</v>
      </c>
      <c r="N51" s="119"/>
      <c r="O51" s="120">
        <v>2400</v>
      </c>
      <c r="P51" s="120">
        <v>0</v>
      </c>
      <c r="Q51" s="120">
        <v>0</v>
      </c>
      <c r="R51" s="120">
        <v>100</v>
      </c>
      <c r="T51" s="120">
        <f>PRODUCT(D51,商品!G11)+PRODUCT(E51,商品!M15)+PRODUCT(H51,商品!I3)+PRODUCT(I51,商品!J5)+PRODUCT(商品!G15,K51)+PRODUCT(F51,商品!N5)+G51*商品!F15+J51*商品!N5+C51*商品!P9</f>
        <v>1500</v>
      </c>
      <c r="U51" s="120">
        <f>PRODUCT(M51,商品!O5)</f>
        <v>2100</v>
      </c>
      <c r="V51" s="120">
        <f>SUM(-T51,U51)</f>
        <v>600</v>
      </c>
      <c r="W51" s="120">
        <f t="shared" ref="W51:W58" si="9">V51/(O51+P51+Q51+R51)</f>
        <v>0.24</v>
      </c>
    </row>
    <row r="52" spans="1:23">
      <c r="A52" s="125" t="s">
        <v>73</v>
      </c>
      <c r="B52" s="119"/>
      <c r="C52" s="120">
        <v>0</v>
      </c>
      <c r="D52" s="120">
        <v>15</v>
      </c>
      <c r="E52" s="120">
        <v>10</v>
      </c>
      <c r="F52" s="120">
        <v>0</v>
      </c>
      <c r="G52" s="120">
        <v>0</v>
      </c>
      <c r="H52" s="120">
        <v>5</v>
      </c>
      <c r="J52" s="120">
        <v>0</v>
      </c>
      <c r="K52" s="120">
        <v>15</v>
      </c>
      <c r="L52" s="119"/>
      <c r="M52" s="120">
        <v>50</v>
      </c>
      <c r="N52" s="119"/>
      <c r="O52" s="120">
        <v>3500</v>
      </c>
      <c r="P52" s="120">
        <v>300</v>
      </c>
      <c r="Q52" s="120">
        <v>200</v>
      </c>
      <c r="R52" s="120">
        <v>500</v>
      </c>
      <c r="T52" s="120" t="e">
        <f>PRODUCT(D52,商品!#REF!)+PRODUCT(E52,商品!#REF!)+PRODUCT(H52,商品!#REF!)+PRODUCT(I52,商品!#REF!)+PRODUCT(商品!#REF!,K52)+PRODUCT(F52,商品!#REF!)+G52*商品!#REF!+J52*商品!#REF!+C52*商品!#REF!</f>
        <v>#REF!</v>
      </c>
      <c r="U52" s="120" t="e">
        <f>PRODUCT(M52,商品!#REF!)</f>
        <v>#REF!</v>
      </c>
      <c r="V52" s="120" t="e">
        <f t="shared" ref="V52:V58" si="10">SUM(-T52,U52)</f>
        <v>#REF!</v>
      </c>
      <c r="W52" s="120" t="e">
        <f t="shared" si="9"/>
        <v>#REF!</v>
      </c>
    </row>
    <row r="53" spans="1:23">
      <c r="A53" s="125" t="s">
        <v>74</v>
      </c>
      <c r="B53" s="119"/>
      <c r="C53" s="120">
        <v>0</v>
      </c>
      <c r="D53" s="120">
        <v>10</v>
      </c>
      <c r="E53" s="120">
        <v>15</v>
      </c>
      <c r="F53" s="120">
        <v>5</v>
      </c>
      <c r="G53" s="120">
        <v>0</v>
      </c>
      <c r="H53" s="120">
        <v>5</v>
      </c>
      <c r="I53" s="120">
        <v>5</v>
      </c>
      <c r="J53" s="120">
        <v>0</v>
      </c>
      <c r="K53" s="120">
        <v>0</v>
      </c>
      <c r="L53" s="119"/>
      <c r="M53" s="120">
        <v>70</v>
      </c>
      <c r="N53" s="119"/>
      <c r="O53" s="120">
        <v>3350</v>
      </c>
      <c r="P53" s="120">
        <v>200</v>
      </c>
      <c r="Q53" s="120">
        <v>300</v>
      </c>
      <c r="R53" s="120">
        <v>750</v>
      </c>
      <c r="T53" s="120" t="e">
        <f>PRODUCT(D53,商品!#REF!)+PRODUCT(E53,商品!#REF!)+PRODUCT(H53,商品!#REF!)+PRODUCT(I53,商品!D4)+PRODUCT(商品!C8,K53)+PRODUCT(F53,商品!#REF!)+G53*商品!A8+J53*商品!#REF!+C53*商品!#REF!</f>
        <v>#REF!</v>
      </c>
      <c r="U53" s="120" t="e">
        <f>PRODUCT(M53,商品!#REF!)</f>
        <v>#REF!</v>
      </c>
      <c r="V53" s="120" t="e">
        <f t="shared" si="10"/>
        <v>#REF!</v>
      </c>
      <c r="W53" s="120" t="e">
        <f t="shared" si="9"/>
        <v>#REF!</v>
      </c>
    </row>
    <row r="54" spans="1:23">
      <c r="A54" s="121" t="s">
        <v>75</v>
      </c>
      <c r="B54" s="119"/>
      <c r="C54" s="120">
        <v>0</v>
      </c>
      <c r="D54" s="120">
        <v>10</v>
      </c>
      <c r="E54" s="120">
        <v>20</v>
      </c>
      <c r="F54" s="120">
        <v>10</v>
      </c>
      <c r="G54" s="120">
        <v>0</v>
      </c>
      <c r="H54" s="120">
        <v>10</v>
      </c>
      <c r="I54" s="120">
        <v>10</v>
      </c>
      <c r="J54" s="120">
        <v>0</v>
      </c>
      <c r="K54" s="120">
        <v>0</v>
      </c>
      <c r="L54" s="119"/>
      <c r="M54" s="120">
        <v>100</v>
      </c>
      <c r="N54" s="119"/>
      <c r="O54" s="120">
        <v>3000</v>
      </c>
      <c r="P54" s="120">
        <v>100</v>
      </c>
      <c r="Q54" s="120">
        <v>400</v>
      </c>
      <c r="R54" s="120">
        <v>1000</v>
      </c>
      <c r="T54" s="120" t="e">
        <f>PRODUCT(D54,商品!#REF!)+PRODUCT(E54,商品!#REF!)+PRODUCT(H54,商品!#REF!)+PRODUCT(I54,商品!#REF!)+PRODUCT(商品!#REF!,K54)+PRODUCT(F54,商品!#REF!)+G54*商品!#REF!+J54*商品!#REF!+C54*商品!#REF!</f>
        <v>#REF!</v>
      </c>
      <c r="U54" s="120" t="e">
        <f>PRODUCT(M54,商品!#REF!)</f>
        <v>#REF!</v>
      </c>
      <c r="V54" s="120" t="e">
        <f t="shared" si="10"/>
        <v>#REF!</v>
      </c>
      <c r="W54" s="120" t="e">
        <f t="shared" si="9"/>
        <v>#REF!</v>
      </c>
    </row>
    <row r="55" spans="1:23">
      <c r="A55" s="120" t="s">
        <v>30</v>
      </c>
      <c r="B55" s="119"/>
      <c r="C55" s="120">
        <v>0</v>
      </c>
      <c r="D55" s="120">
        <v>0</v>
      </c>
      <c r="E55" s="120">
        <v>0</v>
      </c>
      <c r="F55" s="120">
        <v>2</v>
      </c>
      <c r="G55" s="120">
        <v>0</v>
      </c>
      <c r="H55" s="120">
        <v>2</v>
      </c>
      <c r="I55" s="120">
        <v>0</v>
      </c>
      <c r="J55" s="120">
        <v>1</v>
      </c>
      <c r="K55" s="120">
        <v>0</v>
      </c>
      <c r="L55" s="119"/>
      <c r="M55" s="120">
        <v>0</v>
      </c>
      <c r="N55" s="119"/>
      <c r="O55" s="120">
        <v>-500</v>
      </c>
      <c r="P55" s="120">
        <v>0</v>
      </c>
      <c r="Q55" s="120">
        <v>0</v>
      </c>
      <c r="R55" s="120">
        <v>500</v>
      </c>
      <c r="T55" s="120" t="e">
        <f>PRODUCT(D55,商品!#REF!)+PRODUCT(E55,商品!#REF!)+PRODUCT(H55,商品!#REF!)+PRODUCT(I55,商品!#REF!)+PRODUCT(商品!#REF!,K55)+PRODUCT(F55,商品!#REF!)+G55*商品!#REF!+J55*商品!#REF!+C55*商品!#REF!</f>
        <v>#REF!</v>
      </c>
      <c r="U55" s="120">
        <v>0</v>
      </c>
      <c r="V55" s="120" t="e">
        <f t="shared" si="10"/>
        <v>#REF!</v>
      </c>
      <c r="W55" s="120" t="e">
        <f t="shared" si="9"/>
        <v>#REF!</v>
      </c>
    </row>
    <row r="56" spans="1:23">
      <c r="A56" s="120" t="s">
        <v>31</v>
      </c>
      <c r="B56" s="119"/>
      <c r="C56" s="120">
        <v>0</v>
      </c>
      <c r="D56" s="120">
        <v>0</v>
      </c>
      <c r="E56" s="120">
        <v>0</v>
      </c>
      <c r="F56" s="120">
        <v>4</v>
      </c>
      <c r="G56" s="120">
        <v>0</v>
      </c>
      <c r="H56" s="120">
        <v>2</v>
      </c>
      <c r="I56" s="120">
        <v>0</v>
      </c>
      <c r="J56" s="120">
        <v>2</v>
      </c>
      <c r="K56" s="120">
        <v>0</v>
      </c>
      <c r="L56" s="119"/>
      <c r="M56" s="120">
        <v>0</v>
      </c>
      <c r="N56" s="119"/>
      <c r="O56" s="120">
        <v>-1250</v>
      </c>
      <c r="P56" s="120">
        <v>0</v>
      </c>
      <c r="Q56" s="120">
        <v>0</v>
      </c>
      <c r="R56" s="120">
        <v>750</v>
      </c>
      <c r="T56" s="120" t="e">
        <f>PRODUCT(D56,商品!O10)+PRODUCT(E56,商品!#REF!)+PRODUCT(H56,商品!#REF!)+PRODUCT(I56,商品!#REF!)+PRODUCT(商品!C14,K56)+PRODUCT(F56,商品!M5)+G56*商品!A14+J56*商品!M5+C56*商品!#REF!</f>
        <v>#REF!</v>
      </c>
      <c r="U56" s="120">
        <v>0</v>
      </c>
      <c r="V56" s="120" t="e">
        <f t="shared" si="10"/>
        <v>#REF!</v>
      </c>
      <c r="W56" s="120" t="e">
        <f t="shared" si="9"/>
        <v>#REF!</v>
      </c>
    </row>
    <row r="57" spans="1:23">
      <c r="A57" s="120" t="s">
        <v>32</v>
      </c>
      <c r="B57" s="119"/>
      <c r="C57" s="120">
        <v>0</v>
      </c>
      <c r="D57" s="120">
        <v>0</v>
      </c>
      <c r="E57" s="120">
        <v>0</v>
      </c>
      <c r="F57" s="120">
        <v>6</v>
      </c>
      <c r="G57" s="120">
        <v>0</v>
      </c>
      <c r="H57" s="120">
        <v>2</v>
      </c>
      <c r="I57" s="120">
        <v>0</v>
      </c>
      <c r="J57" s="120">
        <v>3</v>
      </c>
      <c r="K57" s="120">
        <v>0</v>
      </c>
      <c r="L57" s="119"/>
      <c r="M57" s="120">
        <v>0</v>
      </c>
      <c r="N57" s="119"/>
      <c r="O57" s="120">
        <v>-1750</v>
      </c>
      <c r="P57" s="120">
        <v>0</v>
      </c>
      <c r="Q57" s="120">
        <v>0</v>
      </c>
      <c r="R57" s="120">
        <v>1000</v>
      </c>
      <c r="T57" s="120" t="e">
        <f>PRODUCT(D57,商品!#REF!)+PRODUCT(E57,商品!#REF!)+PRODUCT(H57,商品!#REF!)+PRODUCT(I57,商品!#REF!)+PRODUCT(商品!#REF!,K57)+PRODUCT(F57,商品!#REF!)+G57*商品!#REF!+J57*商品!#REF!+C57*商品!#REF!</f>
        <v>#REF!</v>
      </c>
      <c r="U57" s="120">
        <v>0</v>
      </c>
      <c r="V57" s="120" t="e">
        <f t="shared" si="10"/>
        <v>#REF!</v>
      </c>
      <c r="W57" s="120" t="e">
        <f t="shared" si="9"/>
        <v>#REF!</v>
      </c>
    </row>
    <row r="58" spans="1:23">
      <c r="A58" s="120" t="s">
        <v>33</v>
      </c>
      <c r="B58" s="119"/>
      <c r="C58" s="120">
        <v>5</v>
      </c>
      <c r="D58" s="120">
        <v>0</v>
      </c>
      <c r="E58" s="120">
        <v>0</v>
      </c>
      <c r="F58" s="120">
        <v>3</v>
      </c>
      <c r="G58" s="120">
        <v>8</v>
      </c>
      <c r="H58" s="120">
        <v>5</v>
      </c>
      <c r="I58" s="120">
        <v>0</v>
      </c>
      <c r="J58" s="120">
        <v>2</v>
      </c>
      <c r="K58" s="120">
        <v>0</v>
      </c>
      <c r="L58" s="119"/>
      <c r="M58" s="120">
        <v>0</v>
      </c>
      <c r="N58" s="119"/>
      <c r="O58" s="120">
        <v>-3000</v>
      </c>
      <c r="P58" s="120">
        <v>150</v>
      </c>
      <c r="Q58" s="120">
        <v>350</v>
      </c>
      <c r="R58" s="120">
        <v>400</v>
      </c>
      <c r="T58" s="120" t="e">
        <f>PRODUCT(D58,商品!#REF!)+PRODUCT(E58,商品!#REF!)+PRODUCT(H58,商品!#REF!)+PRODUCT(I58,商品!#REF!)+PRODUCT(商品!#REF!,K58)+PRODUCT(F58,商品!#REF!)+G58*商品!#REF!+J58*商品!#REF!+C58*商品!#REF!</f>
        <v>#REF!</v>
      </c>
      <c r="U58" s="120">
        <v>0</v>
      </c>
      <c r="V58" s="120" t="e">
        <f t="shared" si="10"/>
        <v>#REF!</v>
      </c>
      <c r="W58" s="120" t="e">
        <f t="shared" si="9"/>
        <v>#REF!</v>
      </c>
    </row>
    <row r="60" spans="1:25">
      <c r="A60" s="118" t="s">
        <v>76</v>
      </c>
      <c r="B60" s="119" t="s">
        <v>1</v>
      </c>
      <c r="C60" s="120" t="s">
        <v>2</v>
      </c>
      <c r="D60" s="120" t="s">
        <v>5</v>
      </c>
      <c r="E60" s="120" t="s">
        <v>3</v>
      </c>
      <c r="F60" s="120" t="s">
        <v>6</v>
      </c>
      <c r="G60" s="120" t="s">
        <v>7</v>
      </c>
      <c r="H60" s="120" t="s">
        <v>51</v>
      </c>
      <c r="I60" s="120" t="s">
        <v>9</v>
      </c>
      <c r="J60" s="120" t="s">
        <v>77</v>
      </c>
      <c r="K60" s="120" t="s">
        <v>61</v>
      </c>
      <c r="L60" s="119" t="s">
        <v>8</v>
      </c>
      <c r="M60" s="120" t="s">
        <v>78</v>
      </c>
      <c r="N60" s="120" t="s">
        <v>79</v>
      </c>
      <c r="O60" s="120" t="s">
        <v>80</v>
      </c>
      <c r="P60" s="119" t="s">
        <v>11</v>
      </c>
      <c r="Q60" s="120" t="s">
        <v>12</v>
      </c>
      <c r="R60" s="120" t="s">
        <v>41</v>
      </c>
      <c r="S60" s="120" t="s">
        <v>14</v>
      </c>
      <c r="T60" s="120" t="s">
        <v>15</v>
      </c>
      <c r="U60" s="119" t="s">
        <v>81</v>
      </c>
      <c r="V60" s="120" t="s">
        <v>82</v>
      </c>
      <c r="W60" s="120" t="s">
        <v>18</v>
      </c>
      <c r="X60" s="120" t="s">
        <v>19</v>
      </c>
      <c r="Y60" s="120" t="s">
        <v>20</v>
      </c>
    </row>
    <row r="61" spans="1:25">
      <c r="A61" s="120" t="s">
        <v>78</v>
      </c>
      <c r="B61" s="119"/>
      <c r="C61" s="120">
        <v>0</v>
      </c>
      <c r="D61" s="120">
        <v>5</v>
      </c>
      <c r="E61" s="120">
        <v>0</v>
      </c>
      <c r="F61" s="120">
        <v>0</v>
      </c>
      <c r="G61" s="120">
        <v>0</v>
      </c>
      <c r="H61" s="120">
        <v>10</v>
      </c>
      <c r="I61" s="120">
        <v>10</v>
      </c>
      <c r="J61" s="120">
        <v>0</v>
      </c>
      <c r="K61" s="120">
        <v>0</v>
      </c>
      <c r="L61" s="119"/>
      <c r="M61" s="120">
        <v>35</v>
      </c>
      <c r="N61" s="120">
        <v>0</v>
      </c>
      <c r="O61" s="120">
        <v>0</v>
      </c>
      <c r="P61" s="119"/>
      <c r="Q61" s="120">
        <v>4000</v>
      </c>
      <c r="R61" s="120">
        <v>400</v>
      </c>
      <c r="S61" s="120">
        <v>200</v>
      </c>
      <c r="T61" s="120">
        <v>0</v>
      </c>
      <c r="U61" s="119"/>
      <c r="V61" s="120">
        <f>C61*商品!P9+D61*商品!I3+E61*商品!F15+商品!N5*F61+G61*商品!L15+I61*商品!J5+J61*商品!G5+K61*商品!I15+H61*商品!G11</f>
        <v>1300</v>
      </c>
      <c r="W61" s="120" t="e">
        <f>M61*商品!#REF!+N61*商品!P5+O61*商品!#REF!</f>
        <v>#REF!</v>
      </c>
      <c r="X61" s="120" t="e">
        <f>SUM(-V61,W61)</f>
        <v>#REF!</v>
      </c>
      <c r="Y61" s="120" t="e">
        <f>X61/(Q61+R61+S61+T61)</f>
        <v>#REF!</v>
      </c>
    </row>
    <row r="62" spans="1:25">
      <c r="A62" s="120" t="s">
        <v>83</v>
      </c>
      <c r="B62" s="119"/>
      <c r="C62" s="120">
        <v>0</v>
      </c>
      <c r="D62" s="120">
        <v>10</v>
      </c>
      <c r="E62" s="120">
        <v>0</v>
      </c>
      <c r="F62" s="120">
        <v>0</v>
      </c>
      <c r="G62" s="120">
        <v>0</v>
      </c>
      <c r="H62" s="120">
        <v>10</v>
      </c>
      <c r="I62" s="120">
        <v>10</v>
      </c>
      <c r="J62" s="120">
        <v>0</v>
      </c>
      <c r="K62" s="120">
        <v>0</v>
      </c>
      <c r="L62" s="119"/>
      <c r="M62" s="120">
        <v>50</v>
      </c>
      <c r="N62" s="120">
        <v>0</v>
      </c>
      <c r="O62" s="120">
        <v>0</v>
      </c>
      <c r="P62" s="119"/>
      <c r="Q62" s="120">
        <v>3500</v>
      </c>
      <c r="R62" s="120">
        <v>300</v>
      </c>
      <c r="S62" s="120">
        <v>300</v>
      </c>
      <c r="T62" s="120">
        <v>0</v>
      </c>
      <c r="U62" s="119"/>
      <c r="V62" s="120" t="e">
        <f>C62*商品!#REF!+D62*商品!#REF!+E62*商品!#REF!+商品!#REF!*F62+G62*商品!#REF!+I62*商品!#REF!+J62*商品!F32+K62*商品!#REF!+H62*商品!#REF!</f>
        <v>#REF!</v>
      </c>
      <c r="W62" s="120" t="e">
        <f>M62*商品!G32+N62*商品!H32+O62*商品!#REF!</f>
        <v>#REF!</v>
      </c>
      <c r="X62" s="120" t="e">
        <f t="shared" ref="X62:X73" si="11">SUM(-V62,W62)</f>
        <v>#REF!</v>
      </c>
      <c r="Y62" s="120" t="e">
        <f>X62/(Q62+R62+S62+T62)</f>
        <v>#REF!</v>
      </c>
    </row>
    <row r="63" spans="1:25">
      <c r="A63" s="120" t="s">
        <v>84</v>
      </c>
      <c r="B63" s="119"/>
      <c r="C63" s="120">
        <v>0</v>
      </c>
      <c r="D63" s="120">
        <v>15</v>
      </c>
      <c r="E63" s="120">
        <v>0</v>
      </c>
      <c r="F63" s="120">
        <v>0</v>
      </c>
      <c r="G63" s="120">
        <v>0</v>
      </c>
      <c r="H63" s="120">
        <v>20</v>
      </c>
      <c r="I63" s="120">
        <v>20</v>
      </c>
      <c r="J63" s="120">
        <v>0</v>
      </c>
      <c r="K63" s="120">
        <v>0</v>
      </c>
      <c r="L63" s="119"/>
      <c r="M63" s="120">
        <v>80</v>
      </c>
      <c r="N63" s="120">
        <v>0</v>
      </c>
      <c r="O63" s="120">
        <v>0</v>
      </c>
      <c r="P63" s="119"/>
      <c r="Q63" s="120">
        <v>3000</v>
      </c>
      <c r="R63" s="120">
        <v>200</v>
      </c>
      <c r="S63" s="120">
        <v>400</v>
      </c>
      <c r="T63" s="120">
        <v>0</v>
      </c>
      <c r="U63" s="119"/>
      <c r="V63" s="120" t="e">
        <f>C63*商品!#REF!+D63*商品!#REF!+E63*商品!A8+商品!#REF!*F63+G63*商品!#REF!+I63*商品!D4+J63*商品!F33+K63*商品!#REF!+H63*商品!#REF!</f>
        <v>#REF!</v>
      </c>
      <c r="W63" s="120" t="e">
        <f>M63*商品!G33+N63*商品!H33+O63*商品!#REF!</f>
        <v>#REF!</v>
      </c>
      <c r="X63" s="120" t="e">
        <f t="shared" si="11"/>
        <v>#REF!</v>
      </c>
      <c r="Y63" s="120" t="e">
        <f>X63/(Q63+R63+S63+T63)</f>
        <v>#REF!</v>
      </c>
    </row>
    <row r="64" spans="1:21">
      <c r="A64" s="120" t="s">
        <v>85</v>
      </c>
      <c r="B64" s="119"/>
      <c r="C64" s="120">
        <v>0</v>
      </c>
      <c r="D64" s="120">
        <v>0</v>
      </c>
      <c r="E64" s="120">
        <v>0</v>
      </c>
      <c r="F64" s="120">
        <v>0</v>
      </c>
      <c r="G64" s="120">
        <v>0</v>
      </c>
      <c r="H64" s="120">
        <v>0</v>
      </c>
      <c r="I64" s="120">
        <v>0</v>
      </c>
      <c r="J64" s="120">
        <v>0</v>
      </c>
      <c r="K64" s="120">
        <v>0</v>
      </c>
      <c r="L64" s="119"/>
      <c r="M64" s="120">
        <v>0</v>
      </c>
      <c r="N64" s="120">
        <v>0</v>
      </c>
      <c r="O64" s="120">
        <v>0</v>
      </c>
      <c r="P64" s="119"/>
      <c r="Q64" s="120">
        <v>0</v>
      </c>
      <c r="R64" s="120">
        <v>0</v>
      </c>
      <c r="S64" s="120">
        <v>0</v>
      </c>
      <c r="T64" s="120">
        <v>0</v>
      </c>
      <c r="U64" s="119"/>
    </row>
    <row r="65" spans="1:25">
      <c r="A65" s="120" t="s">
        <v>86</v>
      </c>
      <c r="B65" s="119"/>
      <c r="C65" s="120">
        <v>0</v>
      </c>
      <c r="D65" s="120">
        <v>0</v>
      </c>
      <c r="E65" s="120">
        <v>0</v>
      </c>
      <c r="F65" s="120">
        <v>0</v>
      </c>
      <c r="G65" s="120">
        <v>0</v>
      </c>
      <c r="H65" s="120">
        <v>0</v>
      </c>
      <c r="I65" s="120">
        <v>0</v>
      </c>
      <c r="J65" s="120">
        <v>0</v>
      </c>
      <c r="K65" s="120">
        <v>0</v>
      </c>
      <c r="L65" s="119"/>
      <c r="M65" s="120">
        <v>-10</v>
      </c>
      <c r="N65" s="120">
        <v>0</v>
      </c>
      <c r="O65" s="120">
        <v>15</v>
      </c>
      <c r="P65" s="119"/>
      <c r="Q65" s="120">
        <v>0</v>
      </c>
      <c r="R65" s="120">
        <v>300</v>
      </c>
      <c r="S65" s="120">
        <v>500</v>
      </c>
      <c r="U65" s="119"/>
      <c r="V65" s="120" t="e">
        <f>C65*商品!#REF!+D65*商品!#REF!+E65*商品!#REF!+商品!#REF!*F65+G65*商品!#REF!+I65*商品!#REF!+J65*商品!F35+K65*商品!#REF!+H65*商品!#REF!</f>
        <v>#REF!</v>
      </c>
      <c r="W65" s="120">
        <f>M65*商品!G35+N65*商品!H35+O65*商品!I35</f>
        <v>0</v>
      </c>
      <c r="X65" s="120" t="e">
        <f t="shared" si="11"/>
        <v>#REF!</v>
      </c>
      <c r="Y65" s="120" t="e">
        <f t="shared" ref="Y64:Y69" si="12">X65/(Q65+R65+S65+T65)</f>
        <v>#REF!</v>
      </c>
    </row>
    <row r="66" spans="1:25">
      <c r="A66" s="120" t="s">
        <v>87</v>
      </c>
      <c r="B66" s="119"/>
      <c r="C66" s="120">
        <v>0</v>
      </c>
      <c r="D66" s="120">
        <v>0</v>
      </c>
      <c r="E66" s="120">
        <v>0</v>
      </c>
      <c r="F66" s="120">
        <v>0</v>
      </c>
      <c r="G66" s="120">
        <v>0</v>
      </c>
      <c r="H66" s="120">
        <v>0</v>
      </c>
      <c r="I66" s="120">
        <v>4</v>
      </c>
      <c r="J66" s="120">
        <v>10</v>
      </c>
      <c r="K66" s="120">
        <v>0</v>
      </c>
      <c r="L66" s="119"/>
      <c r="M66" s="120">
        <v>-15</v>
      </c>
      <c r="N66" s="120">
        <v>0</v>
      </c>
      <c r="O66" s="120">
        <v>30</v>
      </c>
      <c r="P66" s="119"/>
      <c r="Q66" s="120">
        <v>0</v>
      </c>
      <c r="R66" s="120">
        <v>400</v>
      </c>
      <c r="S66" s="120">
        <v>400</v>
      </c>
      <c r="U66" s="119"/>
      <c r="V66" s="120" t="e">
        <f>C66*商品!#REF!+D66*商品!#REF!+E66*商品!A14+商品!M5*F66+G66*商品!#REF!+I66*商品!#REF!+J66*商品!F36+K66*商品!#REF!+H66*商品!O10</f>
        <v>#REF!</v>
      </c>
      <c r="W66" s="120">
        <f>M66*商品!G36+N66*商品!H36+O66*商品!I36</f>
        <v>0</v>
      </c>
      <c r="X66" s="120" t="e">
        <f t="shared" si="11"/>
        <v>#REF!</v>
      </c>
      <c r="Y66" s="120" t="e">
        <f t="shared" si="12"/>
        <v>#REF!</v>
      </c>
    </row>
    <row r="67" spans="1:25">
      <c r="A67" s="120" t="s">
        <v>88</v>
      </c>
      <c r="B67" s="119"/>
      <c r="C67" s="120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8</v>
      </c>
      <c r="J67" s="120">
        <v>20</v>
      </c>
      <c r="K67" s="120">
        <v>0</v>
      </c>
      <c r="L67" s="119"/>
      <c r="M67" s="120">
        <v>-25</v>
      </c>
      <c r="N67" s="120">
        <v>0</v>
      </c>
      <c r="O67" s="120">
        <v>60</v>
      </c>
      <c r="P67" s="119"/>
      <c r="Q67" s="120">
        <v>0</v>
      </c>
      <c r="R67" s="120">
        <v>500</v>
      </c>
      <c r="S67" s="120">
        <v>300</v>
      </c>
      <c r="U67" s="119"/>
      <c r="V67" s="120" t="e">
        <f>C67*商品!#REF!+D67*商品!#REF!+E67*商品!#REF!+商品!#REF!*F67+G67*商品!#REF!+I67*商品!#REF!+J67*商品!F37+K67*商品!#REF!+H67*商品!#REF!</f>
        <v>#REF!</v>
      </c>
      <c r="W67" s="120">
        <f>M67*商品!G37+N67*商品!H37+O67*商品!I37</f>
        <v>0</v>
      </c>
      <c r="X67" s="120" t="e">
        <f t="shared" si="11"/>
        <v>#REF!</v>
      </c>
      <c r="Y67" s="120" t="e">
        <f t="shared" si="12"/>
        <v>#REF!</v>
      </c>
    </row>
    <row r="68" spans="1:25">
      <c r="A68" s="120" t="s">
        <v>89</v>
      </c>
      <c r="B68" s="119"/>
      <c r="C68" s="120">
        <v>0</v>
      </c>
      <c r="D68" s="120">
        <v>0</v>
      </c>
      <c r="E68" s="120">
        <v>0</v>
      </c>
      <c r="F68" s="120">
        <v>0</v>
      </c>
      <c r="G68" s="120">
        <v>0</v>
      </c>
      <c r="H68" s="120">
        <v>0</v>
      </c>
      <c r="I68" s="120">
        <v>0</v>
      </c>
      <c r="J68" s="120">
        <v>20</v>
      </c>
      <c r="K68" s="120">
        <v>25</v>
      </c>
      <c r="L68" s="119"/>
      <c r="M68" s="120">
        <v>0</v>
      </c>
      <c r="N68" s="120">
        <v>50</v>
      </c>
      <c r="O68" s="120">
        <v>0</v>
      </c>
      <c r="P68" s="119"/>
      <c r="Q68" s="120">
        <v>0</v>
      </c>
      <c r="R68" s="120">
        <v>600</v>
      </c>
      <c r="S68" s="120">
        <v>400</v>
      </c>
      <c r="U68" s="119"/>
      <c r="V68" s="120" t="e">
        <f>C68*商品!#REF!+D68*商品!#REF!+E68*商品!#REF!+商品!#REF!*F68+G68*商品!#REF!+I68*商品!#REF!+J68*商品!F38+K68*商品!#REF!+H68*商品!#REF!</f>
        <v>#REF!</v>
      </c>
      <c r="W68" s="120">
        <f>M68*商品!G38+N68*商品!H38+O68*商品!I38</f>
        <v>0</v>
      </c>
      <c r="X68" s="120" t="e">
        <f t="shared" si="11"/>
        <v>#REF!</v>
      </c>
      <c r="Y68" s="120" t="e">
        <f t="shared" si="12"/>
        <v>#REF!</v>
      </c>
    </row>
    <row r="69" spans="1:25">
      <c r="A69" s="120" t="s">
        <v>90</v>
      </c>
      <c r="B69" s="119"/>
      <c r="C69" s="120">
        <v>0</v>
      </c>
      <c r="D69" s="120">
        <v>0</v>
      </c>
      <c r="E69" s="120">
        <v>0</v>
      </c>
      <c r="F69" s="120">
        <v>0</v>
      </c>
      <c r="G69" s="120">
        <v>0</v>
      </c>
      <c r="H69" s="120">
        <v>0</v>
      </c>
      <c r="I69" s="120">
        <v>0</v>
      </c>
      <c r="J69" s="120">
        <v>40</v>
      </c>
      <c r="K69" s="120">
        <v>50</v>
      </c>
      <c r="L69" s="119"/>
      <c r="M69" s="120">
        <v>0</v>
      </c>
      <c r="N69" s="120">
        <v>100</v>
      </c>
      <c r="O69" s="120">
        <v>0</v>
      </c>
      <c r="P69" s="119"/>
      <c r="Q69" s="120">
        <v>0</v>
      </c>
      <c r="R69" s="120">
        <v>400</v>
      </c>
      <c r="S69" s="120">
        <v>600</v>
      </c>
      <c r="U69" s="119"/>
      <c r="V69" s="120" t="e">
        <f>C69*商品!#REF!+D69*商品!#REF!+E69*商品!A16+商品!I16*F69+G69*商品!G19+I69*商品!D19+J69*商品!F39+K69*商品!#REF!+H69*商品!#REF!</f>
        <v>#REF!</v>
      </c>
      <c r="W69" s="120">
        <f>M69*商品!G39+N69*商品!H39+O69*商品!I39</f>
        <v>0</v>
      </c>
      <c r="X69" s="120" t="e">
        <f t="shared" si="11"/>
        <v>#REF!</v>
      </c>
      <c r="Y69" s="120" t="e">
        <f t="shared" si="12"/>
        <v>#REF!</v>
      </c>
    </row>
    <row r="70" spans="1:24">
      <c r="A70" s="120" t="s">
        <v>28</v>
      </c>
      <c r="B70" s="119"/>
      <c r="C70" s="120">
        <v>0</v>
      </c>
      <c r="D70" s="120">
        <v>10</v>
      </c>
      <c r="E70" s="120">
        <v>10</v>
      </c>
      <c r="F70" s="120">
        <v>0</v>
      </c>
      <c r="G70" s="120">
        <v>0</v>
      </c>
      <c r="H70" s="120">
        <v>0</v>
      </c>
      <c r="I70" s="120">
        <v>0</v>
      </c>
      <c r="J70" s="120">
        <v>0</v>
      </c>
      <c r="K70" s="120">
        <v>0</v>
      </c>
      <c r="L70" s="119"/>
      <c r="M70" s="120">
        <v>0</v>
      </c>
      <c r="N70" s="120">
        <v>0</v>
      </c>
      <c r="O70" s="120">
        <v>0</v>
      </c>
      <c r="P70" s="119"/>
      <c r="Q70" s="120">
        <v>-450</v>
      </c>
      <c r="R70" s="120">
        <v>350</v>
      </c>
      <c r="S70" s="120">
        <v>150</v>
      </c>
      <c r="T70" s="120">
        <v>0</v>
      </c>
      <c r="U70" s="119"/>
      <c r="V70" s="120" t="e">
        <f>C70*商品!#REF!+D70*商品!#REF!+E70*商品!#REF!+商品!I17*F70+G70*商品!#REF!+I70*商品!#REF!+J70*商品!F40+K70*商品!#REF!+H70*商品!#REF!</f>
        <v>#REF!</v>
      </c>
      <c r="W70" s="120">
        <f>M70*商品!G40+N70*商品!H40+O70*商品!I40</f>
        <v>0</v>
      </c>
      <c r="X70" s="120" t="e">
        <f t="shared" si="11"/>
        <v>#REF!</v>
      </c>
    </row>
    <row r="71" spans="1:24">
      <c r="A71" s="120" t="s">
        <v>29</v>
      </c>
      <c r="B71" s="119"/>
      <c r="C71" s="120">
        <v>0</v>
      </c>
      <c r="D71" s="120">
        <v>15</v>
      </c>
      <c r="E71" s="120">
        <v>10</v>
      </c>
      <c r="F71" s="120">
        <v>0</v>
      </c>
      <c r="G71" s="120">
        <v>0</v>
      </c>
      <c r="H71" s="120">
        <v>0</v>
      </c>
      <c r="I71" s="120">
        <v>0</v>
      </c>
      <c r="J71" s="120">
        <v>0</v>
      </c>
      <c r="K71" s="120">
        <v>0</v>
      </c>
      <c r="L71" s="119"/>
      <c r="M71" s="120">
        <v>0</v>
      </c>
      <c r="N71" s="120">
        <v>0</v>
      </c>
      <c r="O71" s="120">
        <v>0</v>
      </c>
      <c r="P71" s="119"/>
      <c r="Q71" s="120">
        <v>-750</v>
      </c>
      <c r="R71" s="120">
        <v>250</v>
      </c>
      <c r="S71" s="120">
        <v>250</v>
      </c>
      <c r="T71" s="120">
        <v>0</v>
      </c>
      <c r="U71" s="119"/>
      <c r="V71" s="120" t="e">
        <f>C71*商品!N18+D71*商品!#REF!+E71*商品!#REF!+商品!H18*F71+G71*商品!#REF!+I71*商品!#REF!+J71*商品!F41+K71*商品!#REF!+H71*商品!O18</f>
        <v>#REF!</v>
      </c>
      <c r="W71" s="120">
        <f>M71*商品!G41+N71*商品!H41+O71*商品!I41</f>
        <v>0</v>
      </c>
      <c r="X71" s="120" t="e">
        <f t="shared" si="11"/>
        <v>#REF!</v>
      </c>
    </row>
    <row r="72" spans="1:24">
      <c r="A72" s="120" t="s">
        <v>59</v>
      </c>
      <c r="B72" s="119"/>
      <c r="C72" s="120">
        <v>5</v>
      </c>
      <c r="D72" s="120">
        <v>20</v>
      </c>
      <c r="E72" s="120">
        <v>15</v>
      </c>
      <c r="F72" s="120">
        <v>0</v>
      </c>
      <c r="G72" s="120">
        <v>0</v>
      </c>
      <c r="H72" s="120">
        <v>0</v>
      </c>
      <c r="I72" s="120">
        <v>0</v>
      </c>
      <c r="J72" s="120">
        <v>0</v>
      </c>
      <c r="K72" s="120">
        <v>0</v>
      </c>
      <c r="L72" s="119"/>
      <c r="M72" s="120">
        <v>0</v>
      </c>
      <c r="N72" s="120">
        <v>0</v>
      </c>
      <c r="O72" s="120">
        <v>0</v>
      </c>
      <c r="P72" s="119"/>
      <c r="Q72" s="120">
        <v>-1250</v>
      </c>
      <c r="R72" s="120">
        <v>150</v>
      </c>
      <c r="S72" s="120">
        <v>350</v>
      </c>
      <c r="T72" s="120">
        <v>0</v>
      </c>
      <c r="U72" s="119"/>
      <c r="V72" s="120" t="e">
        <f>C72*商品!N19+D72*商品!E22+E72*商品!#REF!+商品!H19*F72+G72*商品!F22+I72*商品!D22+J72*商品!F42+K72*商品!#REF!+H72*商品!O19</f>
        <v>#REF!</v>
      </c>
      <c r="W72" s="120">
        <f>M72*商品!G42+N72*商品!H42+O72*商品!I42</f>
        <v>0</v>
      </c>
      <c r="X72" s="120" t="e">
        <f t="shared" si="11"/>
        <v>#REF!</v>
      </c>
    </row>
    <row r="73" spans="1:21">
      <c r="A73" s="120" t="s">
        <v>33</v>
      </c>
      <c r="B73" s="119"/>
      <c r="L73" s="119"/>
      <c r="M73" s="120">
        <v>0</v>
      </c>
      <c r="N73" s="120">
        <v>0</v>
      </c>
      <c r="O73" s="120">
        <v>0</v>
      </c>
      <c r="P73" s="119"/>
      <c r="Q73" s="120">
        <v>-3000</v>
      </c>
      <c r="R73" s="120">
        <v>150</v>
      </c>
      <c r="S73" s="120">
        <v>350</v>
      </c>
      <c r="T73" s="120">
        <v>400</v>
      </c>
      <c r="U73" s="119"/>
    </row>
    <row r="75" spans="1:23">
      <c r="A75" s="124" t="s">
        <v>91</v>
      </c>
      <c r="B75" s="122" t="s">
        <v>1</v>
      </c>
      <c r="C75" s="121" t="s">
        <v>92</v>
      </c>
      <c r="D75" s="121" t="s">
        <v>93</v>
      </c>
      <c r="E75" s="121" t="s">
        <v>62</v>
      </c>
      <c r="F75" s="121" t="s">
        <v>5</v>
      </c>
      <c r="G75" s="121" t="s">
        <v>9</v>
      </c>
      <c r="H75" s="121" t="s">
        <v>3</v>
      </c>
      <c r="I75" s="121" t="s">
        <v>7</v>
      </c>
      <c r="J75" s="121" t="s">
        <v>6</v>
      </c>
      <c r="K75" s="121" t="s">
        <v>2</v>
      </c>
      <c r="L75" s="122" t="s">
        <v>8</v>
      </c>
      <c r="M75" s="121" t="s">
        <v>94</v>
      </c>
      <c r="N75" s="120" t="s">
        <v>11</v>
      </c>
      <c r="O75" s="121" t="s">
        <v>12</v>
      </c>
      <c r="P75" s="121" t="s">
        <v>41</v>
      </c>
      <c r="Q75" s="121" t="s">
        <v>14</v>
      </c>
      <c r="R75" s="121" t="s">
        <v>15</v>
      </c>
      <c r="S75" s="119" t="s">
        <v>16</v>
      </c>
      <c r="T75" s="120" t="s">
        <v>17</v>
      </c>
      <c r="U75" s="120" t="s">
        <v>18</v>
      </c>
      <c r="V75" s="120" t="s">
        <v>19</v>
      </c>
      <c r="W75" s="121" t="s">
        <v>20</v>
      </c>
    </row>
    <row r="76" spans="1:23">
      <c r="A76" s="121" t="s">
        <v>95</v>
      </c>
      <c r="B76" s="122"/>
      <c r="C76" s="120">
        <v>20</v>
      </c>
      <c r="D76" s="120">
        <v>20</v>
      </c>
      <c r="E76" s="120">
        <v>5</v>
      </c>
      <c r="F76" s="120">
        <v>0</v>
      </c>
      <c r="G76" s="120">
        <v>0</v>
      </c>
      <c r="H76" s="120">
        <v>0</v>
      </c>
      <c r="I76" s="120">
        <v>0</v>
      </c>
      <c r="J76" s="120">
        <v>0</v>
      </c>
      <c r="K76" s="120">
        <v>0</v>
      </c>
      <c r="L76" s="122"/>
      <c r="M76" s="120">
        <v>90</v>
      </c>
      <c r="O76" s="120">
        <v>4500</v>
      </c>
      <c r="P76" s="120">
        <v>0</v>
      </c>
      <c r="Q76" s="120">
        <v>0</v>
      </c>
      <c r="R76" s="120">
        <v>0</v>
      </c>
      <c r="S76" s="119"/>
      <c r="T76" s="120">
        <f>PRODUCT(C76,商品!K9)+PRODUCT(D76,商品!F9)+PRODUCT(E76,商品!J3)+F76*商品!I3+G76*商品!J5+H76*商品!F15+I76*商品!L15+J76*商品!N5+K76*商品!P9</f>
        <v>1200</v>
      </c>
      <c r="U76" s="120">
        <f>PRODUCT(M76,商品!G9)</f>
        <v>2700</v>
      </c>
      <c r="V76" s="120">
        <f t="shared" ref="V76:V81" si="13">SUM(-T76,U76)</f>
        <v>1500</v>
      </c>
      <c r="W76" s="120">
        <f t="shared" ref="W76:W79" si="14">V76/(O76+P76+Q76+R76)</f>
        <v>0.333333333333333</v>
      </c>
    </row>
    <row r="77" spans="1:23">
      <c r="A77" s="121" t="s">
        <v>96</v>
      </c>
      <c r="B77" s="122"/>
      <c r="C77" s="120">
        <v>20</v>
      </c>
      <c r="D77" s="120">
        <v>40</v>
      </c>
      <c r="E77" s="120">
        <v>10</v>
      </c>
      <c r="F77" s="120">
        <v>0</v>
      </c>
      <c r="G77" s="120">
        <v>0</v>
      </c>
      <c r="H77" s="120">
        <v>0</v>
      </c>
      <c r="I77" s="120">
        <v>0</v>
      </c>
      <c r="J77" s="120">
        <v>0</v>
      </c>
      <c r="K77" s="120">
        <v>0</v>
      </c>
      <c r="L77" s="122"/>
      <c r="M77" s="120">
        <v>140</v>
      </c>
      <c r="O77" s="120">
        <v>3000</v>
      </c>
      <c r="P77" s="120">
        <v>250</v>
      </c>
      <c r="Q77" s="120">
        <v>250</v>
      </c>
      <c r="R77" s="120">
        <v>0</v>
      </c>
      <c r="S77" s="119"/>
      <c r="T77" s="120" t="e">
        <f>PRODUCT(C77,商品!#REF!)+PRODUCT(D77,商品!#REF!)+PRODUCT(E77,商品!#REF!)+F77*商品!#REF!+G77*商品!#REF!+H77*商品!#REF!+I77*商品!#REF!+J77*商品!#REF!+K77*商品!#REF!</f>
        <v>#REF!</v>
      </c>
      <c r="U77" s="120" t="e">
        <f>PRODUCT(M77,商品!#REF!)</f>
        <v>#REF!</v>
      </c>
      <c r="V77" s="120" t="e">
        <f t="shared" si="13"/>
        <v>#REF!</v>
      </c>
      <c r="W77" s="120" t="e">
        <f t="shared" si="14"/>
        <v>#REF!</v>
      </c>
    </row>
    <row r="78" spans="1:22">
      <c r="A78" s="120" t="s">
        <v>30</v>
      </c>
      <c r="B78" s="122"/>
      <c r="C78" s="120">
        <v>0</v>
      </c>
      <c r="D78" s="120">
        <v>0</v>
      </c>
      <c r="E78" s="120">
        <v>0</v>
      </c>
      <c r="F78" s="120">
        <v>5</v>
      </c>
      <c r="G78" s="120">
        <v>0</v>
      </c>
      <c r="H78" s="120">
        <v>0</v>
      </c>
      <c r="I78" s="120">
        <v>3</v>
      </c>
      <c r="J78" s="120">
        <v>1</v>
      </c>
      <c r="K78" s="120">
        <v>0</v>
      </c>
      <c r="L78" s="122"/>
      <c r="N78" s="120">
        <v>0</v>
      </c>
      <c r="O78" s="120">
        <v>-500</v>
      </c>
      <c r="P78" s="120">
        <v>0</v>
      </c>
      <c r="Q78" s="120">
        <v>0</v>
      </c>
      <c r="R78" s="120">
        <v>500</v>
      </c>
      <c r="S78" s="119"/>
      <c r="T78" s="120" t="e">
        <f>PRODUCT(C78,商品!#REF!)+PRODUCT(D78,商品!#REF!)+PRODUCT(E78,商品!#REF!)+F78*商品!#REF!+G78*商品!D4+H78*商品!A8+I78*商品!#REF!+J78*商品!#REF!+K78*商品!#REF!</f>
        <v>#REF!</v>
      </c>
      <c r="U78" s="120">
        <v>0</v>
      </c>
      <c r="V78" s="120" t="e">
        <f t="shared" si="13"/>
        <v>#REF!</v>
      </c>
    </row>
    <row r="79" spans="1:22">
      <c r="A79" s="120" t="s">
        <v>31</v>
      </c>
      <c r="B79" s="122"/>
      <c r="C79" s="120">
        <v>0</v>
      </c>
      <c r="D79" s="120">
        <v>0</v>
      </c>
      <c r="E79" s="120">
        <v>0</v>
      </c>
      <c r="F79" s="120">
        <v>2</v>
      </c>
      <c r="G79" s="120">
        <v>0</v>
      </c>
      <c r="H79" s="120">
        <v>0</v>
      </c>
      <c r="I79" s="120">
        <v>4</v>
      </c>
      <c r="J79" s="120">
        <v>2</v>
      </c>
      <c r="K79" s="120">
        <v>0</v>
      </c>
      <c r="L79" s="122"/>
      <c r="N79" s="120">
        <v>0</v>
      </c>
      <c r="O79" s="120">
        <v>-1250</v>
      </c>
      <c r="P79" s="120">
        <v>0</v>
      </c>
      <c r="Q79" s="120">
        <v>0</v>
      </c>
      <c r="R79" s="120">
        <v>750</v>
      </c>
      <c r="S79" s="119"/>
      <c r="T79" s="120" t="e">
        <f>PRODUCT(C79,商品!#REF!)+PRODUCT(D79,商品!#REF!)+PRODUCT(E79,商品!#REF!)+F79*商品!#REF!+G79*商品!#REF!+H79*商品!#REF!+I79*商品!#REF!+J79*商品!#REF!+K79*商品!#REF!</f>
        <v>#REF!</v>
      </c>
      <c r="U79" s="120">
        <v>0</v>
      </c>
      <c r="V79" s="120" t="e">
        <f t="shared" si="13"/>
        <v>#REF!</v>
      </c>
    </row>
    <row r="80" spans="1:22">
      <c r="A80" s="120" t="s">
        <v>32</v>
      </c>
      <c r="B80" s="122"/>
      <c r="C80" s="120">
        <v>0</v>
      </c>
      <c r="D80" s="120">
        <v>0</v>
      </c>
      <c r="E80" s="120">
        <v>0</v>
      </c>
      <c r="F80" s="120">
        <v>2</v>
      </c>
      <c r="G80" s="120">
        <v>0</v>
      </c>
      <c r="H80" s="120">
        <v>0</v>
      </c>
      <c r="I80" s="120">
        <v>6</v>
      </c>
      <c r="J80" s="120">
        <v>3</v>
      </c>
      <c r="K80" s="120">
        <v>0</v>
      </c>
      <c r="L80" s="122"/>
      <c r="N80" s="120">
        <v>0</v>
      </c>
      <c r="O80" s="120">
        <v>-1750</v>
      </c>
      <c r="P80" s="120">
        <v>0</v>
      </c>
      <c r="Q80" s="120">
        <v>0</v>
      </c>
      <c r="R80" s="120">
        <v>1000</v>
      </c>
      <c r="S80" s="119"/>
      <c r="T80" s="120" t="e">
        <f>PRODUCT(C80,商品!#REF!)+PRODUCT(D80,商品!#REF!)+PRODUCT(E80,商品!#REF!)+F80*商品!#REF!+G80*商品!#REF!+H80*商品!#REF!+I80*商品!#REF!+J80*商品!#REF!+K80*商品!#REF!</f>
        <v>#REF!</v>
      </c>
      <c r="U80" s="120">
        <v>0</v>
      </c>
      <c r="V80" s="120" t="e">
        <f t="shared" si="13"/>
        <v>#REF!</v>
      </c>
    </row>
    <row r="81" spans="1:22">
      <c r="A81" s="120" t="s">
        <v>33</v>
      </c>
      <c r="B81" s="122"/>
      <c r="C81" s="120">
        <v>0</v>
      </c>
      <c r="D81" s="120">
        <v>0</v>
      </c>
      <c r="E81" s="120">
        <v>0</v>
      </c>
      <c r="F81" s="120">
        <v>5</v>
      </c>
      <c r="G81" s="120">
        <v>0</v>
      </c>
      <c r="H81" s="120">
        <v>8</v>
      </c>
      <c r="I81" s="120">
        <v>3</v>
      </c>
      <c r="J81" s="120">
        <v>2</v>
      </c>
      <c r="K81" s="120">
        <v>5</v>
      </c>
      <c r="L81" s="122"/>
      <c r="N81" s="120">
        <v>0</v>
      </c>
      <c r="O81" s="120">
        <v>-3000</v>
      </c>
      <c r="P81" s="120">
        <v>150</v>
      </c>
      <c r="Q81" s="120">
        <v>350</v>
      </c>
      <c r="R81" s="120">
        <v>400</v>
      </c>
      <c r="S81" s="119"/>
      <c r="T81" s="120" t="e">
        <f>PRODUCT(C81,商品!#REF!)+PRODUCT(D81,商品!#REF!)+PRODUCT(E81,商品!#REF!)+F81*商品!#REF!+G81*商品!#REF!+H81*商品!A14+I81*商品!#REF!+J81*商品!M5+K81*商品!#REF!</f>
        <v>#REF!</v>
      </c>
      <c r="U81" s="120">
        <v>0</v>
      </c>
      <c r="V81" s="120" t="e">
        <f t="shared" si="13"/>
        <v>#REF!</v>
      </c>
    </row>
    <row r="83" spans="1:23">
      <c r="A83" s="124" t="s">
        <v>97</v>
      </c>
      <c r="B83" s="119" t="s">
        <v>1</v>
      </c>
      <c r="C83" s="120" t="s">
        <v>50</v>
      </c>
      <c r="D83" s="120" t="s">
        <v>98</v>
      </c>
      <c r="E83" s="120" t="s">
        <v>35</v>
      </c>
      <c r="F83" s="120" t="s">
        <v>5</v>
      </c>
      <c r="G83" s="120" t="s">
        <v>3</v>
      </c>
      <c r="H83" s="120" t="s">
        <v>6</v>
      </c>
      <c r="I83" s="120" t="s">
        <v>7</v>
      </c>
      <c r="J83" s="120" t="s">
        <v>2</v>
      </c>
      <c r="K83" s="119" t="s">
        <v>8</v>
      </c>
      <c r="L83" s="120" t="s">
        <v>99</v>
      </c>
      <c r="M83" s="119" t="s">
        <v>11</v>
      </c>
      <c r="N83" s="120" t="s">
        <v>12</v>
      </c>
      <c r="O83" s="120" t="s">
        <v>41</v>
      </c>
      <c r="P83" s="120" t="s">
        <v>14</v>
      </c>
      <c r="Q83" s="120" t="s">
        <v>15</v>
      </c>
      <c r="R83" s="119" t="s">
        <v>16</v>
      </c>
      <c r="S83" s="120" t="s">
        <v>17</v>
      </c>
      <c r="T83" s="120" t="s">
        <v>18</v>
      </c>
      <c r="U83" s="120" t="s">
        <v>19</v>
      </c>
      <c r="V83" s="120" t="s">
        <v>20</v>
      </c>
      <c r="W83" s="121" t="s">
        <v>100</v>
      </c>
    </row>
    <row r="84" spans="1:23">
      <c r="A84" s="125" t="s">
        <v>101</v>
      </c>
      <c r="B84" s="119"/>
      <c r="C84" s="120">
        <v>40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19"/>
      <c r="L84" s="120">
        <v>45</v>
      </c>
      <c r="M84" s="119"/>
      <c r="N84" s="120">
        <v>4500</v>
      </c>
      <c r="O84" s="120">
        <v>0</v>
      </c>
      <c r="P84" s="120">
        <v>0</v>
      </c>
      <c r="Q84" s="120">
        <v>0</v>
      </c>
      <c r="R84" s="119"/>
      <c r="S84" s="120">
        <f>C84*商品!F11+D84*商品!J15+E84*商品!L9+F84*商品!I3+G84*商品!F15+H84*商品!N5+I84*商品!L15+J84*商品!P9</f>
        <v>800</v>
      </c>
      <c r="T84" s="120">
        <f>L84*商品!H3</f>
        <v>1575</v>
      </c>
      <c r="U84" s="120">
        <f t="shared" ref="U84:U93" si="15">SUM(-S84,T84)</f>
        <v>775</v>
      </c>
      <c r="V84" s="120">
        <f>U84/(N84+O84+P84+Q84)</f>
        <v>0.172222222222222</v>
      </c>
      <c r="W84" s="120">
        <f>U84/S84</f>
        <v>0.96875</v>
      </c>
    </row>
    <row r="85" spans="1:23">
      <c r="A85" s="120" t="s">
        <v>102</v>
      </c>
      <c r="B85" s="119"/>
      <c r="C85" s="120">
        <v>60</v>
      </c>
      <c r="D85" s="120">
        <v>30</v>
      </c>
      <c r="E85" s="120">
        <v>0</v>
      </c>
      <c r="F85" s="120">
        <v>0</v>
      </c>
      <c r="G85" s="120">
        <v>0</v>
      </c>
      <c r="H85" s="120">
        <v>0</v>
      </c>
      <c r="I85" s="120">
        <v>0</v>
      </c>
      <c r="J85" s="120">
        <v>0</v>
      </c>
      <c r="K85" s="119"/>
      <c r="L85" s="120">
        <v>120</v>
      </c>
      <c r="M85" s="119"/>
      <c r="N85" s="120">
        <v>3500</v>
      </c>
      <c r="O85" s="120">
        <v>300</v>
      </c>
      <c r="P85" s="120">
        <v>200</v>
      </c>
      <c r="Q85" s="120">
        <v>0</v>
      </c>
      <c r="R85" s="119"/>
      <c r="S85" s="120" t="e">
        <f>C85*商品!#REF!+D85*商品!C32+E85*商品!#REF!+F85*商品!#REF!+G85*商品!#REF!+H85*商品!#REF!+I85*商品!#REF!+J85*商品!#REF!</f>
        <v>#REF!</v>
      </c>
      <c r="T85" s="120">
        <f>L85*商品!B32</f>
        <v>0</v>
      </c>
      <c r="U85" s="120" t="e">
        <f t="shared" si="15"/>
        <v>#REF!</v>
      </c>
      <c r="V85" s="120" t="e">
        <f>U85/(N85+O85+P85+Q85)</f>
        <v>#REF!</v>
      </c>
      <c r="W85" s="120" t="e">
        <f t="shared" ref="W85:W93" si="16">U85/S85</f>
        <v>#REF!</v>
      </c>
    </row>
    <row r="86" spans="1:23">
      <c r="A86" s="120" t="s">
        <v>103</v>
      </c>
      <c r="B86" s="119"/>
      <c r="C86" s="120">
        <v>60</v>
      </c>
      <c r="D86" s="120">
        <v>30</v>
      </c>
      <c r="E86" s="120">
        <v>15</v>
      </c>
      <c r="F86" s="120">
        <v>0</v>
      </c>
      <c r="G86" s="120">
        <v>0</v>
      </c>
      <c r="H86" s="120">
        <v>0</v>
      </c>
      <c r="I86" s="120">
        <v>0</v>
      </c>
      <c r="J86" s="120">
        <v>0</v>
      </c>
      <c r="K86" s="119"/>
      <c r="L86" s="120">
        <v>160</v>
      </c>
      <c r="M86" s="119"/>
      <c r="N86" s="120">
        <v>3000</v>
      </c>
      <c r="O86" s="120">
        <v>200</v>
      </c>
      <c r="P86" s="120">
        <v>300</v>
      </c>
      <c r="Q86" s="120">
        <v>0</v>
      </c>
      <c r="R86" s="119"/>
      <c r="S86" s="120" t="e">
        <f>C86*商品!#REF!+D86*商品!C33+E86*商品!#REF!+F86*商品!#REF!+G86*商品!A8+H86*商品!#REF!+I86*商品!#REF!+J86*商品!#REF!</f>
        <v>#REF!</v>
      </c>
      <c r="T86" s="120">
        <f>L86*商品!B33</f>
        <v>0</v>
      </c>
      <c r="U86" s="120" t="e">
        <f t="shared" si="15"/>
        <v>#REF!</v>
      </c>
      <c r="V86" s="120" t="e">
        <f>U86/(N86+O86+P86+Q86)</f>
        <v>#REF!</v>
      </c>
      <c r="W86" s="120" t="e">
        <f t="shared" si="16"/>
        <v>#REF!</v>
      </c>
    </row>
    <row r="87" spans="1:23">
      <c r="A87" s="120" t="s">
        <v>28</v>
      </c>
      <c r="B87" s="119"/>
      <c r="C87" s="120">
        <v>0</v>
      </c>
      <c r="D87" s="120">
        <v>0</v>
      </c>
      <c r="E87" s="120">
        <v>0</v>
      </c>
      <c r="F87" s="120">
        <v>5</v>
      </c>
      <c r="G87" s="120">
        <v>5</v>
      </c>
      <c r="H87" s="120">
        <v>0</v>
      </c>
      <c r="I87" s="120">
        <v>0</v>
      </c>
      <c r="J87" s="120">
        <v>0</v>
      </c>
      <c r="K87" s="119"/>
      <c r="L87" s="120">
        <v>0</v>
      </c>
      <c r="M87" s="119"/>
      <c r="N87" s="120">
        <v>-500</v>
      </c>
      <c r="O87" s="120">
        <v>350</v>
      </c>
      <c r="P87" s="120">
        <v>150</v>
      </c>
      <c r="Q87" s="120">
        <v>0</v>
      </c>
      <c r="R87" s="119"/>
      <c r="S87" s="120" t="e">
        <f>C87*商品!#REF!+D87*商品!C34+E87*商品!#REF!+F87*商品!#REF!+G87*商品!#REF!+H87*商品!#REF!+I87*商品!#REF!+J87*商品!#REF!</f>
        <v>#REF!</v>
      </c>
      <c r="T87" s="120">
        <f>L87*商品!B34</f>
        <v>0</v>
      </c>
      <c r="U87" s="120" t="e">
        <f t="shared" si="15"/>
        <v>#REF!</v>
      </c>
      <c r="V87" s="120" t="e">
        <f t="shared" ref="V87:V93" si="17">U87/(N87+O87+P87+Q87)</f>
        <v>#REF!</v>
      </c>
      <c r="W87" s="120" t="e">
        <f t="shared" si="16"/>
        <v>#REF!</v>
      </c>
    </row>
    <row r="88" spans="1:23">
      <c r="A88" s="120" t="s">
        <v>29</v>
      </c>
      <c r="B88" s="119"/>
      <c r="C88" s="120">
        <v>0</v>
      </c>
      <c r="D88" s="120">
        <v>0</v>
      </c>
      <c r="E88" s="120">
        <v>0</v>
      </c>
      <c r="F88" s="120">
        <v>5</v>
      </c>
      <c r="G88" s="120">
        <v>5</v>
      </c>
      <c r="H88" s="120">
        <v>0</v>
      </c>
      <c r="I88" s="120">
        <v>0</v>
      </c>
      <c r="J88" s="120">
        <v>0</v>
      </c>
      <c r="K88" s="119"/>
      <c r="L88" s="120">
        <v>0</v>
      </c>
      <c r="M88" s="119"/>
      <c r="N88" s="120">
        <v>-750</v>
      </c>
      <c r="O88" s="120">
        <v>250</v>
      </c>
      <c r="P88" s="120">
        <v>250</v>
      </c>
      <c r="Q88" s="120">
        <v>0</v>
      </c>
      <c r="R88" s="119"/>
      <c r="S88" s="120" t="e">
        <f>C88*商品!#REF!+D88*商品!C35+E88*商品!#REF!+F88*商品!#REF!+G88*商品!#REF!+H88*商品!#REF!+I88*商品!#REF!+J88*商品!#REF!</f>
        <v>#REF!</v>
      </c>
      <c r="T88" s="120">
        <f>L88*商品!B35</f>
        <v>0</v>
      </c>
      <c r="U88" s="120" t="e">
        <f t="shared" si="15"/>
        <v>#REF!</v>
      </c>
      <c r="V88" s="120" t="e">
        <f t="shared" si="17"/>
        <v>#REF!</v>
      </c>
      <c r="W88" s="120" t="e">
        <f t="shared" si="16"/>
        <v>#REF!</v>
      </c>
    </row>
    <row r="89" spans="1:23">
      <c r="A89" s="120" t="s">
        <v>59</v>
      </c>
      <c r="B89" s="119"/>
      <c r="C89" s="120">
        <v>0</v>
      </c>
      <c r="D89" s="120">
        <v>0</v>
      </c>
      <c r="E89" s="120">
        <v>0</v>
      </c>
      <c r="F89" s="120">
        <v>10</v>
      </c>
      <c r="G89" s="120">
        <v>10</v>
      </c>
      <c r="H89" s="120">
        <v>0</v>
      </c>
      <c r="I89" s="120">
        <v>0</v>
      </c>
      <c r="J89" s="120">
        <v>5</v>
      </c>
      <c r="K89" s="119"/>
      <c r="L89" s="120">
        <v>0</v>
      </c>
      <c r="M89" s="119"/>
      <c r="N89" s="120">
        <v>-1250</v>
      </c>
      <c r="O89" s="120">
        <v>150</v>
      </c>
      <c r="P89" s="120">
        <v>350</v>
      </c>
      <c r="Q89" s="120">
        <v>0</v>
      </c>
      <c r="R89" s="119"/>
      <c r="S89" s="120" t="e">
        <f>C89*商品!#REF!+D89*商品!C36+E89*商品!M10+F89*商品!#REF!+G89*商品!A14+H89*商品!M5+I89*商品!#REF!+J89*商品!#REF!</f>
        <v>#REF!</v>
      </c>
      <c r="T89" s="120">
        <f>L89*商品!B36</f>
        <v>0</v>
      </c>
      <c r="U89" s="120" t="e">
        <f t="shared" si="15"/>
        <v>#REF!</v>
      </c>
      <c r="V89" s="120" t="e">
        <f t="shared" si="17"/>
        <v>#REF!</v>
      </c>
      <c r="W89" s="120" t="e">
        <f t="shared" si="16"/>
        <v>#REF!</v>
      </c>
    </row>
    <row r="90" spans="1:23">
      <c r="A90" s="120" t="s">
        <v>30</v>
      </c>
      <c r="B90" s="119"/>
      <c r="C90" s="120">
        <v>0</v>
      </c>
      <c r="D90" s="120">
        <v>0</v>
      </c>
      <c r="E90" s="120">
        <v>0</v>
      </c>
      <c r="F90" s="120">
        <v>5</v>
      </c>
      <c r="G90" s="120">
        <v>0</v>
      </c>
      <c r="H90" s="120">
        <v>1</v>
      </c>
      <c r="I90" s="120">
        <v>3</v>
      </c>
      <c r="J90" s="120">
        <v>0</v>
      </c>
      <c r="K90" s="119"/>
      <c r="L90" s="120">
        <v>0</v>
      </c>
      <c r="M90" s="119"/>
      <c r="N90" s="120">
        <v>-500</v>
      </c>
      <c r="O90" s="120">
        <v>0</v>
      </c>
      <c r="P90" s="120">
        <v>0</v>
      </c>
      <c r="Q90" s="120">
        <v>500</v>
      </c>
      <c r="R90" s="119"/>
      <c r="S90" s="120" t="e">
        <f>C90*商品!#REF!+D90*商品!C37+E90*商品!#REF!+F90*商品!#REF!+G90*商品!#REF!+H90*商品!#REF!+I90*商品!#REF!+J90*商品!#REF!</f>
        <v>#REF!</v>
      </c>
      <c r="T90" s="120">
        <f>L90*商品!B37</f>
        <v>0</v>
      </c>
      <c r="U90" s="120" t="e">
        <f t="shared" si="15"/>
        <v>#REF!</v>
      </c>
      <c r="V90" s="120" t="e">
        <f t="shared" si="17"/>
        <v>#REF!</v>
      </c>
      <c r="W90" s="120" t="e">
        <f t="shared" si="16"/>
        <v>#REF!</v>
      </c>
    </row>
    <row r="91" spans="1:23">
      <c r="A91" s="120" t="s">
        <v>31</v>
      </c>
      <c r="B91" s="119"/>
      <c r="C91" s="120">
        <v>0</v>
      </c>
      <c r="D91" s="120">
        <v>0</v>
      </c>
      <c r="E91" s="120">
        <v>0</v>
      </c>
      <c r="F91" s="120">
        <v>5</v>
      </c>
      <c r="G91" s="120">
        <v>0</v>
      </c>
      <c r="H91" s="120">
        <v>2</v>
      </c>
      <c r="I91" s="120">
        <v>5</v>
      </c>
      <c r="J91" s="120">
        <v>0</v>
      </c>
      <c r="K91" s="119"/>
      <c r="L91" s="120">
        <v>0</v>
      </c>
      <c r="M91" s="119"/>
      <c r="N91" s="120">
        <v>-1250</v>
      </c>
      <c r="O91" s="120">
        <v>0</v>
      </c>
      <c r="P91" s="120">
        <v>0</v>
      </c>
      <c r="Q91" s="120">
        <v>750</v>
      </c>
      <c r="R91" s="119"/>
      <c r="S91" s="120" t="e">
        <f>C91*商品!#REF!+D91*商品!C38+E91*商品!#REF!+F91*商品!#REF!+G91*商品!#REF!+H91*商品!#REF!+I91*商品!#REF!+J91*商品!#REF!</f>
        <v>#REF!</v>
      </c>
      <c r="T91" s="120">
        <f>L91*商品!B38</f>
        <v>0</v>
      </c>
      <c r="U91" s="120" t="e">
        <f t="shared" si="15"/>
        <v>#REF!</v>
      </c>
      <c r="V91" s="120" t="e">
        <f t="shared" si="17"/>
        <v>#REF!</v>
      </c>
      <c r="W91" s="120" t="e">
        <f t="shared" si="16"/>
        <v>#REF!</v>
      </c>
    </row>
    <row r="92" spans="1:23">
      <c r="A92" s="120" t="s">
        <v>32</v>
      </c>
      <c r="B92" s="119"/>
      <c r="C92" s="120">
        <v>0</v>
      </c>
      <c r="D92" s="120">
        <v>0</v>
      </c>
      <c r="E92" s="120">
        <v>0</v>
      </c>
      <c r="F92" s="120">
        <v>5</v>
      </c>
      <c r="G92" s="120">
        <v>0</v>
      </c>
      <c r="H92" s="120">
        <v>3</v>
      </c>
      <c r="I92" s="120">
        <v>7</v>
      </c>
      <c r="J92" s="120">
        <v>0</v>
      </c>
      <c r="K92" s="119"/>
      <c r="L92" s="120">
        <v>0</v>
      </c>
      <c r="M92" s="119"/>
      <c r="N92" s="120">
        <v>-1750</v>
      </c>
      <c r="O92" s="120">
        <v>0</v>
      </c>
      <c r="P92" s="120">
        <v>0</v>
      </c>
      <c r="Q92" s="120">
        <v>1000</v>
      </c>
      <c r="R92" s="119"/>
      <c r="S92" s="120" t="e">
        <f>C92*商品!#REF!+D92*商品!C38+E92*商品!#REF!+F92*商品!#REF!+G92*商品!#REF!+H92*商品!#REF!+I92*商品!#REF!+J92*商品!#REF!</f>
        <v>#REF!</v>
      </c>
      <c r="T92" s="120">
        <f>L92*商品!B38</f>
        <v>0</v>
      </c>
      <c r="U92" s="120" t="e">
        <f t="shared" si="15"/>
        <v>#REF!</v>
      </c>
      <c r="V92" s="120" t="e">
        <f t="shared" si="17"/>
        <v>#REF!</v>
      </c>
      <c r="W92" s="120" t="e">
        <f t="shared" si="16"/>
        <v>#REF!</v>
      </c>
    </row>
    <row r="93" spans="1:23">
      <c r="A93" s="120" t="s">
        <v>33</v>
      </c>
      <c r="B93" s="119"/>
      <c r="C93" s="120">
        <v>0</v>
      </c>
      <c r="D93" s="120">
        <v>0</v>
      </c>
      <c r="E93" s="120">
        <v>0</v>
      </c>
      <c r="F93" s="120">
        <v>10</v>
      </c>
      <c r="G93" s="120">
        <v>10</v>
      </c>
      <c r="H93" s="120">
        <v>2</v>
      </c>
      <c r="I93" s="120">
        <v>4</v>
      </c>
      <c r="J93" s="120">
        <v>5</v>
      </c>
      <c r="K93" s="119"/>
      <c r="L93" s="120">
        <v>0</v>
      </c>
      <c r="M93" s="119"/>
      <c r="N93" s="120">
        <v>-3000</v>
      </c>
      <c r="O93" s="120">
        <v>150</v>
      </c>
      <c r="P93" s="120">
        <v>350</v>
      </c>
      <c r="Q93" s="120">
        <v>400</v>
      </c>
      <c r="R93" s="119"/>
      <c r="S93" s="120" t="e">
        <f>C93*商品!#REF!+D93*商品!C39+E93*商品!N16+F93*商品!#REF!+G93*商品!A16+H93*商品!I16+I93*商品!G19+J93*商品!#REF!</f>
        <v>#REF!</v>
      </c>
      <c r="T93" s="120">
        <f>L93*商品!B39</f>
        <v>0</v>
      </c>
      <c r="U93" s="120" t="e">
        <f t="shared" si="15"/>
        <v>#REF!</v>
      </c>
      <c r="V93" s="120" t="e">
        <f t="shared" si="17"/>
        <v>#REF!</v>
      </c>
      <c r="W93" s="120" t="e">
        <f t="shared" si="16"/>
        <v>#REF!</v>
      </c>
    </row>
    <row r="95" spans="1:23">
      <c r="A95" s="127" t="s">
        <v>104</v>
      </c>
      <c r="B95" s="119" t="s">
        <v>1</v>
      </c>
      <c r="C95" s="120" t="s">
        <v>2</v>
      </c>
      <c r="D95" s="121" t="s">
        <v>105</v>
      </c>
      <c r="E95" s="121" t="s">
        <v>92</v>
      </c>
      <c r="F95" s="121" t="s">
        <v>3</v>
      </c>
      <c r="G95" s="121" t="s">
        <v>5</v>
      </c>
      <c r="H95" s="120" t="s">
        <v>6</v>
      </c>
      <c r="I95" s="120" t="s">
        <v>7</v>
      </c>
      <c r="J95" s="121" t="s">
        <v>106</v>
      </c>
      <c r="K95" s="121" t="s">
        <v>10</v>
      </c>
      <c r="L95" s="119" t="s">
        <v>8</v>
      </c>
      <c r="M95" s="121" t="s">
        <v>107</v>
      </c>
      <c r="N95" s="119" t="s">
        <v>11</v>
      </c>
      <c r="O95" s="121" t="s">
        <v>13</v>
      </c>
      <c r="P95" s="121" t="s">
        <v>14</v>
      </c>
      <c r="Q95" s="120" t="s">
        <v>12</v>
      </c>
      <c r="R95" s="121" t="s">
        <v>15</v>
      </c>
      <c r="S95" s="119" t="s">
        <v>16</v>
      </c>
      <c r="T95" s="120" t="s">
        <v>17</v>
      </c>
      <c r="U95" s="120" t="s">
        <v>18</v>
      </c>
      <c r="V95" s="120" t="s">
        <v>19</v>
      </c>
      <c r="W95" s="121" t="s">
        <v>20</v>
      </c>
    </row>
    <row r="96" spans="1:23">
      <c r="A96" s="121" t="s">
        <v>108</v>
      </c>
      <c r="B96" s="119"/>
      <c r="C96" s="120">
        <v>0</v>
      </c>
      <c r="D96" s="120">
        <v>40</v>
      </c>
      <c r="E96" s="120">
        <v>0</v>
      </c>
      <c r="F96" s="120">
        <v>0</v>
      </c>
      <c r="G96" s="120">
        <v>0</v>
      </c>
      <c r="H96" s="120">
        <v>0</v>
      </c>
      <c r="I96" s="120">
        <v>0</v>
      </c>
      <c r="J96" s="120">
        <v>0</v>
      </c>
      <c r="K96" s="120">
        <v>0</v>
      </c>
      <c r="L96" s="119"/>
      <c r="M96" s="120">
        <v>45</v>
      </c>
      <c r="N96" s="119"/>
      <c r="O96" s="120">
        <v>0</v>
      </c>
      <c r="P96" s="120">
        <v>0</v>
      </c>
      <c r="Q96" s="120">
        <v>4500</v>
      </c>
      <c r="R96" s="120">
        <v>0</v>
      </c>
      <c r="S96" s="119"/>
      <c r="T96" s="120">
        <f>PRODUCT(C96,商品!P9)+PRODUCT(D96,商品!F9)+PRODUCT(E96,商品!K9)+PRODUCT(F96,商品!F15)+PRODUCT(G96,商品!I3)+PRODUCT(H96,商品!N5)+PRODUCT(I96,商品!L15)+PRODUCT(J96,商品!A34)+PRODUCT(K96,商品!G15)</f>
        <v>800</v>
      </c>
      <c r="U96" s="120">
        <f>PRODUCT(M96,商品!F3)</f>
        <v>1350</v>
      </c>
      <c r="V96" s="120">
        <f t="shared" ref="V96:V105" si="18">SUM(-T96,U96)</f>
        <v>550</v>
      </c>
      <c r="W96" s="120">
        <f t="shared" ref="W96:W99" si="19">V96/(O96+P96+Q96+R96)</f>
        <v>0.122222222222222</v>
      </c>
    </row>
    <row r="97" spans="1:23">
      <c r="A97" s="121" t="s">
        <v>109</v>
      </c>
      <c r="B97" s="119"/>
      <c r="C97" s="120">
        <v>0</v>
      </c>
      <c r="D97" s="120">
        <v>40</v>
      </c>
      <c r="E97" s="120">
        <v>15</v>
      </c>
      <c r="F97" s="120">
        <v>0</v>
      </c>
      <c r="G97" s="120">
        <v>0</v>
      </c>
      <c r="H97" s="120">
        <v>0</v>
      </c>
      <c r="I97" s="120">
        <v>0</v>
      </c>
      <c r="J97" s="120">
        <v>0</v>
      </c>
      <c r="K97" s="120">
        <v>0</v>
      </c>
      <c r="L97" s="119"/>
      <c r="M97" s="120">
        <v>70</v>
      </c>
      <c r="N97" s="119"/>
      <c r="O97" s="120">
        <v>300</v>
      </c>
      <c r="P97" s="120">
        <v>200</v>
      </c>
      <c r="Q97" s="120">
        <v>3500</v>
      </c>
      <c r="R97" s="120">
        <v>0</v>
      </c>
      <c r="S97" s="119"/>
      <c r="T97" s="120" t="e">
        <f>PRODUCT(C97,商品!#REF!)+PRODUCT(D97,商品!#REF!)+PRODUCT(E97,商品!#REF!)+PRODUCT(F97,商品!#REF!)+PRODUCT(G97,商品!#REF!)+PRODUCT(H97,商品!#REF!)+PRODUCT(I97,商品!#REF!)+PRODUCT(J97,商品!A35)+PRODUCT(K97,商品!#REF!)</f>
        <v>#REF!</v>
      </c>
      <c r="U97" s="120">
        <f>PRODUCT(M97,商品!D32)</f>
        <v>70</v>
      </c>
      <c r="V97" s="120" t="e">
        <f t="shared" si="18"/>
        <v>#REF!</v>
      </c>
      <c r="W97" s="120" t="e">
        <f t="shared" si="19"/>
        <v>#REF!</v>
      </c>
    </row>
    <row r="98" spans="1:23">
      <c r="A98" s="121" t="s">
        <v>110</v>
      </c>
      <c r="B98" s="119"/>
      <c r="C98" s="120">
        <v>0</v>
      </c>
      <c r="D98" s="120">
        <v>65</v>
      </c>
      <c r="E98" s="120">
        <v>30</v>
      </c>
      <c r="F98" s="120">
        <v>0</v>
      </c>
      <c r="G98" s="120">
        <v>0</v>
      </c>
      <c r="H98" s="120">
        <v>0</v>
      </c>
      <c r="I98" s="120">
        <v>0</v>
      </c>
      <c r="J98" s="120">
        <v>0</v>
      </c>
      <c r="K98" s="120">
        <v>0</v>
      </c>
      <c r="L98" s="119"/>
      <c r="M98" s="120">
        <v>120</v>
      </c>
      <c r="N98" s="119"/>
      <c r="O98" s="120">
        <v>200</v>
      </c>
      <c r="P98" s="120">
        <v>300</v>
      </c>
      <c r="Q98" s="120">
        <v>3000</v>
      </c>
      <c r="R98" s="120">
        <v>0</v>
      </c>
      <c r="S98" s="119"/>
      <c r="T98" s="120" t="e">
        <f>PRODUCT(C98,商品!#REF!)+PRODUCT(D98,商品!#REF!)+PRODUCT(E98,商品!#REF!)+PRODUCT(F98,商品!A8)+PRODUCT(G98,商品!#REF!)+PRODUCT(H98,商品!#REF!)+PRODUCT(I98,商品!#REF!)+PRODUCT(J98,商品!A36)+PRODUCT(K98,商品!C8)</f>
        <v>#REF!</v>
      </c>
      <c r="U98" s="120">
        <f>PRODUCT(M98,商品!D33)</f>
        <v>120</v>
      </c>
      <c r="V98" s="120" t="e">
        <f t="shared" si="18"/>
        <v>#REF!</v>
      </c>
      <c r="W98" s="120" t="e">
        <f t="shared" si="19"/>
        <v>#REF!</v>
      </c>
    </row>
    <row r="99" spans="1:23">
      <c r="A99" s="121" t="s">
        <v>111</v>
      </c>
      <c r="B99" s="119"/>
      <c r="C99" s="120">
        <v>0</v>
      </c>
      <c r="D99" s="120">
        <v>0</v>
      </c>
      <c r="E99" s="120">
        <v>0</v>
      </c>
      <c r="F99" s="120">
        <v>0</v>
      </c>
      <c r="G99" s="120">
        <v>0</v>
      </c>
      <c r="H99" s="120">
        <v>0</v>
      </c>
      <c r="I99" s="120">
        <v>0</v>
      </c>
      <c r="J99" s="120">
        <v>0</v>
      </c>
      <c r="K99" s="120">
        <v>0</v>
      </c>
      <c r="L99" s="119"/>
      <c r="M99" s="120">
        <v>0</v>
      </c>
      <c r="N99" s="119"/>
      <c r="O99" s="120">
        <v>0</v>
      </c>
      <c r="P99" s="120">
        <v>0</v>
      </c>
      <c r="Q99" s="120">
        <v>0</v>
      </c>
      <c r="R99" s="120">
        <v>0</v>
      </c>
      <c r="S99" s="119"/>
      <c r="T99" s="120" t="e">
        <f>PRODUCT(C99,商品!#REF!)+PRODUCT(D99,商品!#REF!)+PRODUCT(E99,商品!#REF!)+PRODUCT(F99,商品!#REF!)+PRODUCT(G99,商品!#REF!)+PRODUCT(H99,商品!#REF!)+PRODUCT(I99,商品!#REF!)+PRODUCT(J99,商品!A37)+PRODUCT(K99,商品!#REF!)</f>
        <v>#REF!</v>
      </c>
      <c r="U99" s="120">
        <f>PRODUCT(M99,商品!D34)</f>
        <v>0</v>
      </c>
      <c r="V99" s="120" t="e">
        <f t="shared" si="18"/>
        <v>#REF!</v>
      </c>
      <c r="W99" s="120">
        <v>0</v>
      </c>
    </row>
    <row r="100" spans="1:23">
      <c r="A100" s="121" t="s">
        <v>112</v>
      </c>
      <c r="B100" s="119"/>
      <c r="C100" s="120">
        <v>0</v>
      </c>
      <c r="D100" s="120">
        <v>0</v>
      </c>
      <c r="E100" s="120">
        <v>0</v>
      </c>
      <c r="F100" s="120">
        <v>0</v>
      </c>
      <c r="G100" s="120">
        <v>0</v>
      </c>
      <c r="H100" s="120">
        <v>0</v>
      </c>
      <c r="I100" s="120">
        <v>0</v>
      </c>
      <c r="J100" s="120">
        <v>15</v>
      </c>
      <c r="K100" s="120">
        <v>0</v>
      </c>
      <c r="L100" s="119"/>
      <c r="M100" s="120">
        <v>25</v>
      </c>
      <c r="N100" s="119"/>
      <c r="O100" s="120">
        <v>200</v>
      </c>
      <c r="P100" s="120">
        <v>100</v>
      </c>
      <c r="Q100" s="120">
        <v>0</v>
      </c>
      <c r="R100" s="120">
        <v>0</v>
      </c>
      <c r="S100" s="119"/>
      <c r="T100" s="120" t="e">
        <f>PRODUCT(C100,商品!#REF!)+PRODUCT(D100,商品!#REF!)+PRODUCT(E100,商品!#REF!)+PRODUCT(F100,商品!#REF!)+PRODUCT(G100,商品!#REF!)+PRODUCT(H100,商品!#REF!)+PRODUCT(I100,商品!#REF!)+PRODUCT(J100,商品!A38)+PRODUCT(K100,商品!#REF!)</f>
        <v>#REF!</v>
      </c>
      <c r="U100" s="120">
        <f>PRODUCT(M100,商品!D35)</f>
        <v>25</v>
      </c>
      <c r="V100" s="120" t="e">
        <f t="shared" si="18"/>
        <v>#REF!</v>
      </c>
      <c r="W100" s="120" t="e">
        <f>V100/(O100+P100+Q100+R100)</f>
        <v>#REF!</v>
      </c>
    </row>
    <row r="101" spans="1:23">
      <c r="A101" s="121" t="s">
        <v>113</v>
      </c>
      <c r="B101" s="119"/>
      <c r="C101" s="120">
        <v>0</v>
      </c>
      <c r="D101" s="120">
        <v>0</v>
      </c>
      <c r="E101" s="120">
        <v>0</v>
      </c>
      <c r="F101" s="120">
        <v>0</v>
      </c>
      <c r="G101" s="120">
        <v>0</v>
      </c>
      <c r="H101" s="120">
        <v>0</v>
      </c>
      <c r="I101" s="120">
        <v>0</v>
      </c>
      <c r="J101" s="120">
        <v>30</v>
      </c>
      <c r="K101" s="120">
        <v>10</v>
      </c>
      <c r="L101" s="119"/>
      <c r="M101" s="120">
        <v>60</v>
      </c>
      <c r="N101" s="119"/>
      <c r="O101" s="120">
        <v>100</v>
      </c>
      <c r="P101" s="120">
        <v>200</v>
      </c>
      <c r="Q101" s="120">
        <v>0</v>
      </c>
      <c r="R101" s="120">
        <v>0</v>
      </c>
      <c r="S101" s="119"/>
      <c r="T101" s="120" t="e">
        <f>PRODUCT(C101,商品!#REF!)+PRODUCT(D101,商品!#REF!)+PRODUCT(E101,商品!#REF!)+PRODUCT(F101,商品!A14)+PRODUCT(G101,商品!#REF!)+PRODUCT(H101,商品!M5)+PRODUCT(I101,商品!#REF!)+PRODUCT(J101,商品!A39)+PRODUCT(K101,商品!C14)</f>
        <v>#REF!</v>
      </c>
      <c r="U101" s="120">
        <f>PRODUCT(M101,商品!D36)</f>
        <v>60</v>
      </c>
      <c r="V101" s="120" t="e">
        <f t="shared" si="18"/>
        <v>#REF!</v>
      </c>
      <c r="W101" s="120" t="e">
        <f>V101/(O101+P101+Q101+R101)</f>
        <v>#REF!</v>
      </c>
    </row>
    <row r="102" spans="1:22">
      <c r="A102" s="121" t="s">
        <v>114</v>
      </c>
      <c r="B102" s="119"/>
      <c r="C102" s="120">
        <v>0</v>
      </c>
      <c r="D102" s="120">
        <v>0</v>
      </c>
      <c r="E102" s="120">
        <v>0</v>
      </c>
      <c r="F102" s="120">
        <v>0</v>
      </c>
      <c r="G102" s="120">
        <v>0</v>
      </c>
      <c r="H102" s="120">
        <v>0</v>
      </c>
      <c r="I102" s="120">
        <v>0</v>
      </c>
      <c r="J102" s="120">
        <v>0</v>
      </c>
      <c r="K102" s="120">
        <v>0</v>
      </c>
      <c r="L102" s="119"/>
      <c r="M102" s="120">
        <v>0</v>
      </c>
      <c r="N102" s="119"/>
      <c r="O102" s="120">
        <v>0</v>
      </c>
      <c r="P102" s="120">
        <v>0</v>
      </c>
      <c r="Q102" s="120">
        <v>0</v>
      </c>
      <c r="R102" s="120">
        <v>0</v>
      </c>
      <c r="S102" s="119"/>
      <c r="T102" s="120" t="e">
        <f>PRODUCT(C102,商品!#REF!)+PRODUCT(D102,商品!#REF!)+PRODUCT(E102,商品!#REF!)+PRODUCT(F102,商品!#REF!)+PRODUCT(G102,商品!#REF!)+PRODUCT(H102,商品!#REF!)+PRODUCT(I102,商品!#REF!)+PRODUCT(J102,商品!A40)+PRODUCT(K102,商品!#REF!)</f>
        <v>#REF!</v>
      </c>
      <c r="U102" s="120">
        <f>PRODUCT(M102,商品!D37)</f>
        <v>0</v>
      </c>
      <c r="V102" s="120" t="e">
        <f t="shared" si="18"/>
        <v>#REF!</v>
      </c>
    </row>
    <row r="103" spans="1:22">
      <c r="A103" s="121" t="s">
        <v>115</v>
      </c>
      <c r="B103" s="119"/>
      <c r="C103" s="120">
        <v>0</v>
      </c>
      <c r="D103" s="120">
        <v>0</v>
      </c>
      <c r="E103" s="120">
        <v>0</v>
      </c>
      <c r="F103" s="120">
        <v>0</v>
      </c>
      <c r="G103" s="120">
        <v>10</v>
      </c>
      <c r="H103" s="120">
        <v>0</v>
      </c>
      <c r="I103" s="120">
        <v>0</v>
      </c>
      <c r="J103" s="120">
        <v>0</v>
      </c>
      <c r="K103" s="120">
        <v>0</v>
      </c>
      <c r="L103" s="119"/>
      <c r="M103" s="120">
        <v>10</v>
      </c>
      <c r="N103" s="119"/>
      <c r="O103" s="120">
        <v>150</v>
      </c>
      <c r="P103" s="120">
        <v>100</v>
      </c>
      <c r="Q103" s="120">
        <v>-1000</v>
      </c>
      <c r="R103" s="120">
        <v>0</v>
      </c>
      <c r="S103" s="119"/>
      <c r="T103" s="120" t="e">
        <f>PRODUCT(C103,商品!#REF!)+PRODUCT(D103,商品!#REF!)+PRODUCT(E103,商品!#REF!)+PRODUCT(F103,商品!#REF!)+PRODUCT(G103,商品!#REF!)+PRODUCT(H103,商品!#REF!)+PRODUCT(I103,商品!#REF!)+PRODUCT(J103,商品!A41)+PRODUCT(K103,商品!#REF!)</f>
        <v>#REF!</v>
      </c>
      <c r="U103" s="120">
        <f>PRODUCT(M103,商品!D38)</f>
        <v>10</v>
      </c>
      <c r="V103" s="120" t="e">
        <f t="shared" si="18"/>
        <v>#REF!</v>
      </c>
    </row>
    <row r="104" spans="1:22">
      <c r="A104" s="120" t="s">
        <v>31</v>
      </c>
      <c r="B104" s="119"/>
      <c r="C104" s="120">
        <v>0</v>
      </c>
      <c r="D104" s="120">
        <v>0</v>
      </c>
      <c r="E104" s="120">
        <v>0</v>
      </c>
      <c r="F104" s="120">
        <v>0</v>
      </c>
      <c r="G104" s="120">
        <v>5</v>
      </c>
      <c r="H104" s="120">
        <v>2</v>
      </c>
      <c r="I104" s="120">
        <v>5</v>
      </c>
      <c r="J104" s="120">
        <v>0</v>
      </c>
      <c r="K104" s="120">
        <v>0</v>
      </c>
      <c r="L104" s="119"/>
      <c r="M104" s="120">
        <v>0</v>
      </c>
      <c r="N104" s="119"/>
      <c r="O104" s="120">
        <v>0</v>
      </c>
      <c r="P104" s="120">
        <v>0</v>
      </c>
      <c r="Q104" s="120">
        <v>-1250</v>
      </c>
      <c r="R104" s="120">
        <v>0</v>
      </c>
      <c r="S104" s="119"/>
      <c r="T104" s="120" t="e">
        <f>PRODUCT(C104,商品!#REF!)+PRODUCT(D104,商品!#REF!)+PRODUCT(E104,商品!#REF!)+PRODUCT(F104,商品!A16)+PRODUCT(G104,商品!#REF!)+PRODUCT(H104,商品!I16)+PRODUCT(I104,商品!G19)+PRODUCT(J104,商品!A42)+PRODUCT(K104,商品!C16)</f>
        <v>#REF!</v>
      </c>
      <c r="U104" s="120">
        <f>PRODUCT(M104,商品!D39)</f>
        <v>0</v>
      </c>
      <c r="V104" s="120" t="e">
        <f t="shared" si="18"/>
        <v>#REF!</v>
      </c>
    </row>
    <row r="105" spans="1:22">
      <c r="A105" s="120" t="s">
        <v>33</v>
      </c>
      <c r="B105" s="119"/>
      <c r="C105" s="120">
        <v>5</v>
      </c>
      <c r="D105" s="120">
        <v>0</v>
      </c>
      <c r="E105" s="120">
        <v>0</v>
      </c>
      <c r="F105" s="120">
        <v>10</v>
      </c>
      <c r="G105" s="120">
        <v>10</v>
      </c>
      <c r="H105" s="120">
        <v>2</v>
      </c>
      <c r="I105" s="120">
        <v>4</v>
      </c>
      <c r="J105" s="120">
        <v>0</v>
      </c>
      <c r="K105" s="120">
        <v>0</v>
      </c>
      <c r="L105" s="119"/>
      <c r="M105" s="120">
        <v>0</v>
      </c>
      <c r="N105" s="119"/>
      <c r="O105" s="120">
        <v>150</v>
      </c>
      <c r="P105" s="120">
        <v>350</v>
      </c>
      <c r="Q105" s="120">
        <v>-3000</v>
      </c>
      <c r="R105" s="120">
        <v>400</v>
      </c>
      <c r="S105" s="119"/>
      <c r="T105" s="120" t="e">
        <f>PRODUCT(C105,商品!#REF!)+PRODUCT(D105,商品!#REF!)+PRODUCT(E105,商品!#REF!)+PRODUCT(F105,商品!#REF!)+PRODUCT(G105,商品!#REF!)+PRODUCT(H105,商品!I17)+PRODUCT(I105,商品!#REF!)+PRODUCT(J105,商品!A43)+PRODUCT(K105,商品!#REF!)</f>
        <v>#REF!</v>
      </c>
      <c r="U105" s="120">
        <f>PRODUCT(M105,商品!D40)</f>
        <v>0</v>
      </c>
      <c r="V105" s="120" t="e">
        <f t="shared" si="18"/>
        <v>#REF!</v>
      </c>
    </row>
    <row r="107" spans="1:21">
      <c r="A107" s="118" t="s">
        <v>116</v>
      </c>
      <c r="B107" s="119" t="s">
        <v>1</v>
      </c>
      <c r="C107" s="120" t="s">
        <v>2</v>
      </c>
      <c r="D107" s="120" t="s">
        <v>3</v>
      </c>
      <c r="E107" s="120" t="s">
        <v>5</v>
      </c>
      <c r="F107" s="120" t="s">
        <v>6</v>
      </c>
      <c r="G107" s="120" t="s">
        <v>7</v>
      </c>
      <c r="H107" s="120" t="s">
        <v>70</v>
      </c>
      <c r="I107" s="120" t="s">
        <v>9</v>
      </c>
      <c r="J107" s="119" t="s">
        <v>8</v>
      </c>
      <c r="K107" s="120" t="s">
        <v>117</v>
      </c>
      <c r="L107" s="119" t="s">
        <v>11</v>
      </c>
      <c r="M107" s="120" t="s">
        <v>12</v>
      </c>
      <c r="N107" s="120" t="s">
        <v>41</v>
      </c>
      <c r="O107" s="120" t="s">
        <v>14</v>
      </c>
      <c r="P107" s="120" t="s">
        <v>15</v>
      </c>
      <c r="Q107" s="119" t="s">
        <v>16</v>
      </c>
      <c r="R107" s="120" t="s">
        <v>17</v>
      </c>
      <c r="S107" s="120" t="s">
        <v>16</v>
      </c>
      <c r="T107" s="120" t="s">
        <v>19</v>
      </c>
      <c r="U107" s="120" t="s">
        <v>20</v>
      </c>
    </row>
    <row r="108" spans="1:21">
      <c r="A108" s="120" t="s">
        <v>118</v>
      </c>
      <c r="B108" s="119"/>
      <c r="C108" s="120">
        <v>0</v>
      </c>
      <c r="D108" s="120">
        <v>0</v>
      </c>
      <c r="E108" s="120">
        <v>0</v>
      </c>
      <c r="F108" s="120">
        <v>0</v>
      </c>
      <c r="G108" s="120">
        <v>25</v>
      </c>
      <c r="H108" s="120">
        <v>15</v>
      </c>
      <c r="I108" s="120">
        <v>30</v>
      </c>
      <c r="J108" s="119"/>
      <c r="K108" s="120">
        <v>60</v>
      </c>
      <c r="L108" s="119"/>
      <c r="M108" s="120">
        <v>4000</v>
      </c>
      <c r="N108" s="120">
        <v>0</v>
      </c>
      <c r="O108" s="120">
        <v>0</v>
      </c>
      <c r="P108" s="120">
        <v>500</v>
      </c>
      <c r="Q108" s="128"/>
      <c r="R108" s="120">
        <f>商品!P9*C108+E108*商品!I3+F108*商品!N5+G108*商品!L15+H108*商品!M15+I108*商品!J5</f>
        <v>5300</v>
      </c>
      <c r="S108" s="120">
        <f>K108*商品!I5</f>
        <v>6000</v>
      </c>
      <c r="T108" s="120">
        <f t="shared" ref="T108:T115" si="20">SUM(-R108,S108)</f>
        <v>700</v>
      </c>
      <c r="U108" s="120">
        <f>T108/(M108+N108+O108+P108)</f>
        <v>0.155555555555556</v>
      </c>
    </row>
    <row r="109" spans="1:21">
      <c r="A109" s="120" t="s">
        <v>119</v>
      </c>
      <c r="B109" s="119"/>
      <c r="C109" s="120">
        <v>0</v>
      </c>
      <c r="D109" s="120">
        <v>0</v>
      </c>
      <c r="E109" s="120">
        <v>0</v>
      </c>
      <c r="F109" s="120">
        <v>0</v>
      </c>
      <c r="G109" s="120">
        <v>20</v>
      </c>
      <c r="H109" s="120">
        <v>20</v>
      </c>
      <c r="I109" s="120">
        <v>40</v>
      </c>
      <c r="J109" s="119"/>
      <c r="K109" s="120">
        <v>80</v>
      </c>
      <c r="L109" s="119"/>
      <c r="M109" s="120">
        <v>3500</v>
      </c>
      <c r="N109" s="120">
        <v>0</v>
      </c>
      <c r="O109" s="120">
        <v>0</v>
      </c>
      <c r="P109" s="120">
        <v>1000</v>
      </c>
      <c r="Q109" s="128"/>
      <c r="R109" s="120" t="e">
        <f>商品!#REF!*C109+E109*商品!#REF!+F109*商品!#REF!+G109*商品!#REF!+H109*商品!#REF!+I109*商品!#REF!</f>
        <v>#REF!</v>
      </c>
      <c r="S109" s="120">
        <f>K109*商品!E32</f>
        <v>0</v>
      </c>
      <c r="T109" s="120" t="e">
        <f t="shared" si="20"/>
        <v>#REF!</v>
      </c>
      <c r="U109" s="120" t="e">
        <f>T109/(M109+N109+O109+P109)</f>
        <v>#REF!</v>
      </c>
    </row>
    <row r="110" spans="1:21">
      <c r="A110" s="120" t="s">
        <v>120</v>
      </c>
      <c r="B110" s="119"/>
      <c r="C110" s="120">
        <v>0</v>
      </c>
      <c r="D110" s="120">
        <v>0</v>
      </c>
      <c r="E110" s="120">
        <v>0</v>
      </c>
      <c r="F110" s="120">
        <v>0</v>
      </c>
      <c r="G110" s="120">
        <v>15</v>
      </c>
      <c r="H110" s="120">
        <v>25</v>
      </c>
      <c r="I110" s="120">
        <v>50</v>
      </c>
      <c r="J110" s="119"/>
      <c r="K110" s="120">
        <v>100</v>
      </c>
      <c r="L110" s="119"/>
      <c r="M110" s="120">
        <v>3000</v>
      </c>
      <c r="N110" s="120">
        <v>0</v>
      </c>
      <c r="O110" s="120">
        <v>0</v>
      </c>
      <c r="P110" s="120">
        <v>1500</v>
      </c>
      <c r="Q110" s="128"/>
      <c r="R110" s="120" t="e">
        <f>商品!#REF!*C110+E110*商品!#REF!+F110*商品!#REF!+G110*商品!#REF!+H110*商品!#REF!+I110*商品!D4</f>
        <v>#REF!</v>
      </c>
      <c r="S110" s="120">
        <f>K110*商品!E33</f>
        <v>0</v>
      </c>
      <c r="T110" s="120" t="e">
        <f t="shared" si="20"/>
        <v>#REF!</v>
      </c>
      <c r="U110" s="120" t="e">
        <f>T110/(M110+N110+O110+P110)</f>
        <v>#REF!</v>
      </c>
    </row>
    <row r="111" spans="1:20">
      <c r="A111" s="120" t="s">
        <v>121</v>
      </c>
      <c r="B111" s="119"/>
      <c r="C111" s="120">
        <v>0</v>
      </c>
      <c r="D111" s="120">
        <v>0</v>
      </c>
      <c r="E111" s="120">
        <v>0</v>
      </c>
      <c r="F111" s="120">
        <v>0</v>
      </c>
      <c r="G111" s="120">
        <v>0</v>
      </c>
      <c r="H111" s="120">
        <v>0</v>
      </c>
      <c r="I111" s="120">
        <v>0</v>
      </c>
      <c r="J111" s="119"/>
      <c r="K111" s="120">
        <v>0</v>
      </c>
      <c r="L111" s="119"/>
      <c r="M111" s="120">
        <v>0</v>
      </c>
      <c r="N111" s="120">
        <v>0</v>
      </c>
      <c r="O111" s="120">
        <v>0</v>
      </c>
      <c r="P111" s="120">
        <v>0</v>
      </c>
      <c r="Q111" s="128"/>
      <c r="R111" s="120" t="e">
        <f>商品!#REF!*C111+E111*商品!#REF!+F111*商品!#REF!+G111*商品!#REF!+H111*商品!#REF!+I111*商品!#REF!</f>
        <v>#REF!</v>
      </c>
      <c r="S111" s="120">
        <f>K111*商品!E34</f>
        <v>0</v>
      </c>
      <c r="T111" s="120" t="e">
        <f t="shared" si="20"/>
        <v>#REF!</v>
      </c>
    </row>
    <row r="112" spans="1:20">
      <c r="A112" s="120" t="s">
        <v>30</v>
      </c>
      <c r="B112" s="119"/>
      <c r="C112" s="120">
        <v>0</v>
      </c>
      <c r="D112" s="120">
        <v>0</v>
      </c>
      <c r="E112" s="120">
        <v>0</v>
      </c>
      <c r="F112" s="120">
        <v>1</v>
      </c>
      <c r="G112" s="120">
        <v>3</v>
      </c>
      <c r="H112" s="120">
        <v>0</v>
      </c>
      <c r="I112" s="120">
        <v>0</v>
      </c>
      <c r="J112" s="119"/>
      <c r="K112" s="120">
        <v>0</v>
      </c>
      <c r="L112" s="119"/>
      <c r="M112" s="120">
        <v>-500</v>
      </c>
      <c r="N112" s="120">
        <v>0</v>
      </c>
      <c r="O112" s="120">
        <v>0</v>
      </c>
      <c r="P112" s="120">
        <v>0</v>
      </c>
      <c r="Q112" s="128"/>
      <c r="R112" s="120" t="e">
        <f>商品!#REF!*C112+E112*商品!#REF!+F112*商品!#REF!+G112*商品!#REF!+H112*商品!#REF!+I112*商品!#REF!</f>
        <v>#REF!</v>
      </c>
      <c r="S112" s="120">
        <f>K112*商品!E35</f>
        <v>0</v>
      </c>
      <c r="T112" s="120" t="e">
        <f t="shared" si="20"/>
        <v>#REF!</v>
      </c>
    </row>
    <row r="113" spans="1:20">
      <c r="A113" s="120" t="s">
        <v>31</v>
      </c>
      <c r="B113" s="119"/>
      <c r="C113" s="120">
        <v>0</v>
      </c>
      <c r="D113" s="120">
        <v>0</v>
      </c>
      <c r="E113" s="120">
        <v>0</v>
      </c>
      <c r="F113" s="120">
        <v>2</v>
      </c>
      <c r="G113" s="120">
        <v>5</v>
      </c>
      <c r="H113" s="120">
        <v>0</v>
      </c>
      <c r="I113" s="120">
        <v>0</v>
      </c>
      <c r="J113" s="119"/>
      <c r="K113" s="120">
        <v>0</v>
      </c>
      <c r="L113" s="119"/>
      <c r="M113" s="120">
        <v>-1250</v>
      </c>
      <c r="N113" s="120">
        <v>0</v>
      </c>
      <c r="O113" s="120">
        <v>0</v>
      </c>
      <c r="P113" s="120">
        <v>0</v>
      </c>
      <c r="Q113" s="128"/>
      <c r="R113" s="120" t="e">
        <f>商品!#REF!*C113+E113*商品!#REF!+F113*商品!M5+G113*商品!#REF!+H113*商品!#REF!+I113*商品!#REF!</f>
        <v>#REF!</v>
      </c>
      <c r="S113" s="120">
        <f>K113*商品!E36</f>
        <v>0</v>
      </c>
      <c r="T113" s="120" t="e">
        <f t="shared" si="20"/>
        <v>#REF!</v>
      </c>
    </row>
    <row r="114" spans="1:20">
      <c r="A114" s="120" t="s">
        <v>122</v>
      </c>
      <c r="B114" s="119"/>
      <c r="C114" s="120">
        <v>0</v>
      </c>
      <c r="D114" s="120">
        <v>0</v>
      </c>
      <c r="E114" s="120">
        <v>0</v>
      </c>
      <c r="F114" s="120">
        <v>3</v>
      </c>
      <c r="G114" s="120">
        <v>7</v>
      </c>
      <c r="H114" s="120">
        <v>0</v>
      </c>
      <c r="I114" s="120">
        <v>0</v>
      </c>
      <c r="J114" s="119"/>
      <c r="K114" s="120">
        <v>0</v>
      </c>
      <c r="L114" s="119"/>
      <c r="M114" s="120">
        <v>-1750</v>
      </c>
      <c r="N114" s="120">
        <v>0</v>
      </c>
      <c r="O114" s="120">
        <v>0</v>
      </c>
      <c r="P114" s="120">
        <v>0</v>
      </c>
      <c r="Q114" s="128"/>
      <c r="R114" s="120" t="e">
        <f>商品!#REF!*C114+E114*商品!#REF!+F114*商品!#REF!+G114*商品!#REF!+H114*商品!#REF!+I114*商品!#REF!</f>
        <v>#REF!</v>
      </c>
      <c r="S114" s="120">
        <f>K114*商品!E37</f>
        <v>0</v>
      </c>
      <c r="T114" s="120" t="e">
        <f t="shared" si="20"/>
        <v>#REF!</v>
      </c>
    </row>
    <row r="115" spans="1:20">
      <c r="A115" s="120" t="s">
        <v>33</v>
      </c>
      <c r="B115" s="119"/>
      <c r="C115" s="120">
        <v>5</v>
      </c>
      <c r="D115" s="120">
        <v>10</v>
      </c>
      <c r="E115" s="120">
        <v>10</v>
      </c>
      <c r="F115" s="120">
        <v>2</v>
      </c>
      <c r="G115" s="120">
        <v>4</v>
      </c>
      <c r="H115" s="120">
        <v>0</v>
      </c>
      <c r="I115" s="120">
        <v>0</v>
      </c>
      <c r="J115" s="119"/>
      <c r="K115" s="120">
        <v>0</v>
      </c>
      <c r="L115" s="119"/>
      <c r="M115" s="120">
        <v>-3000</v>
      </c>
      <c r="N115" s="120">
        <v>150</v>
      </c>
      <c r="O115" s="120">
        <v>350</v>
      </c>
      <c r="P115" s="120">
        <v>400</v>
      </c>
      <c r="Q115" s="128"/>
      <c r="R115" s="120" t="e">
        <f>商品!#REF!*C115+E115*商品!#REF!+F115*商品!#REF!+G115*商品!#REF!+H115*商品!#REF!+I115*商品!#REF!+D115*商品!#REF!</f>
        <v>#REF!</v>
      </c>
      <c r="S115" s="120">
        <f>K115*商品!E38</f>
        <v>0</v>
      </c>
      <c r="T115" s="120" t="e">
        <f t="shared" si="20"/>
        <v>#REF!</v>
      </c>
    </row>
    <row r="117" spans="1:18">
      <c r="A117" s="124" t="s">
        <v>123</v>
      </c>
      <c r="B117" s="124" t="s">
        <v>1</v>
      </c>
      <c r="C117" s="121" t="s">
        <v>117</v>
      </c>
      <c r="D117" s="121" t="s">
        <v>9</v>
      </c>
      <c r="E117" s="121" t="s">
        <v>51</v>
      </c>
      <c r="F117" s="121" t="s">
        <v>7</v>
      </c>
      <c r="G117" s="121" t="s">
        <v>6</v>
      </c>
      <c r="H117" s="121" t="s">
        <v>124</v>
      </c>
      <c r="I117" s="121" t="s">
        <v>6</v>
      </c>
      <c r="J117" s="121" t="s">
        <v>125</v>
      </c>
      <c r="K117" s="121" t="s">
        <v>12</v>
      </c>
      <c r="L117" s="121" t="s">
        <v>41</v>
      </c>
      <c r="M117" s="121" t="s">
        <v>15</v>
      </c>
      <c r="N117" s="121" t="s">
        <v>126</v>
      </c>
      <c r="O117" s="121" t="s">
        <v>17</v>
      </c>
      <c r="P117" s="121" t="s">
        <v>16</v>
      </c>
      <c r="Q117" s="121" t="s">
        <v>19</v>
      </c>
      <c r="R117" s="121" t="s">
        <v>20</v>
      </c>
    </row>
    <row r="118" spans="1:18">
      <c r="A118" s="120" t="s">
        <v>30</v>
      </c>
      <c r="B118" s="121"/>
      <c r="H118" s="121"/>
      <c r="J118" s="121"/>
      <c r="O118" s="120">
        <f>商品!I5*C118+商品!D4*D118+商品!O20*E118+F118+商品!I17*G118</f>
        <v>0</v>
      </c>
      <c r="P118" s="120" t="e">
        <f>商品!#REF!*I118</f>
        <v>#REF!</v>
      </c>
      <c r="Q118" s="120" t="e">
        <f t="shared" ref="Q118:Q121" si="21">P118-O118</f>
        <v>#REF!</v>
      </c>
      <c r="R118" s="120" t="e">
        <f t="shared" ref="R118:R121" si="22">Q118/(K118+L118+M118)</f>
        <v>#REF!</v>
      </c>
    </row>
    <row r="119" spans="1:18">
      <c r="A119" s="120" t="s">
        <v>31</v>
      </c>
      <c r="B119" s="121"/>
      <c r="C119" s="121"/>
      <c r="D119" s="121"/>
      <c r="E119" s="121"/>
      <c r="H119" s="121"/>
      <c r="J119" s="121"/>
      <c r="O119" s="120" t="e">
        <f>商品!E32*C119+商品!#REF!*D119+商品!O21*E119+F119+商品!H18*G119</f>
        <v>#REF!</v>
      </c>
      <c r="P119" s="120">
        <f>商品!G22*I119</f>
        <v>0</v>
      </c>
      <c r="Q119" s="120" t="e">
        <f t="shared" si="21"/>
        <v>#REF!</v>
      </c>
      <c r="R119" s="120" t="e">
        <f t="shared" si="22"/>
        <v>#REF!</v>
      </c>
    </row>
    <row r="120" spans="1:18">
      <c r="A120" s="120" t="s">
        <v>122</v>
      </c>
      <c r="B120" s="121"/>
      <c r="H120" s="121"/>
      <c r="J120" s="121"/>
      <c r="O120" s="120" t="e">
        <f>商品!E33*C120+商品!#REF!*D120+商品!N22*E120+F120+商品!H19*G120</f>
        <v>#REF!</v>
      </c>
      <c r="P120" s="120">
        <f>商品!G23*I120</f>
        <v>0</v>
      </c>
      <c r="Q120" s="120" t="e">
        <f t="shared" si="21"/>
        <v>#REF!</v>
      </c>
      <c r="R120" s="120" t="e">
        <f t="shared" si="22"/>
        <v>#REF!</v>
      </c>
    </row>
    <row r="121" spans="1:18">
      <c r="A121" s="120" t="s">
        <v>33</v>
      </c>
      <c r="B121" s="121"/>
      <c r="H121" s="121"/>
      <c r="J121" s="121"/>
      <c r="O121" s="120" t="e">
        <f>商品!E34*C121+商品!#REF!*D121+商品!N23*E121+F121+商品!#REF!*G121</f>
        <v>#REF!</v>
      </c>
      <c r="P121" s="120" t="e">
        <f>商品!#REF!*I121</f>
        <v>#REF!</v>
      </c>
      <c r="Q121" s="120" t="e">
        <f t="shared" si="21"/>
        <v>#REF!</v>
      </c>
      <c r="R121" s="120" t="e">
        <f t="shared" si="22"/>
        <v>#REF!</v>
      </c>
    </row>
    <row r="122" spans="2:10">
      <c r="B122" s="121"/>
      <c r="H122" s="121"/>
      <c r="J122" s="121"/>
    </row>
    <row r="123" spans="1:19">
      <c r="A123" s="124" t="s">
        <v>127</v>
      </c>
      <c r="B123" s="124" t="s">
        <v>1</v>
      </c>
      <c r="C123" s="121" t="s">
        <v>3</v>
      </c>
      <c r="D123" s="121" t="s">
        <v>10</v>
      </c>
      <c r="E123" s="121" t="s">
        <v>98</v>
      </c>
      <c r="F123" s="121" t="s">
        <v>6</v>
      </c>
      <c r="G123" s="121" t="s">
        <v>5</v>
      </c>
      <c r="H123" s="124" t="s">
        <v>128</v>
      </c>
      <c r="I123" s="121" t="s">
        <v>77</v>
      </c>
      <c r="J123" s="121" t="s">
        <v>129</v>
      </c>
      <c r="K123" s="124" t="s">
        <v>130</v>
      </c>
      <c r="L123" s="121" t="s">
        <v>12</v>
      </c>
      <c r="M123" s="121" t="s">
        <v>41</v>
      </c>
      <c r="N123" s="121" t="s">
        <v>14</v>
      </c>
      <c r="O123" s="124" t="s">
        <v>131</v>
      </c>
      <c r="P123" s="121" t="s">
        <v>17</v>
      </c>
      <c r="Q123" s="121" t="s">
        <v>16</v>
      </c>
      <c r="R123" s="121" t="s">
        <v>19</v>
      </c>
      <c r="S123" s="121" t="s">
        <v>20</v>
      </c>
    </row>
    <row r="124" spans="1:19">
      <c r="A124" s="121" t="s">
        <v>132</v>
      </c>
      <c r="B124" s="121"/>
      <c r="H124" s="121"/>
      <c r="K124" s="121"/>
      <c r="O124" s="121"/>
      <c r="P124" s="120" t="e">
        <f>C124*商品!A33+D124*商品!#REF!+E124*商品!C34+F124*商品!I16+G124*商品!#REF!</f>
        <v>#REF!</v>
      </c>
      <c r="Q124" s="120">
        <f>I124*商品!F33+J124*商品!F5</f>
        <v>0</v>
      </c>
      <c r="R124" s="120" t="e">
        <f t="shared" ref="R124:R130" si="23">Q124-P124</f>
        <v>#REF!</v>
      </c>
      <c r="S124" s="120" t="e">
        <f t="shared" ref="S124:S130" si="24">R124/(L124+M124+N124)</f>
        <v>#REF!</v>
      </c>
    </row>
    <row r="125" spans="1:19">
      <c r="A125" s="121" t="s">
        <v>133</v>
      </c>
      <c r="B125" s="121"/>
      <c r="H125" s="121"/>
      <c r="K125" s="121"/>
      <c r="O125" s="121"/>
      <c r="P125" s="120" t="e">
        <f>C125*商品!A34+D125*商品!#REF!+E125*商品!C35+F125*商品!I17+G125*商品!#REF!</f>
        <v>#REF!</v>
      </c>
      <c r="Q125" s="120" t="e">
        <f>I125*商品!F34+J125*商品!#REF!</f>
        <v>#REF!</v>
      </c>
      <c r="R125" s="120" t="e">
        <f t="shared" si="23"/>
        <v>#REF!</v>
      </c>
      <c r="S125" s="120" t="e">
        <f t="shared" si="24"/>
        <v>#REF!</v>
      </c>
    </row>
    <row r="126" spans="1:19">
      <c r="A126" s="121" t="s">
        <v>134</v>
      </c>
      <c r="B126" s="121"/>
      <c r="H126" s="121"/>
      <c r="K126" s="121"/>
      <c r="O126" s="121"/>
      <c r="P126" s="120" t="e">
        <f>C126*商品!A35+D126*商品!C14+E126*商品!C36+F126*商品!H18+G126*商品!#REF!</f>
        <v>#REF!</v>
      </c>
      <c r="Q126" s="120" t="e">
        <f>I126*商品!F35+J126*商品!#REF!</f>
        <v>#REF!</v>
      </c>
      <c r="R126" s="120" t="e">
        <f t="shared" si="23"/>
        <v>#REF!</v>
      </c>
      <c r="S126" s="120" t="e">
        <f t="shared" si="24"/>
        <v>#REF!</v>
      </c>
    </row>
    <row r="127" spans="1:19">
      <c r="A127" s="120" t="s">
        <v>30</v>
      </c>
      <c r="B127" s="121"/>
      <c r="H127" s="121"/>
      <c r="K127" s="121"/>
      <c r="O127" s="121"/>
      <c r="P127" s="120" t="e">
        <f>C127*商品!A36+D127*商品!#REF!+E127*商品!C37+F127*商品!H19+G127*商品!#REF!</f>
        <v>#REF!</v>
      </c>
      <c r="Q127" s="120">
        <f>I127*商品!F36+J127*商品!N34</f>
        <v>0</v>
      </c>
      <c r="R127" s="120" t="e">
        <f t="shared" si="23"/>
        <v>#REF!</v>
      </c>
      <c r="S127" s="120" t="e">
        <f t="shared" si="24"/>
        <v>#REF!</v>
      </c>
    </row>
    <row r="128" spans="1:19">
      <c r="A128" s="120" t="s">
        <v>31</v>
      </c>
      <c r="B128" s="121"/>
      <c r="H128" s="121"/>
      <c r="K128" s="121"/>
      <c r="O128" s="121"/>
      <c r="P128" s="120" t="e">
        <f>C128*商品!A37+D128*商品!#REF!+E128*商品!C38+F128*商品!#REF!+G128*商品!#REF!</f>
        <v>#REF!</v>
      </c>
      <c r="Q128" s="120">
        <f>I128*商品!F37+J128*商品!N35</f>
        <v>0</v>
      </c>
      <c r="R128" s="120" t="e">
        <f t="shared" si="23"/>
        <v>#REF!</v>
      </c>
      <c r="S128" s="120" t="e">
        <f t="shared" si="24"/>
        <v>#REF!</v>
      </c>
    </row>
    <row r="129" spans="1:19">
      <c r="A129" s="120" t="s">
        <v>122</v>
      </c>
      <c r="B129" s="121"/>
      <c r="H129" s="121"/>
      <c r="K129" s="121"/>
      <c r="O129" s="121"/>
      <c r="P129" s="120" t="e">
        <f>C129*商品!A38+D129*商品!C16+E129*商品!C39+F129*商品!#REF!+G129*商品!#REF!</f>
        <v>#REF!</v>
      </c>
      <c r="Q129" s="120">
        <f>I129*商品!F38+J129*商品!N36</f>
        <v>0</v>
      </c>
      <c r="R129" s="120" t="e">
        <f t="shared" si="23"/>
        <v>#REF!</v>
      </c>
      <c r="S129" s="120" t="e">
        <f t="shared" si="24"/>
        <v>#REF!</v>
      </c>
    </row>
    <row r="130" spans="1:19">
      <c r="A130" s="120" t="s">
        <v>33</v>
      </c>
      <c r="B130" s="121"/>
      <c r="H130" s="121"/>
      <c r="K130" s="121"/>
      <c r="O130" s="121"/>
      <c r="P130" s="120" t="e">
        <f>C130*商品!A39+D130*商品!#REF!+E130*商品!C40+F130*商品!G22+G130*商品!#REF!</f>
        <v>#REF!</v>
      </c>
      <c r="Q130" s="120">
        <f>I130*商品!F39+J130*商品!N37</f>
        <v>0</v>
      </c>
      <c r="R130" s="120" t="e">
        <f t="shared" si="23"/>
        <v>#REF!</v>
      </c>
      <c r="S130" s="120" t="e">
        <f t="shared" si="24"/>
        <v>#REF!</v>
      </c>
    </row>
    <row r="132" spans="1:18">
      <c r="A132" s="124" t="s">
        <v>135</v>
      </c>
      <c r="B132" s="124" t="s">
        <v>1</v>
      </c>
      <c r="C132" s="121" t="s">
        <v>9</v>
      </c>
      <c r="D132" s="121" t="s">
        <v>5</v>
      </c>
      <c r="E132" s="121" t="s">
        <v>3</v>
      </c>
      <c r="F132" s="121" t="s">
        <v>6</v>
      </c>
      <c r="G132" s="121" t="s">
        <v>136</v>
      </c>
      <c r="H132" s="121" t="s">
        <v>137</v>
      </c>
      <c r="J132" s="121" t="s">
        <v>125</v>
      </c>
      <c r="K132" s="121" t="s">
        <v>12</v>
      </c>
      <c r="L132" s="121" t="s">
        <v>41</v>
      </c>
      <c r="M132" s="121" t="s">
        <v>14</v>
      </c>
      <c r="N132" s="121" t="s">
        <v>126</v>
      </c>
      <c r="O132" s="121" t="s">
        <v>17</v>
      </c>
      <c r="P132" s="121" t="s">
        <v>16</v>
      </c>
      <c r="Q132" s="121" t="s">
        <v>19</v>
      </c>
      <c r="R132" s="121" t="s">
        <v>20</v>
      </c>
    </row>
    <row r="133" spans="1:18">
      <c r="A133" s="121" t="s">
        <v>138</v>
      </c>
      <c r="B133" s="124"/>
      <c r="G133" s="121"/>
      <c r="J133" s="121"/>
      <c r="N133" s="121"/>
      <c r="O133" s="120" t="e">
        <f>C133*商品!#REF!+D133*商品!#REF!+E133*商品!#REF!+F133*商品!#REF!</f>
        <v>#REF!</v>
      </c>
      <c r="P133" s="120" t="e">
        <f>H133*商品!#REF!</f>
        <v>#REF!</v>
      </c>
      <c r="Q133" s="120" t="e">
        <f t="shared" ref="Q133:Q135" si="25">P133-O133</f>
        <v>#REF!</v>
      </c>
      <c r="R133" s="120" t="e">
        <f t="shared" ref="R133:R135" si="26">Q133/(K133+L133+M133)</f>
        <v>#REF!</v>
      </c>
    </row>
    <row r="134" spans="1:18">
      <c r="A134" s="121" t="s">
        <v>29</v>
      </c>
      <c r="B134" s="124"/>
      <c r="G134" s="121"/>
      <c r="J134" s="121"/>
      <c r="N134" s="121"/>
      <c r="O134" s="120" t="e">
        <f>C134*商品!D4+D134*商品!#REF!+E134*商品!A8+F134*商品!#REF!</f>
        <v>#REF!</v>
      </c>
      <c r="P134" s="120" t="e">
        <f>H134*商品!#REF!</f>
        <v>#REF!</v>
      </c>
      <c r="Q134" s="120" t="e">
        <f t="shared" si="25"/>
        <v>#REF!</v>
      </c>
      <c r="R134" s="120" t="e">
        <f t="shared" si="26"/>
        <v>#REF!</v>
      </c>
    </row>
    <row r="135" spans="1:18">
      <c r="A135" s="121" t="s">
        <v>139</v>
      </c>
      <c r="B135" s="124"/>
      <c r="G135" s="121"/>
      <c r="J135" s="121"/>
      <c r="N135" s="121"/>
      <c r="O135" s="120" t="e">
        <f>C135*商品!#REF!+D135*商品!#REF!+E135*商品!#REF!+F135*商品!#REF!</f>
        <v>#REF!</v>
      </c>
      <c r="P135" s="120" t="e">
        <f>H135*商品!#REF!</f>
        <v>#REF!</v>
      </c>
      <c r="Q135" s="120" t="e">
        <f t="shared" si="25"/>
        <v>#REF!</v>
      </c>
      <c r="R135" s="120" t="e">
        <f t="shared" si="26"/>
        <v>#REF!</v>
      </c>
    </row>
    <row r="136" spans="1:1">
      <c r="A136" s="121"/>
    </row>
    <row r="137" spans="1:18">
      <c r="A137" s="124" t="s">
        <v>140</v>
      </c>
      <c r="B137" s="124" t="s">
        <v>1</v>
      </c>
      <c r="C137" s="121" t="s">
        <v>70</v>
      </c>
      <c r="D137" s="121" t="s">
        <v>9</v>
      </c>
      <c r="E137" s="121" t="s">
        <v>117</v>
      </c>
      <c r="G137" s="121" t="s">
        <v>141</v>
      </c>
      <c r="H137" s="121" t="s">
        <v>7</v>
      </c>
      <c r="I137" s="121" t="s">
        <v>142</v>
      </c>
      <c r="J137" s="121" t="s">
        <v>125</v>
      </c>
      <c r="K137" s="121" t="s">
        <v>12</v>
      </c>
      <c r="L137" s="121" t="s">
        <v>41</v>
      </c>
      <c r="M137" s="121" t="s">
        <v>15</v>
      </c>
      <c r="N137" s="121" t="s">
        <v>126</v>
      </c>
      <c r="O137" s="121" t="s">
        <v>17</v>
      </c>
      <c r="P137" s="121" t="s">
        <v>16</v>
      </c>
      <c r="Q137" s="121" t="s">
        <v>19</v>
      </c>
      <c r="R137" s="121" t="s">
        <v>20</v>
      </c>
    </row>
    <row r="138" spans="1:18">
      <c r="A138" s="121" t="s">
        <v>143</v>
      </c>
      <c r="B138" s="121"/>
      <c r="G138" s="121"/>
      <c r="J138" s="121"/>
      <c r="N138" s="121"/>
      <c r="O138" s="120" t="e">
        <f>C138*商品!M15+D138*商品!J5+E138*商品!#REF!</f>
        <v>#REF!</v>
      </c>
      <c r="P138" s="120">
        <f>H138*商品!L15+I138*商品!E24</f>
        <v>0</v>
      </c>
      <c r="Q138" s="120" t="e">
        <f t="shared" ref="Q138:Q142" si="27">P138-O138</f>
        <v>#REF!</v>
      </c>
      <c r="R138" s="120" t="e">
        <f t="shared" ref="R138:R142" si="28">Q138/(K138+L138+M138)</f>
        <v>#REF!</v>
      </c>
    </row>
    <row r="139" spans="1:18">
      <c r="A139" s="121" t="s">
        <v>144</v>
      </c>
      <c r="B139" s="121"/>
      <c r="G139" s="121"/>
      <c r="J139" s="121"/>
      <c r="N139" s="121"/>
      <c r="O139" s="120" t="e">
        <f>C139*商品!#REF!+D139*商品!#REF!+E139*商品!#REF!</f>
        <v>#REF!</v>
      </c>
      <c r="P139" s="120" t="e">
        <f>H139*商品!#REF!+I139*商品!#REF!</f>
        <v>#REF!</v>
      </c>
      <c r="Q139" s="120" t="e">
        <f t="shared" si="27"/>
        <v>#REF!</v>
      </c>
      <c r="R139" s="120" t="e">
        <f t="shared" si="28"/>
        <v>#REF!</v>
      </c>
    </row>
    <row r="140" spans="1:18">
      <c r="A140" s="121" t="s">
        <v>145</v>
      </c>
      <c r="B140" s="121"/>
      <c r="G140" s="121"/>
      <c r="J140" s="121"/>
      <c r="N140" s="121"/>
      <c r="O140" s="120" t="e">
        <f>C140*商品!#REF!+D140*商品!D4+E140*商品!#REF!</f>
        <v>#REF!</v>
      </c>
      <c r="P140" s="120" t="e">
        <f>H140*商品!#REF!+I140*商品!#REF!</f>
        <v>#REF!</v>
      </c>
      <c r="Q140" s="120" t="e">
        <f t="shared" si="27"/>
        <v>#REF!</v>
      </c>
      <c r="R140" s="120" t="e">
        <f t="shared" si="28"/>
        <v>#REF!</v>
      </c>
    </row>
    <row r="141" spans="1:18">
      <c r="A141" s="121" t="s">
        <v>146</v>
      </c>
      <c r="B141" s="121"/>
      <c r="G141" s="121"/>
      <c r="J141" s="121"/>
      <c r="N141" s="121"/>
      <c r="O141" s="120" t="e">
        <f>C141*商品!#REF!+D141*商品!#REF!+E141*商品!#REF!</f>
        <v>#REF!</v>
      </c>
      <c r="P141" s="120" t="e">
        <f>H141*商品!#REF!+I141*商品!M34</f>
        <v>#REF!</v>
      </c>
      <c r="Q141" s="120" t="e">
        <f t="shared" si="27"/>
        <v>#REF!</v>
      </c>
      <c r="R141" s="120" t="e">
        <f t="shared" si="28"/>
        <v>#REF!</v>
      </c>
    </row>
    <row r="142" spans="1:18">
      <c r="A142" s="121" t="s">
        <v>147</v>
      </c>
      <c r="B142" s="121"/>
      <c r="G142" s="121"/>
      <c r="J142" s="121"/>
      <c r="N142" s="121"/>
      <c r="O142" s="120" t="e">
        <f>C142*商品!#REF!+D142*商品!#REF!+E142*商品!#REF!</f>
        <v>#REF!</v>
      </c>
      <c r="P142" s="120" t="e">
        <f>H142*商品!#REF!+I142*商品!M35</f>
        <v>#REF!</v>
      </c>
      <c r="Q142" s="120" t="e">
        <f t="shared" si="27"/>
        <v>#REF!</v>
      </c>
      <c r="R142" s="120" t="e">
        <f t="shared" si="28"/>
        <v>#REF!</v>
      </c>
    </row>
    <row r="144" spans="1:21">
      <c r="A144" s="124" t="s">
        <v>148</v>
      </c>
      <c r="B144" s="124" t="s">
        <v>1</v>
      </c>
      <c r="C144" s="121" t="s">
        <v>9</v>
      </c>
      <c r="D144" s="121" t="s">
        <v>7</v>
      </c>
      <c r="E144" s="121" t="s">
        <v>117</v>
      </c>
      <c r="F144" s="121" t="s">
        <v>70</v>
      </c>
      <c r="G144" s="121" t="s">
        <v>137</v>
      </c>
      <c r="H144" s="121" t="s">
        <v>124</v>
      </c>
      <c r="I144" s="121" t="s">
        <v>149</v>
      </c>
      <c r="J144" s="121" t="s">
        <v>150</v>
      </c>
      <c r="K144" s="121" t="s">
        <v>151</v>
      </c>
      <c r="L144" s="121" t="s">
        <v>125</v>
      </c>
      <c r="M144" s="121" t="s">
        <v>12</v>
      </c>
      <c r="N144" s="121" t="s">
        <v>41</v>
      </c>
      <c r="O144" s="121" t="s">
        <v>15</v>
      </c>
      <c r="P144" s="121" t="s">
        <v>14</v>
      </c>
      <c r="Q144" s="124" t="s">
        <v>152</v>
      </c>
      <c r="R144" s="121" t="s">
        <v>17</v>
      </c>
      <c r="S144" s="121" t="s">
        <v>16</v>
      </c>
      <c r="T144" s="121" t="s">
        <v>19</v>
      </c>
      <c r="U144" s="121" t="s">
        <v>20</v>
      </c>
    </row>
    <row r="145" spans="1:21">
      <c r="A145" s="121" t="s">
        <v>153</v>
      </c>
      <c r="B145" s="121"/>
      <c r="H145" s="121"/>
      <c r="L145" s="121"/>
      <c r="Q145" s="121"/>
      <c r="R145" s="120" t="e">
        <f>C145*商品!D4+D145*商品!#REF!+E145*商品!E32+F145+G145*商品!M15</f>
        <v>#REF!</v>
      </c>
      <c r="S145" s="120" t="e">
        <f>I145*商品!F24+J145*商品!S5+商品!R5*K145+#REF!*商品!#REF!+商品!#REF!*#REF!</f>
        <v>#REF!</v>
      </c>
      <c r="T145" s="120" t="e">
        <f t="shared" ref="T145:T151" si="29">S145-R145</f>
        <v>#REF!</v>
      </c>
      <c r="U145" s="120" t="e">
        <f t="shared" ref="U145:U151" si="30">T145/(M145+N145+O145+P145)</f>
        <v>#REF!</v>
      </c>
    </row>
    <row r="146" spans="1:21">
      <c r="A146" s="121" t="s">
        <v>154</v>
      </c>
      <c r="B146" s="121"/>
      <c r="H146" s="121"/>
      <c r="L146" s="121"/>
      <c r="Q146" s="121"/>
      <c r="R146" s="120" t="e">
        <f>C146*商品!#REF!+D146*商品!#REF!+E146*商品!E33+F146+G146*商品!#REF!</f>
        <v>#REF!</v>
      </c>
      <c r="S146" s="120" t="e">
        <f>I146*商品!W32+J146*商品!#REF!+商品!#REF!*K146+#REF!*商品!#REF!+商品!#REF!*#REF!</f>
        <v>#REF!</v>
      </c>
      <c r="T146" s="120" t="e">
        <f t="shared" si="29"/>
        <v>#REF!</v>
      </c>
      <c r="U146" s="120" t="e">
        <f t="shared" si="30"/>
        <v>#REF!</v>
      </c>
    </row>
    <row r="147" spans="1:21">
      <c r="A147" s="121" t="s">
        <v>155</v>
      </c>
      <c r="B147" s="121"/>
      <c r="H147" s="121"/>
      <c r="L147" s="121"/>
      <c r="Q147" s="121"/>
      <c r="R147" s="120" t="e">
        <f>C147*商品!#REF!+D147*商品!#REF!+E147*商品!E34+F147+G147*商品!#REF!</f>
        <v>#REF!</v>
      </c>
      <c r="S147" s="120" t="e">
        <f>I147*商品!W33+J147*商品!#REF!+商品!#REF!*K147+#REF!*商品!#REF!+商品!#REF!*#REF!</f>
        <v>#REF!</v>
      </c>
      <c r="T147" s="120" t="e">
        <f t="shared" si="29"/>
        <v>#REF!</v>
      </c>
      <c r="U147" s="120" t="e">
        <f t="shared" si="30"/>
        <v>#REF!</v>
      </c>
    </row>
    <row r="148" spans="1:21">
      <c r="A148" s="121" t="s">
        <v>156</v>
      </c>
      <c r="B148" s="121"/>
      <c r="H148" s="121"/>
      <c r="L148" s="121"/>
      <c r="Q148" s="121"/>
      <c r="R148" s="120" t="e">
        <f>C148*商品!#REF!+D148*商品!#REF!+E148*商品!E35+F148+G148*商品!#REF!</f>
        <v>#REF!</v>
      </c>
      <c r="S148" s="120" t="e">
        <f>I148*商品!W34+J148*商品!#REF!+商品!#REF!*K148+#REF!*商品!#REF!+商品!#REF!*#REF!</f>
        <v>#REF!</v>
      </c>
      <c r="T148" s="120" t="e">
        <f t="shared" si="29"/>
        <v>#REF!</v>
      </c>
      <c r="U148" s="120" t="e">
        <f t="shared" si="30"/>
        <v>#REF!</v>
      </c>
    </row>
    <row r="149" spans="1:21">
      <c r="A149" s="121" t="s">
        <v>157</v>
      </c>
      <c r="B149" s="121"/>
      <c r="H149" s="121"/>
      <c r="L149" s="121"/>
      <c r="Q149" s="121"/>
      <c r="R149" s="120" t="e">
        <f>C149*商品!#REF!+D149*商品!#REF!+E149*商品!E36+F149+G149*商品!#REF!</f>
        <v>#REF!</v>
      </c>
      <c r="S149" s="120" t="e">
        <f>I149*商品!W35+J149*商品!#REF!+商品!#REF!*K149+#REF!*商品!#REF!+商品!#REF!*#REF!</f>
        <v>#REF!</v>
      </c>
      <c r="T149" s="120" t="e">
        <f t="shared" si="29"/>
        <v>#REF!</v>
      </c>
      <c r="U149" s="120" t="e">
        <f t="shared" si="30"/>
        <v>#REF!</v>
      </c>
    </row>
    <row r="150" spans="1:21">
      <c r="A150" s="121" t="s">
        <v>158</v>
      </c>
      <c r="B150" s="121"/>
      <c r="H150" s="121"/>
      <c r="L150" s="121"/>
      <c r="Q150" s="121"/>
      <c r="R150" s="120" t="e">
        <f>C150*商品!#REF!+D150*商品!#REF!+E150*商品!E37+F150+G150*商品!#REF!</f>
        <v>#REF!</v>
      </c>
      <c r="S150" s="120" t="e">
        <f>I150*商品!W36+J150*商品!#REF!+商品!#REF!*K150+#REF!*商品!#REF!+商品!#REF!*#REF!</f>
        <v>#REF!</v>
      </c>
      <c r="T150" s="120" t="e">
        <f t="shared" si="29"/>
        <v>#REF!</v>
      </c>
      <c r="U150" s="120" t="e">
        <f t="shared" si="30"/>
        <v>#REF!</v>
      </c>
    </row>
    <row r="151" spans="1:21">
      <c r="A151" s="121" t="s">
        <v>159</v>
      </c>
      <c r="B151" s="121"/>
      <c r="H151" s="121"/>
      <c r="L151" s="121"/>
      <c r="Q151" s="121"/>
      <c r="R151" s="120" t="e">
        <f>C151*商品!D19+D151*商品!#REF!+E151*商品!E38+F151+G151*商品!#REF!</f>
        <v>#REF!</v>
      </c>
      <c r="S151" s="120" t="e">
        <f>I151*商品!W37+J151*商品!#REF!+商品!#REF!*K151+#REF!*商品!#REF!+商品!#REF!*#REF!</f>
        <v>#REF!</v>
      </c>
      <c r="T151" s="120" t="e">
        <f t="shared" si="29"/>
        <v>#REF!</v>
      </c>
      <c r="U151" s="120" t="e">
        <f t="shared" si="30"/>
        <v>#REF!</v>
      </c>
    </row>
    <row r="155" spans="1:22">
      <c r="A155" s="121" t="s">
        <v>160</v>
      </c>
      <c r="B155" s="121" t="s">
        <v>1</v>
      </c>
      <c r="C155" s="121" t="s">
        <v>9</v>
      </c>
      <c r="D155" s="121" t="s">
        <v>117</v>
      </c>
      <c r="E155" s="121" t="s">
        <v>137</v>
      </c>
      <c r="F155" s="121" t="s">
        <v>3</v>
      </c>
      <c r="G155" s="121" t="s">
        <v>70</v>
      </c>
      <c r="H155" s="121" t="s">
        <v>7</v>
      </c>
      <c r="I155" s="121" t="s">
        <v>8</v>
      </c>
      <c r="J155" s="121" t="s">
        <v>161</v>
      </c>
      <c r="K155" s="121" t="s">
        <v>162</v>
      </c>
      <c r="L155" s="121" t="s">
        <v>151</v>
      </c>
      <c r="M155" s="121" t="s">
        <v>11</v>
      </c>
      <c r="N155" s="121" t="s">
        <v>12</v>
      </c>
      <c r="O155" s="121" t="s">
        <v>41</v>
      </c>
      <c r="P155" s="121" t="s">
        <v>15</v>
      </c>
      <c r="Q155" s="121" t="s">
        <v>14</v>
      </c>
      <c r="R155" s="121" t="s">
        <v>16</v>
      </c>
      <c r="S155" s="121" t="s">
        <v>17</v>
      </c>
      <c r="T155" s="121" t="s">
        <v>16</v>
      </c>
      <c r="U155" s="121" t="s">
        <v>19</v>
      </c>
      <c r="V155" s="121" t="s">
        <v>20</v>
      </c>
    </row>
    <row r="156" spans="1:1">
      <c r="A156" s="121" t="s">
        <v>153</v>
      </c>
    </row>
    <row r="157" spans="1:1">
      <c r="A157" s="121" t="s">
        <v>163</v>
      </c>
    </row>
    <row r="158" spans="1:1">
      <c r="A158" s="121" t="s">
        <v>164</v>
      </c>
    </row>
    <row r="159" spans="1:1">
      <c r="A159" s="121" t="s">
        <v>154</v>
      </c>
    </row>
    <row r="160" spans="1:1">
      <c r="A160" s="121" t="s">
        <v>165</v>
      </c>
    </row>
    <row r="161" spans="1:1">
      <c r="A161" s="121" t="s">
        <v>155</v>
      </c>
    </row>
    <row r="163" spans="1:23">
      <c r="A163" s="124" t="s">
        <v>166</v>
      </c>
      <c r="B163" s="119" t="s">
        <v>1</v>
      </c>
      <c r="C163" s="120" t="s">
        <v>50</v>
      </c>
      <c r="D163" s="121" t="s">
        <v>10</v>
      </c>
      <c r="E163" s="121" t="s">
        <v>9</v>
      </c>
      <c r="F163" s="120" t="s">
        <v>5</v>
      </c>
      <c r="G163" s="120" t="s">
        <v>3</v>
      </c>
      <c r="H163" s="120" t="s">
        <v>6</v>
      </c>
      <c r="I163" s="120" t="s">
        <v>7</v>
      </c>
      <c r="J163" s="120" t="s">
        <v>2</v>
      </c>
      <c r="K163" s="119" t="s">
        <v>8</v>
      </c>
      <c r="L163" s="121" t="s">
        <v>5</v>
      </c>
      <c r="M163" s="119" t="s">
        <v>11</v>
      </c>
      <c r="N163" s="120" t="s">
        <v>12</v>
      </c>
      <c r="O163" s="121" t="s">
        <v>13</v>
      </c>
      <c r="P163" s="120" t="s">
        <v>14</v>
      </c>
      <c r="Q163" s="120" t="s">
        <v>15</v>
      </c>
      <c r="R163" s="119" t="s">
        <v>16</v>
      </c>
      <c r="S163" s="120" t="s">
        <v>17</v>
      </c>
      <c r="T163" s="120" t="s">
        <v>18</v>
      </c>
      <c r="U163" s="120" t="s">
        <v>19</v>
      </c>
      <c r="V163" s="120" t="s">
        <v>20</v>
      </c>
      <c r="W163" s="121" t="s">
        <v>100</v>
      </c>
    </row>
    <row r="164" spans="1:23">
      <c r="A164" s="125" t="s">
        <v>167</v>
      </c>
      <c r="B164" s="119"/>
      <c r="C164" s="120">
        <v>40</v>
      </c>
      <c r="D164" s="120">
        <v>0</v>
      </c>
      <c r="E164" s="120">
        <v>0</v>
      </c>
      <c r="F164" s="120">
        <v>0</v>
      </c>
      <c r="G164" s="120">
        <v>0</v>
      </c>
      <c r="H164" s="120">
        <v>0</v>
      </c>
      <c r="I164" s="120">
        <v>0</v>
      </c>
      <c r="J164" s="120">
        <v>0</v>
      </c>
      <c r="K164" s="119"/>
      <c r="L164" s="120">
        <v>35</v>
      </c>
      <c r="M164" s="119"/>
      <c r="N164" s="120">
        <v>4500</v>
      </c>
      <c r="O164" s="120">
        <v>0</v>
      </c>
      <c r="P164" s="120">
        <v>0</v>
      </c>
      <c r="Q164" s="120">
        <v>0</v>
      </c>
      <c r="R164" s="119"/>
      <c r="S164" s="121">
        <f>C164*商品!F11+D164*商品!G15+E164*商品!J5+F164*商品!I3+G164*商品!F15+H164*商品!N5+I164*商品!L15+J164*商品!P9</f>
        <v>800</v>
      </c>
      <c r="T164" s="120">
        <f>L164*商品!I3</f>
        <v>1400</v>
      </c>
      <c r="U164" s="120">
        <f t="shared" ref="U164:U173" si="31">SUM(-S164,T164)</f>
        <v>600</v>
      </c>
      <c r="V164" s="120">
        <f t="shared" ref="V164:V173" si="32">U164/(N164+O164+P164+Q164)</f>
        <v>0.133333333333333</v>
      </c>
      <c r="W164" s="120">
        <f t="shared" ref="W164:W173" si="33">U164/S164</f>
        <v>0.75</v>
      </c>
    </row>
    <row r="165" spans="1:23">
      <c r="A165" s="121" t="s">
        <v>168</v>
      </c>
      <c r="B165" s="119"/>
      <c r="C165" s="120">
        <v>45</v>
      </c>
      <c r="D165" s="120">
        <v>20</v>
      </c>
      <c r="E165" s="120">
        <v>0</v>
      </c>
      <c r="F165" s="120">
        <v>0</v>
      </c>
      <c r="G165" s="120">
        <v>0</v>
      </c>
      <c r="H165" s="120">
        <v>0</v>
      </c>
      <c r="I165" s="120">
        <v>0</v>
      </c>
      <c r="J165" s="120">
        <v>0</v>
      </c>
      <c r="K165" s="119"/>
      <c r="L165" s="120">
        <v>65</v>
      </c>
      <c r="M165" s="119"/>
      <c r="N165" s="120">
        <v>4000</v>
      </c>
      <c r="O165" s="120">
        <v>900</v>
      </c>
      <c r="P165" s="120">
        <v>0</v>
      </c>
      <c r="Q165" s="120">
        <v>0</v>
      </c>
      <c r="R165" s="119"/>
      <c r="S165" s="121" t="e">
        <f>C165*商品!#REF!+D165*商品!#REF!+E165*商品!#REF!+F165*商品!#REF!+G165*商品!#REF!+H165*商品!#REF!+I165*商品!#REF!+J165*商品!#REF!</f>
        <v>#REF!</v>
      </c>
      <c r="T165" s="120" t="e">
        <f>L165*商品!#REF!</f>
        <v>#REF!</v>
      </c>
      <c r="U165" s="120" t="e">
        <f t="shared" si="31"/>
        <v>#REF!</v>
      </c>
      <c r="V165" s="120" t="e">
        <f t="shared" si="32"/>
        <v>#REF!</v>
      </c>
      <c r="W165" s="120" t="e">
        <f t="shared" si="33"/>
        <v>#REF!</v>
      </c>
    </row>
    <row r="166" spans="1:23">
      <c r="A166" s="121" t="s">
        <v>169</v>
      </c>
      <c r="B166" s="119"/>
      <c r="C166" s="120">
        <v>50</v>
      </c>
      <c r="D166" s="120">
        <v>0</v>
      </c>
      <c r="E166" s="120">
        <v>35</v>
      </c>
      <c r="F166" s="120">
        <v>0</v>
      </c>
      <c r="G166" s="120">
        <v>0</v>
      </c>
      <c r="H166" s="120">
        <v>0</v>
      </c>
      <c r="I166" s="120">
        <v>0</v>
      </c>
      <c r="J166" s="120">
        <v>0</v>
      </c>
      <c r="K166" s="119"/>
      <c r="L166" s="120">
        <v>105</v>
      </c>
      <c r="M166" s="119"/>
      <c r="N166" s="120">
        <v>3000</v>
      </c>
      <c r="O166" s="120">
        <v>200</v>
      </c>
      <c r="P166" s="120">
        <v>0</v>
      </c>
      <c r="Q166" s="120">
        <v>0</v>
      </c>
      <c r="R166" s="119"/>
      <c r="S166" s="121" t="e">
        <f>C166*商品!#REF!+D166*商品!C8+E166*商品!D4+F166*商品!#REF!+G166*商品!A8+H166*商品!#REF!+I166*商品!#REF!+J166*商品!#REF!</f>
        <v>#REF!</v>
      </c>
      <c r="T166" s="120" t="e">
        <f>L166*商品!#REF!</f>
        <v>#REF!</v>
      </c>
      <c r="U166" s="120" t="e">
        <f t="shared" si="31"/>
        <v>#REF!</v>
      </c>
      <c r="V166" s="120" t="e">
        <f t="shared" si="32"/>
        <v>#REF!</v>
      </c>
      <c r="W166" s="120" t="e">
        <f t="shared" si="33"/>
        <v>#REF!</v>
      </c>
    </row>
    <row r="167" spans="1:23">
      <c r="A167" s="120" t="s">
        <v>28</v>
      </c>
      <c r="B167" s="119"/>
      <c r="C167" s="120">
        <v>0</v>
      </c>
      <c r="D167" s="120">
        <v>0</v>
      </c>
      <c r="E167" s="120">
        <v>0</v>
      </c>
      <c r="F167" s="120">
        <v>5</v>
      </c>
      <c r="G167" s="120">
        <v>10</v>
      </c>
      <c r="H167" s="120">
        <v>0</v>
      </c>
      <c r="I167" s="120">
        <v>0</v>
      </c>
      <c r="J167" s="120">
        <v>0</v>
      </c>
      <c r="K167" s="119"/>
      <c r="L167" s="120">
        <v>5</v>
      </c>
      <c r="M167" s="119"/>
      <c r="N167" s="120">
        <v>-1500</v>
      </c>
      <c r="O167" s="120">
        <v>350</v>
      </c>
      <c r="P167" s="120">
        <v>150</v>
      </c>
      <c r="Q167" s="120">
        <v>0</v>
      </c>
      <c r="R167" s="119"/>
      <c r="S167" s="121" t="e">
        <f>C167*商品!#REF!+D167*商品!#REF!+E167*商品!#REF!+F167*商品!#REF!+G167*商品!#REF!+H167*商品!#REF!+I167*商品!#REF!+J167*商品!#REF!</f>
        <v>#REF!</v>
      </c>
      <c r="T167" s="120" t="e">
        <f>L167*商品!#REF!</f>
        <v>#REF!</v>
      </c>
      <c r="U167" s="120" t="e">
        <f t="shared" si="31"/>
        <v>#REF!</v>
      </c>
      <c r="V167" s="120" t="e">
        <f t="shared" si="32"/>
        <v>#REF!</v>
      </c>
      <c r="W167" s="120" t="e">
        <f t="shared" si="33"/>
        <v>#REF!</v>
      </c>
    </row>
    <row r="168" spans="1:23">
      <c r="A168" s="120" t="s">
        <v>29</v>
      </c>
      <c r="B168" s="119"/>
      <c r="C168" s="120">
        <v>0</v>
      </c>
      <c r="D168" s="120">
        <v>0</v>
      </c>
      <c r="E168" s="120">
        <v>0</v>
      </c>
      <c r="F168" s="120">
        <v>20</v>
      </c>
      <c r="G168" s="120">
        <v>35</v>
      </c>
      <c r="H168" s="120">
        <v>0</v>
      </c>
      <c r="I168" s="120">
        <v>0</v>
      </c>
      <c r="J168" s="120">
        <v>0</v>
      </c>
      <c r="K168" s="119"/>
      <c r="L168" s="120">
        <v>20</v>
      </c>
      <c r="M168" s="119"/>
      <c r="N168" s="120">
        <v>-2000</v>
      </c>
      <c r="O168" s="120">
        <v>250</v>
      </c>
      <c r="P168" s="120">
        <v>250</v>
      </c>
      <c r="Q168" s="120">
        <v>0</v>
      </c>
      <c r="R168" s="119"/>
      <c r="S168" s="121" t="e">
        <f>C168*商品!#REF!+D168*商品!#REF!+E168*商品!#REF!+F168*商品!#REF!+G168*商品!#REF!+H168*商品!#REF!+I168*商品!#REF!+J168*商品!#REF!</f>
        <v>#REF!</v>
      </c>
      <c r="T168" s="120" t="e">
        <f>L168*商品!#REF!</f>
        <v>#REF!</v>
      </c>
      <c r="U168" s="120" t="e">
        <f t="shared" si="31"/>
        <v>#REF!</v>
      </c>
      <c r="V168" s="120" t="e">
        <f t="shared" si="32"/>
        <v>#REF!</v>
      </c>
      <c r="W168" s="120" t="e">
        <f t="shared" si="33"/>
        <v>#REF!</v>
      </c>
    </row>
    <row r="169" spans="1:23">
      <c r="A169" s="121" t="s">
        <v>170</v>
      </c>
      <c r="B169" s="119"/>
      <c r="C169" s="120">
        <v>0</v>
      </c>
      <c r="D169" s="120">
        <v>0</v>
      </c>
      <c r="E169" s="120">
        <v>0</v>
      </c>
      <c r="F169" s="120">
        <v>25</v>
      </c>
      <c r="G169" s="120">
        <v>0</v>
      </c>
      <c r="H169" s="120">
        <v>0</v>
      </c>
      <c r="I169" s="120">
        <v>0</v>
      </c>
      <c r="J169" s="120">
        <v>0</v>
      </c>
      <c r="K169" s="119"/>
      <c r="L169" s="120">
        <v>50</v>
      </c>
      <c r="M169" s="119"/>
      <c r="N169" s="120">
        <v>-3000</v>
      </c>
      <c r="O169" s="120">
        <v>150</v>
      </c>
      <c r="P169" s="120">
        <v>350</v>
      </c>
      <c r="Q169" s="120">
        <v>0</v>
      </c>
      <c r="R169" s="119"/>
      <c r="S169" s="121" t="e">
        <f>C169*商品!#REF!+D169*商品!C14+E169*商品!#REF!+F169*商品!#REF!+G169*商品!A14+H169*商品!M5+I169*商品!#REF!+J169*商品!#REF!</f>
        <v>#REF!</v>
      </c>
      <c r="T169" s="120" t="e">
        <f>L169*商品!#REF!</f>
        <v>#REF!</v>
      </c>
      <c r="U169" s="120" t="e">
        <f t="shared" si="31"/>
        <v>#REF!</v>
      </c>
      <c r="V169" s="120" t="e">
        <f t="shared" si="32"/>
        <v>#REF!</v>
      </c>
      <c r="W169" s="120" t="e">
        <f t="shared" si="33"/>
        <v>#REF!</v>
      </c>
    </row>
    <row r="170" spans="1:23">
      <c r="A170" s="120" t="s">
        <v>30</v>
      </c>
      <c r="B170" s="119"/>
      <c r="F170" s="120">
        <v>5</v>
      </c>
      <c r="H170" s="120">
        <v>1</v>
      </c>
      <c r="I170" s="120">
        <v>3</v>
      </c>
      <c r="K170" s="119"/>
      <c r="L170" s="120">
        <v>0</v>
      </c>
      <c r="M170" s="119"/>
      <c r="N170" s="120">
        <v>-500</v>
      </c>
      <c r="O170" s="120">
        <v>0</v>
      </c>
      <c r="P170" s="120">
        <v>0</v>
      </c>
      <c r="Q170" s="120">
        <v>500</v>
      </c>
      <c r="R170" s="119"/>
      <c r="S170" s="121" t="e">
        <f>C170*商品!#REF!+D170*商品!#REF!+E170*商品!#REF!+F170*商品!#REF!+G170*商品!#REF!+H170*商品!#REF!+I170*商品!#REF!+J170*商品!#REF!</f>
        <v>#REF!</v>
      </c>
      <c r="T170" s="120" t="e">
        <f>L170*商品!#REF!</f>
        <v>#REF!</v>
      </c>
      <c r="U170" s="120" t="e">
        <f t="shared" si="31"/>
        <v>#REF!</v>
      </c>
      <c r="V170" s="120" t="e">
        <f t="shared" si="32"/>
        <v>#REF!</v>
      </c>
      <c r="W170" s="120" t="e">
        <f t="shared" si="33"/>
        <v>#REF!</v>
      </c>
    </row>
    <row r="171" spans="1:23">
      <c r="A171" s="120" t="s">
        <v>31</v>
      </c>
      <c r="B171" s="119"/>
      <c r="F171" s="120">
        <v>5</v>
      </c>
      <c r="H171" s="120">
        <v>2</v>
      </c>
      <c r="I171" s="120">
        <v>5</v>
      </c>
      <c r="K171" s="119"/>
      <c r="L171" s="120">
        <v>0</v>
      </c>
      <c r="M171" s="119"/>
      <c r="N171" s="120">
        <v>-1250</v>
      </c>
      <c r="O171" s="120">
        <v>0</v>
      </c>
      <c r="P171" s="120">
        <v>0</v>
      </c>
      <c r="Q171" s="120">
        <v>750</v>
      </c>
      <c r="R171" s="119"/>
      <c r="S171" s="121" t="e">
        <f>C171*商品!#REF!+D171*商品!#REF!+E171*商品!#REF!+F171*商品!#REF!+G171*商品!#REF!+H171*商品!#REF!+I171*商品!#REF!+J171*商品!#REF!</f>
        <v>#REF!</v>
      </c>
      <c r="T171" s="120" t="e">
        <f>L171*商品!#REF!</f>
        <v>#REF!</v>
      </c>
      <c r="U171" s="120" t="e">
        <f t="shared" si="31"/>
        <v>#REF!</v>
      </c>
      <c r="V171" s="120" t="e">
        <f t="shared" si="32"/>
        <v>#REF!</v>
      </c>
      <c r="W171" s="120" t="e">
        <f t="shared" si="33"/>
        <v>#REF!</v>
      </c>
    </row>
    <row r="172" spans="1:23">
      <c r="A172" s="120" t="s">
        <v>32</v>
      </c>
      <c r="B172" s="119"/>
      <c r="F172" s="120">
        <v>5</v>
      </c>
      <c r="H172" s="120">
        <v>3</v>
      </c>
      <c r="I172" s="120">
        <v>7</v>
      </c>
      <c r="K172" s="119"/>
      <c r="L172" s="120">
        <v>0</v>
      </c>
      <c r="M172" s="119"/>
      <c r="N172" s="120">
        <v>-1750</v>
      </c>
      <c r="O172" s="120">
        <v>0</v>
      </c>
      <c r="P172" s="120">
        <v>0</v>
      </c>
      <c r="Q172" s="120">
        <v>1000</v>
      </c>
      <c r="R172" s="119"/>
      <c r="S172" s="121" t="e">
        <f>C172*商品!#REF!+D172*商品!C16+E172*商品!D19+F172*商品!#REF!+G172*商品!A16+H172*商品!I16+I172*商品!G19+J172*商品!#REF!</f>
        <v>#REF!</v>
      </c>
      <c r="T172" s="120" t="e">
        <f>L172*商品!#REF!</f>
        <v>#REF!</v>
      </c>
      <c r="U172" s="120" t="e">
        <f t="shared" si="31"/>
        <v>#REF!</v>
      </c>
      <c r="V172" s="120" t="e">
        <f t="shared" si="32"/>
        <v>#REF!</v>
      </c>
      <c r="W172" s="120" t="e">
        <f t="shared" si="33"/>
        <v>#REF!</v>
      </c>
    </row>
    <row r="173" spans="1:23">
      <c r="A173" s="120" t="s">
        <v>33</v>
      </c>
      <c r="B173" s="119"/>
      <c r="F173" s="120">
        <v>10</v>
      </c>
      <c r="G173" s="120">
        <v>10</v>
      </c>
      <c r="H173" s="120">
        <v>2</v>
      </c>
      <c r="I173" s="120">
        <v>4</v>
      </c>
      <c r="J173" s="120">
        <v>5</v>
      </c>
      <c r="K173" s="119"/>
      <c r="L173" s="120">
        <v>0</v>
      </c>
      <c r="M173" s="119"/>
      <c r="N173" s="120">
        <v>-3000</v>
      </c>
      <c r="O173" s="120">
        <v>150</v>
      </c>
      <c r="P173" s="120">
        <v>350</v>
      </c>
      <c r="Q173" s="120">
        <v>400</v>
      </c>
      <c r="R173" s="119"/>
      <c r="S173" s="121" t="e">
        <f>C173*商品!#REF!+D173*商品!#REF!+E173*商品!#REF!+F173*商品!#REF!+G173*商品!#REF!+H173*商品!I17+I173*商品!#REF!+J173*商品!#REF!</f>
        <v>#REF!</v>
      </c>
      <c r="T173" s="120" t="e">
        <f>L173*商品!#REF!</f>
        <v>#REF!</v>
      </c>
      <c r="U173" s="120" t="e">
        <f t="shared" si="31"/>
        <v>#REF!</v>
      </c>
      <c r="V173" s="120" t="e">
        <f t="shared" si="32"/>
        <v>#REF!</v>
      </c>
      <c r="W173" s="120" t="e">
        <f t="shared" si="33"/>
        <v>#REF!</v>
      </c>
    </row>
  </sheetData>
  <sheetProtection formatCells="0" insertHyperlinks="0" autoFilter="0"/>
  <mergeCells count="58">
    <mergeCell ref="B1:B14"/>
    <mergeCell ref="B16:B25"/>
    <mergeCell ref="B27:B39"/>
    <mergeCell ref="B41:B48"/>
    <mergeCell ref="B50:B58"/>
    <mergeCell ref="B60:B73"/>
    <mergeCell ref="B75:B81"/>
    <mergeCell ref="B83:B93"/>
    <mergeCell ref="B95:B105"/>
    <mergeCell ref="B107:B115"/>
    <mergeCell ref="B117:B122"/>
    <mergeCell ref="B123:B130"/>
    <mergeCell ref="B132:B135"/>
    <mergeCell ref="B137:B142"/>
    <mergeCell ref="B144:B151"/>
    <mergeCell ref="B163:B173"/>
    <mergeCell ref="G132:G135"/>
    <mergeCell ref="G137:G142"/>
    <mergeCell ref="H117:H122"/>
    <mergeCell ref="H123:H130"/>
    <mergeCell ref="H144:H151"/>
    <mergeCell ref="I1:I14"/>
    <mergeCell ref="J107:J115"/>
    <mergeCell ref="J117:J122"/>
    <mergeCell ref="J132:J135"/>
    <mergeCell ref="J137:J142"/>
    <mergeCell ref="K16:K25"/>
    <mergeCell ref="K27:K39"/>
    <mergeCell ref="K41:K48"/>
    <mergeCell ref="K83:K93"/>
    <mergeCell ref="K123:K130"/>
    <mergeCell ref="K163:K173"/>
    <mergeCell ref="L50:L58"/>
    <mergeCell ref="L60:L73"/>
    <mergeCell ref="L75:L81"/>
    <mergeCell ref="L95:L105"/>
    <mergeCell ref="L107:L115"/>
    <mergeCell ref="L144:L151"/>
    <mergeCell ref="M83:M93"/>
    <mergeCell ref="M163:M173"/>
    <mergeCell ref="N50:N58"/>
    <mergeCell ref="N95:N105"/>
    <mergeCell ref="N117:N122"/>
    <mergeCell ref="N132:N135"/>
    <mergeCell ref="N137:N142"/>
    <mergeCell ref="O123:O130"/>
    <mergeCell ref="P60:P73"/>
    <mergeCell ref="Q1:Q14"/>
    <mergeCell ref="Q107:Q115"/>
    <mergeCell ref="Q144:Q151"/>
    <mergeCell ref="R83:R93"/>
    <mergeCell ref="R163:R173"/>
    <mergeCell ref="S75:S81"/>
    <mergeCell ref="S95:S105"/>
    <mergeCell ref="T16:T25"/>
    <mergeCell ref="T27:T39"/>
    <mergeCell ref="T41:T48"/>
    <mergeCell ref="U60:U7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"/>
  <sheetViews>
    <sheetView zoomScale="80" zoomScaleNormal="80" topLeftCell="A16" workbookViewId="0">
      <selection activeCell="G37" sqref="G37"/>
    </sheetView>
  </sheetViews>
  <sheetFormatPr defaultColWidth="8.725" defaultRowHeight="13.5"/>
  <cols>
    <col min="1" max="1" width="19.125" customWidth="1"/>
    <col min="2" max="2" width="6.625" customWidth="1"/>
    <col min="3" max="3" width="7.625" customWidth="1"/>
    <col min="4" max="5" width="11.25" customWidth="1"/>
    <col min="6" max="6" width="6.375" customWidth="1"/>
    <col min="7" max="7" width="13.875" customWidth="1"/>
    <col min="8" max="9" width="6.625" customWidth="1"/>
    <col min="10" max="10" width="8.75" customWidth="1"/>
    <col min="11" max="12" width="6.625" customWidth="1"/>
    <col min="13" max="15" width="8.75" customWidth="1"/>
    <col min="16" max="17" width="13.875" customWidth="1"/>
    <col min="18" max="18" width="6.625" customWidth="1"/>
    <col min="19" max="21" width="13.875" customWidth="1"/>
    <col min="22" max="22" width="11.25" customWidth="1"/>
    <col min="23" max="24" width="13.875" customWidth="1"/>
    <col min="25" max="25" width="10.375"/>
  </cols>
  <sheetData>
    <row r="1" ht="18.75" spans="1:23">
      <c r="A1" s="118" t="s">
        <v>171</v>
      </c>
      <c r="B1" s="119" t="s">
        <v>1</v>
      </c>
      <c r="C1" s="120" t="s">
        <v>172</v>
      </c>
      <c r="D1" s="120" t="s">
        <v>50</v>
      </c>
      <c r="E1" s="120" t="s">
        <v>117</v>
      </c>
      <c r="F1" s="120" t="s">
        <v>9</v>
      </c>
      <c r="G1" s="120" t="s">
        <v>3</v>
      </c>
      <c r="H1" s="120" t="s">
        <v>70</v>
      </c>
      <c r="I1" s="119" t="s">
        <v>8</v>
      </c>
      <c r="J1" s="120" t="s">
        <v>173</v>
      </c>
      <c r="K1" s="119" t="s">
        <v>11</v>
      </c>
      <c r="L1" s="120" t="s">
        <v>12</v>
      </c>
      <c r="M1" s="120" t="s">
        <v>41</v>
      </c>
      <c r="N1" s="120" t="s">
        <v>14</v>
      </c>
      <c r="O1" s="120" t="s">
        <v>15</v>
      </c>
      <c r="P1" s="119" t="s">
        <v>16</v>
      </c>
      <c r="Q1" s="120" t="s">
        <v>17</v>
      </c>
      <c r="R1" s="120" t="s">
        <v>18</v>
      </c>
      <c r="S1" s="120" t="s">
        <v>19</v>
      </c>
      <c r="T1" s="120" t="s">
        <v>20</v>
      </c>
      <c r="U1" s="120" t="s">
        <v>100</v>
      </c>
      <c r="V1" s="119" t="s">
        <v>174</v>
      </c>
      <c r="W1" s="120" t="s">
        <v>175</v>
      </c>
    </row>
    <row r="2" ht="18.75" spans="1:23">
      <c r="A2" s="120" t="s">
        <v>176</v>
      </c>
      <c r="B2" s="119"/>
      <c r="C2" s="120">
        <v>5</v>
      </c>
      <c r="D2" s="120">
        <v>0</v>
      </c>
      <c r="E2" s="120">
        <v>0</v>
      </c>
      <c r="F2" s="120">
        <v>10</v>
      </c>
      <c r="G2" s="120">
        <v>15</v>
      </c>
      <c r="H2" s="120">
        <v>0</v>
      </c>
      <c r="I2" s="119"/>
      <c r="J2" s="120">
        <f>W2*3</f>
        <v>60</v>
      </c>
      <c r="K2" s="119"/>
      <c r="L2" s="120">
        <v>3500</v>
      </c>
      <c r="M2" s="120">
        <v>1000</v>
      </c>
      <c r="N2" s="120">
        <v>0</v>
      </c>
      <c r="O2" s="120">
        <v>0</v>
      </c>
      <c r="P2" s="119"/>
      <c r="Q2" s="120" t="e">
        <f>C2*商品!K5+商品!F11*D2+商品!#REF!*E2+F2*商品!J5+G2*商品!F15+H2*商品!M15</f>
        <v>#REF!</v>
      </c>
      <c r="R2" s="120">
        <f>J2*商品!G7</f>
        <v>1800</v>
      </c>
      <c r="S2" s="120" t="e">
        <f>R2-Q2</f>
        <v>#REF!</v>
      </c>
      <c r="T2" s="123" t="e">
        <f>S2/(L2+M2+N2+O2)</f>
        <v>#REF!</v>
      </c>
      <c r="U2" s="123" t="e">
        <f>S2/Q2</f>
        <v>#REF!</v>
      </c>
      <c r="V2" s="119"/>
      <c r="W2" s="120">
        <v>20</v>
      </c>
    </row>
    <row r="3" ht="18.75" spans="1:23">
      <c r="A3" s="120" t="s">
        <v>177</v>
      </c>
      <c r="B3" s="119"/>
      <c r="C3" s="120">
        <v>10</v>
      </c>
      <c r="D3" s="120">
        <v>0</v>
      </c>
      <c r="E3" s="120">
        <v>0</v>
      </c>
      <c r="F3" s="120">
        <v>20</v>
      </c>
      <c r="G3" s="120">
        <v>25</v>
      </c>
      <c r="H3" s="120">
        <v>0</v>
      </c>
      <c r="I3" s="119"/>
      <c r="J3" s="120">
        <f>W3*3</f>
        <v>120</v>
      </c>
      <c r="K3" s="119"/>
      <c r="L3" s="120">
        <v>2500</v>
      </c>
      <c r="M3" s="120">
        <v>1500</v>
      </c>
      <c r="N3" s="120">
        <v>500</v>
      </c>
      <c r="O3" s="120">
        <v>0</v>
      </c>
      <c r="P3" s="119"/>
      <c r="Q3" s="120" t="e">
        <f>C3*商品!#REF!+商品!#REF!*D3+商品!#REF!*E3+F3*商品!#REF!+G3*商品!#REF!+H3*商品!#REF!</f>
        <v>#REF!</v>
      </c>
      <c r="R3" s="120" t="e">
        <f>J3*商品!#REF!</f>
        <v>#REF!</v>
      </c>
      <c r="S3" s="120" t="e">
        <f>R3-Q3</f>
        <v>#REF!</v>
      </c>
      <c r="T3" s="123" t="e">
        <f>S3/(L3+M3+N3+O3)</f>
        <v>#REF!</v>
      </c>
      <c r="U3" s="123" t="e">
        <f>S3/Q3</f>
        <v>#REF!</v>
      </c>
      <c r="V3" s="119"/>
      <c r="W3" s="120">
        <v>40</v>
      </c>
    </row>
    <row r="4" ht="18.75" spans="1:23">
      <c r="A4" s="120" t="s">
        <v>178</v>
      </c>
      <c r="B4" s="119"/>
      <c r="C4" s="120">
        <v>15</v>
      </c>
      <c r="D4" s="120">
        <v>0</v>
      </c>
      <c r="E4" s="120">
        <v>5</v>
      </c>
      <c r="F4" s="120">
        <v>20</v>
      </c>
      <c r="G4" s="120">
        <v>30</v>
      </c>
      <c r="H4" s="120">
        <v>5</v>
      </c>
      <c r="I4" s="119"/>
      <c r="J4" s="120">
        <f>W4*3</f>
        <v>180</v>
      </c>
      <c r="K4" s="119"/>
      <c r="L4" s="120">
        <v>1500</v>
      </c>
      <c r="M4" s="120">
        <v>2000</v>
      </c>
      <c r="N4" s="120">
        <v>1000</v>
      </c>
      <c r="O4" s="120">
        <v>500</v>
      </c>
      <c r="P4" s="119"/>
      <c r="Q4" s="120" t="e">
        <f>C4*商品!#REF!+商品!#REF!*D4+商品!#REF!*E4+F4*商品!D4+G4*商品!A8+H4*商品!#REF!</f>
        <v>#REF!</v>
      </c>
      <c r="R4" s="120" t="e">
        <f>J4*商品!#REF!</f>
        <v>#REF!</v>
      </c>
      <c r="S4" s="120" t="e">
        <f>R4-Q4</f>
        <v>#REF!</v>
      </c>
      <c r="T4" s="123" t="e">
        <f>S4/(L4+M4+N4+O4)</f>
        <v>#REF!</v>
      </c>
      <c r="U4" s="123" t="e">
        <f>S4/Q4</f>
        <v>#REF!</v>
      </c>
      <c r="V4" s="119"/>
      <c r="W4" s="120">
        <v>60</v>
      </c>
    </row>
    <row r="5" ht="18.75" spans="1:24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</row>
    <row r="6" ht="18.75" spans="1:24">
      <c r="A6" s="118" t="s">
        <v>179</v>
      </c>
      <c r="B6" s="119" t="s">
        <v>1</v>
      </c>
      <c r="C6" s="120" t="s">
        <v>70</v>
      </c>
      <c r="D6" s="120" t="s">
        <v>7</v>
      </c>
      <c r="E6" s="119" t="s">
        <v>8</v>
      </c>
      <c r="F6" s="120" t="s">
        <v>173</v>
      </c>
      <c r="G6" s="119" t="s">
        <v>11</v>
      </c>
      <c r="H6" s="120" t="s">
        <v>12</v>
      </c>
      <c r="I6" s="120" t="s">
        <v>41</v>
      </c>
      <c r="J6" s="120" t="s">
        <v>14</v>
      </c>
      <c r="K6" s="120" t="s">
        <v>15</v>
      </c>
      <c r="L6" s="119" t="s">
        <v>16</v>
      </c>
      <c r="M6" s="120" t="s">
        <v>17</v>
      </c>
      <c r="N6" s="120" t="s">
        <v>18</v>
      </c>
      <c r="O6" s="120" t="s">
        <v>19</v>
      </c>
      <c r="P6" s="120" t="s">
        <v>20</v>
      </c>
      <c r="Q6" s="120" t="s">
        <v>100</v>
      </c>
      <c r="R6" s="119" t="s">
        <v>174</v>
      </c>
      <c r="S6" s="120" t="s">
        <v>175</v>
      </c>
      <c r="U6" s="120"/>
      <c r="V6" s="120"/>
      <c r="W6" s="120"/>
      <c r="X6" s="120"/>
    </row>
    <row r="7" ht="18.75" spans="1:24">
      <c r="A7" s="120" t="s">
        <v>180</v>
      </c>
      <c r="B7" s="119"/>
      <c r="C7" s="120">
        <v>10</v>
      </c>
      <c r="D7" s="120">
        <v>30</v>
      </c>
      <c r="E7" s="119"/>
      <c r="F7" s="120">
        <f>S7*3</f>
        <v>120</v>
      </c>
      <c r="G7" s="119"/>
      <c r="H7" s="120">
        <v>1500</v>
      </c>
      <c r="I7" s="120">
        <v>0</v>
      </c>
      <c r="J7" s="120">
        <v>0</v>
      </c>
      <c r="K7" s="120">
        <v>500</v>
      </c>
      <c r="L7" s="119"/>
      <c r="M7" s="120">
        <f>C7*商品!M15+D7*商品!L15</f>
        <v>3200</v>
      </c>
      <c r="N7" s="120">
        <f>F7*商品!G7</f>
        <v>3600</v>
      </c>
      <c r="O7" s="120">
        <f t="shared" ref="O7:O9" si="0">N7-M7</f>
        <v>400</v>
      </c>
      <c r="P7" s="123">
        <f t="shared" ref="P7:P9" si="1">O7/(H7+I7+J7+K7)</f>
        <v>0.2</v>
      </c>
      <c r="Q7" s="123">
        <f t="shared" ref="Q7:Q9" si="2">O7/M7</f>
        <v>0.125</v>
      </c>
      <c r="R7" s="119"/>
      <c r="S7" s="120">
        <v>40</v>
      </c>
      <c r="U7" s="120"/>
      <c r="V7" s="120"/>
      <c r="W7" s="120"/>
      <c r="X7" s="120"/>
    </row>
    <row r="8" ht="18.75" spans="1:24">
      <c r="A8" s="120" t="s">
        <v>181</v>
      </c>
      <c r="B8" s="119"/>
      <c r="C8" s="120">
        <v>20</v>
      </c>
      <c r="D8" s="120">
        <v>35</v>
      </c>
      <c r="E8" s="119"/>
      <c r="F8" s="120">
        <f>S8*3</f>
        <v>180</v>
      </c>
      <c r="G8" s="119"/>
      <c r="H8" s="120">
        <v>1000</v>
      </c>
      <c r="I8" s="120">
        <v>0</v>
      </c>
      <c r="J8" s="120">
        <v>0</v>
      </c>
      <c r="K8" s="120">
        <v>1000</v>
      </c>
      <c r="L8" s="119"/>
      <c r="M8" s="120" t="e">
        <f>C8*商品!#REF!+D8*商品!#REF!</f>
        <v>#REF!</v>
      </c>
      <c r="N8" s="120" t="e">
        <f>F8*商品!#REF!</f>
        <v>#REF!</v>
      </c>
      <c r="O8" s="120" t="e">
        <f t="shared" si="0"/>
        <v>#REF!</v>
      </c>
      <c r="P8" s="123" t="e">
        <f t="shared" si="1"/>
        <v>#REF!</v>
      </c>
      <c r="Q8" s="123" t="e">
        <f t="shared" si="2"/>
        <v>#REF!</v>
      </c>
      <c r="R8" s="119"/>
      <c r="S8" s="120">
        <v>60</v>
      </c>
      <c r="U8" s="120"/>
      <c r="V8" s="120"/>
      <c r="W8" s="120"/>
      <c r="X8" s="120"/>
    </row>
    <row r="9" ht="18.75" spans="1:24">
      <c r="A9" s="120" t="s">
        <v>182</v>
      </c>
      <c r="B9" s="119"/>
      <c r="C9" s="120">
        <v>25</v>
      </c>
      <c r="D9" s="120">
        <v>45</v>
      </c>
      <c r="E9" s="119"/>
      <c r="F9" s="120">
        <f>S9*3</f>
        <v>240</v>
      </c>
      <c r="G9" s="119"/>
      <c r="H9" s="120">
        <v>500</v>
      </c>
      <c r="I9" s="120">
        <v>0</v>
      </c>
      <c r="J9" s="120">
        <v>0</v>
      </c>
      <c r="K9" s="120">
        <v>1500</v>
      </c>
      <c r="L9" s="119"/>
      <c r="M9" s="120" t="e">
        <f>C9*商品!#REF!+D9*商品!#REF!</f>
        <v>#REF!</v>
      </c>
      <c r="N9" s="120" t="e">
        <f>F9*商品!#REF!</f>
        <v>#REF!</v>
      </c>
      <c r="O9" s="120" t="e">
        <f t="shared" si="0"/>
        <v>#REF!</v>
      </c>
      <c r="P9" s="123" t="e">
        <f t="shared" si="1"/>
        <v>#REF!</v>
      </c>
      <c r="Q9" s="123" t="e">
        <f t="shared" si="2"/>
        <v>#REF!</v>
      </c>
      <c r="R9" s="119"/>
      <c r="S9" s="120">
        <v>80</v>
      </c>
      <c r="U9" s="120"/>
      <c r="V9" s="120"/>
      <c r="W9" s="120"/>
      <c r="X9" s="120"/>
    </row>
    <row r="10" ht="18.75" spans="1:24">
      <c r="A10" s="120"/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</row>
    <row r="11" ht="18.75" spans="1:24">
      <c r="A11" s="118" t="s">
        <v>183</v>
      </c>
      <c r="B11" s="119" t="s">
        <v>1</v>
      </c>
      <c r="C11" s="120" t="s">
        <v>5</v>
      </c>
      <c r="D11" s="120" t="s">
        <v>3</v>
      </c>
      <c r="E11" s="120" t="s">
        <v>7</v>
      </c>
      <c r="F11" s="120" t="s">
        <v>105</v>
      </c>
      <c r="G11" s="120" t="s">
        <v>142</v>
      </c>
      <c r="H11" s="119" t="s">
        <v>8</v>
      </c>
      <c r="I11" s="120" t="s">
        <v>173</v>
      </c>
      <c r="J11" s="119" t="s">
        <v>11</v>
      </c>
      <c r="K11" s="120" t="s">
        <v>12</v>
      </c>
      <c r="L11" s="120" t="s">
        <v>41</v>
      </c>
      <c r="M11" s="120" t="s">
        <v>14</v>
      </c>
      <c r="N11" s="120" t="s">
        <v>15</v>
      </c>
      <c r="O11" s="119" t="s">
        <v>16</v>
      </c>
      <c r="P11" s="120" t="s">
        <v>17</v>
      </c>
      <c r="Q11" s="120" t="s">
        <v>18</v>
      </c>
      <c r="R11" s="120" t="s">
        <v>19</v>
      </c>
      <c r="S11" s="120" t="s">
        <v>20</v>
      </c>
      <c r="T11" s="120" t="s">
        <v>100</v>
      </c>
      <c r="U11" s="119" t="s">
        <v>174</v>
      </c>
      <c r="V11" s="120" t="s">
        <v>175</v>
      </c>
      <c r="X11" s="120"/>
    </row>
    <row r="12" ht="18.75" spans="1:24">
      <c r="A12" s="120" t="s">
        <v>184</v>
      </c>
      <c r="B12" s="119"/>
      <c r="C12" s="120">
        <v>10</v>
      </c>
      <c r="D12" s="120">
        <v>0</v>
      </c>
      <c r="E12" s="120">
        <v>0</v>
      </c>
      <c r="F12" s="120">
        <v>0</v>
      </c>
      <c r="G12" s="120">
        <v>0</v>
      </c>
      <c r="H12" s="119"/>
      <c r="I12" s="120">
        <f t="shared" ref="I12:I17" si="3">V12*3</f>
        <v>15</v>
      </c>
      <c r="J12" s="119"/>
      <c r="K12" s="120">
        <v>3000</v>
      </c>
      <c r="L12" s="120">
        <v>0</v>
      </c>
      <c r="M12" s="120">
        <v>0</v>
      </c>
      <c r="N12" s="120">
        <v>0</v>
      </c>
      <c r="O12" s="119"/>
      <c r="P12" s="120">
        <f>C12*商品!I3+D12*商品!F15+E12*商品!L15+F12*商品!F9+G12*商品!E24</f>
        <v>400</v>
      </c>
      <c r="Q12" s="120">
        <f>I12*商品!G7</f>
        <v>450</v>
      </c>
      <c r="R12" s="120">
        <f t="shared" ref="R12:R17" si="4">Q12-P12</f>
        <v>50</v>
      </c>
      <c r="S12" s="123">
        <f t="shared" ref="S12:S17" si="5">R12/(K12+L12+M12+N12)</f>
        <v>0.0166666666666667</v>
      </c>
      <c r="T12" s="123">
        <f t="shared" ref="T12:T17" si="6">R12/P12</f>
        <v>0.125</v>
      </c>
      <c r="U12" s="119"/>
      <c r="V12" s="120">
        <v>5</v>
      </c>
      <c r="X12" s="120"/>
    </row>
    <row r="13" ht="18.75" spans="1:24">
      <c r="A13" s="120" t="s">
        <v>185</v>
      </c>
      <c r="B13" s="119"/>
      <c r="C13" s="120">
        <v>19</v>
      </c>
      <c r="D13" s="120">
        <v>0</v>
      </c>
      <c r="E13" s="120">
        <v>0</v>
      </c>
      <c r="F13" s="120"/>
      <c r="G13" s="120">
        <v>0</v>
      </c>
      <c r="H13" s="119"/>
      <c r="I13" s="120">
        <f t="shared" si="3"/>
        <v>30</v>
      </c>
      <c r="J13" s="119"/>
      <c r="K13" s="120">
        <v>2500</v>
      </c>
      <c r="L13" s="120">
        <v>500</v>
      </c>
      <c r="M13" s="120">
        <v>0</v>
      </c>
      <c r="N13" s="120">
        <v>0</v>
      </c>
      <c r="O13" s="119"/>
      <c r="P13" s="120" t="e">
        <f>C13*商品!#REF!+D13*商品!#REF!+E13*商品!#REF!+F13*商品!#REF!+G13*商品!#REF!</f>
        <v>#REF!</v>
      </c>
      <c r="Q13" s="120" t="e">
        <f>I13*商品!#REF!</f>
        <v>#REF!</v>
      </c>
      <c r="R13" s="120" t="e">
        <f t="shared" si="4"/>
        <v>#REF!</v>
      </c>
      <c r="S13" s="123" t="e">
        <f t="shared" si="5"/>
        <v>#REF!</v>
      </c>
      <c r="T13" s="123" t="e">
        <f t="shared" si="6"/>
        <v>#REF!</v>
      </c>
      <c r="U13" s="119"/>
      <c r="V13" s="120">
        <v>10</v>
      </c>
      <c r="X13" s="120"/>
    </row>
    <row r="14" ht="18.75" spans="1:24">
      <c r="A14" s="120" t="s">
        <v>186</v>
      </c>
      <c r="B14" s="119"/>
      <c r="C14" s="120">
        <v>25</v>
      </c>
      <c r="D14" s="120">
        <v>10</v>
      </c>
      <c r="E14" s="120">
        <v>0</v>
      </c>
      <c r="F14" s="120">
        <v>0</v>
      </c>
      <c r="G14" s="120">
        <v>0</v>
      </c>
      <c r="H14" s="119"/>
      <c r="I14" s="120">
        <f t="shared" si="3"/>
        <v>60</v>
      </c>
      <c r="J14" s="119"/>
      <c r="K14" s="120">
        <v>2250</v>
      </c>
      <c r="L14" s="120">
        <v>500</v>
      </c>
      <c r="M14" s="120">
        <v>250</v>
      </c>
      <c r="N14" s="120">
        <v>0</v>
      </c>
      <c r="O14" s="119"/>
      <c r="P14" s="120" t="e">
        <f>C14*商品!#REF!+D14*商品!A8+E14*商品!#REF!+F14*商品!#REF!+G14*商品!#REF!</f>
        <v>#REF!</v>
      </c>
      <c r="Q14" s="120" t="e">
        <f>I14*商品!#REF!</f>
        <v>#REF!</v>
      </c>
      <c r="R14" s="120" t="e">
        <f t="shared" si="4"/>
        <v>#REF!</v>
      </c>
      <c r="S14" s="123" t="e">
        <f t="shared" si="5"/>
        <v>#REF!</v>
      </c>
      <c r="T14" s="123" t="e">
        <f t="shared" si="6"/>
        <v>#REF!</v>
      </c>
      <c r="U14" s="119"/>
      <c r="V14" s="120">
        <v>20</v>
      </c>
      <c r="X14" s="120"/>
    </row>
    <row r="15" ht="18.75" spans="1:24">
      <c r="A15" s="120" t="s">
        <v>187</v>
      </c>
      <c r="B15" s="119"/>
      <c r="C15" s="120">
        <v>5</v>
      </c>
      <c r="D15" s="120">
        <v>0</v>
      </c>
      <c r="E15" s="120">
        <v>0</v>
      </c>
      <c r="F15" s="120">
        <v>10</v>
      </c>
      <c r="G15" s="120">
        <v>0</v>
      </c>
      <c r="H15" s="119"/>
      <c r="I15" s="120">
        <f t="shared" si="3"/>
        <v>15</v>
      </c>
      <c r="J15" s="119"/>
      <c r="K15" s="120">
        <v>2000</v>
      </c>
      <c r="L15" s="120">
        <v>0</v>
      </c>
      <c r="M15" s="120">
        <v>0</v>
      </c>
      <c r="N15" s="120">
        <v>0</v>
      </c>
      <c r="O15" s="119"/>
      <c r="P15" s="120" t="e">
        <f>C15*商品!#REF!+D15*商品!#REF!+E15*商品!#REF!+F15*商品!#REF!+G15*商品!M34</f>
        <v>#REF!</v>
      </c>
      <c r="Q15" s="120">
        <f>I15*商品!J34</f>
        <v>0</v>
      </c>
      <c r="R15" s="120" t="e">
        <f t="shared" si="4"/>
        <v>#REF!</v>
      </c>
      <c r="S15" s="123" t="e">
        <f t="shared" si="5"/>
        <v>#REF!</v>
      </c>
      <c r="T15" s="123" t="e">
        <f t="shared" si="6"/>
        <v>#REF!</v>
      </c>
      <c r="U15" s="119"/>
      <c r="V15" s="120">
        <v>5</v>
      </c>
      <c r="X15" s="120"/>
    </row>
    <row r="16" ht="18.75" spans="1:24">
      <c r="A16" s="120" t="s">
        <v>188</v>
      </c>
      <c r="B16" s="119"/>
      <c r="C16" s="120">
        <v>15</v>
      </c>
      <c r="D16" s="120">
        <v>0</v>
      </c>
      <c r="E16" s="120">
        <v>0</v>
      </c>
      <c r="F16" s="120">
        <v>25</v>
      </c>
      <c r="G16" s="120">
        <v>0</v>
      </c>
      <c r="H16" s="119"/>
      <c r="I16" s="120">
        <f t="shared" si="3"/>
        <v>45</v>
      </c>
      <c r="J16" s="119"/>
      <c r="K16" s="120">
        <v>1500</v>
      </c>
      <c r="L16" s="120">
        <v>0</v>
      </c>
      <c r="M16" s="120">
        <v>0</v>
      </c>
      <c r="N16" s="120">
        <v>0</v>
      </c>
      <c r="O16" s="119"/>
      <c r="P16" s="120" t="e">
        <f>C16*商品!#REF!+D16*商品!#REF!+E16*商品!#REF!+F16*商品!#REF!+G16*商品!M35</f>
        <v>#REF!</v>
      </c>
      <c r="Q16" s="120">
        <f>I16*商品!J35</f>
        <v>0</v>
      </c>
      <c r="R16" s="120" t="e">
        <f t="shared" si="4"/>
        <v>#REF!</v>
      </c>
      <c r="S16" s="123" t="e">
        <f t="shared" si="5"/>
        <v>#REF!</v>
      </c>
      <c r="T16" s="123" t="e">
        <f t="shared" si="6"/>
        <v>#REF!</v>
      </c>
      <c r="U16" s="119"/>
      <c r="V16" s="120">
        <v>15</v>
      </c>
      <c r="X16" s="120"/>
    </row>
    <row r="17" ht="18.75" spans="1:24">
      <c r="A17" s="120" t="s">
        <v>189</v>
      </c>
      <c r="B17" s="119"/>
      <c r="C17" s="120">
        <v>0</v>
      </c>
      <c r="D17" s="120">
        <v>0</v>
      </c>
      <c r="E17" s="120">
        <v>20</v>
      </c>
      <c r="F17" s="120">
        <v>0</v>
      </c>
      <c r="G17" s="120">
        <v>20</v>
      </c>
      <c r="H17" s="119"/>
      <c r="I17" s="120">
        <f t="shared" si="3"/>
        <v>150</v>
      </c>
      <c r="J17" s="119"/>
      <c r="K17" s="120">
        <v>1000</v>
      </c>
      <c r="L17" s="120">
        <v>0</v>
      </c>
      <c r="M17" s="120">
        <v>0</v>
      </c>
      <c r="N17" s="120">
        <v>500</v>
      </c>
      <c r="O17" s="119"/>
      <c r="P17" s="120" t="e">
        <f>C17*商品!#REF!+D17*商品!A14+E17*商品!#REF!+F17*商品!#REF!+G17*商品!M36</f>
        <v>#REF!</v>
      </c>
      <c r="Q17" s="120">
        <f>I17*商品!J36</f>
        <v>0</v>
      </c>
      <c r="R17" s="120" t="e">
        <f t="shared" si="4"/>
        <v>#REF!</v>
      </c>
      <c r="S17" s="123" t="e">
        <f t="shared" si="5"/>
        <v>#REF!</v>
      </c>
      <c r="T17" s="123" t="e">
        <f t="shared" si="6"/>
        <v>#REF!</v>
      </c>
      <c r="U17" s="119"/>
      <c r="V17" s="120">
        <v>50</v>
      </c>
      <c r="X17" s="120"/>
    </row>
    <row r="18" ht="18.75" spans="1:24">
      <c r="A18" s="120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</row>
    <row r="19" ht="18.75" spans="1:25">
      <c r="A19" s="118" t="s">
        <v>190</v>
      </c>
      <c r="B19" s="119" t="s">
        <v>1</v>
      </c>
      <c r="C19" s="120" t="s">
        <v>50</v>
      </c>
      <c r="D19" s="120" t="s">
        <v>62</v>
      </c>
      <c r="E19" s="120" t="s">
        <v>9</v>
      </c>
      <c r="F19" s="120" t="s">
        <v>3</v>
      </c>
      <c r="G19" s="120" t="s">
        <v>7</v>
      </c>
      <c r="H19" s="121" t="s">
        <v>191</v>
      </c>
      <c r="I19" s="120" t="s">
        <v>6</v>
      </c>
      <c r="J19" s="120" t="s">
        <v>192</v>
      </c>
      <c r="K19" s="119" t="s">
        <v>8</v>
      </c>
      <c r="L19" s="120" t="s">
        <v>193</v>
      </c>
      <c r="M19" s="119" t="s">
        <v>11</v>
      </c>
      <c r="N19" s="120" t="s">
        <v>12</v>
      </c>
      <c r="O19" s="120" t="s">
        <v>41</v>
      </c>
      <c r="P19" s="120" t="s">
        <v>14</v>
      </c>
      <c r="Q19" s="120" t="s">
        <v>194</v>
      </c>
      <c r="R19" s="120" t="s">
        <v>40</v>
      </c>
      <c r="S19" s="120" t="s">
        <v>15</v>
      </c>
      <c r="T19" s="119" t="s">
        <v>16</v>
      </c>
      <c r="U19" s="120" t="s">
        <v>17</v>
      </c>
      <c r="V19" s="120" t="s">
        <v>18</v>
      </c>
      <c r="W19" s="120" t="s">
        <v>19</v>
      </c>
      <c r="X19" s="120" t="s">
        <v>20</v>
      </c>
      <c r="Y19" s="120" t="s">
        <v>100</v>
      </c>
    </row>
    <row r="20" ht="18.75" spans="1:25">
      <c r="A20" s="120" t="s">
        <v>195</v>
      </c>
      <c r="B20" s="119"/>
      <c r="C20" s="120">
        <v>10</v>
      </c>
      <c r="D20" s="120">
        <v>0</v>
      </c>
      <c r="E20" s="120">
        <v>0</v>
      </c>
      <c r="F20" s="120">
        <v>0</v>
      </c>
      <c r="G20" s="120">
        <v>0</v>
      </c>
      <c r="H20" s="120">
        <v>0</v>
      </c>
      <c r="I20" s="120">
        <v>0</v>
      </c>
      <c r="J20" s="120">
        <v>0</v>
      </c>
      <c r="K20" s="119"/>
      <c r="L20" s="120">
        <v>25</v>
      </c>
      <c r="M20" s="119"/>
      <c r="N20" s="120">
        <v>3500</v>
      </c>
      <c r="O20" s="120">
        <v>0</v>
      </c>
      <c r="P20" s="120">
        <v>0</v>
      </c>
      <c r="Q20" s="120">
        <v>900</v>
      </c>
      <c r="R20" s="120">
        <v>400</v>
      </c>
      <c r="S20" s="120">
        <v>0</v>
      </c>
      <c r="T20" s="119"/>
      <c r="U20" s="120">
        <f>C20*商品!F11+D20*商品!J3+E20*商品!J5+F20*商品!F15+G20*商品!L15+H20*商品!K5+I20*商品!N5+J20*商品!E24</f>
        <v>200</v>
      </c>
      <c r="V20" s="120">
        <f>L20*商品!F7</f>
        <v>750</v>
      </c>
      <c r="W20" s="120">
        <f>V20-U20</f>
        <v>550</v>
      </c>
      <c r="X20" s="123">
        <f>W20/(N20+O20+P20+Q20+R20+S20)</f>
        <v>0.114583333333333</v>
      </c>
      <c r="Y20" s="123">
        <f>W20/U20</f>
        <v>2.75</v>
      </c>
    </row>
    <row r="21" ht="18.75" spans="1:25">
      <c r="A21" s="120" t="s">
        <v>196</v>
      </c>
      <c r="B21" s="119"/>
      <c r="C21" s="120">
        <v>5</v>
      </c>
      <c r="D21" s="120">
        <v>5</v>
      </c>
      <c r="E21" s="120">
        <v>0</v>
      </c>
      <c r="F21" s="120">
        <v>0</v>
      </c>
      <c r="G21" s="120">
        <v>0</v>
      </c>
      <c r="H21" s="120">
        <v>0</v>
      </c>
      <c r="I21" s="120">
        <v>0</v>
      </c>
      <c r="J21" s="120">
        <v>0</v>
      </c>
      <c r="K21" s="119"/>
      <c r="L21" s="120">
        <v>40</v>
      </c>
      <c r="M21" s="119"/>
      <c r="N21" s="120">
        <v>2500</v>
      </c>
      <c r="O21" s="120">
        <v>0</v>
      </c>
      <c r="P21" s="120">
        <v>0</v>
      </c>
      <c r="Q21" s="120">
        <v>1900</v>
      </c>
      <c r="R21" s="120">
        <v>400</v>
      </c>
      <c r="S21" s="120">
        <v>0</v>
      </c>
      <c r="T21" s="119"/>
      <c r="U21" s="120" t="e">
        <f>C21*商品!#REF!+D21*商品!#REF!+E21*商品!#REF!+F21*商品!#REF!+G21*商品!#REF!+H21*商品!#REF!+I21*商品!#REF!+J21*商品!#REF!</f>
        <v>#REF!</v>
      </c>
      <c r="V21" s="120" t="e">
        <f>L21*商品!#REF!</f>
        <v>#REF!</v>
      </c>
      <c r="W21" s="120" t="e">
        <f t="shared" ref="W21:W28" si="7">V21-U21</f>
        <v>#REF!</v>
      </c>
      <c r="X21" s="123" t="e">
        <f t="shared" ref="X21:X28" si="8">W21/(N21+O21+P21+Q21+R21+S21)</f>
        <v>#REF!</v>
      </c>
      <c r="Y21" s="123" t="e">
        <f t="shared" ref="Y21:Y28" si="9">W21/U21</f>
        <v>#REF!</v>
      </c>
    </row>
    <row r="22" ht="18.75" spans="1:25">
      <c r="A22" s="120" t="s">
        <v>197</v>
      </c>
      <c r="B22" s="119"/>
      <c r="C22" s="120">
        <v>0</v>
      </c>
      <c r="D22" s="120">
        <v>5</v>
      </c>
      <c r="E22" s="120">
        <v>5</v>
      </c>
      <c r="F22" s="120">
        <v>0</v>
      </c>
      <c r="G22" s="120">
        <v>0</v>
      </c>
      <c r="H22" s="120">
        <v>0</v>
      </c>
      <c r="I22" s="120">
        <v>0</v>
      </c>
      <c r="J22" s="120">
        <v>0</v>
      </c>
      <c r="K22" s="119"/>
      <c r="L22" s="120">
        <v>60</v>
      </c>
      <c r="M22" s="119"/>
      <c r="N22" s="120">
        <v>2000</v>
      </c>
      <c r="O22" s="120">
        <v>0</v>
      </c>
      <c r="P22" s="120">
        <v>0</v>
      </c>
      <c r="Q22" s="120">
        <v>2400</v>
      </c>
      <c r="R22" s="120">
        <v>400</v>
      </c>
      <c r="S22" s="120">
        <v>0</v>
      </c>
      <c r="T22" s="119"/>
      <c r="U22" s="120" t="e">
        <f>C22*商品!#REF!+D22*商品!#REF!+E22*商品!D4+F22*商品!A8+G22*商品!#REF!+H22*商品!#REF!+I22*商品!#REF!+J22*商品!#REF!</f>
        <v>#REF!</v>
      </c>
      <c r="V22" s="120" t="e">
        <f>L22*商品!#REF!</f>
        <v>#REF!</v>
      </c>
      <c r="W22" s="120" t="e">
        <f t="shared" si="7"/>
        <v>#REF!</v>
      </c>
      <c r="X22" s="123" t="e">
        <f t="shared" si="8"/>
        <v>#REF!</v>
      </c>
      <c r="Y22" s="123" t="e">
        <f t="shared" si="9"/>
        <v>#REF!</v>
      </c>
    </row>
    <row r="23" ht="18.75" spans="1:25">
      <c r="A23" s="120" t="s">
        <v>198</v>
      </c>
      <c r="B23" s="119"/>
      <c r="C23" s="120">
        <v>0</v>
      </c>
      <c r="D23" s="120">
        <v>10</v>
      </c>
      <c r="E23" s="120">
        <v>10</v>
      </c>
      <c r="F23" s="120">
        <v>0</v>
      </c>
      <c r="G23" s="120">
        <v>0</v>
      </c>
      <c r="H23" s="120">
        <v>0</v>
      </c>
      <c r="I23" s="120">
        <v>0</v>
      </c>
      <c r="J23" s="120">
        <v>0</v>
      </c>
      <c r="K23" s="119"/>
      <c r="L23" s="120">
        <v>90</v>
      </c>
      <c r="M23" s="119"/>
      <c r="N23" s="120">
        <v>1000</v>
      </c>
      <c r="O23" s="120">
        <v>0</v>
      </c>
      <c r="P23" s="120">
        <v>0</v>
      </c>
      <c r="Q23" s="120">
        <v>3000</v>
      </c>
      <c r="R23" s="120">
        <v>1000</v>
      </c>
      <c r="S23" s="120">
        <v>0</v>
      </c>
      <c r="T23" s="119"/>
      <c r="U23" s="120" t="e">
        <f>C23*商品!#REF!+D23*商品!#REF!+E23*商品!#REF!+F23*商品!#REF!+G23*商品!#REF!+H23*商品!L34+I23*商品!#REF!+J23*商品!M34</f>
        <v>#REF!</v>
      </c>
      <c r="V23" s="120">
        <f>L23*商品!K34</f>
        <v>0</v>
      </c>
      <c r="W23" s="120" t="e">
        <f t="shared" si="7"/>
        <v>#REF!</v>
      </c>
      <c r="X23" s="123" t="e">
        <f t="shared" si="8"/>
        <v>#REF!</v>
      </c>
      <c r="Y23" s="123" t="e">
        <f t="shared" si="9"/>
        <v>#REF!</v>
      </c>
    </row>
    <row r="24" ht="18.75" spans="1:25">
      <c r="A24" s="120" t="s">
        <v>199</v>
      </c>
      <c r="B24" s="119"/>
      <c r="C24" s="120">
        <v>0</v>
      </c>
      <c r="D24" s="120">
        <v>0</v>
      </c>
      <c r="E24" s="120">
        <v>0</v>
      </c>
      <c r="F24" s="120">
        <v>25</v>
      </c>
      <c r="G24" s="120">
        <v>0</v>
      </c>
      <c r="H24" s="120">
        <v>0</v>
      </c>
      <c r="I24" s="120">
        <v>0</v>
      </c>
      <c r="J24" s="120">
        <v>0</v>
      </c>
      <c r="K24" s="119"/>
      <c r="L24" s="120">
        <v>30</v>
      </c>
      <c r="M24" s="119"/>
      <c r="N24" s="120">
        <v>0</v>
      </c>
      <c r="O24" s="120">
        <v>300</v>
      </c>
      <c r="P24" s="120">
        <v>200</v>
      </c>
      <c r="Q24" s="120">
        <v>0</v>
      </c>
      <c r="R24" s="120">
        <v>0</v>
      </c>
      <c r="S24" s="120">
        <v>0</v>
      </c>
      <c r="T24" s="119"/>
      <c r="U24" s="120" t="e">
        <f>C24*商品!#REF!+D24*商品!#REF!+E24*商品!#REF!+F24*商品!#REF!+G24*商品!#REF!+H24*商品!L35+I24*商品!#REF!+J24*商品!M35</f>
        <v>#REF!</v>
      </c>
      <c r="V24" s="120">
        <f>L24*商品!K35</f>
        <v>0</v>
      </c>
      <c r="W24" s="120" t="e">
        <f t="shared" si="7"/>
        <v>#REF!</v>
      </c>
      <c r="X24" s="123" t="e">
        <f t="shared" si="8"/>
        <v>#REF!</v>
      </c>
      <c r="Y24" s="123" t="e">
        <f t="shared" si="9"/>
        <v>#REF!</v>
      </c>
    </row>
    <row r="25" ht="18.75" spans="1:25">
      <c r="A25" s="120" t="s">
        <v>200</v>
      </c>
      <c r="B25" s="119"/>
      <c r="C25" s="120">
        <v>0</v>
      </c>
      <c r="D25" s="120">
        <v>0</v>
      </c>
      <c r="E25" s="120">
        <v>0</v>
      </c>
      <c r="F25" s="120">
        <v>0</v>
      </c>
      <c r="G25" s="120">
        <v>13</v>
      </c>
      <c r="H25" s="120">
        <v>0</v>
      </c>
      <c r="I25" s="120">
        <v>0</v>
      </c>
      <c r="J25" s="120">
        <v>0</v>
      </c>
      <c r="K25" s="119"/>
      <c r="L25" s="120">
        <v>40</v>
      </c>
      <c r="M25" s="119"/>
      <c r="N25" s="120">
        <v>0</v>
      </c>
      <c r="O25" s="120">
        <v>0</v>
      </c>
      <c r="P25" s="120">
        <v>0</v>
      </c>
      <c r="Q25" s="120">
        <v>0</v>
      </c>
      <c r="R25" s="120">
        <v>0</v>
      </c>
      <c r="S25" s="120">
        <v>300</v>
      </c>
      <c r="T25" s="119"/>
      <c r="U25" s="120" t="e">
        <f>C25*商品!#REF!+D25*商品!#REF!+E25*商品!#REF!+F25*商品!A14+G25*商品!#REF!+H25*商品!L36+I25*商品!M5+J25*商品!M36</f>
        <v>#REF!</v>
      </c>
      <c r="V25" s="120">
        <f>L25*商品!K36</f>
        <v>0</v>
      </c>
      <c r="W25" s="120" t="e">
        <f t="shared" si="7"/>
        <v>#REF!</v>
      </c>
      <c r="X25" s="123" t="e">
        <f t="shared" si="8"/>
        <v>#REF!</v>
      </c>
      <c r="Y25" s="123" t="e">
        <f t="shared" si="9"/>
        <v>#REF!</v>
      </c>
    </row>
    <row r="26" ht="18.75" spans="1:25">
      <c r="A26" s="120" t="s">
        <v>201</v>
      </c>
      <c r="B26" s="119"/>
      <c r="C26" s="120">
        <v>0</v>
      </c>
      <c r="D26" s="120">
        <v>0</v>
      </c>
      <c r="E26" s="120">
        <v>0</v>
      </c>
      <c r="F26" s="120">
        <v>4</v>
      </c>
      <c r="G26" s="120">
        <v>0</v>
      </c>
      <c r="H26" s="120">
        <v>1</v>
      </c>
      <c r="I26" s="120">
        <v>0</v>
      </c>
      <c r="J26" s="120">
        <v>0</v>
      </c>
      <c r="K26" s="119"/>
      <c r="L26" s="120">
        <v>0</v>
      </c>
      <c r="M26" s="119"/>
      <c r="N26" s="120">
        <v>-500</v>
      </c>
      <c r="O26" s="120">
        <v>0</v>
      </c>
      <c r="P26" s="120">
        <v>0</v>
      </c>
      <c r="Q26" s="120"/>
      <c r="R26" s="120">
        <v>0</v>
      </c>
      <c r="S26" s="120">
        <v>0</v>
      </c>
      <c r="T26" s="119"/>
      <c r="U26" s="120" t="e">
        <f>C26*商品!#REF!+D26*商品!#REF!+E26*商品!#REF!+F26*商品!#REF!+G26*商品!#REF!+H26*商品!L37+I26*商品!#REF!+J26*商品!M37</f>
        <v>#REF!</v>
      </c>
      <c r="V26" s="120">
        <f>L26*商品!K37</f>
        <v>0</v>
      </c>
      <c r="W26" s="120" t="e">
        <f t="shared" si="7"/>
        <v>#REF!</v>
      </c>
      <c r="X26" s="123" t="e">
        <f t="shared" si="8"/>
        <v>#REF!</v>
      </c>
      <c r="Y26" s="123" t="e">
        <f t="shared" si="9"/>
        <v>#REF!</v>
      </c>
    </row>
    <row r="27" ht="18.75" spans="1:25">
      <c r="A27" s="120" t="s">
        <v>202</v>
      </c>
      <c r="B27" s="119"/>
      <c r="C27" s="120">
        <v>0</v>
      </c>
      <c r="D27" s="120">
        <v>0</v>
      </c>
      <c r="E27" s="120">
        <v>0</v>
      </c>
      <c r="F27" s="120">
        <v>0</v>
      </c>
      <c r="G27" s="120">
        <v>4</v>
      </c>
      <c r="H27" s="120">
        <v>0</v>
      </c>
      <c r="I27" s="120">
        <v>0</v>
      </c>
      <c r="J27" s="120">
        <v>1</v>
      </c>
      <c r="K27" s="119"/>
      <c r="L27" s="120">
        <v>0</v>
      </c>
      <c r="M27" s="119"/>
      <c r="N27" s="120">
        <v>-1000</v>
      </c>
      <c r="O27" s="120">
        <v>0</v>
      </c>
      <c r="P27" s="120"/>
      <c r="Q27" s="120">
        <v>0</v>
      </c>
      <c r="R27" s="120">
        <v>0</v>
      </c>
      <c r="S27" s="120">
        <v>0</v>
      </c>
      <c r="T27" s="119"/>
      <c r="U27" s="120" t="e">
        <f>C27*商品!#REF!+D27*商品!#REF!+E27*商品!#REF!+F27*商品!#REF!+G27*商品!#REF!+H27*商品!L38+I27*商品!#REF!+J27*商品!M38</f>
        <v>#REF!</v>
      </c>
      <c r="V27" s="120">
        <f>L27*商品!K38</f>
        <v>0</v>
      </c>
      <c r="W27" s="120" t="e">
        <f t="shared" si="7"/>
        <v>#REF!</v>
      </c>
      <c r="X27" s="123" t="e">
        <f t="shared" si="8"/>
        <v>#REF!</v>
      </c>
      <c r="Y27" s="123" t="e">
        <f t="shared" si="9"/>
        <v>#REF!</v>
      </c>
    </row>
    <row r="28" ht="18.75" spans="1:25">
      <c r="A28" s="121" t="s">
        <v>203</v>
      </c>
      <c r="B28" s="119"/>
      <c r="C28" s="120">
        <v>0</v>
      </c>
      <c r="D28" s="120">
        <v>0</v>
      </c>
      <c r="E28" s="120">
        <v>0</v>
      </c>
      <c r="F28" s="120">
        <v>10</v>
      </c>
      <c r="G28" s="120">
        <v>5</v>
      </c>
      <c r="H28" s="120">
        <v>1</v>
      </c>
      <c r="I28" s="120">
        <v>5</v>
      </c>
      <c r="J28" s="120">
        <v>1</v>
      </c>
      <c r="K28" s="119"/>
      <c r="L28" s="120">
        <v>0</v>
      </c>
      <c r="M28" s="119"/>
      <c r="N28" s="120">
        <v>-1000</v>
      </c>
      <c r="O28" s="120">
        <v>0</v>
      </c>
      <c r="P28" s="120">
        <v>0</v>
      </c>
      <c r="Q28" s="120">
        <v>-3000</v>
      </c>
      <c r="R28" s="120">
        <v>0</v>
      </c>
      <c r="S28" s="120">
        <v>500</v>
      </c>
      <c r="T28" s="119"/>
      <c r="U28" s="120" t="e">
        <f>C28*商品!#REF!+D28*商品!#REF!+E28*商品!D19+F28*商品!A16+G28*商品!G19+H28*商品!L39+I28*商品!I16+J28*商品!M39</f>
        <v>#REF!</v>
      </c>
      <c r="V28" s="120">
        <f>L28*商品!K39</f>
        <v>0</v>
      </c>
      <c r="W28" s="120" t="e">
        <f t="shared" si="7"/>
        <v>#REF!</v>
      </c>
      <c r="X28" s="123" t="e">
        <f t="shared" si="8"/>
        <v>#REF!</v>
      </c>
      <c r="Y28" s="123" t="e">
        <f t="shared" si="9"/>
        <v>#REF!</v>
      </c>
    </row>
    <row r="29" ht="18.75" spans="2:25">
      <c r="B29" s="119"/>
      <c r="C29" s="120"/>
      <c r="D29" s="120"/>
      <c r="E29" s="120"/>
      <c r="F29" s="120"/>
      <c r="G29" s="120"/>
      <c r="H29" s="120"/>
      <c r="I29" s="120"/>
      <c r="J29" s="120"/>
      <c r="K29" s="119"/>
      <c r="L29" s="120"/>
      <c r="M29" s="119"/>
      <c r="N29" s="120"/>
      <c r="O29" s="120"/>
      <c r="P29" s="120"/>
      <c r="Q29" s="120"/>
      <c r="R29" s="120"/>
      <c r="S29" s="120"/>
      <c r="T29" s="119"/>
      <c r="U29" s="120"/>
      <c r="V29" s="120"/>
      <c r="W29" s="120"/>
      <c r="X29" s="123"/>
      <c r="Y29" s="123"/>
    </row>
    <row r="30" ht="18.75" spans="1:26">
      <c r="A30" s="121" t="s">
        <v>204</v>
      </c>
      <c r="B30" s="119"/>
      <c r="C30" s="120">
        <f t="shared" ref="C30:I30" si="10">INT(C37/5)</f>
        <v>0</v>
      </c>
      <c r="D30" s="120">
        <f t="shared" si="10"/>
        <v>1</v>
      </c>
      <c r="E30" s="120">
        <f t="shared" si="10"/>
        <v>0</v>
      </c>
      <c r="F30" s="120">
        <f t="shared" si="10"/>
        <v>0</v>
      </c>
      <c r="G30" s="120">
        <f t="shared" si="10"/>
        <v>0</v>
      </c>
      <c r="H30" s="120">
        <f t="shared" si="10"/>
        <v>2</v>
      </c>
      <c r="I30" s="120">
        <f t="shared" si="10"/>
        <v>0</v>
      </c>
      <c r="J30" s="120">
        <f t="shared" ref="J30:R30" si="11">INT(J37/5)</f>
        <v>0</v>
      </c>
      <c r="K30" s="120">
        <f t="shared" si="11"/>
        <v>0</v>
      </c>
      <c r="L30" s="120"/>
      <c r="M30" s="120">
        <f t="shared" si="11"/>
        <v>7</v>
      </c>
      <c r="N30" s="119"/>
      <c r="O30" s="120">
        <f t="shared" si="11"/>
        <v>0</v>
      </c>
      <c r="P30" s="120">
        <f t="shared" si="11"/>
        <v>0</v>
      </c>
      <c r="Q30" s="120">
        <f t="shared" si="11"/>
        <v>0</v>
      </c>
      <c r="R30" s="120">
        <f t="shared" si="11"/>
        <v>100</v>
      </c>
      <c r="S30" s="120"/>
      <c r="T30" s="120">
        <f t="shared" ref="T30:X30" si="12">INT(T37/5)</f>
        <v>240</v>
      </c>
      <c r="U30" s="120">
        <f t="shared" si="12"/>
        <v>280</v>
      </c>
      <c r="V30" s="120">
        <f t="shared" ref="V30:V35" si="13">U30-T30</f>
        <v>40</v>
      </c>
      <c r="W30" s="123">
        <f t="shared" ref="W30:W35" si="14">V30/(M30+N30+O30+P30+Q30+R30)</f>
        <v>0.373831775700935</v>
      </c>
      <c r="X30" s="123">
        <f t="shared" ref="X30:X35" si="15">V30/T30</f>
        <v>0.166666666666667</v>
      </c>
      <c r="Y30" s="120"/>
      <c r="Z30" s="120">
        <f t="shared" ref="Z30:Z35" si="16">INT(Z37/5)</f>
        <v>7</v>
      </c>
    </row>
    <row r="31" ht="18.75" spans="1:26">
      <c r="A31" s="121" t="s">
        <v>205</v>
      </c>
      <c r="B31" s="119"/>
      <c r="C31" s="120">
        <f t="shared" ref="C31:I31" si="17">INT(C38/5)</f>
        <v>0</v>
      </c>
      <c r="D31" s="120">
        <f t="shared" si="17"/>
        <v>2</v>
      </c>
      <c r="E31" s="120">
        <f t="shared" si="17"/>
        <v>0</v>
      </c>
      <c r="F31" s="120">
        <f t="shared" si="17"/>
        <v>0</v>
      </c>
      <c r="G31" s="120">
        <f t="shared" si="17"/>
        <v>0</v>
      </c>
      <c r="H31" s="120">
        <f t="shared" si="17"/>
        <v>2</v>
      </c>
      <c r="I31" s="120">
        <f t="shared" si="17"/>
        <v>0</v>
      </c>
      <c r="J31" s="120">
        <f t="shared" ref="J31:R31" si="18">INT(J38/5)</f>
        <v>0</v>
      </c>
      <c r="K31" s="120">
        <f t="shared" si="18"/>
        <v>0</v>
      </c>
      <c r="L31" s="120"/>
      <c r="M31" s="120">
        <f t="shared" si="18"/>
        <v>10</v>
      </c>
      <c r="N31" s="119"/>
      <c r="O31" s="120">
        <f t="shared" si="18"/>
        <v>0</v>
      </c>
      <c r="P31" s="120">
        <f t="shared" si="18"/>
        <v>0</v>
      </c>
      <c r="Q31" s="120">
        <f t="shared" si="18"/>
        <v>0</v>
      </c>
      <c r="R31" s="120">
        <f t="shared" si="18"/>
        <v>200</v>
      </c>
      <c r="S31" s="120"/>
      <c r="T31" s="120" t="e">
        <f t="shared" ref="T31:X31" si="19">INT(T38/5)</f>
        <v>#REF!</v>
      </c>
      <c r="U31" s="120">
        <f t="shared" si="19"/>
        <v>0</v>
      </c>
      <c r="V31" s="120" t="e">
        <f t="shared" si="13"/>
        <v>#REF!</v>
      </c>
      <c r="W31" s="123" t="e">
        <f t="shared" si="14"/>
        <v>#REF!</v>
      </c>
      <c r="X31" s="123" t="e">
        <f t="shared" si="15"/>
        <v>#REF!</v>
      </c>
      <c r="Y31" s="120"/>
      <c r="Z31" s="120">
        <f t="shared" si="16"/>
        <v>10</v>
      </c>
    </row>
    <row r="32" ht="18.75" spans="1:26">
      <c r="A32" s="121" t="s">
        <v>206</v>
      </c>
      <c r="B32" s="119"/>
      <c r="C32" s="120">
        <f t="shared" ref="C32:I32" si="20">INT(C39/5)</f>
        <v>0</v>
      </c>
      <c r="D32" s="120">
        <f t="shared" si="20"/>
        <v>2</v>
      </c>
      <c r="E32" s="120">
        <f t="shared" si="20"/>
        <v>1</v>
      </c>
      <c r="F32" s="120">
        <f t="shared" si="20"/>
        <v>0</v>
      </c>
      <c r="G32" s="120">
        <f t="shared" si="20"/>
        <v>0</v>
      </c>
      <c r="H32" s="120">
        <f t="shared" si="20"/>
        <v>3</v>
      </c>
      <c r="I32" s="120">
        <f t="shared" si="20"/>
        <v>0</v>
      </c>
      <c r="J32" s="120">
        <f t="shared" ref="J32:R32" si="21">INT(J39/5)</f>
        <v>0</v>
      </c>
      <c r="K32" s="120">
        <f t="shared" si="21"/>
        <v>0</v>
      </c>
      <c r="L32" s="120"/>
      <c r="M32" s="120">
        <f t="shared" si="21"/>
        <v>15</v>
      </c>
      <c r="N32" s="119"/>
      <c r="O32" s="120">
        <f t="shared" si="21"/>
        <v>0</v>
      </c>
      <c r="P32" s="120">
        <f t="shared" si="21"/>
        <v>0</v>
      </c>
      <c r="Q32" s="120">
        <f t="shared" si="21"/>
        <v>0</v>
      </c>
      <c r="R32" s="120">
        <f t="shared" si="21"/>
        <v>300</v>
      </c>
      <c r="S32" s="120"/>
      <c r="T32" s="120" t="e">
        <f t="shared" ref="T32:X32" si="22">INT(T39/5)</f>
        <v>#REF!</v>
      </c>
      <c r="U32" s="120">
        <f t="shared" si="22"/>
        <v>0</v>
      </c>
      <c r="V32" s="120" t="e">
        <f t="shared" si="13"/>
        <v>#REF!</v>
      </c>
      <c r="W32" s="123" t="e">
        <f t="shared" si="14"/>
        <v>#REF!</v>
      </c>
      <c r="X32" s="123" t="e">
        <f t="shared" si="15"/>
        <v>#REF!</v>
      </c>
      <c r="Y32" s="120"/>
      <c r="Z32" s="120">
        <f t="shared" si="16"/>
        <v>15</v>
      </c>
    </row>
    <row r="33" ht="18.75" spans="1:26">
      <c r="A33" s="121" t="s">
        <v>207</v>
      </c>
      <c r="B33" s="119"/>
      <c r="C33" s="120">
        <f t="shared" ref="C33:I33" si="23">INT(C40/5)</f>
        <v>2</v>
      </c>
      <c r="D33" s="120">
        <f t="shared" si="23"/>
        <v>0</v>
      </c>
      <c r="E33" s="120">
        <f t="shared" si="23"/>
        <v>0</v>
      </c>
      <c r="F33" s="120">
        <f t="shared" si="23"/>
        <v>1</v>
      </c>
      <c r="G33" s="120">
        <f t="shared" si="23"/>
        <v>0</v>
      </c>
      <c r="H33" s="120">
        <f t="shared" si="23"/>
        <v>0</v>
      </c>
      <c r="I33" s="120">
        <f t="shared" si="23"/>
        <v>0</v>
      </c>
      <c r="J33" s="120">
        <f t="shared" ref="J33:R33" si="24">INT(J40/5)</f>
        <v>0</v>
      </c>
      <c r="K33" s="120">
        <f t="shared" si="24"/>
        <v>2</v>
      </c>
      <c r="L33" s="120"/>
      <c r="M33" s="120">
        <f t="shared" si="24"/>
        <v>4</v>
      </c>
      <c r="N33" s="119"/>
      <c r="O33" s="120">
        <f t="shared" si="24"/>
        <v>950</v>
      </c>
      <c r="P33" s="120">
        <f t="shared" si="24"/>
        <v>0</v>
      </c>
      <c r="Q33" s="120">
        <f t="shared" si="24"/>
        <v>0</v>
      </c>
      <c r="R33" s="120">
        <f t="shared" si="24"/>
        <v>0</v>
      </c>
      <c r="S33" s="120"/>
      <c r="T33" s="120" t="e">
        <f t="shared" ref="T33:X33" si="25">INT(T40/5)</f>
        <v>#REF!</v>
      </c>
      <c r="U33" s="120">
        <f t="shared" si="25"/>
        <v>0</v>
      </c>
      <c r="V33" s="120" t="e">
        <f t="shared" si="13"/>
        <v>#REF!</v>
      </c>
      <c r="W33" s="123" t="e">
        <f t="shared" si="14"/>
        <v>#REF!</v>
      </c>
      <c r="X33" s="123" t="e">
        <f t="shared" si="15"/>
        <v>#REF!</v>
      </c>
      <c r="Y33" s="120"/>
      <c r="Z33" s="120">
        <f t="shared" si="16"/>
        <v>4</v>
      </c>
    </row>
    <row r="34" ht="18.75" spans="1:26">
      <c r="A34" s="121" t="s">
        <v>208</v>
      </c>
      <c r="B34" s="119"/>
      <c r="C34" s="120">
        <f t="shared" ref="C34:I34" si="26">INT(C41/5)</f>
        <v>0</v>
      </c>
      <c r="D34" s="120">
        <f t="shared" si="26"/>
        <v>0</v>
      </c>
      <c r="E34" s="120">
        <f t="shared" si="26"/>
        <v>2</v>
      </c>
      <c r="F34" s="120">
        <f t="shared" si="26"/>
        <v>2</v>
      </c>
      <c r="G34" s="120">
        <f t="shared" si="26"/>
        <v>1</v>
      </c>
      <c r="H34" s="120">
        <f t="shared" si="26"/>
        <v>0</v>
      </c>
      <c r="I34" s="120">
        <f t="shared" si="26"/>
        <v>0</v>
      </c>
      <c r="J34" s="120">
        <f t="shared" ref="J34:R34" si="27">INT(J41/5)</f>
        <v>0</v>
      </c>
      <c r="K34" s="120">
        <f t="shared" si="27"/>
        <v>0</v>
      </c>
      <c r="L34" s="120"/>
      <c r="M34" s="120">
        <f t="shared" si="27"/>
        <v>9</v>
      </c>
      <c r="N34" s="119"/>
      <c r="O34" s="120">
        <f t="shared" si="27"/>
        <v>500</v>
      </c>
      <c r="P34" s="120">
        <f t="shared" si="27"/>
        <v>300</v>
      </c>
      <c r="Q34" s="120">
        <f t="shared" si="27"/>
        <v>150</v>
      </c>
      <c r="R34" s="120">
        <f t="shared" si="27"/>
        <v>0</v>
      </c>
      <c r="S34" s="120"/>
      <c r="T34" s="120" t="e">
        <f t="shared" ref="T34:X34" si="28">INT(T41/5)</f>
        <v>#REF!</v>
      </c>
      <c r="U34" s="120">
        <f t="shared" si="28"/>
        <v>0</v>
      </c>
      <c r="V34" s="120" t="e">
        <f t="shared" si="13"/>
        <v>#REF!</v>
      </c>
      <c r="W34" s="123" t="e">
        <f t="shared" si="14"/>
        <v>#REF!</v>
      </c>
      <c r="X34" s="123" t="e">
        <f t="shared" si="15"/>
        <v>#REF!</v>
      </c>
      <c r="Y34" s="120"/>
      <c r="Z34" s="120">
        <f t="shared" si="16"/>
        <v>9</v>
      </c>
    </row>
    <row r="35" ht="18.75" spans="1:26">
      <c r="A35" s="121" t="s">
        <v>209</v>
      </c>
      <c r="B35" s="120"/>
      <c r="C35" s="120">
        <f t="shared" ref="C35:I35" si="29">INT(C42/5)</f>
        <v>0</v>
      </c>
      <c r="D35" s="120">
        <f t="shared" si="29"/>
        <v>0</v>
      </c>
      <c r="E35" s="120">
        <f t="shared" si="29"/>
        <v>2</v>
      </c>
      <c r="F35" s="120">
        <f t="shared" si="29"/>
        <v>2</v>
      </c>
      <c r="G35" s="120">
        <f t="shared" si="29"/>
        <v>1</v>
      </c>
      <c r="H35" s="120">
        <f t="shared" si="29"/>
        <v>0</v>
      </c>
      <c r="I35" s="120">
        <f t="shared" si="29"/>
        <v>1</v>
      </c>
      <c r="J35" s="120">
        <f t="shared" ref="J35:R35" si="30">INT(J42/5)</f>
        <v>1</v>
      </c>
      <c r="K35" s="120">
        <f t="shared" si="30"/>
        <v>0</v>
      </c>
      <c r="L35" s="120"/>
      <c r="M35" s="120">
        <f t="shared" si="30"/>
        <v>12</v>
      </c>
      <c r="N35" s="120"/>
      <c r="O35" s="120">
        <f t="shared" si="30"/>
        <v>300</v>
      </c>
      <c r="P35" s="120">
        <f t="shared" si="30"/>
        <v>400</v>
      </c>
      <c r="Q35" s="120">
        <f t="shared" si="30"/>
        <v>250</v>
      </c>
      <c r="R35" s="120">
        <f t="shared" si="30"/>
        <v>0</v>
      </c>
      <c r="S35" s="120"/>
      <c r="T35" s="120" t="e">
        <f t="shared" ref="T35:X35" si="31">INT(T42/5)</f>
        <v>#REF!</v>
      </c>
      <c r="U35" s="120">
        <f t="shared" si="31"/>
        <v>0</v>
      </c>
      <c r="V35" s="120" t="e">
        <f t="shared" si="13"/>
        <v>#REF!</v>
      </c>
      <c r="W35" s="123" t="e">
        <f t="shared" si="14"/>
        <v>#REF!</v>
      </c>
      <c r="X35" s="123" t="e">
        <f t="shared" si="15"/>
        <v>#REF!</v>
      </c>
      <c r="Y35" s="120"/>
      <c r="Z35" s="120">
        <f t="shared" si="16"/>
        <v>12</v>
      </c>
    </row>
    <row r="36" ht="18.75" spans="1:26">
      <c r="A36" s="118" t="s">
        <v>210</v>
      </c>
      <c r="B36" s="122" t="s">
        <v>1</v>
      </c>
      <c r="C36" s="121" t="s">
        <v>50</v>
      </c>
      <c r="D36" s="121" t="s">
        <v>7</v>
      </c>
      <c r="E36" s="120" t="s">
        <v>9</v>
      </c>
      <c r="F36" s="120" t="s">
        <v>5</v>
      </c>
      <c r="G36" s="120" t="s">
        <v>62</v>
      </c>
      <c r="H36" s="120" t="s">
        <v>70</v>
      </c>
      <c r="I36" s="120" t="s">
        <v>191</v>
      </c>
      <c r="J36" s="120" t="s">
        <v>3</v>
      </c>
      <c r="K36" s="120" t="s">
        <v>36</v>
      </c>
      <c r="L36" s="122" t="s">
        <v>8</v>
      </c>
      <c r="M36" s="121" t="s">
        <v>211</v>
      </c>
      <c r="N36" s="122" t="s">
        <v>11</v>
      </c>
      <c r="O36" s="121" t="s">
        <v>12</v>
      </c>
      <c r="P36" s="121" t="s">
        <v>41</v>
      </c>
      <c r="Q36" s="121" t="s">
        <v>14</v>
      </c>
      <c r="R36" s="121" t="s">
        <v>15</v>
      </c>
      <c r="S36" s="122" t="s">
        <v>16</v>
      </c>
      <c r="T36" s="121" t="s">
        <v>17</v>
      </c>
      <c r="U36" s="121" t="s">
        <v>18</v>
      </c>
      <c r="V36" s="121" t="s">
        <v>19</v>
      </c>
      <c r="W36" s="121" t="s">
        <v>20</v>
      </c>
      <c r="X36" s="121" t="s">
        <v>212</v>
      </c>
      <c r="Y36" s="119" t="s">
        <v>174</v>
      </c>
      <c r="Z36" s="120" t="s">
        <v>213</v>
      </c>
    </row>
    <row r="37" ht="18.75" spans="1:26">
      <c r="A37" s="121" t="s">
        <v>204</v>
      </c>
      <c r="B37" s="122"/>
      <c r="C37" s="120">
        <v>0</v>
      </c>
      <c r="D37" s="120">
        <v>5</v>
      </c>
      <c r="E37" s="120">
        <v>0</v>
      </c>
      <c r="F37" s="120">
        <v>0</v>
      </c>
      <c r="G37" s="120">
        <v>0</v>
      </c>
      <c r="H37" s="120">
        <v>10</v>
      </c>
      <c r="I37" s="120">
        <v>0</v>
      </c>
      <c r="J37" s="120">
        <v>0</v>
      </c>
      <c r="K37" s="120">
        <v>0</v>
      </c>
      <c r="L37" s="122"/>
      <c r="M37" s="120">
        <v>35</v>
      </c>
      <c r="N37" s="122"/>
      <c r="O37" s="120">
        <v>0</v>
      </c>
      <c r="P37" s="120">
        <v>0</v>
      </c>
      <c r="Q37" s="120">
        <v>0</v>
      </c>
      <c r="R37" s="120">
        <v>500</v>
      </c>
      <c r="S37" s="122"/>
      <c r="T37" s="120">
        <f>C37*商品!F11+D37*商品!L15+E37*商品!J5+H37*商品!M15+I37*商品!K5+J37*商品!F15+K37*商品!H9+F37*商品!I3+G37*商品!J3</f>
        <v>1200</v>
      </c>
      <c r="U37" s="120">
        <f>M37*商品!F19</f>
        <v>1400</v>
      </c>
      <c r="V37" s="120">
        <f t="shared" ref="V37:V42" si="32">U37-T37</f>
        <v>200</v>
      </c>
      <c r="W37" s="123">
        <f t="shared" ref="W37:W42" si="33">V37/(M37+N37+O37+P37+Q37+R37)</f>
        <v>0.373831775700935</v>
      </c>
      <c r="X37" s="123">
        <f t="shared" ref="X37:X42" si="34">V37/T37</f>
        <v>0.166666666666667</v>
      </c>
      <c r="Y37" s="119"/>
      <c r="Z37" s="120">
        <f t="shared" ref="Z37:Z42" si="35">M37</f>
        <v>35</v>
      </c>
    </row>
    <row r="38" ht="18.75" spans="1:26">
      <c r="A38" s="121" t="s">
        <v>205</v>
      </c>
      <c r="B38" s="122"/>
      <c r="C38" s="120">
        <v>0</v>
      </c>
      <c r="D38" s="120">
        <v>10</v>
      </c>
      <c r="E38" s="120">
        <v>0</v>
      </c>
      <c r="F38" s="120">
        <v>0</v>
      </c>
      <c r="G38" s="120">
        <v>0</v>
      </c>
      <c r="H38" s="120">
        <v>10</v>
      </c>
      <c r="I38" s="120">
        <v>0</v>
      </c>
      <c r="J38" s="120">
        <v>0</v>
      </c>
      <c r="K38" s="120">
        <v>0</v>
      </c>
      <c r="L38" s="122"/>
      <c r="M38" s="120">
        <v>50</v>
      </c>
      <c r="N38" s="122"/>
      <c r="O38" s="120">
        <v>0</v>
      </c>
      <c r="P38" s="120">
        <v>0</v>
      </c>
      <c r="Q38" s="120">
        <v>0</v>
      </c>
      <c r="R38" s="120">
        <v>1000</v>
      </c>
      <c r="S38" s="122"/>
      <c r="T38" s="120" t="e">
        <f>C38*商品!#REF!+D38*商品!#REF!+E38*商品!#REF!+H38*商品!#REF!+I38*商品!#REF!+J38*商品!#REF!+K38*商品!#REF!+F38*商品!#REF!+G38*商品!#REF!</f>
        <v>#REF!</v>
      </c>
      <c r="U38" s="120">
        <f>M38*商品!X32</f>
        <v>0</v>
      </c>
      <c r="V38" s="120" t="e">
        <f t="shared" si="32"/>
        <v>#REF!</v>
      </c>
      <c r="W38" s="123" t="e">
        <f t="shared" si="33"/>
        <v>#REF!</v>
      </c>
      <c r="X38" s="123" t="e">
        <f t="shared" si="34"/>
        <v>#REF!</v>
      </c>
      <c r="Y38" s="119"/>
      <c r="Z38" s="120">
        <f t="shared" si="35"/>
        <v>50</v>
      </c>
    </row>
    <row r="39" ht="18.75" spans="1:26">
      <c r="A39" s="121" t="s">
        <v>206</v>
      </c>
      <c r="B39" s="122"/>
      <c r="C39" s="120">
        <v>0</v>
      </c>
      <c r="D39" s="120">
        <v>10</v>
      </c>
      <c r="E39" s="120">
        <v>5</v>
      </c>
      <c r="F39" s="120">
        <v>0</v>
      </c>
      <c r="G39" s="120">
        <v>0</v>
      </c>
      <c r="H39" s="120">
        <v>15</v>
      </c>
      <c r="I39" s="120">
        <v>0</v>
      </c>
      <c r="J39" s="120">
        <v>0</v>
      </c>
      <c r="K39" s="120">
        <v>0</v>
      </c>
      <c r="L39" s="122"/>
      <c r="M39" s="120">
        <v>75</v>
      </c>
      <c r="N39" s="122"/>
      <c r="O39" s="120">
        <v>0</v>
      </c>
      <c r="P39" s="120">
        <v>0</v>
      </c>
      <c r="Q39" s="120">
        <v>0</v>
      </c>
      <c r="R39" s="120">
        <v>1500</v>
      </c>
      <c r="S39" s="122"/>
      <c r="T39" s="120" t="e">
        <f>C39*商品!#REF!+D39*商品!#REF!+E39*商品!D4+H39*商品!#REF!+I39*商品!#REF!+J39*商品!A8+K39*商品!#REF!+F39*商品!#REF!+G39*商品!#REF!</f>
        <v>#REF!</v>
      </c>
      <c r="U39" s="120">
        <f>M39*商品!X33</f>
        <v>0</v>
      </c>
      <c r="V39" s="120" t="e">
        <f t="shared" si="32"/>
        <v>#REF!</v>
      </c>
      <c r="W39" s="123" t="e">
        <f t="shared" si="33"/>
        <v>#REF!</v>
      </c>
      <c r="X39" s="123" t="e">
        <f t="shared" si="34"/>
        <v>#REF!</v>
      </c>
      <c r="Y39" s="119"/>
      <c r="Z39" s="120">
        <f t="shared" si="35"/>
        <v>75</v>
      </c>
    </row>
    <row r="40" ht="18.75" spans="1:26">
      <c r="A40" s="121" t="s">
        <v>207</v>
      </c>
      <c r="B40" s="122"/>
      <c r="C40" s="120">
        <v>10</v>
      </c>
      <c r="D40" s="120">
        <v>0</v>
      </c>
      <c r="E40" s="120">
        <v>0</v>
      </c>
      <c r="F40" s="120">
        <v>5</v>
      </c>
      <c r="G40" s="120">
        <v>0</v>
      </c>
      <c r="H40" s="120">
        <v>0</v>
      </c>
      <c r="I40" s="120">
        <v>0</v>
      </c>
      <c r="J40" s="120">
        <v>0</v>
      </c>
      <c r="K40" s="120">
        <v>10</v>
      </c>
      <c r="L40" s="122"/>
      <c r="M40" s="120">
        <v>20</v>
      </c>
      <c r="N40" s="122"/>
      <c r="O40" s="120">
        <v>4750</v>
      </c>
      <c r="P40" s="120">
        <v>0</v>
      </c>
      <c r="Q40" s="120">
        <v>0</v>
      </c>
      <c r="R40" s="120">
        <v>0</v>
      </c>
      <c r="S40" s="122"/>
      <c r="T40" s="120" t="e">
        <f>C40*商品!#REF!+D40*商品!#REF!+E40*商品!#REF!+H40*商品!#REF!+I40*商品!L34+J40*商品!#REF!+K40*商品!#REF!+F40*商品!#REF!+G40*商品!#REF!</f>
        <v>#REF!</v>
      </c>
      <c r="U40" s="120">
        <f>M40*商品!X34</f>
        <v>0</v>
      </c>
      <c r="V40" s="120" t="e">
        <f t="shared" si="32"/>
        <v>#REF!</v>
      </c>
      <c r="W40" s="123" t="e">
        <f t="shared" si="33"/>
        <v>#REF!</v>
      </c>
      <c r="X40" s="123" t="e">
        <f t="shared" si="34"/>
        <v>#REF!</v>
      </c>
      <c r="Y40" s="119"/>
      <c r="Z40" s="120">
        <f t="shared" si="35"/>
        <v>20</v>
      </c>
    </row>
    <row r="41" ht="18.75" spans="1:26">
      <c r="A41" s="121" t="s">
        <v>208</v>
      </c>
      <c r="B41" s="122"/>
      <c r="C41" s="120">
        <v>0</v>
      </c>
      <c r="D41" s="120">
        <v>0</v>
      </c>
      <c r="E41" s="120">
        <v>10</v>
      </c>
      <c r="F41" s="120">
        <v>10</v>
      </c>
      <c r="G41" s="120">
        <v>5</v>
      </c>
      <c r="H41" s="120">
        <v>0</v>
      </c>
      <c r="I41" s="120">
        <v>0</v>
      </c>
      <c r="J41" s="120">
        <v>0</v>
      </c>
      <c r="K41" s="120">
        <v>0</v>
      </c>
      <c r="L41" s="122"/>
      <c r="M41" s="120">
        <v>45</v>
      </c>
      <c r="N41" s="122"/>
      <c r="O41" s="120">
        <v>2500</v>
      </c>
      <c r="P41" s="120">
        <v>1500</v>
      </c>
      <c r="Q41" s="120">
        <v>750</v>
      </c>
      <c r="R41" s="120">
        <v>0</v>
      </c>
      <c r="S41" s="122"/>
      <c r="T41" s="120" t="e">
        <f>C41*商品!#REF!+D41*商品!#REF!+E41*商品!#REF!+H41*商品!#REF!+I41*商品!L35+J41*商品!#REF!+K41*商品!#REF!+F41*商品!#REF!+G41*商品!#REF!</f>
        <v>#REF!</v>
      </c>
      <c r="U41" s="120">
        <f>M41*商品!X35</f>
        <v>0</v>
      </c>
      <c r="V41" s="120" t="e">
        <f t="shared" si="32"/>
        <v>#REF!</v>
      </c>
      <c r="W41" s="123" t="e">
        <f t="shared" si="33"/>
        <v>#REF!</v>
      </c>
      <c r="X41" s="123" t="e">
        <f t="shared" si="34"/>
        <v>#REF!</v>
      </c>
      <c r="Y41" s="119"/>
      <c r="Z41" s="120">
        <f t="shared" si="35"/>
        <v>45</v>
      </c>
    </row>
    <row r="42" ht="18.75" spans="1:26">
      <c r="A42" s="121" t="s">
        <v>209</v>
      </c>
      <c r="B42" s="122"/>
      <c r="C42" s="120">
        <v>0</v>
      </c>
      <c r="D42" s="120">
        <v>0</v>
      </c>
      <c r="E42" s="120">
        <v>10</v>
      </c>
      <c r="F42" s="120">
        <v>10</v>
      </c>
      <c r="G42" s="120">
        <v>5</v>
      </c>
      <c r="H42" s="120">
        <v>0</v>
      </c>
      <c r="I42" s="120">
        <v>5</v>
      </c>
      <c r="J42" s="120">
        <v>5</v>
      </c>
      <c r="K42" s="120">
        <v>0</v>
      </c>
      <c r="L42" s="122"/>
      <c r="M42" s="120">
        <v>60</v>
      </c>
      <c r="N42" s="122"/>
      <c r="O42" s="120">
        <v>1500</v>
      </c>
      <c r="P42" s="120">
        <v>2000</v>
      </c>
      <c r="Q42" s="120">
        <v>1250</v>
      </c>
      <c r="R42" s="120">
        <v>0</v>
      </c>
      <c r="S42" s="122"/>
      <c r="T42" s="120" t="e">
        <f>C42*商品!#REF!+D42*商品!#REF!+E42*商品!#REF!+H42*商品!#REF!+I42*商品!L36+J42*商品!A14+K42*商品!I10+F42*商品!#REF!+G42*商品!#REF!</f>
        <v>#REF!</v>
      </c>
      <c r="U42" s="120">
        <f>M42*商品!X36</f>
        <v>0</v>
      </c>
      <c r="V42" s="120" t="e">
        <f t="shared" si="32"/>
        <v>#REF!</v>
      </c>
      <c r="W42" s="123" t="e">
        <f t="shared" si="33"/>
        <v>#REF!</v>
      </c>
      <c r="X42" s="123" t="e">
        <f t="shared" si="34"/>
        <v>#REF!</v>
      </c>
      <c r="Y42" s="119"/>
      <c r="Z42" s="120">
        <f t="shared" si="35"/>
        <v>60</v>
      </c>
    </row>
    <row r="43" ht="18.75" spans="1:26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ht="18.75" spans="1:26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ht="18.75" spans="1:26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ht="18.75" spans="1:26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ht="18.75" spans="1:26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ht="18.75" spans="1:26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ht="18.75" spans="1:26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ht="18.75" spans="1:26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</sheetData>
  <sheetProtection formatCells="0" insertHyperlinks="0" autoFilter="0"/>
  <mergeCells count="23">
    <mergeCell ref="B1:B4"/>
    <mergeCell ref="B6:B9"/>
    <mergeCell ref="B11:B17"/>
    <mergeCell ref="B19:B28"/>
    <mergeCell ref="B36:B42"/>
    <mergeCell ref="E6:E9"/>
    <mergeCell ref="G6:G9"/>
    <mergeCell ref="H11:H17"/>
    <mergeCell ref="I1:I4"/>
    <mergeCell ref="J11:J17"/>
    <mergeCell ref="K19:K28"/>
    <mergeCell ref="L6:L9"/>
    <mergeCell ref="L36:L42"/>
    <mergeCell ref="M19:M28"/>
    <mergeCell ref="N36:N42"/>
    <mergeCell ref="O11:O17"/>
    <mergeCell ref="P1:P4"/>
    <mergeCell ref="R6:R9"/>
    <mergeCell ref="S36:S42"/>
    <mergeCell ref="T19:T28"/>
    <mergeCell ref="U11:U17"/>
    <mergeCell ref="V1:V4"/>
    <mergeCell ref="Y36:Y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workbookViewId="0">
      <selection activeCell="H26" sqref="H26"/>
    </sheetView>
  </sheetViews>
  <sheetFormatPr defaultColWidth="8.725" defaultRowHeight="13.5"/>
  <cols>
    <col min="1" max="1" width="11.8166666666667" customWidth="1"/>
    <col min="2" max="2" width="5.725" customWidth="1"/>
    <col min="3" max="7" width="5.55" customWidth="1"/>
    <col min="8" max="8" width="9.55" customWidth="1"/>
    <col min="9" max="9" width="5.55" customWidth="1"/>
    <col min="10" max="11" width="5.725" customWidth="1"/>
    <col min="12" max="13" width="5.55" customWidth="1"/>
    <col min="14" max="14" width="3.55" customWidth="1"/>
    <col min="15" max="15" width="5.55" customWidth="1"/>
    <col min="16" max="16" width="7.55" customWidth="1"/>
    <col min="17" max="18" width="5.55" customWidth="1"/>
    <col min="19" max="19" width="5.725" customWidth="1"/>
    <col min="20" max="20" width="6.55" customWidth="1"/>
    <col min="21" max="23" width="5.55" customWidth="1"/>
    <col min="24" max="24" width="5.725" customWidth="1"/>
    <col min="25" max="26" width="5.55" customWidth="1"/>
    <col min="27" max="27" width="7.55" customWidth="1"/>
    <col min="28" max="29" width="11.8166666666667" customWidth="1"/>
  </cols>
  <sheetData>
    <row r="1" spans="1:29">
      <c r="A1" s="103" t="s">
        <v>214</v>
      </c>
      <c r="B1" s="111" t="s">
        <v>1</v>
      </c>
      <c r="C1" s="112" t="s">
        <v>5</v>
      </c>
      <c r="D1" s="112" t="s">
        <v>3</v>
      </c>
      <c r="E1" s="112" t="s">
        <v>191</v>
      </c>
      <c r="F1" s="112" t="s">
        <v>215</v>
      </c>
      <c r="G1" s="112" t="s">
        <v>6</v>
      </c>
      <c r="H1" s="112" t="s">
        <v>7</v>
      </c>
      <c r="I1" t="s">
        <v>105</v>
      </c>
      <c r="J1" t="s">
        <v>10</v>
      </c>
      <c r="K1" s="111" t="s">
        <v>8</v>
      </c>
      <c r="L1" s="112" t="s">
        <v>105</v>
      </c>
      <c r="M1" s="112" t="s">
        <v>94</v>
      </c>
      <c r="N1" s="112" t="s">
        <v>92</v>
      </c>
      <c r="O1" s="112" t="s">
        <v>216</v>
      </c>
      <c r="P1" s="112" t="s">
        <v>217</v>
      </c>
      <c r="Q1" t="s">
        <v>218</v>
      </c>
      <c r="R1" t="s">
        <v>36</v>
      </c>
      <c r="S1" s="103" t="s">
        <v>11</v>
      </c>
      <c r="T1" s="113" t="s">
        <v>12</v>
      </c>
      <c r="U1" t="s">
        <v>41</v>
      </c>
      <c r="V1" t="s">
        <v>219</v>
      </c>
      <c r="W1" t="s">
        <v>15</v>
      </c>
      <c r="X1" s="111" t="s">
        <v>16</v>
      </c>
      <c r="Y1" s="112" t="s">
        <v>17</v>
      </c>
      <c r="Z1" s="112" t="s">
        <v>18</v>
      </c>
      <c r="AA1" t="s">
        <v>19</v>
      </c>
      <c r="AB1" s="114" t="s">
        <v>20</v>
      </c>
      <c r="AC1" s="114" t="s">
        <v>100</v>
      </c>
    </row>
    <row r="2" spans="1:29">
      <c r="A2" t="s">
        <v>220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4000</v>
      </c>
      <c r="U2">
        <v>0</v>
      </c>
      <c r="V2">
        <v>750</v>
      </c>
      <c r="W2">
        <v>0</v>
      </c>
      <c r="Y2">
        <f>C2*商品!I3+D2*商品!F15+E2*商品!K5+F2*商品!F5+G2*商品!N5+H2*商品!L15+I2*商品!F9+J2*商品!G15</f>
        <v>0</v>
      </c>
      <c r="Z2">
        <f>L2*商品!F9+M2*商品!G9+商品!K9*N2+O2*商品!J9+P2*商品!N9+Q2*商品!I9+R2*商品!H9</f>
        <v>600</v>
      </c>
      <c r="AA2" s="115">
        <f t="shared" ref="AA2:AA8" si="0">Z2-Y2</f>
        <v>600</v>
      </c>
      <c r="AB2" s="116">
        <f t="shared" ref="AB2:AB9" si="1">AA2/(T2+U2+V2+W2)</f>
        <v>0.126315789473684</v>
      </c>
      <c r="AC2" s="117" t="e">
        <f t="shared" ref="AC2:AC9" si="2">AA2/Y2</f>
        <v>#DIV/0!</v>
      </c>
    </row>
    <row r="3" spans="1:29">
      <c r="A3" t="s">
        <v>221</v>
      </c>
      <c r="C3">
        <v>0</v>
      </c>
      <c r="D3">
        <v>0</v>
      </c>
      <c r="E3">
        <v>0</v>
      </c>
      <c r="F3">
        <v>30</v>
      </c>
      <c r="G3">
        <v>0</v>
      </c>
      <c r="H3">
        <v>0</v>
      </c>
      <c r="I3">
        <v>0</v>
      </c>
      <c r="J3">
        <v>0</v>
      </c>
      <c r="L3">
        <v>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3750</v>
      </c>
      <c r="U3">
        <v>0</v>
      </c>
      <c r="V3">
        <v>1000</v>
      </c>
      <c r="W3">
        <v>0</v>
      </c>
      <c r="Y3" t="e">
        <f>C3*商品!#REF!+D3*商品!#REF!+E3*商品!#REF!+F3*商品!#REF!+G3*商品!#REF!+H3*商品!#REF!+I3*商品!#REF!+J3*商品!#REF!</f>
        <v>#REF!</v>
      </c>
      <c r="Z3" t="e">
        <f>L3*商品!#REF!+M3*商品!#REF!+商品!#REF!*N3+O3*商品!#REF!+P3*商品!#REF!+Q3*商品!Q32+R3*商品!#REF!</f>
        <v>#REF!</v>
      </c>
      <c r="AA3" s="115" t="e">
        <f t="shared" si="0"/>
        <v>#REF!</v>
      </c>
      <c r="AB3" s="116" t="e">
        <f t="shared" si="1"/>
        <v>#REF!</v>
      </c>
      <c r="AC3" s="117" t="e">
        <f t="shared" si="2"/>
        <v>#REF!</v>
      </c>
    </row>
    <row r="4" spans="1:29">
      <c r="A4" t="s">
        <v>222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L4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3500</v>
      </c>
      <c r="U4">
        <v>0</v>
      </c>
      <c r="V4">
        <v>1250</v>
      </c>
      <c r="W4">
        <v>0</v>
      </c>
      <c r="Y4" t="e">
        <f>C4*商品!#REF!+D4*商品!A8+E4*商品!#REF!+F4*商品!#REF!+G4*商品!#REF!+H4*商品!#REF!+I4*商品!#REF!+J4*商品!C8</f>
        <v>#REF!</v>
      </c>
      <c r="Z4" t="e">
        <f>L4*商品!#REF!+M4*商品!#REF!+商品!#REF!*N4+O4*商品!#REF!+P4*商品!#REF!+Q4*商品!Q33+R4*商品!#REF!</f>
        <v>#REF!</v>
      </c>
      <c r="AA4" s="115" t="e">
        <f t="shared" si="0"/>
        <v>#REF!</v>
      </c>
      <c r="AB4" s="116" t="e">
        <f t="shared" si="1"/>
        <v>#REF!</v>
      </c>
      <c r="AC4" s="117" t="e">
        <f t="shared" si="2"/>
        <v>#REF!</v>
      </c>
    </row>
    <row r="5" spans="1:29">
      <c r="A5" t="s">
        <v>223</v>
      </c>
      <c r="C5">
        <v>0</v>
      </c>
      <c r="D5">
        <v>0</v>
      </c>
      <c r="E5">
        <v>0</v>
      </c>
      <c r="F5">
        <v>50</v>
      </c>
      <c r="G5">
        <v>0</v>
      </c>
      <c r="H5">
        <v>0</v>
      </c>
      <c r="I5">
        <v>0</v>
      </c>
      <c r="J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3250</v>
      </c>
      <c r="U5">
        <v>0</v>
      </c>
      <c r="V5">
        <v>1500</v>
      </c>
      <c r="W5">
        <v>0</v>
      </c>
      <c r="Y5" t="e">
        <f>C5*商品!#REF!+D5*商品!#REF!+E5*商品!L34+F5*商品!N34+G5*商品!#REF!+H5*商品!#REF!+I5*商品!#REF!+J5*商品!#REF!</f>
        <v>#REF!</v>
      </c>
      <c r="Z5" t="e">
        <f>L5*商品!#REF!+M5*商品!#REF!+商品!#REF!*N5+O5*商品!P34+P5*商品!O34+Q5*商品!Q34+R5*商品!#REF!</f>
        <v>#REF!</v>
      </c>
      <c r="AA5" s="115" t="e">
        <f t="shared" si="0"/>
        <v>#REF!</v>
      </c>
      <c r="AB5" s="116" t="e">
        <f t="shared" si="1"/>
        <v>#REF!</v>
      </c>
      <c r="AC5" s="117" t="e">
        <f t="shared" si="2"/>
        <v>#REF!</v>
      </c>
    </row>
    <row r="6" spans="1:29">
      <c r="A6" t="s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0</v>
      </c>
      <c r="J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250</v>
      </c>
      <c r="Y6" t="e">
        <f>C6*商品!#REF!+D6*商品!#REF!+E6*商品!L35+F6*商品!N35+G6*商品!#REF!+H6*商品!#REF!+I6*商品!#REF!+J6*商品!#REF!</f>
        <v>#REF!</v>
      </c>
      <c r="Z6" t="e">
        <f>L6*商品!#REF!+M6*商品!#REF!+商品!#REF!*N6+O6*商品!P35+P6*商品!O35+Q6*商品!Q35+R6*商品!#REF!</f>
        <v>#REF!</v>
      </c>
      <c r="AA6" s="115" t="e">
        <f t="shared" si="0"/>
        <v>#REF!</v>
      </c>
      <c r="AB6" s="116" t="e">
        <f t="shared" si="1"/>
        <v>#REF!</v>
      </c>
      <c r="AC6" s="117" t="e">
        <f t="shared" si="2"/>
        <v>#REF!</v>
      </c>
    </row>
    <row r="7" spans="1:29">
      <c r="A7" t="s">
        <v>225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0</v>
      </c>
      <c r="J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500</v>
      </c>
      <c r="Y7" t="e">
        <f>C7*商品!#REF!+D7*商品!A14+E7*商品!L36+F7*商品!N36+G7*商品!M5+H7*商品!#REF!+I7*商品!#REF!+J7*商品!C14</f>
        <v>#REF!</v>
      </c>
      <c r="Z7" t="e">
        <f>L7*商品!#REF!+M7*商品!#REF!+商品!#REF!*N7+O7*商品!P36+P7*商品!O36+Q7*商品!Q36+R7*商品!I10</f>
        <v>#REF!</v>
      </c>
      <c r="AA7" s="115" t="e">
        <f t="shared" si="0"/>
        <v>#REF!</v>
      </c>
      <c r="AB7" s="116" t="e">
        <f t="shared" si="1"/>
        <v>#REF!</v>
      </c>
      <c r="AC7" s="117" t="e">
        <f t="shared" si="2"/>
        <v>#REF!</v>
      </c>
    </row>
    <row r="8" spans="1:29">
      <c r="A8" t="s">
        <v>226</v>
      </c>
      <c r="C8">
        <v>0</v>
      </c>
      <c r="D8">
        <v>0</v>
      </c>
      <c r="E8">
        <v>0</v>
      </c>
      <c r="F8">
        <v>0</v>
      </c>
      <c r="G8">
        <v>0</v>
      </c>
      <c r="H8">
        <v>23</v>
      </c>
      <c r="I8">
        <v>0</v>
      </c>
      <c r="J8">
        <v>0</v>
      </c>
      <c r="L8">
        <v>120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1000</v>
      </c>
      <c r="Y8" t="e">
        <f>C8*商品!#REF!+D8*商品!#REF!+E8*商品!L37+F8*商品!N37+G8*商品!#REF!+H8*商品!#REF!+I8*商品!#REF!+J8*商品!#REF!</f>
        <v>#REF!</v>
      </c>
      <c r="Z8" t="e">
        <f>L8*商品!#REF!+M8*商品!#REF!+商品!#REF!*N8+O8*商品!P37+P8*商品!O37+Q8*商品!Q37+R8*商品!#REF!</f>
        <v>#REF!</v>
      </c>
      <c r="AA8" s="115" t="e">
        <f t="shared" si="0"/>
        <v>#REF!</v>
      </c>
      <c r="AB8" s="116" t="e">
        <f t="shared" si="1"/>
        <v>#REF!</v>
      </c>
      <c r="AC8" s="117" t="e">
        <f t="shared" si="2"/>
        <v>#REF!</v>
      </c>
    </row>
    <row r="9" spans="1:29">
      <c r="A9" t="s">
        <v>227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-25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Y9" t="e">
        <f>C9*商品!#REF!+D9*商品!#REF!+E9*商品!L35+F9*商品!N35+G9*商品!#REF!+H9*商品!#REF!+I9*商品!#REF!+J9*商品!#REF!</f>
        <v>#REF!</v>
      </c>
      <c r="Z9" t="e">
        <f>L9*商品!#REF!+M9*商品!#REF!+商品!#REF!*N9+O9*商品!P35+P9*商品!O35+Q9*商品!Q35+R9*商品!#REF!</f>
        <v>#REF!</v>
      </c>
      <c r="AA9" s="115" t="e">
        <f t="shared" ref="AA9:AA16" si="3">Z9-Y9</f>
        <v>#REF!</v>
      </c>
      <c r="AB9" s="116" t="e">
        <f t="shared" si="1"/>
        <v>#REF!</v>
      </c>
      <c r="AC9" s="117" t="e">
        <f t="shared" si="2"/>
        <v>#REF!</v>
      </c>
    </row>
    <row r="10" spans="1:29">
      <c r="A10" t="s">
        <v>228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>
        <v>-15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Y10" t="e">
        <f>C10*商品!#REF!+D10*商品!A14+E10*商品!L36+F10*商品!N36+G10*商品!M5+H10*商品!#REF!+I10*商品!#REF!+J10*商品!C14</f>
        <v>#REF!</v>
      </c>
      <c r="Z10" t="e">
        <f>L10*商品!#REF!+M10*商品!#REF!+商品!#REF!*N10+O10*商品!P36+P10*商品!O36+Q10*商品!Q36+R10*商品!I10</f>
        <v>#REF!</v>
      </c>
      <c r="AA10" s="115" t="e">
        <f t="shared" si="3"/>
        <v>#REF!</v>
      </c>
      <c r="AB10" s="116" t="e">
        <f t="shared" ref="AB10:AB15" si="4">AA10/(T10+U10+V10+W10)</f>
        <v>#REF!</v>
      </c>
      <c r="AC10" s="117" t="e">
        <f t="shared" ref="AC10:AC15" si="5">AA10/Y10</f>
        <v>#REF!</v>
      </c>
    </row>
    <row r="11" spans="1:29">
      <c r="A11" t="s">
        <v>229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-15</v>
      </c>
      <c r="M11">
        <v>0</v>
      </c>
      <c r="N11">
        <v>3</v>
      </c>
      <c r="O11">
        <v>7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Y11" t="e">
        <f>C11*商品!#REF!+D11*商品!#REF!+E11*商品!L37+F11*商品!N37+G11*商品!#REF!+H11*商品!#REF!+I11*商品!#REF!+J11*商品!#REF!</f>
        <v>#REF!</v>
      </c>
      <c r="Z11" t="e">
        <f>L11*商品!#REF!+M11*商品!#REF!+商品!#REF!*N11+O11*商品!P37+P11*商品!O37+Q11*商品!Q37+R11*商品!#REF!</f>
        <v>#REF!</v>
      </c>
      <c r="AA11" s="115" t="e">
        <f t="shared" si="3"/>
        <v>#REF!</v>
      </c>
      <c r="AB11" s="116" t="e">
        <f t="shared" si="4"/>
        <v>#REF!</v>
      </c>
      <c r="AC11" s="117" t="e">
        <f t="shared" si="5"/>
        <v>#REF!</v>
      </c>
    </row>
    <row r="12" spans="1:29">
      <c r="A12" t="s">
        <v>230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-500</v>
      </c>
      <c r="U12">
        <v>0</v>
      </c>
      <c r="V12">
        <v>0</v>
      </c>
      <c r="W12">
        <v>0</v>
      </c>
      <c r="Y12" t="e">
        <f>C12*商品!#REF!+D12*商品!#REF!+E12*商品!L38+F12*商品!N38+G12*商品!#REF!+H12*商品!#REF!+I12*商品!#REF!+J12*商品!#REF!</f>
        <v>#REF!</v>
      </c>
      <c r="Z12" t="e">
        <f>L12*商品!#REF!+M12*商品!#REF!+商品!#REF!*N12+O12*商品!P38+P12*商品!O38+Q12*商品!Q38+R12*商品!#REF!</f>
        <v>#REF!</v>
      </c>
      <c r="AA12" s="115" t="e">
        <f t="shared" si="3"/>
        <v>#REF!</v>
      </c>
      <c r="AB12" s="116" t="e">
        <f t="shared" si="4"/>
        <v>#REF!</v>
      </c>
      <c r="AC12" s="117" t="e">
        <f t="shared" si="5"/>
        <v>#REF!</v>
      </c>
    </row>
    <row r="13" spans="1:29">
      <c r="A13" t="s">
        <v>231</v>
      </c>
      <c r="C13">
        <v>5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-1000</v>
      </c>
      <c r="U13">
        <v>150</v>
      </c>
      <c r="V13">
        <v>-250</v>
      </c>
      <c r="W13">
        <v>0</v>
      </c>
      <c r="Y13" t="e">
        <f>C13*商品!#REF!+D13*商品!A16+E13*商品!L39+F13*商品!N39+G13*商品!I16+H13*商品!G19+I13*商品!#REF!+J13*商品!C16</f>
        <v>#REF!</v>
      </c>
      <c r="Z13" t="e">
        <f>L13*商品!#REF!+M13*商品!#REF!+商品!#REF!*N13+O13*商品!P39+P13*商品!O39+Q13*商品!Q39+R13*商品!J16</f>
        <v>#REF!</v>
      </c>
      <c r="AA13" s="115" t="e">
        <f t="shared" si="3"/>
        <v>#REF!</v>
      </c>
      <c r="AB13" s="116" t="e">
        <f t="shared" si="4"/>
        <v>#REF!</v>
      </c>
      <c r="AC13" s="117" t="e">
        <f t="shared" si="5"/>
        <v>#REF!</v>
      </c>
    </row>
    <row r="14" spans="1:29">
      <c r="A14" t="s">
        <v>232</v>
      </c>
      <c r="C14">
        <v>0</v>
      </c>
      <c r="D14">
        <v>10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-1500</v>
      </c>
      <c r="U14">
        <v>300</v>
      </c>
      <c r="V14">
        <v>-500</v>
      </c>
      <c r="W14">
        <v>0</v>
      </c>
      <c r="Y14" t="e">
        <f>C14*商品!#REF!+D14*商品!#REF!+E14*商品!L40+F14*商品!N40+G14*商品!I17+H14*商品!#REF!+I14*商品!#REF!+J14*商品!#REF!</f>
        <v>#REF!</v>
      </c>
      <c r="Z14" t="e">
        <f>L14*商品!#REF!+M14*商品!#REF!+商品!#REF!*N14+O14*商品!P40+P14*商品!O40+Q14*商品!Q40+R14*商品!J17</f>
        <v>#REF!</v>
      </c>
      <c r="AA14" s="115" t="e">
        <f t="shared" si="3"/>
        <v>#REF!</v>
      </c>
      <c r="AB14" s="116" t="e">
        <f t="shared" si="4"/>
        <v>#REF!</v>
      </c>
      <c r="AC14" s="117" t="e">
        <f t="shared" si="5"/>
        <v>#REF!</v>
      </c>
    </row>
    <row r="15" spans="1:29">
      <c r="A15" t="s">
        <v>233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-1750</v>
      </c>
      <c r="U15">
        <v>0</v>
      </c>
      <c r="V15">
        <v>-250</v>
      </c>
      <c r="W15">
        <v>200</v>
      </c>
      <c r="Y15" t="e">
        <f>C15*商品!#REF!+D15*商品!#REF!+E15*商品!L41+F15*商品!N41+G15*商品!H18+H15*商品!#REF!+I15*商品!#REF!+J15*商品!#REF!</f>
        <v>#REF!</v>
      </c>
      <c r="Z15" t="e">
        <f>L15*商品!#REF!+M15*商品!#REF!+商品!#REF!*N15+O15*商品!P41+P15*商品!O41+Q15*商品!Q41+R15*商品!I18</f>
        <v>#REF!</v>
      </c>
      <c r="AA15" s="115" t="e">
        <f t="shared" si="3"/>
        <v>#REF!</v>
      </c>
      <c r="AB15" s="116" t="e">
        <f t="shared" si="4"/>
        <v>#REF!</v>
      </c>
      <c r="AC15" s="117" t="e">
        <f t="shared" si="5"/>
        <v>#REF!</v>
      </c>
    </row>
    <row r="16" spans="1:29">
      <c r="A16" t="s">
        <v>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T16">
        <v>4000</v>
      </c>
      <c r="U16">
        <v>0</v>
      </c>
      <c r="V16">
        <v>750</v>
      </c>
      <c r="W16">
        <v>0</v>
      </c>
      <c r="Y16" t="e">
        <f>C16*商品!E22+D16*商品!#REF!+E16*商品!L42+F16*商品!N42+G16*商品!H19+H16*商品!F22+I16*商品!#REF!+J16*商品!#REF!</f>
        <v>#REF!</v>
      </c>
      <c r="Z16" t="e">
        <f>L16*商品!#REF!+M16*商品!#REF!+商品!#REF!*N16+O16*商品!P42+P16*商品!O42+Q16*商品!Q42+R16*商品!I19</f>
        <v>#REF!</v>
      </c>
      <c r="AA16" s="115" t="e">
        <f t="shared" si="3"/>
        <v>#REF!</v>
      </c>
      <c r="AB16" s="116" t="e">
        <f t="shared" ref="AB16:AB25" si="6">AA16/(T16+U16+V16+W16)</f>
        <v>#REF!</v>
      </c>
      <c r="AC16" s="117" t="e">
        <f t="shared" ref="AC16:AC25" si="7">AA16/Y16</f>
        <v>#REF!</v>
      </c>
    </row>
    <row r="17" spans="1:29">
      <c r="A17" t="s">
        <v>235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30</v>
      </c>
      <c r="T17">
        <v>3750</v>
      </c>
      <c r="U17">
        <v>0</v>
      </c>
      <c r="V17">
        <v>1000</v>
      </c>
      <c r="W17">
        <v>0</v>
      </c>
      <c r="Y17" t="e">
        <f>C17*商品!#REF!+D17*商品!A23+E17*商品!L43+F17*商品!N43+G17*商品!#REF!+H17*商品!#REF!+I17*商品!#REF!+J17*商品!#REF!</f>
        <v>#REF!</v>
      </c>
      <c r="Z17" t="e">
        <f>L17*商品!#REF!+M17*商品!#REF!+商品!#REF!*N17+O17*商品!P43+P17*商品!O43+Q17*商品!Q43+R17*商品!#REF!</f>
        <v>#REF!</v>
      </c>
      <c r="AA17" s="115" t="e">
        <f t="shared" ref="AA17:AA25" si="8">Z17-Y17</f>
        <v>#REF!</v>
      </c>
      <c r="AB17" s="116" t="e">
        <f t="shared" si="6"/>
        <v>#REF!</v>
      </c>
      <c r="AC17" s="117" t="e">
        <f t="shared" si="7"/>
        <v>#REF!</v>
      </c>
    </row>
    <row r="18" spans="1:29">
      <c r="A18" t="s">
        <v>236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  <c r="T18">
        <v>0</v>
      </c>
      <c r="U18">
        <v>0</v>
      </c>
      <c r="V18">
        <v>0</v>
      </c>
      <c r="W18">
        <v>0</v>
      </c>
      <c r="Y18" t="e">
        <f>C18*商品!#REF!+D18*商品!A24+E18*商品!L44+F18*商品!N44+G18*商品!#REF!+H18*商品!#REF!+I18*商品!#REF!+J18*商品!#REF!</f>
        <v>#REF!</v>
      </c>
      <c r="Z18" t="e">
        <f>L18*商品!#REF!+M18*商品!#REF!+商品!#REF!*N18+O18*商品!P44+P18*商品!O44+Q18*商品!Q44+R18*商品!#REF!</f>
        <v>#REF!</v>
      </c>
      <c r="AA18" s="115" t="e">
        <f t="shared" si="8"/>
        <v>#REF!</v>
      </c>
      <c r="AB18" s="116" t="e">
        <f t="shared" si="6"/>
        <v>#REF!</v>
      </c>
      <c r="AC18" s="117" t="e">
        <f t="shared" si="7"/>
        <v>#REF!</v>
      </c>
    </row>
    <row r="19" spans="1:29">
      <c r="A19" t="s">
        <v>237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T19">
        <v>200</v>
      </c>
      <c r="U19">
        <v>200</v>
      </c>
      <c r="V19">
        <v>0</v>
      </c>
      <c r="W19">
        <v>0</v>
      </c>
      <c r="Y19" t="e">
        <f>C19*商品!E25+D19*商品!A18+E19*商品!L45+F19*商品!N45+G19*商品!G22+H19*商品!F25+I19*商品!#REF!+J19*商品!C18</f>
        <v>#VALUE!</v>
      </c>
      <c r="Z19" t="e">
        <f>L19*商品!#REF!+M19*商品!#REF!+商品!#REF!*N19+O19*商品!P45+P19*商品!O45+Q19*商品!Q45+R19*商品!H22</f>
        <v>#REF!</v>
      </c>
      <c r="AA19" s="115" t="e">
        <f t="shared" si="8"/>
        <v>#REF!</v>
      </c>
      <c r="AB19" s="116" t="e">
        <f t="shared" si="6"/>
        <v>#REF!</v>
      </c>
      <c r="AC19" s="117" t="e">
        <f t="shared" si="7"/>
        <v>#REF!</v>
      </c>
    </row>
    <row r="20" spans="1:29">
      <c r="A20" t="s">
        <v>238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  <c r="R20">
        <v>0</v>
      </c>
      <c r="T20">
        <v>-400</v>
      </c>
      <c r="U20">
        <v>400</v>
      </c>
      <c r="V20">
        <v>0</v>
      </c>
      <c r="W20">
        <v>0</v>
      </c>
      <c r="Y20" t="e">
        <f>C20*商品!#REF!+D20*商品!#REF!+E20*商品!L46+F20*商品!N46+G20*商品!G23+H20*商品!#REF!+I20*商品!#REF!+J20*商品!#REF!</f>
        <v>#REF!</v>
      </c>
      <c r="Z20" t="e">
        <f>L20*商品!#REF!+M20*商品!#REF!+商品!#REF!*N20+O20*商品!P46+P20*商品!O46+Q20*商品!Q46+R20*商品!H23</f>
        <v>#REF!</v>
      </c>
      <c r="AA20" s="115" t="e">
        <f t="shared" si="8"/>
        <v>#REF!</v>
      </c>
      <c r="AB20" s="116" t="e">
        <f t="shared" si="6"/>
        <v>#REF!</v>
      </c>
      <c r="AC20" s="117" t="e">
        <f t="shared" si="7"/>
        <v>#REF!</v>
      </c>
    </row>
    <row r="21" spans="1:29">
      <c r="A21" t="s">
        <v>239</v>
      </c>
      <c r="C21">
        <v>10</v>
      </c>
      <c r="D21">
        <v>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35</v>
      </c>
      <c r="R21">
        <v>0</v>
      </c>
      <c r="T21">
        <v>-600</v>
      </c>
      <c r="U21">
        <v>600</v>
      </c>
      <c r="V21">
        <v>0</v>
      </c>
      <c r="W21">
        <v>0</v>
      </c>
      <c r="Y21" t="e">
        <f>C21*商品!#REF!+D21*商品!#REF!+E21*商品!L47+F21*商品!N47+G21*商品!#REF!+H21*商品!#REF!+I21*商品!#REF!+J21*商品!#REF!</f>
        <v>#REF!</v>
      </c>
      <c r="Z21" t="e">
        <f>L21*商品!#REF!+M21*商品!#REF!+商品!#REF!*N21+O21*商品!P47+P21*商品!O47+Q21*商品!Q47+R21*商品!#REF!</f>
        <v>#REF!</v>
      </c>
      <c r="AA21" s="115" t="e">
        <f t="shared" si="8"/>
        <v>#REF!</v>
      </c>
      <c r="AB21" s="116" t="e">
        <f t="shared" si="6"/>
        <v>#REF!</v>
      </c>
      <c r="AC21" s="117" t="e">
        <f t="shared" si="7"/>
        <v>#REF!</v>
      </c>
    </row>
    <row r="22" spans="1:29">
      <c r="A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-1000</v>
      </c>
      <c r="U22">
        <v>100</v>
      </c>
      <c r="V22">
        <v>0</v>
      </c>
      <c r="W22">
        <v>0</v>
      </c>
      <c r="Y22" t="e">
        <f>C22*商品!#REF!+D22*商品!#REF!+E22*商品!L48+F22*商品!N48+G22*商品!#REF!+H22*商品!#REF!+I22*商品!#REF!+J22*商品!#REF!</f>
        <v>#REF!</v>
      </c>
      <c r="Z22" t="e">
        <f>L22*商品!#REF!+M22*商品!#REF!+商品!#REF!*N22+O22*商品!P48+P22*商品!O48+Q22*商品!Q48+R22*商品!#REF!</f>
        <v>#REF!</v>
      </c>
      <c r="AA22" s="115" t="e">
        <f t="shared" si="8"/>
        <v>#REF!</v>
      </c>
      <c r="AB22" s="116" t="e">
        <f t="shared" si="6"/>
        <v>#REF!</v>
      </c>
      <c r="AC22" s="117" t="e">
        <f t="shared" si="7"/>
        <v>#REF!</v>
      </c>
    </row>
    <row r="23" spans="1:29">
      <c r="A23" t="s">
        <v>241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-1550</v>
      </c>
      <c r="U23">
        <v>100</v>
      </c>
      <c r="V23">
        <v>-300</v>
      </c>
      <c r="W23">
        <v>100</v>
      </c>
      <c r="Y23" t="e">
        <f>C23*商品!#REF!+D23*商品!#REF!+E23*商品!L49+F23*商品!N49+G23*商品!#REF!+H23*商品!#REF!+I23*商品!#REF!+J23*商品!#REF!</f>
        <v>#REF!</v>
      </c>
      <c r="Z23" t="e">
        <f>L23*商品!#REF!+M23*商品!#REF!+商品!#REF!*N23+O23*商品!P49+P23*商品!O49+Q23*商品!Q49+R23*商品!#REF!</f>
        <v>#REF!</v>
      </c>
      <c r="AA23" s="115" t="e">
        <f t="shared" si="8"/>
        <v>#REF!</v>
      </c>
      <c r="AB23" s="116" t="e">
        <f t="shared" si="6"/>
        <v>#REF!</v>
      </c>
      <c r="AC23" s="117" t="e">
        <f t="shared" si="7"/>
        <v>#REF!</v>
      </c>
    </row>
    <row r="24" spans="1:29">
      <c r="A24" t="s">
        <v>242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-800</v>
      </c>
      <c r="U24">
        <v>0</v>
      </c>
      <c r="V24">
        <v>-200</v>
      </c>
      <c r="W24">
        <v>50</v>
      </c>
      <c r="Y24" t="e">
        <f>C24*商品!#REF!+D24*商品!#REF!+E24*商品!L50+F24*商品!N50+G24*商品!#REF!+H24*商品!#REF!+I24*商品!#REF!+J24*商品!#REF!</f>
        <v>#REF!</v>
      </c>
      <c r="Z24" t="e">
        <f>L24*商品!#REF!+M24*商品!#REF!+商品!#REF!*N24+O24*商品!P50+P24*商品!O50+Q24*商品!Q50+R24*商品!#REF!</f>
        <v>#REF!</v>
      </c>
      <c r="AA24" s="115" t="e">
        <f t="shared" si="8"/>
        <v>#REF!</v>
      </c>
      <c r="AB24" s="116" t="e">
        <f t="shared" si="6"/>
        <v>#REF!</v>
      </c>
      <c r="AC24" s="117" t="e">
        <f t="shared" si="7"/>
        <v>#REF!</v>
      </c>
    </row>
    <row r="25" spans="1:29">
      <c r="A25" t="s">
        <v>243</v>
      </c>
      <c r="C25">
        <v>0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-1600</v>
      </c>
      <c r="U25">
        <v>0</v>
      </c>
      <c r="V25">
        <v>-300</v>
      </c>
      <c r="W25">
        <v>100</v>
      </c>
      <c r="Y25" t="e">
        <f>C25*商品!#REF!+D25*商品!#REF!+E25*商品!L51+F25*商品!N51+G25*商品!#REF!+H25*商品!#REF!+I25*商品!#REF!+J25*商品!#REF!</f>
        <v>#REF!</v>
      </c>
      <c r="Z25" t="e">
        <f>L25*商品!#REF!+M25*商品!#REF!+商品!#REF!*N25+O25*商品!P51+P25*商品!O51+Q25*商品!Q51+R25*商品!#REF!</f>
        <v>#REF!</v>
      </c>
      <c r="AA25" s="115" t="e">
        <f t="shared" si="8"/>
        <v>#REF!</v>
      </c>
      <c r="AB25" s="116" t="e">
        <f t="shared" si="6"/>
        <v>#REF!</v>
      </c>
      <c r="AC25" s="117" t="e">
        <f t="shared" si="7"/>
        <v>#REF!</v>
      </c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0"/>
  <sheetViews>
    <sheetView workbookViewId="0">
      <selection activeCell="AB34" sqref="AB34"/>
    </sheetView>
  </sheetViews>
  <sheetFormatPr defaultColWidth="8.725" defaultRowHeight="13.5"/>
  <cols>
    <col min="1" max="1" width="10.875" customWidth="1"/>
    <col min="2" max="2" width="5.375" customWidth="1"/>
    <col min="3" max="7" width="5.125" customWidth="1"/>
    <col min="8" max="8" width="8.875" customWidth="1"/>
    <col min="9" max="9" width="5.375" customWidth="1"/>
    <col min="10" max="13" width="5.125" customWidth="1"/>
    <col min="14" max="14" width="3.375" customWidth="1"/>
    <col min="15" max="15" width="5.125" customWidth="1"/>
    <col min="16" max="16" width="3.375" customWidth="1"/>
    <col min="17" max="18" width="5.125" customWidth="1"/>
    <col min="19" max="19" width="5.375" customWidth="1"/>
    <col min="20" max="20" width="6.375" customWidth="1"/>
    <col min="21" max="21" width="5.375" customWidth="1"/>
    <col min="22" max="22" width="5.125" customWidth="1"/>
    <col min="23" max="23" width="5.375" customWidth="1"/>
    <col min="24" max="24" width="6.375" customWidth="1"/>
    <col min="25" max="25" width="5.375" customWidth="1"/>
    <col min="26" max="26" width="6.375" customWidth="1"/>
    <col min="27" max="27" width="12.625" customWidth="1"/>
    <col min="28" max="28" width="10.875" style="102" customWidth="1"/>
  </cols>
  <sheetData>
    <row r="1" spans="1:28">
      <c r="A1" s="103" t="s">
        <v>214</v>
      </c>
      <c r="B1" s="103" t="s">
        <v>1</v>
      </c>
      <c r="C1" t="s">
        <v>215</v>
      </c>
      <c r="D1" t="s">
        <v>5</v>
      </c>
      <c r="E1" t="s">
        <v>3</v>
      </c>
      <c r="F1" t="s">
        <v>191</v>
      </c>
      <c r="G1" t="s">
        <v>6</v>
      </c>
      <c r="H1" t="s">
        <v>7</v>
      </c>
      <c r="I1" s="103" t="s">
        <v>8</v>
      </c>
      <c r="J1" t="s">
        <v>244</v>
      </c>
      <c r="K1" t="s">
        <v>36</v>
      </c>
      <c r="L1" t="s">
        <v>35</v>
      </c>
      <c r="M1" t="s">
        <v>245</v>
      </c>
      <c r="N1" t="s">
        <v>246</v>
      </c>
      <c r="O1" t="s">
        <v>247</v>
      </c>
      <c r="P1" t="s">
        <v>92</v>
      </c>
      <c r="Q1" t="s">
        <v>216</v>
      </c>
      <c r="R1" t="s">
        <v>37</v>
      </c>
      <c r="S1" s="103" t="s">
        <v>11</v>
      </c>
      <c r="T1" t="s">
        <v>12</v>
      </c>
      <c r="U1" t="s">
        <v>219</v>
      </c>
      <c r="V1" t="s">
        <v>15</v>
      </c>
      <c r="W1" s="103" t="s">
        <v>16</v>
      </c>
      <c r="X1" t="s">
        <v>17</v>
      </c>
      <c r="Y1" t="s">
        <v>18</v>
      </c>
      <c r="Z1" t="s">
        <v>19</v>
      </c>
      <c r="AA1" t="s">
        <v>20</v>
      </c>
      <c r="AB1" s="102" t="s">
        <v>100</v>
      </c>
    </row>
    <row r="2" spans="1:28">
      <c r="A2" s="104" t="s">
        <v>248</v>
      </c>
      <c r="B2" s="105"/>
      <c r="C2" s="105">
        <v>0</v>
      </c>
      <c r="D2" s="105">
        <v>10</v>
      </c>
      <c r="E2" s="105">
        <v>0</v>
      </c>
      <c r="F2" s="105">
        <v>0</v>
      </c>
      <c r="G2" s="105">
        <v>0</v>
      </c>
      <c r="H2" s="105">
        <v>0</v>
      </c>
      <c r="I2" s="105"/>
      <c r="J2" s="105">
        <v>0</v>
      </c>
      <c r="K2" s="105">
        <v>25</v>
      </c>
      <c r="L2" s="105">
        <v>0</v>
      </c>
      <c r="M2" s="105">
        <v>0</v>
      </c>
      <c r="N2" s="105">
        <v>0</v>
      </c>
      <c r="O2" s="105">
        <v>0</v>
      </c>
      <c r="P2" s="105">
        <v>0</v>
      </c>
      <c r="Q2" s="105">
        <v>0</v>
      </c>
      <c r="R2" s="105">
        <v>0</v>
      </c>
      <c r="S2" s="105"/>
      <c r="T2" s="105">
        <v>4000</v>
      </c>
      <c r="U2" s="105">
        <v>800</v>
      </c>
      <c r="V2" s="105">
        <v>0</v>
      </c>
      <c r="W2" s="105"/>
      <c r="X2" s="105" t="e">
        <f>C2*商品!N38+D2*商品!#REF!+E2*商品!#REF!+F2*商品!L38+G2*商品!#REF!+H2*商品!#REF!</f>
        <v>#REF!</v>
      </c>
      <c r="Y2" s="105" t="e">
        <f>J2*商品!R38+K2*商品!#REF!+L2*商品!#REF!+M2*商品!S38+N2*商品!T38+O2*商品!U38+P2*商品!#REF!+Q2*商品!P38+R2*商品!V38</f>
        <v>#REF!</v>
      </c>
      <c r="Z2" s="105" t="e">
        <f t="shared" ref="Z2:Z27" si="0">Y2-X2</f>
        <v>#REF!</v>
      </c>
      <c r="AA2" s="105" t="e">
        <f t="shared" ref="AA2:AA27" si="1">Z2/(T2+U2+V2)</f>
        <v>#REF!</v>
      </c>
      <c r="AB2" s="109" t="e">
        <f t="shared" ref="AB2:AB27" si="2">Z2/X2</f>
        <v>#REF!</v>
      </c>
    </row>
    <row r="3" spans="1:28">
      <c r="A3" s="105" t="s">
        <v>221</v>
      </c>
      <c r="B3" s="105"/>
      <c r="C3" s="105">
        <v>18</v>
      </c>
      <c r="D3" s="105">
        <v>8</v>
      </c>
      <c r="E3" s="105">
        <v>0</v>
      </c>
      <c r="F3" s="105">
        <v>0</v>
      </c>
      <c r="G3" s="105">
        <v>0</v>
      </c>
      <c r="H3" s="105">
        <v>0</v>
      </c>
      <c r="I3" s="105"/>
      <c r="J3" s="105">
        <v>0</v>
      </c>
      <c r="K3" s="105">
        <v>50</v>
      </c>
      <c r="L3" s="105">
        <v>0</v>
      </c>
      <c r="M3" s="105">
        <v>0</v>
      </c>
      <c r="N3" s="105">
        <v>0</v>
      </c>
      <c r="O3" s="105">
        <v>0</v>
      </c>
      <c r="P3" s="105">
        <v>0</v>
      </c>
      <c r="Q3" s="105">
        <v>0</v>
      </c>
      <c r="R3" s="105">
        <v>0</v>
      </c>
      <c r="S3" s="105"/>
      <c r="T3" s="105">
        <v>3600</v>
      </c>
      <c r="U3" s="105">
        <v>1200</v>
      </c>
      <c r="V3" s="105">
        <v>0</v>
      </c>
      <c r="W3" s="105"/>
      <c r="X3" s="105" t="e">
        <f>C3*商品!N39+D3*商品!#REF!+E3*商品!A16+F3*商品!L39+G3*商品!I16+H3*商品!G19</f>
        <v>#REF!</v>
      </c>
      <c r="Y3" s="105" t="e">
        <f>J3*商品!R39+K3*商品!J16+L3*商品!N16+M3*商品!S39+N3*商品!T39+O3*商品!U39+P3*商品!#REF!+Q3*商品!P39+R3*商品!V39</f>
        <v>#VALUE!</v>
      </c>
      <c r="Z3" s="105" t="e">
        <f t="shared" si="0"/>
        <v>#VALUE!</v>
      </c>
      <c r="AA3" s="105" t="e">
        <f t="shared" si="1"/>
        <v>#VALUE!</v>
      </c>
      <c r="AB3" s="109" t="e">
        <f t="shared" si="2"/>
        <v>#VALUE!</v>
      </c>
    </row>
    <row r="4" spans="1:28">
      <c r="A4" s="105" t="s">
        <v>222</v>
      </c>
      <c r="B4" s="105"/>
      <c r="C4" s="105">
        <v>26</v>
      </c>
      <c r="D4" s="105">
        <v>11</v>
      </c>
      <c r="E4" s="105">
        <v>0</v>
      </c>
      <c r="F4" s="105">
        <v>0</v>
      </c>
      <c r="G4" s="105">
        <v>0</v>
      </c>
      <c r="H4" s="105">
        <v>0</v>
      </c>
      <c r="I4" s="105"/>
      <c r="J4" s="105">
        <v>0</v>
      </c>
      <c r="K4" s="105">
        <v>75</v>
      </c>
      <c r="L4" s="105">
        <v>0</v>
      </c>
      <c r="M4" s="105">
        <v>0</v>
      </c>
      <c r="N4" s="105">
        <v>0</v>
      </c>
      <c r="O4" s="105">
        <v>0</v>
      </c>
      <c r="P4" s="105">
        <v>0</v>
      </c>
      <c r="Q4" s="105">
        <v>0</v>
      </c>
      <c r="R4" s="105">
        <v>0</v>
      </c>
      <c r="S4" s="105"/>
      <c r="T4" s="105">
        <v>3200</v>
      </c>
      <c r="U4" s="105">
        <v>1600</v>
      </c>
      <c r="V4" s="105">
        <v>0</v>
      </c>
      <c r="W4" s="105"/>
      <c r="X4" s="105" t="e">
        <f>C4*商品!N40+D4*商品!#REF!+E4*商品!#REF!+F4*商品!L40+G4*商品!I17+H4*商品!#REF!</f>
        <v>#REF!</v>
      </c>
      <c r="Y4" s="105" t="e">
        <f>J4*商品!R40+K4*商品!J17+L4*商品!N17+M4*商品!S40+N4*商品!T40+O4*商品!U40+P4*商品!#REF!+Q4*商品!P40+R4*商品!V40</f>
        <v>#REF!</v>
      </c>
      <c r="Z4" s="105" t="e">
        <f t="shared" si="0"/>
        <v>#REF!</v>
      </c>
      <c r="AA4" s="105" t="e">
        <f t="shared" si="1"/>
        <v>#REF!</v>
      </c>
      <c r="AB4" s="109" t="e">
        <f t="shared" si="2"/>
        <v>#REF!</v>
      </c>
    </row>
    <row r="5" spans="1:28">
      <c r="A5" s="105" t="s">
        <v>249</v>
      </c>
      <c r="B5" s="105"/>
      <c r="C5" s="105">
        <v>29</v>
      </c>
      <c r="D5" s="105">
        <v>14</v>
      </c>
      <c r="E5" s="105">
        <v>0</v>
      </c>
      <c r="F5" s="105">
        <v>0</v>
      </c>
      <c r="G5" s="105">
        <v>0</v>
      </c>
      <c r="H5" s="105">
        <v>0</v>
      </c>
      <c r="I5" s="105"/>
      <c r="J5" s="105">
        <v>0</v>
      </c>
      <c r="K5" s="105">
        <v>90</v>
      </c>
      <c r="L5" s="105">
        <v>0</v>
      </c>
      <c r="M5" s="105">
        <v>0</v>
      </c>
      <c r="N5" s="105">
        <v>0</v>
      </c>
      <c r="O5" s="105">
        <v>0</v>
      </c>
      <c r="P5" s="105">
        <v>0</v>
      </c>
      <c r="Q5" s="105">
        <v>0</v>
      </c>
      <c r="R5" s="105">
        <v>0</v>
      </c>
      <c r="S5" s="105"/>
      <c r="T5" s="105">
        <v>3000</v>
      </c>
      <c r="U5" s="105">
        <v>1800</v>
      </c>
      <c r="V5" s="105">
        <v>0</v>
      </c>
      <c r="W5" s="105"/>
      <c r="X5" s="105" t="e">
        <f>C5*商品!N41+D5*商品!#REF!+E5*商品!#REF!+F5*商品!L41+G5*商品!H18+H5*商品!#REF!</f>
        <v>#REF!</v>
      </c>
      <c r="Y5" s="105" t="e">
        <f>J5*商品!R41+K5*商品!I18+L5*商品!M18+M5*商品!S41+N5*商品!T41+O5*商品!U41+P5*商品!#REF!+Q5*商品!P41+R5*商品!V41</f>
        <v>#REF!</v>
      </c>
      <c r="Z5" s="105" t="e">
        <f t="shared" si="0"/>
        <v>#REF!</v>
      </c>
      <c r="AA5" s="105" t="e">
        <f t="shared" si="1"/>
        <v>#REF!</v>
      </c>
      <c r="AB5" s="109" t="e">
        <f t="shared" si="2"/>
        <v>#REF!</v>
      </c>
    </row>
    <row r="6" spans="1:28">
      <c r="A6" s="105" t="s">
        <v>224</v>
      </c>
      <c r="B6" s="105"/>
      <c r="C6" s="105">
        <v>0</v>
      </c>
      <c r="D6" s="105">
        <v>0</v>
      </c>
      <c r="E6" s="105">
        <v>0</v>
      </c>
      <c r="F6" s="105">
        <v>0</v>
      </c>
      <c r="G6" s="105">
        <v>0</v>
      </c>
      <c r="H6" s="105">
        <v>11</v>
      </c>
      <c r="I6" s="105"/>
      <c r="J6" s="105">
        <v>0</v>
      </c>
      <c r="K6" s="105">
        <v>50</v>
      </c>
      <c r="L6" s="105">
        <v>0</v>
      </c>
      <c r="M6" s="105">
        <v>0</v>
      </c>
      <c r="N6" s="105">
        <v>0</v>
      </c>
      <c r="O6" s="105">
        <v>0</v>
      </c>
      <c r="P6" s="105">
        <v>0</v>
      </c>
      <c r="Q6" s="105">
        <v>0</v>
      </c>
      <c r="R6" s="105">
        <v>0</v>
      </c>
      <c r="S6" s="105"/>
      <c r="T6" s="105">
        <v>0</v>
      </c>
      <c r="U6" s="105">
        <v>0</v>
      </c>
      <c r="V6" s="105">
        <v>150</v>
      </c>
      <c r="W6" s="105"/>
      <c r="X6" s="105" t="e">
        <f>C6*商品!N42+D6*商品!E22+E6*商品!#REF!+F6*商品!L42+G6*商品!H19+H6*商品!F22</f>
        <v>#REF!</v>
      </c>
      <c r="Y6" s="105" t="e">
        <f>J6*商品!R42+K6*商品!I19+L6*商品!M19+M6*商品!S42+N6*商品!T42+O6*商品!U42+P6*商品!#REF!+Q6*商品!P42+R6*商品!V42</f>
        <v>#REF!</v>
      </c>
      <c r="Z6" s="105" t="e">
        <f t="shared" si="0"/>
        <v>#REF!</v>
      </c>
      <c r="AA6" s="105" t="e">
        <f t="shared" si="1"/>
        <v>#REF!</v>
      </c>
      <c r="AB6" s="109" t="e">
        <f t="shared" si="2"/>
        <v>#REF!</v>
      </c>
    </row>
    <row r="7" spans="1:28">
      <c r="A7" s="105" t="s">
        <v>225</v>
      </c>
      <c r="B7" s="105"/>
      <c r="C7" s="105">
        <v>0</v>
      </c>
      <c r="D7" s="105">
        <v>0</v>
      </c>
      <c r="E7" s="105">
        <v>0</v>
      </c>
      <c r="F7" s="105">
        <v>0</v>
      </c>
      <c r="G7" s="105">
        <v>0</v>
      </c>
      <c r="H7" s="105">
        <v>16</v>
      </c>
      <c r="I7" s="105"/>
      <c r="J7" s="105">
        <v>0</v>
      </c>
      <c r="K7" s="105">
        <v>75</v>
      </c>
      <c r="L7" s="105">
        <v>0</v>
      </c>
      <c r="M7" s="105">
        <v>0</v>
      </c>
      <c r="N7" s="105">
        <v>0</v>
      </c>
      <c r="O7" s="105">
        <v>0</v>
      </c>
      <c r="P7" s="105">
        <v>0</v>
      </c>
      <c r="Q7" s="105">
        <v>0</v>
      </c>
      <c r="R7" s="105">
        <v>0</v>
      </c>
      <c r="S7" s="105"/>
      <c r="T7" s="105">
        <v>0</v>
      </c>
      <c r="U7" s="105">
        <v>0</v>
      </c>
      <c r="V7" s="105">
        <v>250</v>
      </c>
      <c r="W7" s="105"/>
      <c r="X7" s="105" t="e">
        <f>C7*商品!N43+D7*商品!#REF!+E7*商品!A23+F7*商品!L43+G7*商品!#REF!+H7*商品!#REF!</f>
        <v>#REF!</v>
      </c>
      <c r="Y7" s="105" t="e">
        <f>J7*商品!R43+K7*商品!#REF!+L7*商品!M20+M7*商品!S43+N7*商品!T43+O7*商品!U43+P7*商品!#REF!+Q7*商品!P43+R7*商品!V43</f>
        <v>#REF!</v>
      </c>
      <c r="Z7" s="105" t="e">
        <f t="shared" si="0"/>
        <v>#REF!</v>
      </c>
      <c r="AA7" s="105" t="e">
        <f t="shared" si="1"/>
        <v>#REF!</v>
      </c>
      <c r="AB7" s="109" t="e">
        <f t="shared" si="2"/>
        <v>#REF!</v>
      </c>
    </row>
    <row r="8" spans="1:28">
      <c r="A8" s="105" t="s">
        <v>226</v>
      </c>
      <c r="B8" s="105"/>
      <c r="C8" s="105">
        <v>0</v>
      </c>
      <c r="D8" s="105">
        <v>0</v>
      </c>
      <c r="E8" s="105">
        <v>0</v>
      </c>
      <c r="F8" s="105">
        <v>0</v>
      </c>
      <c r="G8" s="105">
        <v>0</v>
      </c>
      <c r="H8" s="105">
        <v>19</v>
      </c>
      <c r="I8" s="105"/>
      <c r="J8" s="105">
        <v>0</v>
      </c>
      <c r="K8" s="105">
        <v>90</v>
      </c>
      <c r="L8" s="105">
        <v>0</v>
      </c>
      <c r="M8" s="105">
        <v>0</v>
      </c>
      <c r="N8" s="105">
        <v>0</v>
      </c>
      <c r="O8" s="105">
        <v>0</v>
      </c>
      <c r="P8" s="105">
        <v>0</v>
      </c>
      <c r="Q8" s="105">
        <v>0</v>
      </c>
      <c r="R8" s="105">
        <v>0</v>
      </c>
      <c r="S8" s="105"/>
      <c r="T8" s="105">
        <v>0</v>
      </c>
      <c r="U8" s="105">
        <v>0</v>
      </c>
      <c r="V8" s="105">
        <v>350</v>
      </c>
      <c r="W8" s="105"/>
      <c r="X8" s="105" t="e">
        <f>C8*商品!N44+D8*商品!#REF!+E8*商品!A24+F8*商品!L44+G8*商品!#REF!+H8*商品!#REF!</f>
        <v>#REF!</v>
      </c>
      <c r="Y8" s="105" t="e">
        <f>J8*商品!R44+K8*商品!#REF!+L8*商品!M21+M8*商品!S44+N8*商品!T44+O8*商品!U44+P8*商品!#REF!+Q8*商品!P44+R8*商品!V44</f>
        <v>#REF!</v>
      </c>
      <c r="Z8" s="105" t="e">
        <f t="shared" si="0"/>
        <v>#REF!</v>
      </c>
      <c r="AA8" s="105" t="e">
        <f t="shared" si="1"/>
        <v>#REF!</v>
      </c>
      <c r="AB8" s="109" t="e">
        <f t="shared" si="2"/>
        <v>#REF!</v>
      </c>
    </row>
    <row r="9" spans="1:28">
      <c r="A9" s="106" t="s">
        <v>250</v>
      </c>
      <c r="B9" s="107"/>
      <c r="C9" s="107">
        <v>0</v>
      </c>
      <c r="D9" s="107">
        <v>12</v>
      </c>
      <c r="E9" s="107">
        <v>0</v>
      </c>
      <c r="F9" s="107">
        <v>0</v>
      </c>
      <c r="G9" s="107">
        <v>0</v>
      </c>
      <c r="H9" s="107">
        <v>0</v>
      </c>
      <c r="I9" s="107"/>
      <c r="J9" s="107">
        <v>0</v>
      </c>
      <c r="K9" s="107">
        <v>0</v>
      </c>
      <c r="L9" s="107">
        <v>15</v>
      </c>
      <c r="M9" s="107">
        <v>0</v>
      </c>
      <c r="N9" s="107">
        <v>0</v>
      </c>
      <c r="O9" s="107">
        <v>0</v>
      </c>
      <c r="P9" s="107">
        <v>0</v>
      </c>
      <c r="Q9" s="107">
        <v>0</v>
      </c>
      <c r="R9" s="107">
        <v>0</v>
      </c>
      <c r="S9" s="107"/>
      <c r="T9" s="107">
        <v>4000</v>
      </c>
      <c r="U9" s="107">
        <v>800</v>
      </c>
      <c r="V9" s="107">
        <v>0</v>
      </c>
      <c r="W9" s="107"/>
      <c r="X9" s="107" t="e">
        <f>C9*商品!N45+D9*商品!E25+E9*商品!A18+F9*商品!L45+G9*商品!G22+H9*商品!F25</f>
        <v>#VALUE!</v>
      </c>
      <c r="Y9" s="107" t="e">
        <f>J9*商品!R45+K9*商品!H22+L9*商品!L22+M9*商品!S45+N9*商品!T45+O9*商品!U45+P9*商品!#REF!+Q9*商品!P45+R9*商品!V45</f>
        <v>#REF!</v>
      </c>
      <c r="Z9" s="107" t="e">
        <f t="shared" si="0"/>
        <v>#REF!</v>
      </c>
      <c r="AA9" s="107" t="e">
        <f t="shared" si="1"/>
        <v>#REF!</v>
      </c>
      <c r="AB9" s="110" t="e">
        <f t="shared" si="2"/>
        <v>#REF!</v>
      </c>
    </row>
    <row r="10" spans="1:28">
      <c r="A10" s="107" t="s">
        <v>221</v>
      </c>
      <c r="B10" s="107"/>
      <c r="C10" s="107">
        <v>20</v>
      </c>
      <c r="D10" s="107">
        <v>11</v>
      </c>
      <c r="E10" s="107">
        <v>0</v>
      </c>
      <c r="F10" s="107">
        <v>0</v>
      </c>
      <c r="G10" s="107">
        <v>0</v>
      </c>
      <c r="H10" s="107">
        <v>0</v>
      </c>
      <c r="I10" s="107"/>
      <c r="J10" s="107">
        <v>0</v>
      </c>
      <c r="K10" s="107">
        <v>0</v>
      </c>
      <c r="L10" s="107">
        <v>30</v>
      </c>
      <c r="M10" s="107">
        <v>0</v>
      </c>
      <c r="N10" s="107">
        <v>0</v>
      </c>
      <c r="O10" s="107">
        <v>0</v>
      </c>
      <c r="P10" s="107">
        <v>0</v>
      </c>
      <c r="Q10" s="107">
        <v>0</v>
      </c>
      <c r="R10" s="107">
        <v>0</v>
      </c>
      <c r="S10" s="107"/>
      <c r="T10" s="107">
        <v>3600</v>
      </c>
      <c r="U10" s="107">
        <v>1200</v>
      </c>
      <c r="V10" s="107">
        <v>0</v>
      </c>
      <c r="W10" s="107"/>
      <c r="X10" s="107" t="e">
        <f>C10*商品!N46+D10*商品!#REF!+E10*商品!#REF!+F10*商品!L46+G10*商品!G23+H10*商品!#REF!</f>
        <v>#REF!</v>
      </c>
      <c r="Y10" s="107" t="e">
        <f>J10*商品!R46+K10*商品!H23+L10*商品!L23+M10*商品!S46+N10*商品!T46+O10*商品!U46+P10*商品!#REF!+Q10*商品!P46+R10*商品!V46</f>
        <v>#REF!</v>
      </c>
      <c r="Z10" s="107" t="e">
        <f t="shared" si="0"/>
        <v>#REF!</v>
      </c>
      <c r="AA10" s="107" t="e">
        <f t="shared" si="1"/>
        <v>#REF!</v>
      </c>
      <c r="AB10" s="110" t="e">
        <f t="shared" si="2"/>
        <v>#REF!</v>
      </c>
    </row>
    <row r="11" spans="1:28">
      <c r="A11" s="107" t="s">
        <v>222</v>
      </c>
      <c r="B11" s="107"/>
      <c r="C11" s="107">
        <v>30</v>
      </c>
      <c r="D11" s="107">
        <v>15</v>
      </c>
      <c r="E11" s="107">
        <v>0</v>
      </c>
      <c r="F11" s="107">
        <v>0</v>
      </c>
      <c r="G11" s="107">
        <v>0</v>
      </c>
      <c r="H11" s="107">
        <v>0</v>
      </c>
      <c r="I11" s="107"/>
      <c r="J11" s="107">
        <v>0</v>
      </c>
      <c r="K11" s="107">
        <v>0</v>
      </c>
      <c r="L11" s="107">
        <v>45</v>
      </c>
      <c r="M11" s="107">
        <v>0</v>
      </c>
      <c r="N11" s="107">
        <v>0</v>
      </c>
      <c r="O11" s="107">
        <v>0</v>
      </c>
      <c r="P11" s="107">
        <v>0</v>
      </c>
      <c r="Q11" s="107">
        <v>0</v>
      </c>
      <c r="R11" s="107">
        <v>0</v>
      </c>
      <c r="S11" s="107"/>
      <c r="T11" s="107">
        <v>3200</v>
      </c>
      <c r="U11" s="107">
        <v>1600</v>
      </c>
      <c r="V11" s="107">
        <v>0</v>
      </c>
      <c r="W11" s="107"/>
      <c r="X11" s="107" t="e">
        <f>C11*商品!N47+D11*商品!#REF!+E11*商品!#REF!+F11*商品!L47+G11*商品!#REF!+H11*商品!#REF!</f>
        <v>#REF!</v>
      </c>
      <c r="Y11" s="107" t="e">
        <f>J11*商品!R47+K11*商品!#REF!+L11*商品!#REF!+M11*商品!S47+N11*商品!T47+O11*商品!U47+P11*商品!#REF!+Q11*商品!P47+R11*商品!V47</f>
        <v>#REF!</v>
      </c>
      <c r="Z11" s="107" t="e">
        <f t="shared" si="0"/>
        <v>#REF!</v>
      </c>
      <c r="AA11" s="107" t="e">
        <f t="shared" si="1"/>
        <v>#REF!</v>
      </c>
      <c r="AB11" s="110" t="e">
        <f t="shared" si="2"/>
        <v>#REF!</v>
      </c>
    </row>
    <row r="12" spans="1:28">
      <c r="A12" s="107" t="s">
        <v>249</v>
      </c>
      <c r="B12" s="107"/>
      <c r="C12" s="107">
        <v>39</v>
      </c>
      <c r="D12" s="107">
        <v>19</v>
      </c>
      <c r="E12" s="107">
        <v>0</v>
      </c>
      <c r="F12" s="107">
        <v>0</v>
      </c>
      <c r="G12" s="107">
        <v>0</v>
      </c>
      <c r="H12" s="107">
        <v>0</v>
      </c>
      <c r="I12" s="107"/>
      <c r="J12" s="107">
        <v>0</v>
      </c>
      <c r="K12" s="107">
        <v>0</v>
      </c>
      <c r="L12" s="107">
        <v>60</v>
      </c>
      <c r="M12" s="107">
        <v>0</v>
      </c>
      <c r="N12" s="107">
        <v>0</v>
      </c>
      <c r="O12" s="107">
        <v>0</v>
      </c>
      <c r="P12" s="107">
        <v>0</v>
      </c>
      <c r="Q12" s="107">
        <v>0</v>
      </c>
      <c r="R12" s="107">
        <v>0</v>
      </c>
      <c r="S12" s="107"/>
      <c r="T12" s="107">
        <v>3000</v>
      </c>
      <c r="U12" s="107">
        <v>1800</v>
      </c>
      <c r="V12" s="107">
        <v>0</v>
      </c>
      <c r="W12" s="107"/>
      <c r="X12" s="107" t="e">
        <f>C12*商品!N48+D12*商品!#REF!+E12*商品!#REF!+F12*商品!L48+G12*商品!#REF!+H12*商品!#REF!</f>
        <v>#REF!</v>
      </c>
      <c r="Y12" s="107" t="e">
        <f>J12*商品!R48+K12*商品!#REF!+L12*商品!#REF!+M12*商品!S48+N12*商品!T48+O12*商品!U48+P12*商品!#REF!+Q12*商品!P48+R12*商品!V48</f>
        <v>#REF!</v>
      </c>
      <c r="Z12" s="107" t="e">
        <f t="shared" si="0"/>
        <v>#REF!</v>
      </c>
      <c r="AA12" s="107" t="e">
        <f t="shared" si="1"/>
        <v>#REF!</v>
      </c>
      <c r="AB12" s="110" t="e">
        <f t="shared" si="2"/>
        <v>#REF!</v>
      </c>
    </row>
    <row r="13" spans="1:28">
      <c r="A13" s="107" t="s">
        <v>224</v>
      </c>
      <c r="B13" s="107"/>
      <c r="C13" s="107">
        <v>0</v>
      </c>
      <c r="D13" s="107">
        <v>0</v>
      </c>
      <c r="E13" s="107">
        <v>0</v>
      </c>
      <c r="F13" s="107">
        <v>0</v>
      </c>
      <c r="G13" s="107">
        <v>0</v>
      </c>
      <c r="H13" s="107">
        <v>13</v>
      </c>
      <c r="I13" s="107"/>
      <c r="J13" s="107">
        <v>0</v>
      </c>
      <c r="K13" s="107">
        <v>0</v>
      </c>
      <c r="L13" s="107">
        <v>30</v>
      </c>
      <c r="M13" s="107">
        <v>0</v>
      </c>
      <c r="N13" s="107">
        <v>0</v>
      </c>
      <c r="O13" s="107">
        <v>0</v>
      </c>
      <c r="P13" s="107">
        <v>0</v>
      </c>
      <c r="Q13" s="107">
        <v>0</v>
      </c>
      <c r="R13" s="107">
        <v>0</v>
      </c>
      <c r="S13" s="107"/>
      <c r="T13" s="107">
        <v>0</v>
      </c>
      <c r="U13" s="107">
        <v>0</v>
      </c>
      <c r="V13" s="107">
        <v>150</v>
      </c>
      <c r="W13" s="107"/>
      <c r="X13" s="107" t="e">
        <f>C13*商品!N49+D13*商品!#REF!+E13*商品!#REF!+F13*商品!L49+G13*商品!#REF!+H13*商品!#REF!</f>
        <v>#REF!</v>
      </c>
      <c r="Y13" s="107" t="e">
        <f>J13*商品!R49+K13*商品!#REF!+L13*商品!#REF!+M13*商品!S49+N13*商品!T49+O13*商品!U49+P13*商品!#REF!+Q13*商品!P49+R13*商品!V49</f>
        <v>#REF!</v>
      </c>
      <c r="Z13" s="107" t="e">
        <f t="shared" si="0"/>
        <v>#REF!</v>
      </c>
      <c r="AA13" s="107" t="e">
        <f t="shared" si="1"/>
        <v>#REF!</v>
      </c>
      <c r="AB13" s="110" t="e">
        <f t="shared" si="2"/>
        <v>#REF!</v>
      </c>
    </row>
    <row r="14" spans="1:28">
      <c r="A14" s="107" t="s">
        <v>225</v>
      </c>
      <c r="B14" s="107"/>
      <c r="C14" s="107">
        <v>0</v>
      </c>
      <c r="D14" s="107">
        <v>0</v>
      </c>
      <c r="E14" s="107">
        <v>0</v>
      </c>
      <c r="F14" s="107">
        <v>0</v>
      </c>
      <c r="G14" s="107">
        <v>0</v>
      </c>
      <c r="H14" s="107">
        <v>19</v>
      </c>
      <c r="I14" s="107"/>
      <c r="J14" s="107">
        <v>0</v>
      </c>
      <c r="K14" s="107">
        <v>0</v>
      </c>
      <c r="L14" s="107">
        <v>45</v>
      </c>
      <c r="M14" s="107">
        <v>0</v>
      </c>
      <c r="N14" s="107">
        <v>0</v>
      </c>
      <c r="O14" s="107">
        <v>0</v>
      </c>
      <c r="P14" s="107">
        <v>0</v>
      </c>
      <c r="Q14" s="107">
        <v>0</v>
      </c>
      <c r="R14" s="107">
        <v>0</v>
      </c>
      <c r="S14" s="107"/>
      <c r="T14" s="107">
        <v>0</v>
      </c>
      <c r="U14" s="107">
        <v>0</v>
      </c>
      <c r="V14" s="107">
        <v>250</v>
      </c>
      <c r="W14" s="107"/>
      <c r="X14" s="107" t="e">
        <f>C14*商品!N50+D14*商品!#REF!+E14*商品!#REF!+F14*商品!L50+G14*商品!#REF!+H14*商品!#REF!</f>
        <v>#REF!</v>
      </c>
      <c r="Y14" s="107" t="e">
        <f>J14*商品!R50+K14*商品!#REF!+L14*商品!#REF!+M14*商品!S50+N14*商品!T50+O14*商品!U50+P14*商品!#REF!+Q14*商品!P50+R14*商品!V50</f>
        <v>#REF!</v>
      </c>
      <c r="Z14" s="107" t="e">
        <f t="shared" si="0"/>
        <v>#REF!</v>
      </c>
      <c r="AA14" s="107" t="e">
        <f t="shared" si="1"/>
        <v>#REF!</v>
      </c>
      <c r="AB14" s="110" t="e">
        <f t="shared" si="2"/>
        <v>#REF!</v>
      </c>
    </row>
    <row r="15" spans="1:28">
      <c r="A15" s="107" t="s">
        <v>226</v>
      </c>
      <c r="B15" s="107"/>
      <c r="C15" s="107">
        <v>0</v>
      </c>
      <c r="D15" s="107">
        <v>0</v>
      </c>
      <c r="E15" s="107">
        <v>0</v>
      </c>
      <c r="F15" s="107">
        <v>0</v>
      </c>
      <c r="G15" s="107">
        <v>0</v>
      </c>
      <c r="H15" s="107">
        <v>25</v>
      </c>
      <c r="I15" s="107"/>
      <c r="J15" s="107">
        <v>0</v>
      </c>
      <c r="K15" s="107">
        <v>0</v>
      </c>
      <c r="L15" s="107">
        <v>60</v>
      </c>
      <c r="M15" s="107">
        <v>0</v>
      </c>
      <c r="N15" s="107">
        <v>0</v>
      </c>
      <c r="O15" s="107">
        <v>0</v>
      </c>
      <c r="P15" s="107">
        <v>0</v>
      </c>
      <c r="Q15" s="107">
        <v>0</v>
      </c>
      <c r="R15" s="107">
        <v>0</v>
      </c>
      <c r="S15" s="107"/>
      <c r="T15" s="107">
        <v>0</v>
      </c>
      <c r="U15" s="107">
        <v>0</v>
      </c>
      <c r="V15" s="107">
        <v>350</v>
      </c>
      <c r="W15" s="107"/>
      <c r="X15" s="107" t="e">
        <f>C15*商品!N51+D15*商品!#REF!+E15*商品!#REF!+F15*商品!L51+G15*商品!#REF!+H15*商品!#REF!</f>
        <v>#REF!</v>
      </c>
      <c r="Y15" s="107" t="e">
        <f>J15*商品!R51+K15*商品!#REF!+L15*商品!#REF!+M15*商品!S51+N15*商品!T51+O15*商品!U51+P15*商品!#REF!+Q15*商品!P51+R15*商品!V51</f>
        <v>#REF!</v>
      </c>
      <c r="Z15" s="107" t="e">
        <f t="shared" si="0"/>
        <v>#REF!</v>
      </c>
      <c r="AA15" s="107" t="e">
        <f t="shared" si="1"/>
        <v>#REF!</v>
      </c>
      <c r="AB15" s="110" t="e">
        <f t="shared" si="2"/>
        <v>#REF!</v>
      </c>
    </row>
    <row r="16" spans="1:28">
      <c r="A16" s="104" t="s">
        <v>251</v>
      </c>
      <c r="B16" s="105"/>
      <c r="C16" s="105">
        <v>0</v>
      </c>
      <c r="D16" s="105">
        <v>10</v>
      </c>
      <c r="E16" s="105">
        <v>0</v>
      </c>
      <c r="F16" s="105">
        <v>0</v>
      </c>
      <c r="G16" s="105">
        <v>0</v>
      </c>
      <c r="H16" s="105">
        <v>0</v>
      </c>
      <c r="I16" s="105"/>
      <c r="J16" s="105">
        <v>0</v>
      </c>
      <c r="K16" s="105">
        <v>0</v>
      </c>
      <c r="L16" s="105">
        <v>0</v>
      </c>
      <c r="M16" s="105">
        <v>10</v>
      </c>
      <c r="N16" s="105">
        <v>0</v>
      </c>
      <c r="O16" s="105">
        <v>0</v>
      </c>
      <c r="P16" s="105">
        <v>0</v>
      </c>
      <c r="Q16" s="105">
        <v>0</v>
      </c>
      <c r="R16" s="105">
        <v>0</v>
      </c>
      <c r="S16" s="105"/>
      <c r="T16" s="105">
        <v>4000</v>
      </c>
      <c r="U16" s="105">
        <v>800</v>
      </c>
      <c r="V16" s="105">
        <v>0</v>
      </c>
      <c r="W16" s="105"/>
      <c r="X16" s="105">
        <f>C16*商品!Q3+D16*商品!I3+E16*商品!F15+F16*商品!K5+G16*商品!N5+H16*商品!L15</f>
        <v>400</v>
      </c>
      <c r="Y16" s="105">
        <f>M16*商品!Q3</f>
        <v>500</v>
      </c>
      <c r="Z16" s="105">
        <f t="shared" si="0"/>
        <v>100</v>
      </c>
      <c r="AA16" s="105">
        <f t="shared" si="1"/>
        <v>0.0208333333333333</v>
      </c>
      <c r="AB16" s="109">
        <f t="shared" si="2"/>
        <v>0.25</v>
      </c>
    </row>
    <row r="17" spans="1:28">
      <c r="A17" s="105" t="s">
        <v>221</v>
      </c>
      <c r="B17" s="105"/>
      <c r="C17" s="105">
        <v>13</v>
      </c>
      <c r="D17" s="105">
        <v>6</v>
      </c>
      <c r="E17" s="105">
        <v>0</v>
      </c>
      <c r="F17" s="105">
        <v>0</v>
      </c>
      <c r="G17" s="105">
        <v>0</v>
      </c>
      <c r="H17" s="105">
        <v>0</v>
      </c>
      <c r="I17" s="105"/>
      <c r="J17" s="105">
        <v>0</v>
      </c>
      <c r="K17" s="105">
        <v>0</v>
      </c>
      <c r="L17" s="105">
        <v>0</v>
      </c>
      <c r="M17" s="105">
        <v>20</v>
      </c>
      <c r="N17" s="105">
        <v>0</v>
      </c>
      <c r="O17" s="105">
        <v>0</v>
      </c>
      <c r="P17" s="105">
        <v>0</v>
      </c>
      <c r="Q17" s="105">
        <v>0</v>
      </c>
      <c r="R17" s="105">
        <v>0</v>
      </c>
      <c r="S17" s="105"/>
      <c r="T17" s="105">
        <v>3600</v>
      </c>
      <c r="U17" s="105">
        <v>1200</v>
      </c>
      <c r="V17" s="105">
        <v>0</v>
      </c>
      <c r="W17" s="105"/>
      <c r="X17" s="105" t="e">
        <f>C17*商品!S32+D17*商品!#REF!+E17*商品!#REF!+F17*商品!#REF!+G17*商品!#REF!+H17*商品!#REF!</f>
        <v>#REF!</v>
      </c>
      <c r="Y17" s="105">
        <f>M17*商品!S32</f>
        <v>0</v>
      </c>
      <c r="Z17" s="105" t="e">
        <f t="shared" si="0"/>
        <v>#REF!</v>
      </c>
      <c r="AA17" s="105" t="e">
        <f t="shared" si="1"/>
        <v>#REF!</v>
      </c>
      <c r="AB17" s="109" t="e">
        <f t="shared" si="2"/>
        <v>#REF!</v>
      </c>
    </row>
    <row r="18" spans="1:28">
      <c r="A18" s="105" t="s">
        <v>222</v>
      </c>
      <c r="B18" s="105"/>
      <c r="C18" s="105">
        <v>20</v>
      </c>
      <c r="D18" s="105">
        <v>11</v>
      </c>
      <c r="E18" s="105">
        <v>0</v>
      </c>
      <c r="F18" s="105">
        <v>0</v>
      </c>
      <c r="G18" s="105">
        <v>0</v>
      </c>
      <c r="H18" s="105">
        <v>0</v>
      </c>
      <c r="I18" s="105"/>
      <c r="J18" s="105">
        <v>0</v>
      </c>
      <c r="K18" s="105">
        <v>0</v>
      </c>
      <c r="L18" s="105">
        <v>0</v>
      </c>
      <c r="M18" s="105">
        <v>35</v>
      </c>
      <c r="N18" s="105">
        <v>0</v>
      </c>
      <c r="O18" s="105">
        <v>0</v>
      </c>
      <c r="P18" s="105">
        <v>0</v>
      </c>
      <c r="Q18" s="105">
        <v>0</v>
      </c>
      <c r="R18" s="105">
        <v>0</v>
      </c>
      <c r="S18" s="105"/>
      <c r="T18" s="105">
        <v>3200</v>
      </c>
      <c r="U18" s="105">
        <v>1600</v>
      </c>
      <c r="V18" s="105">
        <v>0</v>
      </c>
      <c r="W18" s="105"/>
      <c r="X18" s="105" t="e">
        <f>C18*商品!S33+D18*商品!#REF!+E18*商品!A8+F18*商品!#REF!+G18*商品!#REF!+H18*商品!#REF!</f>
        <v>#REF!</v>
      </c>
      <c r="Y18" s="105">
        <f>M18*商品!S33</f>
        <v>0</v>
      </c>
      <c r="Z18" s="105" t="e">
        <f t="shared" si="0"/>
        <v>#REF!</v>
      </c>
      <c r="AA18" s="105" t="e">
        <f t="shared" si="1"/>
        <v>#REF!</v>
      </c>
      <c r="AB18" s="109" t="e">
        <f t="shared" si="2"/>
        <v>#REF!</v>
      </c>
    </row>
    <row r="19" spans="1:28">
      <c r="A19" s="105" t="s">
        <v>249</v>
      </c>
      <c r="B19" s="105"/>
      <c r="C19" s="105">
        <v>26</v>
      </c>
      <c r="D19" s="105">
        <v>13</v>
      </c>
      <c r="E19" s="105">
        <v>0</v>
      </c>
      <c r="F19" s="105">
        <v>0</v>
      </c>
      <c r="G19" s="105">
        <v>0</v>
      </c>
      <c r="H19" s="105">
        <v>0</v>
      </c>
      <c r="I19" s="105"/>
      <c r="J19" s="105">
        <v>0</v>
      </c>
      <c r="K19" s="105">
        <v>0</v>
      </c>
      <c r="L19" s="105">
        <v>0</v>
      </c>
      <c r="M19" s="105">
        <v>45</v>
      </c>
      <c r="N19" s="105">
        <v>0</v>
      </c>
      <c r="O19" s="105">
        <v>0</v>
      </c>
      <c r="P19" s="105">
        <v>0</v>
      </c>
      <c r="Q19" s="105">
        <v>0</v>
      </c>
      <c r="R19" s="105">
        <v>0</v>
      </c>
      <c r="S19" s="105"/>
      <c r="T19" s="105">
        <v>3000</v>
      </c>
      <c r="U19" s="105">
        <v>1800</v>
      </c>
      <c r="V19" s="105">
        <v>0</v>
      </c>
      <c r="W19" s="105"/>
      <c r="X19" s="105" t="e">
        <f>C19*商品!S34+D19*商品!#REF!+E19*商品!#REF!+F19*商品!L34+G19*商品!#REF!+H19*商品!#REF!</f>
        <v>#REF!</v>
      </c>
      <c r="Y19" s="105">
        <f>M19*商品!S34</f>
        <v>0</v>
      </c>
      <c r="Z19" s="105" t="e">
        <f t="shared" si="0"/>
        <v>#REF!</v>
      </c>
      <c r="AA19" s="105" t="e">
        <f t="shared" si="1"/>
        <v>#REF!</v>
      </c>
      <c r="AB19" s="109" t="e">
        <f t="shared" si="2"/>
        <v>#REF!</v>
      </c>
    </row>
    <row r="20" spans="1:28">
      <c r="A20" s="105" t="s">
        <v>224</v>
      </c>
      <c r="B20" s="105"/>
      <c r="C20" s="105">
        <v>0</v>
      </c>
      <c r="D20" s="105">
        <v>0</v>
      </c>
      <c r="E20" s="105">
        <v>0</v>
      </c>
      <c r="F20" s="105">
        <v>0</v>
      </c>
      <c r="G20" s="105">
        <v>0</v>
      </c>
      <c r="H20" s="105">
        <v>11</v>
      </c>
      <c r="I20" s="105"/>
      <c r="J20" s="105">
        <v>0</v>
      </c>
      <c r="K20" s="105">
        <v>0</v>
      </c>
      <c r="L20" s="105">
        <v>0</v>
      </c>
      <c r="M20" s="105">
        <v>20</v>
      </c>
      <c r="N20" s="105">
        <v>0</v>
      </c>
      <c r="O20" s="105">
        <v>0</v>
      </c>
      <c r="P20" s="105">
        <v>0</v>
      </c>
      <c r="Q20" s="105">
        <v>0</v>
      </c>
      <c r="R20" s="105">
        <v>0</v>
      </c>
      <c r="S20" s="105"/>
      <c r="T20" s="105">
        <v>0</v>
      </c>
      <c r="U20" s="105">
        <v>0</v>
      </c>
      <c r="V20" s="105">
        <v>150</v>
      </c>
      <c r="W20" s="105"/>
      <c r="X20" s="105" t="e">
        <f>C20*商品!S35+D20*商品!#REF!+E20*商品!#REF!+F20*商品!L35+G20*商品!#REF!+H20*商品!#REF!</f>
        <v>#REF!</v>
      </c>
      <c r="Y20" s="105">
        <f>M20*商品!S35</f>
        <v>0</v>
      </c>
      <c r="Z20" s="105" t="e">
        <f t="shared" si="0"/>
        <v>#REF!</v>
      </c>
      <c r="AA20" s="105" t="e">
        <f t="shared" si="1"/>
        <v>#REF!</v>
      </c>
      <c r="AB20" s="109" t="e">
        <f t="shared" si="2"/>
        <v>#REF!</v>
      </c>
    </row>
    <row r="21" spans="1:28">
      <c r="A21" s="105" t="s">
        <v>225</v>
      </c>
      <c r="B21" s="105"/>
      <c r="C21" s="105">
        <v>0</v>
      </c>
      <c r="D21" s="105">
        <v>0</v>
      </c>
      <c r="E21" s="105">
        <v>0</v>
      </c>
      <c r="F21" s="105">
        <v>0</v>
      </c>
      <c r="G21" s="105">
        <v>0</v>
      </c>
      <c r="H21" s="105">
        <v>19</v>
      </c>
      <c r="I21" s="105"/>
      <c r="J21" s="105">
        <v>0</v>
      </c>
      <c r="K21" s="105">
        <v>0</v>
      </c>
      <c r="L21" s="105">
        <v>0</v>
      </c>
      <c r="M21" s="105">
        <v>35</v>
      </c>
      <c r="N21" s="105">
        <v>0</v>
      </c>
      <c r="O21" s="105">
        <v>0</v>
      </c>
      <c r="P21" s="105">
        <v>0</v>
      </c>
      <c r="Q21" s="105">
        <v>0</v>
      </c>
      <c r="R21" s="105">
        <v>0</v>
      </c>
      <c r="S21" s="105"/>
      <c r="T21" s="105">
        <v>0</v>
      </c>
      <c r="U21" s="105">
        <v>0</v>
      </c>
      <c r="V21" s="105">
        <v>250</v>
      </c>
      <c r="W21" s="105"/>
      <c r="X21" s="105" t="e">
        <f>C21*商品!S36+D21*商品!#REF!+E21*商品!A14+F21*商品!L36+G21*商品!M5+H21*商品!#REF!</f>
        <v>#REF!</v>
      </c>
      <c r="Y21" s="105">
        <f>M21*商品!S36</f>
        <v>0</v>
      </c>
      <c r="Z21" s="105" t="e">
        <f t="shared" si="0"/>
        <v>#REF!</v>
      </c>
      <c r="AA21" s="105" t="e">
        <f t="shared" ref="AA21:AA60" si="3">Z21/(T21+U21+V21)</f>
        <v>#REF!</v>
      </c>
      <c r="AB21" s="109" t="e">
        <f t="shared" ref="AB21:AB60" si="4">Z21/X21</f>
        <v>#REF!</v>
      </c>
    </row>
    <row r="22" spans="1:28">
      <c r="A22" s="105" t="s">
        <v>226</v>
      </c>
      <c r="B22" s="105"/>
      <c r="C22" s="105">
        <v>0</v>
      </c>
      <c r="D22" s="105">
        <v>0</v>
      </c>
      <c r="E22" s="105">
        <v>0</v>
      </c>
      <c r="F22" s="105">
        <v>0</v>
      </c>
      <c r="G22" s="105">
        <v>0</v>
      </c>
      <c r="H22" s="105">
        <v>24</v>
      </c>
      <c r="I22" s="105"/>
      <c r="J22" s="105">
        <v>0</v>
      </c>
      <c r="K22" s="105">
        <v>0</v>
      </c>
      <c r="L22" s="105">
        <v>0</v>
      </c>
      <c r="M22" s="105">
        <v>45</v>
      </c>
      <c r="N22" s="105">
        <v>0</v>
      </c>
      <c r="O22" s="105">
        <v>0</v>
      </c>
      <c r="P22" s="105">
        <v>0</v>
      </c>
      <c r="Q22" s="105">
        <v>0</v>
      </c>
      <c r="R22" s="105">
        <v>0</v>
      </c>
      <c r="S22" s="105"/>
      <c r="T22" s="105">
        <v>0</v>
      </c>
      <c r="U22" s="105">
        <v>0</v>
      </c>
      <c r="V22" s="105">
        <v>350</v>
      </c>
      <c r="W22" s="105"/>
      <c r="X22" s="105" t="e">
        <f>C22*商品!S37+D22*商品!#REF!+E22*商品!#REF!+F22*商品!L37+G22*商品!#REF!+H22*商品!#REF!</f>
        <v>#REF!</v>
      </c>
      <c r="Y22" s="105">
        <f>M22*商品!S37</f>
        <v>0</v>
      </c>
      <c r="Z22" s="105" t="e">
        <f t="shared" si="0"/>
        <v>#REF!</v>
      </c>
      <c r="AA22" s="105" t="e">
        <f t="shared" si="3"/>
        <v>#REF!</v>
      </c>
      <c r="AB22" s="109" t="e">
        <f t="shared" si="4"/>
        <v>#REF!</v>
      </c>
    </row>
    <row r="23" spans="1:28">
      <c r="A23" s="106" t="s">
        <v>252</v>
      </c>
      <c r="B23" s="107"/>
      <c r="C23" s="107">
        <v>0</v>
      </c>
      <c r="D23" s="107">
        <v>5</v>
      </c>
      <c r="E23" s="107">
        <v>0</v>
      </c>
      <c r="F23" s="107">
        <v>0</v>
      </c>
      <c r="G23" s="107">
        <v>0</v>
      </c>
      <c r="H23" s="107">
        <v>0</v>
      </c>
      <c r="I23" s="107"/>
      <c r="J23" s="107">
        <v>0</v>
      </c>
      <c r="K23" s="107">
        <v>0</v>
      </c>
      <c r="L23" s="107">
        <v>0</v>
      </c>
      <c r="M23" s="107">
        <v>0</v>
      </c>
      <c r="N23" s="107">
        <v>10</v>
      </c>
      <c r="O23" s="107">
        <v>0</v>
      </c>
      <c r="P23" s="107">
        <v>0</v>
      </c>
      <c r="Q23" s="107">
        <v>0</v>
      </c>
      <c r="R23" s="107">
        <v>0</v>
      </c>
      <c r="S23" s="107"/>
      <c r="T23" s="107">
        <v>4000</v>
      </c>
      <c r="U23" s="107">
        <v>800</v>
      </c>
      <c r="V23" s="107">
        <v>0</v>
      </c>
      <c r="W23" s="107"/>
      <c r="X23" s="107" t="e">
        <f>C23*商品!S38+D23*商品!#REF!+E23*商品!#REF!+F23*商品!L38+G23*商品!#REF!+H23*商品!#REF!</f>
        <v>#REF!</v>
      </c>
      <c r="Y23" s="107">
        <f>N23*商品!O9</f>
        <v>800</v>
      </c>
      <c r="Z23" s="107" t="e">
        <f t="shared" ref="Z21:Z60" si="5">Y23-X23</f>
        <v>#REF!</v>
      </c>
      <c r="AA23" s="107" t="e">
        <f t="shared" si="3"/>
        <v>#REF!</v>
      </c>
      <c r="AB23" s="110" t="e">
        <f t="shared" si="4"/>
        <v>#REF!</v>
      </c>
    </row>
    <row r="24" spans="1:28">
      <c r="A24" s="107" t="s">
        <v>221</v>
      </c>
      <c r="B24" s="107"/>
      <c r="C24" s="107">
        <v>10</v>
      </c>
      <c r="D24" s="107">
        <v>5</v>
      </c>
      <c r="E24" s="107">
        <v>0</v>
      </c>
      <c r="F24" s="107">
        <v>0</v>
      </c>
      <c r="G24" s="107">
        <v>0</v>
      </c>
      <c r="H24" s="107">
        <v>0</v>
      </c>
      <c r="I24" s="107"/>
      <c r="J24" s="107">
        <v>0</v>
      </c>
      <c r="K24" s="107">
        <v>0</v>
      </c>
      <c r="L24" s="107">
        <v>0</v>
      </c>
      <c r="M24" s="107">
        <v>0</v>
      </c>
      <c r="N24" s="107">
        <v>20</v>
      </c>
      <c r="O24" s="107">
        <v>0</v>
      </c>
      <c r="P24" s="107">
        <v>0</v>
      </c>
      <c r="Q24" s="107">
        <v>0</v>
      </c>
      <c r="R24" s="107">
        <v>0</v>
      </c>
      <c r="S24" s="107"/>
      <c r="T24" s="107">
        <v>3600</v>
      </c>
      <c r="U24" s="107">
        <v>1200</v>
      </c>
      <c r="V24" s="107">
        <v>0</v>
      </c>
      <c r="W24" s="107"/>
      <c r="X24" s="107" t="e">
        <f>C24*商品!S39+D24*商品!#REF!+E24*商品!A16+F24*商品!L39+G24*商品!I16+H24*商品!G19</f>
        <v>#REF!</v>
      </c>
      <c r="Y24" s="107">
        <f>N24*商品!T32</f>
        <v>0</v>
      </c>
      <c r="Z24" s="107" t="e">
        <f t="shared" si="5"/>
        <v>#REF!</v>
      </c>
      <c r="AA24" s="107" t="e">
        <f t="shared" si="3"/>
        <v>#REF!</v>
      </c>
      <c r="AB24" s="110" t="e">
        <f t="shared" si="4"/>
        <v>#REF!</v>
      </c>
    </row>
    <row r="25" spans="1:28">
      <c r="A25" s="107" t="s">
        <v>222</v>
      </c>
      <c r="B25" s="107"/>
      <c r="C25" s="107">
        <v>15</v>
      </c>
      <c r="D25" s="107">
        <v>10</v>
      </c>
      <c r="E25" s="107">
        <v>0</v>
      </c>
      <c r="F25" s="107">
        <v>0</v>
      </c>
      <c r="G25" s="107">
        <v>0</v>
      </c>
      <c r="H25" s="107">
        <v>0</v>
      </c>
      <c r="I25" s="107"/>
      <c r="J25" s="107">
        <v>0</v>
      </c>
      <c r="K25" s="107">
        <v>0</v>
      </c>
      <c r="L25" s="107">
        <v>0</v>
      </c>
      <c r="M25" s="107">
        <v>0</v>
      </c>
      <c r="N25" s="107">
        <v>30</v>
      </c>
      <c r="O25" s="107">
        <v>0</v>
      </c>
      <c r="P25" s="107">
        <v>0</v>
      </c>
      <c r="Q25" s="107">
        <v>0</v>
      </c>
      <c r="R25" s="107">
        <v>0</v>
      </c>
      <c r="S25" s="107"/>
      <c r="T25" s="107">
        <v>3200</v>
      </c>
      <c r="U25" s="107">
        <v>1600</v>
      </c>
      <c r="V25" s="107">
        <v>0</v>
      </c>
      <c r="W25" s="107"/>
      <c r="X25" s="107" t="e">
        <f>C25*商品!S40+D25*商品!#REF!+E25*商品!#REF!+F25*商品!L40+G25*商品!I17+H25*商品!#REF!</f>
        <v>#REF!</v>
      </c>
      <c r="Y25" s="107">
        <f>N25*商品!T33</f>
        <v>0</v>
      </c>
      <c r="Z25" s="107" t="e">
        <f t="shared" si="5"/>
        <v>#REF!</v>
      </c>
      <c r="AA25" s="107" t="e">
        <f t="shared" si="3"/>
        <v>#REF!</v>
      </c>
      <c r="AB25" s="110" t="e">
        <f t="shared" si="4"/>
        <v>#REF!</v>
      </c>
    </row>
    <row r="26" spans="1:28">
      <c r="A26" s="107" t="s">
        <v>249</v>
      </c>
      <c r="B26" s="107"/>
      <c r="C26" s="107">
        <v>25</v>
      </c>
      <c r="D26" s="107">
        <v>15</v>
      </c>
      <c r="E26" s="107">
        <v>0</v>
      </c>
      <c r="F26" s="107">
        <v>0</v>
      </c>
      <c r="G26" s="107">
        <v>0</v>
      </c>
      <c r="H26" s="107">
        <v>0</v>
      </c>
      <c r="I26" s="107"/>
      <c r="J26" s="107">
        <v>0</v>
      </c>
      <c r="K26" s="107">
        <v>0</v>
      </c>
      <c r="L26" s="107">
        <v>0</v>
      </c>
      <c r="M26" s="107">
        <v>0</v>
      </c>
      <c r="N26" s="107">
        <v>50</v>
      </c>
      <c r="O26" s="107">
        <v>0</v>
      </c>
      <c r="P26" s="107">
        <v>0</v>
      </c>
      <c r="Q26" s="107">
        <v>0</v>
      </c>
      <c r="R26" s="107">
        <v>0</v>
      </c>
      <c r="S26" s="107"/>
      <c r="T26" s="107">
        <v>3000</v>
      </c>
      <c r="U26" s="107">
        <v>1800</v>
      </c>
      <c r="V26" s="107">
        <v>0</v>
      </c>
      <c r="W26" s="107"/>
      <c r="X26" s="107" t="e">
        <f>C26*商品!S41+D26*商品!#REF!+E26*商品!#REF!+F26*商品!L41+G26*商品!H18+H26*商品!#REF!</f>
        <v>#REF!</v>
      </c>
      <c r="Y26" s="107">
        <f>N26*商品!T34</f>
        <v>0</v>
      </c>
      <c r="Z26" s="107" t="e">
        <f t="shared" si="5"/>
        <v>#REF!</v>
      </c>
      <c r="AA26" s="107" t="e">
        <f t="shared" si="3"/>
        <v>#REF!</v>
      </c>
      <c r="AB26" s="110" t="e">
        <f t="shared" si="4"/>
        <v>#REF!</v>
      </c>
    </row>
    <row r="27" spans="1:28">
      <c r="A27" s="107" t="s">
        <v>224</v>
      </c>
      <c r="B27" s="107"/>
      <c r="C27" s="107">
        <v>0</v>
      </c>
      <c r="D27" s="107">
        <v>0</v>
      </c>
      <c r="E27" s="107">
        <v>0</v>
      </c>
      <c r="F27" s="107">
        <v>0</v>
      </c>
      <c r="G27" s="107">
        <v>0</v>
      </c>
      <c r="H27" s="107">
        <v>5</v>
      </c>
      <c r="I27" s="107"/>
      <c r="J27" s="107">
        <v>0</v>
      </c>
      <c r="K27" s="107">
        <v>0</v>
      </c>
      <c r="L27" s="107">
        <v>0</v>
      </c>
      <c r="M27" s="107">
        <v>0</v>
      </c>
      <c r="N27" s="107">
        <v>10</v>
      </c>
      <c r="O27" s="107">
        <v>0</v>
      </c>
      <c r="P27" s="107">
        <v>0</v>
      </c>
      <c r="Q27" s="107">
        <v>0</v>
      </c>
      <c r="R27" s="107">
        <v>0</v>
      </c>
      <c r="S27" s="107"/>
      <c r="T27" s="107">
        <v>0</v>
      </c>
      <c r="U27" s="107">
        <v>0</v>
      </c>
      <c r="V27" s="107">
        <v>150</v>
      </c>
      <c r="W27" s="107"/>
      <c r="X27" s="107" t="e">
        <f>C27*商品!S42+D27*商品!E22+E27*商品!#REF!+F27*商品!L42+G27*商品!H19+H27*商品!F22</f>
        <v>#REF!</v>
      </c>
      <c r="Y27" s="107">
        <f>N27*商品!T35</f>
        <v>0</v>
      </c>
      <c r="Z27" s="107" t="e">
        <f t="shared" si="5"/>
        <v>#REF!</v>
      </c>
      <c r="AA27" s="107" t="e">
        <f t="shared" si="3"/>
        <v>#REF!</v>
      </c>
      <c r="AB27" s="110" t="e">
        <f t="shared" si="4"/>
        <v>#REF!</v>
      </c>
    </row>
    <row r="28" spans="1:28">
      <c r="A28" s="107" t="s">
        <v>225</v>
      </c>
      <c r="B28" s="107"/>
      <c r="C28" s="107">
        <v>0</v>
      </c>
      <c r="D28" s="107">
        <v>0</v>
      </c>
      <c r="E28" s="107">
        <v>0</v>
      </c>
      <c r="F28" s="107">
        <v>0</v>
      </c>
      <c r="G28" s="107">
        <v>0</v>
      </c>
      <c r="H28" s="107">
        <v>10</v>
      </c>
      <c r="I28" s="107"/>
      <c r="J28" s="107">
        <v>0</v>
      </c>
      <c r="K28" s="107">
        <v>0</v>
      </c>
      <c r="L28" s="107">
        <v>0</v>
      </c>
      <c r="M28" s="107">
        <v>0</v>
      </c>
      <c r="N28" s="107">
        <v>20</v>
      </c>
      <c r="O28" s="107">
        <v>0</v>
      </c>
      <c r="P28" s="107">
        <v>0</v>
      </c>
      <c r="Q28" s="107">
        <v>0</v>
      </c>
      <c r="R28" s="107">
        <v>0</v>
      </c>
      <c r="S28" s="107"/>
      <c r="T28" s="107">
        <v>0</v>
      </c>
      <c r="U28" s="107">
        <v>0</v>
      </c>
      <c r="V28" s="107">
        <v>250</v>
      </c>
      <c r="W28" s="107"/>
      <c r="X28" s="107" t="e">
        <f>C28*商品!S43+D28*商品!#REF!+E28*商品!A23+F28*商品!L43+G28*商品!#REF!+H28*商品!#REF!</f>
        <v>#REF!</v>
      </c>
      <c r="Y28" s="107">
        <f>N28*商品!T36</f>
        <v>0</v>
      </c>
      <c r="Z28" s="107" t="e">
        <f t="shared" si="5"/>
        <v>#REF!</v>
      </c>
      <c r="AA28" s="107" t="e">
        <f t="shared" si="3"/>
        <v>#REF!</v>
      </c>
      <c r="AB28" s="110" t="e">
        <f t="shared" si="4"/>
        <v>#REF!</v>
      </c>
    </row>
    <row r="29" spans="1:28">
      <c r="A29" s="107" t="s">
        <v>226</v>
      </c>
      <c r="B29" s="107"/>
      <c r="C29" s="107">
        <v>0</v>
      </c>
      <c r="D29" s="107">
        <v>0</v>
      </c>
      <c r="E29" s="107">
        <v>0</v>
      </c>
      <c r="F29" s="107">
        <v>0</v>
      </c>
      <c r="G29" s="107">
        <v>0</v>
      </c>
      <c r="H29" s="107">
        <v>15</v>
      </c>
      <c r="I29" s="107"/>
      <c r="J29" s="107">
        <v>0</v>
      </c>
      <c r="K29" s="107">
        <v>0</v>
      </c>
      <c r="L29" s="107">
        <v>0</v>
      </c>
      <c r="M29" s="107">
        <v>0</v>
      </c>
      <c r="N29" s="107">
        <v>30</v>
      </c>
      <c r="O29" s="107">
        <v>0</v>
      </c>
      <c r="P29" s="107">
        <v>0</v>
      </c>
      <c r="Q29" s="107">
        <v>0</v>
      </c>
      <c r="R29" s="107">
        <v>0</v>
      </c>
      <c r="S29" s="107"/>
      <c r="T29" s="107">
        <v>0</v>
      </c>
      <c r="U29" s="107">
        <v>0</v>
      </c>
      <c r="V29" s="107">
        <v>350</v>
      </c>
      <c r="W29" s="107"/>
      <c r="X29" s="107" t="e">
        <f>C29*商品!S44+D29*商品!#REF!+E29*商品!A24+F29*商品!L44+G29*商品!#REF!+H29*商品!#REF!</f>
        <v>#REF!</v>
      </c>
      <c r="Y29" s="107">
        <f>N29*商品!T37</f>
        <v>0</v>
      </c>
      <c r="Z29" s="107" t="e">
        <f t="shared" si="5"/>
        <v>#REF!</v>
      </c>
      <c r="AA29" s="107" t="e">
        <f t="shared" si="3"/>
        <v>#REF!</v>
      </c>
      <c r="AB29" s="110" t="e">
        <f t="shared" si="4"/>
        <v>#REF!</v>
      </c>
    </row>
    <row r="30" spans="1:28">
      <c r="A30" s="104" t="s">
        <v>253</v>
      </c>
      <c r="B30" s="105"/>
      <c r="C30" s="105">
        <v>0</v>
      </c>
      <c r="D30" s="105">
        <v>5</v>
      </c>
      <c r="E30" s="105">
        <v>0</v>
      </c>
      <c r="F30" s="105">
        <v>0</v>
      </c>
      <c r="G30" s="105">
        <v>0</v>
      </c>
      <c r="H30" s="105">
        <v>0</v>
      </c>
      <c r="I30" s="105"/>
      <c r="J30" s="105">
        <v>0</v>
      </c>
      <c r="K30" s="105">
        <v>0</v>
      </c>
      <c r="L30" s="105">
        <v>0</v>
      </c>
      <c r="M30" s="105">
        <v>0</v>
      </c>
      <c r="N30" s="105">
        <v>0</v>
      </c>
      <c r="O30" s="105">
        <v>10</v>
      </c>
      <c r="P30" s="105">
        <v>0</v>
      </c>
      <c r="Q30" s="105">
        <v>0</v>
      </c>
      <c r="R30" s="105">
        <v>0</v>
      </c>
      <c r="S30" s="105"/>
      <c r="T30" s="105">
        <v>4000</v>
      </c>
      <c r="U30" s="105">
        <v>800</v>
      </c>
      <c r="V30" s="105">
        <v>0</v>
      </c>
      <c r="W30" s="105"/>
      <c r="X30" s="105" t="e">
        <f>C30*商品!S45+D30*商品!E25+E30*商品!A18+F30*商品!L45+G30*商品!G22+H30*商品!F25</f>
        <v>#VALUE!</v>
      </c>
      <c r="Y30" s="105" t="e">
        <f>O30*商品!#REF!</f>
        <v>#REF!</v>
      </c>
      <c r="Z30" s="105" t="e">
        <f t="shared" si="5"/>
        <v>#REF!</v>
      </c>
      <c r="AA30" s="105" t="e">
        <f t="shared" si="3"/>
        <v>#REF!</v>
      </c>
      <c r="AB30" s="109" t="e">
        <f t="shared" si="4"/>
        <v>#REF!</v>
      </c>
    </row>
    <row r="31" spans="1:28">
      <c r="A31" s="105" t="s">
        <v>221</v>
      </c>
      <c r="B31" s="105"/>
      <c r="C31" s="105">
        <v>15</v>
      </c>
      <c r="D31" s="105">
        <v>5</v>
      </c>
      <c r="E31" s="105">
        <v>0</v>
      </c>
      <c r="F31" s="105">
        <v>0</v>
      </c>
      <c r="G31" s="105">
        <v>0</v>
      </c>
      <c r="H31" s="105">
        <v>0</v>
      </c>
      <c r="I31" s="105"/>
      <c r="J31" s="105">
        <v>0</v>
      </c>
      <c r="K31" s="105">
        <v>0</v>
      </c>
      <c r="L31" s="105">
        <v>0</v>
      </c>
      <c r="M31" s="105">
        <v>0</v>
      </c>
      <c r="N31" s="105">
        <v>0</v>
      </c>
      <c r="O31" s="105">
        <v>30</v>
      </c>
      <c r="P31" s="105">
        <v>0</v>
      </c>
      <c r="Q31" s="105">
        <v>0</v>
      </c>
      <c r="R31" s="105">
        <v>0</v>
      </c>
      <c r="S31" s="105"/>
      <c r="T31" s="105">
        <v>3600</v>
      </c>
      <c r="U31" s="105">
        <v>1200</v>
      </c>
      <c r="V31" s="105">
        <v>0</v>
      </c>
      <c r="W31" s="105"/>
      <c r="X31" s="105" t="e">
        <f>C31*商品!S46+D31*商品!#REF!+E31*商品!#REF!+F31*商品!L46+G31*商品!G23+H31*商品!#REF!</f>
        <v>#REF!</v>
      </c>
      <c r="Y31" s="105">
        <f>O31*商品!U32</f>
        <v>0</v>
      </c>
      <c r="Z31" s="105" t="e">
        <f t="shared" si="5"/>
        <v>#REF!</v>
      </c>
      <c r="AA31" s="105" t="e">
        <f t="shared" si="3"/>
        <v>#REF!</v>
      </c>
      <c r="AB31" s="109" t="e">
        <f t="shared" si="4"/>
        <v>#REF!</v>
      </c>
    </row>
    <row r="32" spans="1:28">
      <c r="A32" s="105" t="s">
        <v>222</v>
      </c>
      <c r="B32" s="105"/>
      <c r="C32" s="105">
        <v>20</v>
      </c>
      <c r="D32" s="105">
        <v>10</v>
      </c>
      <c r="E32" s="105">
        <v>0</v>
      </c>
      <c r="F32" s="105">
        <v>0</v>
      </c>
      <c r="G32" s="105">
        <v>0</v>
      </c>
      <c r="H32" s="105">
        <v>0</v>
      </c>
      <c r="I32" s="105"/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5">
        <v>50</v>
      </c>
      <c r="P32" s="105">
        <v>0</v>
      </c>
      <c r="Q32" s="105">
        <v>0</v>
      </c>
      <c r="R32" s="105">
        <v>0</v>
      </c>
      <c r="S32" s="105"/>
      <c r="T32" s="105">
        <v>3200</v>
      </c>
      <c r="U32" s="105">
        <v>1600</v>
      </c>
      <c r="V32" s="105">
        <v>0</v>
      </c>
      <c r="W32" s="105"/>
      <c r="X32" s="105" t="e">
        <f>C32*商品!S47+D32*商品!#REF!+E32*商品!#REF!+F32*商品!L47+G32*商品!#REF!+H32*商品!#REF!</f>
        <v>#REF!</v>
      </c>
      <c r="Y32" s="105">
        <f>O32*商品!U33</f>
        <v>0</v>
      </c>
      <c r="Z32" s="105" t="e">
        <f t="shared" si="5"/>
        <v>#REF!</v>
      </c>
      <c r="AA32" s="105" t="e">
        <f t="shared" si="3"/>
        <v>#REF!</v>
      </c>
      <c r="AB32" s="109" t="e">
        <f t="shared" si="4"/>
        <v>#REF!</v>
      </c>
    </row>
    <row r="33" spans="1:28">
      <c r="A33" s="105" t="s">
        <v>249</v>
      </c>
      <c r="B33" s="105"/>
      <c r="C33" s="105">
        <v>30</v>
      </c>
      <c r="D33" s="105">
        <v>15</v>
      </c>
      <c r="E33" s="105">
        <v>0</v>
      </c>
      <c r="F33" s="105">
        <v>0</v>
      </c>
      <c r="G33" s="105">
        <v>0</v>
      </c>
      <c r="H33" s="105">
        <v>0</v>
      </c>
      <c r="I33" s="105"/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5">
        <v>80</v>
      </c>
      <c r="P33" s="105">
        <v>0</v>
      </c>
      <c r="Q33" s="105">
        <v>0</v>
      </c>
      <c r="R33" s="105">
        <v>0</v>
      </c>
      <c r="S33" s="105"/>
      <c r="T33" s="105">
        <v>3000</v>
      </c>
      <c r="U33" s="105">
        <v>1800</v>
      </c>
      <c r="V33" s="105">
        <v>0</v>
      </c>
      <c r="W33" s="105"/>
      <c r="X33" s="105" t="e">
        <f>C33*商品!S48+D33*商品!#REF!+E33*商品!#REF!+F33*商品!L48+G33*商品!#REF!+H33*商品!#REF!</f>
        <v>#REF!</v>
      </c>
      <c r="Y33" s="105">
        <f>O33*商品!U35</f>
        <v>0</v>
      </c>
      <c r="Z33" s="105" t="e">
        <f t="shared" si="5"/>
        <v>#REF!</v>
      </c>
      <c r="AA33" s="105" t="e">
        <f t="shared" si="3"/>
        <v>#REF!</v>
      </c>
      <c r="AB33" s="109" t="e">
        <f t="shared" si="4"/>
        <v>#REF!</v>
      </c>
    </row>
    <row r="34" spans="1:28">
      <c r="A34" s="105" t="s">
        <v>224</v>
      </c>
      <c r="B34" s="105"/>
      <c r="C34" s="105">
        <v>0</v>
      </c>
      <c r="D34" s="105">
        <v>0</v>
      </c>
      <c r="E34" s="105">
        <v>0</v>
      </c>
      <c r="F34" s="105">
        <v>0</v>
      </c>
      <c r="G34" s="105">
        <v>0</v>
      </c>
      <c r="H34" s="105">
        <v>4</v>
      </c>
      <c r="I34" s="105"/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5">
        <v>10</v>
      </c>
      <c r="P34" s="105">
        <v>0</v>
      </c>
      <c r="Q34" s="105">
        <v>0</v>
      </c>
      <c r="R34" s="105">
        <v>0</v>
      </c>
      <c r="S34" s="105"/>
      <c r="T34" s="105">
        <v>0</v>
      </c>
      <c r="U34" s="105">
        <v>0</v>
      </c>
      <c r="V34" s="105">
        <v>150</v>
      </c>
      <c r="W34" s="105"/>
      <c r="X34" s="105" t="e">
        <f>C34*商品!S49+D34*商品!#REF!+E34*商品!#REF!+F34*商品!L49+G34*商品!#REF!+H34*商品!#REF!</f>
        <v>#REF!</v>
      </c>
      <c r="Y34" s="105" t="e">
        <f>O34*商品!#REF!</f>
        <v>#REF!</v>
      </c>
      <c r="Z34" s="105" t="e">
        <f t="shared" si="5"/>
        <v>#REF!</v>
      </c>
      <c r="AA34" s="105" t="e">
        <f t="shared" si="3"/>
        <v>#REF!</v>
      </c>
      <c r="AB34" s="109" t="e">
        <f t="shared" si="4"/>
        <v>#REF!</v>
      </c>
    </row>
    <row r="35" spans="1:28">
      <c r="A35" s="105" t="s">
        <v>225</v>
      </c>
      <c r="B35" s="105"/>
      <c r="C35" s="105">
        <v>0</v>
      </c>
      <c r="D35" s="105">
        <v>0</v>
      </c>
      <c r="E35" s="105">
        <v>0</v>
      </c>
      <c r="F35" s="105">
        <v>0</v>
      </c>
      <c r="G35" s="105">
        <v>0</v>
      </c>
      <c r="H35" s="105">
        <v>10</v>
      </c>
      <c r="I35" s="105"/>
      <c r="J35" s="105">
        <v>0</v>
      </c>
      <c r="K35" s="105">
        <v>0</v>
      </c>
      <c r="L35" s="105">
        <v>0</v>
      </c>
      <c r="M35" s="105">
        <v>0</v>
      </c>
      <c r="N35" s="105">
        <v>0</v>
      </c>
      <c r="O35" s="105">
        <v>25</v>
      </c>
      <c r="P35" s="105">
        <v>0</v>
      </c>
      <c r="Q35" s="105">
        <v>0</v>
      </c>
      <c r="R35" s="105">
        <v>0</v>
      </c>
      <c r="S35" s="105"/>
      <c r="T35" s="105">
        <v>0</v>
      </c>
      <c r="U35" s="105">
        <v>0</v>
      </c>
      <c r="V35" s="105">
        <v>250</v>
      </c>
      <c r="W35" s="105"/>
      <c r="X35" s="105" t="e">
        <f>C35*商品!S50+D35*商品!#REF!+E35*商品!#REF!+F35*商品!L50+G35*商品!#REF!+H35*商品!#REF!</f>
        <v>#REF!</v>
      </c>
      <c r="Y35" s="105">
        <f>O35*商品!U36</f>
        <v>0</v>
      </c>
      <c r="Z35" s="105" t="e">
        <f t="shared" si="5"/>
        <v>#REF!</v>
      </c>
      <c r="AA35" s="105" t="e">
        <f t="shared" si="3"/>
        <v>#REF!</v>
      </c>
      <c r="AB35" s="109" t="e">
        <f t="shared" si="4"/>
        <v>#REF!</v>
      </c>
    </row>
    <row r="36" spans="1:28">
      <c r="A36" s="105" t="s">
        <v>226</v>
      </c>
      <c r="B36" s="105"/>
      <c r="C36" s="105">
        <v>0</v>
      </c>
      <c r="D36" s="105">
        <v>0</v>
      </c>
      <c r="E36" s="105">
        <v>0</v>
      </c>
      <c r="F36" s="105">
        <v>0</v>
      </c>
      <c r="G36" s="105">
        <v>0</v>
      </c>
      <c r="H36" s="105">
        <v>15</v>
      </c>
      <c r="I36" s="105"/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5">
        <v>40</v>
      </c>
      <c r="P36" s="105">
        <v>0</v>
      </c>
      <c r="Q36" s="105">
        <v>0</v>
      </c>
      <c r="R36" s="105">
        <v>0</v>
      </c>
      <c r="S36" s="105"/>
      <c r="T36" s="105">
        <v>0</v>
      </c>
      <c r="U36" s="105">
        <v>0</v>
      </c>
      <c r="V36" s="105">
        <v>350</v>
      </c>
      <c r="W36" s="105"/>
      <c r="X36" s="105" t="e">
        <f>C36*商品!S51+D36*商品!#REF!+E36*商品!#REF!+F36*商品!L51+G36*商品!#REF!+H36*商品!#REF!</f>
        <v>#REF!</v>
      </c>
      <c r="Y36" s="105">
        <f>O36*商品!U37</f>
        <v>0</v>
      </c>
      <c r="Z36" s="105" t="e">
        <f t="shared" si="5"/>
        <v>#REF!</v>
      </c>
      <c r="AA36" s="105" t="e">
        <f t="shared" si="3"/>
        <v>#REF!</v>
      </c>
      <c r="AB36" s="109" t="e">
        <f t="shared" si="4"/>
        <v>#REF!</v>
      </c>
    </row>
    <row r="37" spans="1:28">
      <c r="A37" s="106" t="s">
        <v>254</v>
      </c>
      <c r="B37" s="107"/>
      <c r="C37" s="107">
        <v>0</v>
      </c>
      <c r="D37" s="107">
        <v>5</v>
      </c>
      <c r="E37" s="107">
        <v>0</v>
      </c>
      <c r="F37" s="107">
        <v>0</v>
      </c>
      <c r="G37" s="107">
        <v>0</v>
      </c>
      <c r="H37" s="107">
        <v>0</v>
      </c>
      <c r="I37" s="107"/>
      <c r="J37" s="107">
        <v>0</v>
      </c>
      <c r="K37" s="107">
        <v>0</v>
      </c>
      <c r="L37" s="107">
        <v>0</v>
      </c>
      <c r="M37" s="107">
        <v>0</v>
      </c>
      <c r="N37" s="107">
        <v>0</v>
      </c>
      <c r="O37" s="107">
        <v>0</v>
      </c>
      <c r="P37" s="107">
        <v>0</v>
      </c>
      <c r="Q37" s="107">
        <v>10</v>
      </c>
      <c r="R37" s="107">
        <v>0</v>
      </c>
      <c r="S37" s="107"/>
      <c r="T37" s="107">
        <v>4000</v>
      </c>
      <c r="U37" s="107">
        <v>800</v>
      </c>
      <c r="V37" s="107">
        <v>0</v>
      </c>
      <c r="W37" s="107"/>
      <c r="X37" s="107" t="e">
        <f>C37*商品!S52+D37*商品!#REF!+E37*商品!#REF!+F37*商品!L52+G37*商品!#REF!+H37*商品!#REF!</f>
        <v>#REF!</v>
      </c>
      <c r="Y37" s="107">
        <f>Q37*商品!J9</f>
        <v>300</v>
      </c>
      <c r="Z37" s="107" t="e">
        <f t="shared" si="5"/>
        <v>#REF!</v>
      </c>
      <c r="AA37" s="107" t="e">
        <f t="shared" si="3"/>
        <v>#REF!</v>
      </c>
      <c r="AB37" s="110" t="e">
        <f t="shared" si="4"/>
        <v>#REF!</v>
      </c>
    </row>
    <row r="38" spans="1:28">
      <c r="A38" s="107" t="s">
        <v>221</v>
      </c>
      <c r="B38" s="107"/>
      <c r="C38" s="107">
        <v>5</v>
      </c>
      <c r="D38" s="107">
        <v>5</v>
      </c>
      <c r="E38" s="107">
        <v>0</v>
      </c>
      <c r="F38" s="107">
        <v>0</v>
      </c>
      <c r="G38" s="107">
        <v>0</v>
      </c>
      <c r="H38" s="107">
        <v>0</v>
      </c>
      <c r="I38" s="107"/>
      <c r="J38" s="107">
        <v>0</v>
      </c>
      <c r="K38" s="107">
        <v>0</v>
      </c>
      <c r="L38" s="107">
        <v>0</v>
      </c>
      <c r="M38" s="107">
        <v>0</v>
      </c>
      <c r="N38" s="107">
        <v>0</v>
      </c>
      <c r="O38" s="107">
        <v>0</v>
      </c>
      <c r="P38" s="107">
        <v>0</v>
      </c>
      <c r="Q38" s="107">
        <v>20</v>
      </c>
      <c r="R38" s="107">
        <v>0</v>
      </c>
      <c r="S38" s="107"/>
      <c r="T38" s="107">
        <v>3600</v>
      </c>
      <c r="U38" s="107">
        <v>1200</v>
      </c>
      <c r="V38" s="107">
        <v>0</v>
      </c>
      <c r="W38" s="107"/>
      <c r="X38" s="107" t="e">
        <f>C38*商品!S53+D38*商品!#REF!+E38*商品!#REF!+F38*商品!L53+G38*商品!#REF!+H38*商品!#REF!</f>
        <v>#REF!</v>
      </c>
      <c r="Y38" s="107" t="e">
        <f>Q38*商品!#REF!</f>
        <v>#REF!</v>
      </c>
      <c r="Z38" s="107" t="e">
        <f t="shared" si="5"/>
        <v>#REF!</v>
      </c>
      <c r="AA38" s="107" t="e">
        <f t="shared" si="3"/>
        <v>#REF!</v>
      </c>
      <c r="AB38" s="110" t="e">
        <f t="shared" si="4"/>
        <v>#REF!</v>
      </c>
    </row>
    <row r="39" spans="1:28">
      <c r="A39" s="107" t="s">
        <v>222</v>
      </c>
      <c r="B39" s="107"/>
      <c r="C39" s="107">
        <v>10</v>
      </c>
      <c r="D39" s="107">
        <v>10</v>
      </c>
      <c r="E39" s="107">
        <v>0</v>
      </c>
      <c r="F39" s="107">
        <v>0</v>
      </c>
      <c r="G39" s="107">
        <v>0</v>
      </c>
      <c r="H39" s="107">
        <v>0</v>
      </c>
      <c r="I39" s="107"/>
      <c r="J39" s="107">
        <v>0</v>
      </c>
      <c r="K39" s="107">
        <v>0</v>
      </c>
      <c r="L39" s="107">
        <v>0</v>
      </c>
      <c r="M39" s="107">
        <v>0</v>
      </c>
      <c r="N39" s="107">
        <v>0</v>
      </c>
      <c r="O39" s="107">
        <v>0</v>
      </c>
      <c r="P39" s="107">
        <v>0</v>
      </c>
      <c r="Q39" s="107">
        <v>40</v>
      </c>
      <c r="R39" s="107">
        <v>0</v>
      </c>
      <c r="S39" s="107"/>
      <c r="T39" s="107">
        <v>3200</v>
      </c>
      <c r="U39" s="107">
        <v>1600</v>
      </c>
      <c r="V39" s="107">
        <v>0</v>
      </c>
      <c r="W39" s="107"/>
      <c r="X39" s="107" t="e">
        <f>C39*商品!S54+D39*商品!#REF!+E39*商品!#REF!+F39*商品!L54+G39*商品!#REF!+H39*商品!#REF!</f>
        <v>#REF!</v>
      </c>
      <c r="Y39" s="107" t="e">
        <f>Q39*商品!#REF!</f>
        <v>#REF!</v>
      </c>
      <c r="Z39" s="107" t="e">
        <f t="shared" si="5"/>
        <v>#REF!</v>
      </c>
      <c r="AA39" s="107" t="e">
        <f t="shared" si="3"/>
        <v>#REF!</v>
      </c>
      <c r="AB39" s="110" t="e">
        <f t="shared" si="4"/>
        <v>#REF!</v>
      </c>
    </row>
    <row r="40" spans="1:28">
      <c r="A40" s="107" t="s">
        <v>249</v>
      </c>
      <c r="B40" s="107"/>
      <c r="C40" s="107">
        <v>15</v>
      </c>
      <c r="D40" s="107">
        <v>15</v>
      </c>
      <c r="E40" s="107">
        <v>0</v>
      </c>
      <c r="F40" s="107">
        <v>0</v>
      </c>
      <c r="G40" s="107">
        <v>0</v>
      </c>
      <c r="H40" s="107">
        <v>0</v>
      </c>
      <c r="I40" s="107"/>
      <c r="J40" s="107">
        <v>0</v>
      </c>
      <c r="K40" s="107">
        <v>0</v>
      </c>
      <c r="L40" s="107">
        <v>0</v>
      </c>
      <c r="M40" s="107">
        <v>0</v>
      </c>
      <c r="N40" s="107">
        <v>0</v>
      </c>
      <c r="O40" s="107">
        <v>0</v>
      </c>
      <c r="P40" s="107">
        <v>0</v>
      </c>
      <c r="Q40" s="107">
        <v>60</v>
      </c>
      <c r="R40" s="107">
        <v>0</v>
      </c>
      <c r="S40" s="107"/>
      <c r="T40" s="107">
        <v>3000</v>
      </c>
      <c r="U40" s="107">
        <v>1800</v>
      </c>
      <c r="V40" s="107">
        <v>0</v>
      </c>
      <c r="W40" s="107"/>
      <c r="X40" s="107" t="e">
        <f>C40*商品!S55+D40*商品!#REF!+E40*商品!#REF!+F40*商品!L55+G40*商品!#REF!+H40*商品!#REF!</f>
        <v>#REF!</v>
      </c>
      <c r="Y40" s="107">
        <f>Q40*商品!P34</f>
        <v>0</v>
      </c>
      <c r="Z40" s="107" t="e">
        <f t="shared" si="5"/>
        <v>#REF!</v>
      </c>
      <c r="AA40" s="107" t="e">
        <f t="shared" si="3"/>
        <v>#REF!</v>
      </c>
      <c r="AB40" s="110" t="e">
        <f t="shared" si="4"/>
        <v>#REF!</v>
      </c>
    </row>
    <row r="41" spans="1:28">
      <c r="A41" s="107" t="s">
        <v>224</v>
      </c>
      <c r="B41" s="107"/>
      <c r="C41" s="107">
        <v>0</v>
      </c>
      <c r="D41" s="107">
        <v>0</v>
      </c>
      <c r="E41" s="107">
        <v>0</v>
      </c>
      <c r="F41" s="107">
        <v>0</v>
      </c>
      <c r="G41" s="107">
        <v>0</v>
      </c>
      <c r="H41" s="107">
        <v>5</v>
      </c>
      <c r="I41" s="107"/>
      <c r="J41" s="107">
        <v>0</v>
      </c>
      <c r="K41" s="107">
        <v>0</v>
      </c>
      <c r="L41" s="107">
        <v>0</v>
      </c>
      <c r="M41" s="107">
        <v>0</v>
      </c>
      <c r="N41" s="107">
        <v>0</v>
      </c>
      <c r="O41" s="107">
        <v>0</v>
      </c>
      <c r="P41" s="107">
        <v>0</v>
      </c>
      <c r="Q41" s="107">
        <v>15</v>
      </c>
      <c r="R41" s="107">
        <v>0</v>
      </c>
      <c r="S41" s="107"/>
      <c r="T41" s="107">
        <v>0</v>
      </c>
      <c r="U41" s="107">
        <v>0</v>
      </c>
      <c r="V41" s="107">
        <v>150</v>
      </c>
      <c r="W41" s="107"/>
      <c r="X41" s="107" t="e">
        <f>C41*商品!N35+D41*商品!#REF!+H41*商品!#REF!</f>
        <v>#REF!</v>
      </c>
      <c r="Y41" s="107">
        <f>Q41*商品!P35</f>
        <v>0</v>
      </c>
      <c r="Z41" s="107" t="e">
        <f t="shared" si="5"/>
        <v>#REF!</v>
      </c>
      <c r="AA41" s="107" t="e">
        <f t="shared" si="3"/>
        <v>#REF!</v>
      </c>
      <c r="AB41" s="110" t="e">
        <f t="shared" si="4"/>
        <v>#REF!</v>
      </c>
    </row>
    <row r="42" spans="1:28">
      <c r="A42" s="107" t="s">
        <v>225</v>
      </c>
      <c r="B42" s="107"/>
      <c r="C42" s="107">
        <v>0</v>
      </c>
      <c r="D42" s="107">
        <v>0</v>
      </c>
      <c r="E42" s="107">
        <v>0</v>
      </c>
      <c r="F42" s="107">
        <v>0</v>
      </c>
      <c r="G42" s="107">
        <v>0</v>
      </c>
      <c r="H42" s="107">
        <v>10</v>
      </c>
      <c r="I42" s="107"/>
      <c r="J42" s="107">
        <v>0</v>
      </c>
      <c r="K42" s="107">
        <v>0</v>
      </c>
      <c r="L42" s="107">
        <v>0</v>
      </c>
      <c r="M42" s="107">
        <v>0</v>
      </c>
      <c r="N42" s="107">
        <v>0</v>
      </c>
      <c r="O42" s="107">
        <v>0</v>
      </c>
      <c r="P42" s="107">
        <v>0</v>
      </c>
      <c r="Q42" s="107">
        <v>30</v>
      </c>
      <c r="R42" s="107">
        <v>0</v>
      </c>
      <c r="S42" s="107"/>
      <c r="T42" s="107">
        <v>0</v>
      </c>
      <c r="U42" s="107">
        <v>0</v>
      </c>
      <c r="V42" s="107">
        <v>250</v>
      </c>
      <c r="W42" s="107"/>
      <c r="X42" s="107" t="e">
        <f>C42*商品!N36+D42*商品!#REF!+H42*商品!#REF!</f>
        <v>#REF!</v>
      </c>
      <c r="Y42" s="107">
        <f>Q42*商品!P36</f>
        <v>0</v>
      </c>
      <c r="Z42" s="107" t="e">
        <f t="shared" si="5"/>
        <v>#REF!</v>
      </c>
      <c r="AA42" s="107" t="e">
        <f t="shared" si="3"/>
        <v>#REF!</v>
      </c>
      <c r="AB42" s="110" t="e">
        <f t="shared" si="4"/>
        <v>#REF!</v>
      </c>
    </row>
    <row r="43" spans="1:28">
      <c r="A43" s="107" t="s">
        <v>226</v>
      </c>
      <c r="B43" s="107"/>
      <c r="C43" s="107">
        <v>0</v>
      </c>
      <c r="D43" s="107">
        <v>0</v>
      </c>
      <c r="E43" s="107">
        <v>0</v>
      </c>
      <c r="F43" s="107">
        <v>0</v>
      </c>
      <c r="G43" s="107">
        <v>0</v>
      </c>
      <c r="H43" s="107">
        <v>15</v>
      </c>
      <c r="I43" s="107"/>
      <c r="J43" s="107">
        <v>0</v>
      </c>
      <c r="K43" s="107">
        <v>0</v>
      </c>
      <c r="L43" s="107">
        <v>0</v>
      </c>
      <c r="M43" s="107">
        <v>0</v>
      </c>
      <c r="N43" s="107">
        <v>0</v>
      </c>
      <c r="O43" s="107">
        <v>0</v>
      </c>
      <c r="P43" s="107">
        <v>0</v>
      </c>
      <c r="Q43" s="107">
        <v>50</v>
      </c>
      <c r="R43" s="107">
        <v>0</v>
      </c>
      <c r="S43" s="107"/>
      <c r="T43" s="107">
        <v>0</v>
      </c>
      <c r="U43" s="107">
        <v>0</v>
      </c>
      <c r="V43" s="107">
        <v>350</v>
      </c>
      <c r="W43" s="107"/>
      <c r="X43" s="107" t="e">
        <f>C43*商品!N37+D43*商品!#REF!+H43*商品!#REF!</f>
        <v>#REF!</v>
      </c>
      <c r="Y43" s="107">
        <f>Q43*商品!P37</f>
        <v>0</v>
      </c>
      <c r="Z43" s="107" t="e">
        <f t="shared" si="5"/>
        <v>#REF!</v>
      </c>
      <c r="AA43" s="107" t="e">
        <f t="shared" si="3"/>
        <v>#REF!</v>
      </c>
      <c r="AB43" s="110" t="e">
        <f t="shared" si="4"/>
        <v>#REF!</v>
      </c>
    </row>
    <row r="44" spans="1:28">
      <c r="A44" s="104" t="s">
        <v>255</v>
      </c>
      <c r="B44" s="105"/>
      <c r="C44" s="105">
        <v>0</v>
      </c>
      <c r="D44" s="105">
        <v>5</v>
      </c>
      <c r="E44" s="105">
        <v>0</v>
      </c>
      <c r="F44" s="105">
        <v>0</v>
      </c>
      <c r="G44" s="105">
        <v>0</v>
      </c>
      <c r="H44" s="105">
        <v>0</v>
      </c>
      <c r="I44" s="105"/>
      <c r="J44" s="105">
        <v>0</v>
      </c>
      <c r="K44" s="105">
        <v>0</v>
      </c>
      <c r="L44" s="105">
        <v>0</v>
      </c>
      <c r="M44" s="105">
        <v>0</v>
      </c>
      <c r="N44" s="105">
        <v>0</v>
      </c>
      <c r="O44" s="105">
        <v>0</v>
      </c>
      <c r="P44" s="105">
        <v>10</v>
      </c>
      <c r="Q44" s="105">
        <v>0</v>
      </c>
      <c r="R44" s="105">
        <v>0</v>
      </c>
      <c r="S44" s="105"/>
      <c r="T44" s="105">
        <v>4000</v>
      </c>
      <c r="U44" s="105">
        <v>800</v>
      </c>
      <c r="V44" s="105">
        <v>0</v>
      </c>
      <c r="W44" s="105"/>
      <c r="X44" s="105" t="e">
        <f>C44*商品!N38+D44*商品!#REF!+H44*商品!#REF!</f>
        <v>#REF!</v>
      </c>
      <c r="Y44" s="105">
        <f>P44*商品!K9</f>
        <v>300</v>
      </c>
      <c r="Z44" s="105" t="e">
        <f t="shared" si="5"/>
        <v>#REF!</v>
      </c>
      <c r="AA44" s="105" t="e">
        <f t="shared" si="3"/>
        <v>#REF!</v>
      </c>
      <c r="AB44" s="109" t="e">
        <f t="shared" si="4"/>
        <v>#REF!</v>
      </c>
    </row>
    <row r="45" spans="1:28">
      <c r="A45" s="105" t="s">
        <v>221</v>
      </c>
      <c r="B45" s="105"/>
      <c r="C45" s="105">
        <v>15</v>
      </c>
      <c r="D45" s="105">
        <v>5</v>
      </c>
      <c r="E45" s="105">
        <v>0</v>
      </c>
      <c r="F45" s="105">
        <v>0</v>
      </c>
      <c r="G45" s="105">
        <v>0</v>
      </c>
      <c r="H45" s="105">
        <v>0</v>
      </c>
      <c r="I45" s="105"/>
      <c r="J45" s="105">
        <v>0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30</v>
      </c>
      <c r="Q45" s="105">
        <v>0</v>
      </c>
      <c r="R45" s="105">
        <v>0</v>
      </c>
      <c r="S45" s="105"/>
      <c r="T45" s="105">
        <v>3600</v>
      </c>
      <c r="U45" s="105">
        <v>1200</v>
      </c>
      <c r="V45" s="105">
        <v>0</v>
      </c>
      <c r="W45" s="105"/>
      <c r="X45" s="105" t="e">
        <f>C45*商品!N39+D45*商品!#REF!+H45*商品!G19</f>
        <v>#REF!</v>
      </c>
      <c r="Y45" s="105" t="e">
        <f>P45*商品!#REF!</f>
        <v>#REF!</v>
      </c>
      <c r="Z45" s="105" t="e">
        <f t="shared" si="5"/>
        <v>#REF!</v>
      </c>
      <c r="AA45" s="105" t="e">
        <f t="shared" si="3"/>
        <v>#REF!</v>
      </c>
      <c r="AB45" s="109" t="e">
        <f t="shared" si="4"/>
        <v>#REF!</v>
      </c>
    </row>
    <row r="46" spans="1:28">
      <c r="A46" s="105" t="s">
        <v>222</v>
      </c>
      <c r="B46" s="105"/>
      <c r="C46" s="105">
        <v>25</v>
      </c>
      <c r="D46" s="105">
        <v>10</v>
      </c>
      <c r="E46" s="105">
        <v>0</v>
      </c>
      <c r="F46" s="105">
        <v>0</v>
      </c>
      <c r="G46" s="105">
        <v>0</v>
      </c>
      <c r="H46" s="105">
        <v>0</v>
      </c>
      <c r="I46" s="105"/>
      <c r="J46" s="105">
        <v>0</v>
      </c>
      <c r="K46" s="105">
        <v>0</v>
      </c>
      <c r="L46" s="105">
        <v>0</v>
      </c>
      <c r="M46" s="105">
        <v>0</v>
      </c>
      <c r="N46" s="105">
        <v>0</v>
      </c>
      <c r="O46" s="105">
        <v>0</v>
      </c>
      <c r="P46" s="105">
        <v>45</v>
      </c>
      <c r="Q46" s="105">
        <v>0</v>
      </c>
      <c r="R46" s="105">
        <v>0</v>
      </c>
      <c r="S46" s="105"/>
      <c r="T46" s="105">
        <v>3200</v>
      </c>
      <c r="U46" s="105">
        <v>1600</v>
      </c>
      <c r="V46" s="105">
        <v>0</v>
      </c>
      <c r="W46" s="105"/>
      <c r="X46" s="105" t="e">
        <f>C46*商品!N40+D46*商品!#REF!+H46*商品!#REF!</f>
        <v>#REF!</v>
      </c>
      <c r="Y46" s="105" t="e">
        <f>P46*商品!#REF!</f>
        <v>#REF!</v>
      </c>
      <c r="Z46" s="105" t="e">
        <f t="shared" si="5"/>
        <v>#REF!</v>
      </c>
      <c r="AA46" s="105" t="e">
        <f t="shared" si="3"/>
        <v>#REF!</v>
      </c>
      <c r="AB46" s="109" t="e">
        <f t="shared" si="4"/>
        <v>#REF!</v>
      </c>
    </row>
    <row r="47" spans="1:28">
      <c r="A47" s="105" t="s">
        <v>249</v>
      </c>
      <c r="B47" s="105"/>
      <c r="C47" s="105">
        <v>35</v>
      </c>
      <c r="D47" s="105">
        <v>15</v>
      </c>
      <c r="E47" s="105">
        <v>0</v>
      </c>
      <c r="F47" s="105">
        <v>0</v>
      </c>
      <c r="G47" s="105">
        <v>0</v>
      </c>
      <c r="H47" s="105">
        <v>0</v>
      </c>
      <c r="I47" s="105"/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5">
        <v>0</v>
      </c>
      <c r="P47" s="105">
        <v>60</v>
      </c>
      <c r="Q47" s="105">
        <v>0</v>
      </c>
      <c r="R47" s="105">
        <v>0</v>
      </c>
      <c r="S47" s="105"/>
      <c r="T47" s="105">
        <v>3000</v>
      </c>
      <c r="U47" s="105">
        <v>1800</v>
      </c>
      <c r="V47" s="105">
        <v>0</v>
      </c>
      <c r="W47" s="105"/>
      <c r="X47" s="105" t="e">
        <f>C47*商品!N41+D47*商品!#REF!+H47*商品!#REF!</f>
        <v>#REF!</v>
      </c>
      <c r="Y47" s="105" t="e">
        <f>P47*商品!#REF!</f>
        <v>#REF!</v>
      </c>
      <c r="Z47" s="105" t="e">
        <f t="shared" si="5"/>
        <v>#REF!</v>
      </c>
      <c r="AA47" s="105" t="e">
        <f t="shared" si="3"/>
        <v>#REF!</v>
      </c>
      <c r="AB47" s="109" t="e">
        <f t="shared" si="4"/>
        <v>#REF!</v>
      </c>
    </row>
    <row r="48" spans="1:28">
      <c r="A48" s="105" t="s">
        <v>224</v>
      </c>
      <c r="B48" s="105"/>
      <c r="C48" s="105">
        <v>0</v>
      </c>
      <c r="D48" s="105">
        <v>0</v>
      </c>
      <c r="E48" s="105">
        <v>0</v>
      </c>
      <c r="F48" s="105">
        <v>0</v>
      </c>
      <c r="G48" s="105">
        <v>0</v>
      </c>
      <c r="H48" s="105">
        <v>5</v>
      </c>
      <c r="I48" s="105"/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5">
        <v>0</v>
      </c>
      <c r="P48" s="105">
        <v>15</v>
      </c>
      <c r="Q48" s="105">
        <v>0</v>
      </c>
      <c r="R48" s="105">
        <v>0</v>
      </c>
      <c r="S48" s="105"/>
      <c r="T48" s="105">
        <v>0</v>
      </c>
      <c r="U48" s="105">
        <v>0</v>
      </c>
      <c r="V48" s="105">
        <v>150</v>
      </c>
      <c r="W48" s="105"/>
      <c r="X48" s="105">
        <f>C48*商品!N42+D48*商品!E22+H48*商品!F22</f>
        <v>0</v>
      </c>
      <c r="Y48" s="105" t="e">
        <f>P48*商品!#REF!</f>
        <v>#REF!</v>
      </c>
      <c r="Z48" s="105" t="e">
        <f t="shared" si="5"/>
        <v>#REF!</v>
      </c>
      <c r="AA48" s="105" t="e">
        <f t="shared" si="3"/>
        <v>#REF!</v>
      </c>
      <c r="AB48" s="109" t="e">
        <f t="shared" si="4"/>
        <v>#REF!</v>
      </c>
    </row>
    <row r="49" spans="1:28">
      <c r="A49" s="105" t="s">
        <v>225</v>
      </c>
      <c r="B49" s="105"/>
      <c r="C49" s="105">
        <v>0</v>
      </c>
      <c r="D49" s="105">
        <v>0</v>
      </c>
      <c r="E49" s="105">
        <v>0</v>
      </c>
      <c r="F49" s="105">
        <v>0</v>
      </c>
      <c r="G49" s="105">
        <v>0</v>
      </c>
      <c r="H49" s="105">
        <v>10</v>
      </c>
      <c r="I49" s="105"/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5">
        <v>0</v>
      </c>
      <c r="P49" s="105">
        <v>30</v>
      </c>
      <c r="Q49" s="105">
        <v>0</v>
      </c>
      <c r="R49" s="105">
        <v>0</v>
      </c>
      <c r="S49" s="105"/>
      <c r="T49" s="105">
        <v>0</v>
      </c>
      <c r="U49" s="105">
        <v>0</v>
      </c>
      <c r="V49" s="105">
        <v>250</v>
      </c>
      <c r="W49" s="105"/>
      <c r="X49" s="105" t="e">
        <f>C49*商品!N43+D49*商品!#REF!+H49*商品!#REF!</f>
        <v>#REF!</v>
      </c>
      <c r="Y49" s="105" t="e">
        <f>P49*商品!#REF!</f>
        <v>#REF!</v>
      </c>
      <c r="Z49" s="105" t="e">
        <f t="shared" si="5"/>
        <v>#REF!</v>
      </c>
      <c r="AA49" s="105" t="e">
        <f t="shared" si="3"/>
        <v>#REF!</v>
      </c>
      <c r="AB49" s="109" t="e">
        <f t="shared" si="4"/>
        <v>#REF!</v>
      </c>
    </row>
    <row r="50" spans="1:28">
      <c r="A50" s="105" t="s">
        <v>226</v>
      </c>
      <c r="B50" s="105"/>
      <c r="C50" s="105">
        <v>0</v>
      </c>
      <c r="D50" s="105">
        <v>0</v>
      </c>
      <c r="E50" s="105">
        <v>0</v>
      </c>
      <c r="F50" s="105">
        <v>0</v>
      </c>
      <c r="G50" s="105">
        <v>0</v>
      </c>
      <c r="H50" s="105">
        <v>15</v>
      </c>
      <c r="I50" s="105"/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5">
        <v>0</v>
      </c>
      <c r="P50" s="105">
        <v>50</v>
      </c>
      <c r="Q50" s="105">
        <v>0</v>
      </c>
      <c r="R50" s="105">
        <v>0</v>
      </c>
      <c r="S50" s="105"/>
      <c r="T50" s="105">
        <v>0</v>
      </c>
      <c r="U50" s="105">
        <v>0</v>
      </c>
      <c r="V50" s="105">
        <v>350</v>
      </c>
      <c r="W50" s="105"/>
      <c r="X50" s="105" t="e">
        <f>C50*商品!N44+D50*商品!#REF!+H50*商品!#REF!</f>
        <v>#REF!</v>
      </c>
      <c r="Y50" s="105" t="e">
        <f>P50*商品!#REF!</f>
        <v>#REF!</v>
      </c>
      <c r="Z50" s="105" t="e">
        <f t="shared" si="5"/>
        <v>#REF!</v>
      </c>
      <c r="AA50" s="105" t="e">
        <f t="shared" si="3"/>
        <v>#REF!</v>
      </c>
      <c r="AB50" s="109" t="e">
        <f t="shared" si="4"/>
        <v>#REF!</v>
      </c>
    </row>
    <row r="51" spans="1:28">
      <c r="A51" s="108" t="s">
        <v>256</v>
      </c>
      <c r="B51" s="107"/>
      <c r="C51" s="107">
        <v>0</v>
      </c>
      <c r="D51" s="107">
        <v>0</v>
      </c>
      <c r="E51" s="107">
        <v>0</v>
      </c>
      <c r="F51" s="107">
        <v>0</v>
      </c>
      <c r="G51" s="107">
        <v>0</v>
      </c>
      <c r="H51" s="107">
        <v>0</v>
      </c>
      <c r="I51" s="107"/>
      <c r="J51" s="107">
        <v>0</v>
      </c>
      <c r="K51" s="107">
        <v>0</v>
      </c>
      <c r="L51" s="107">
        <v>0</v>
      </c>
      <c r="M51" s="107">
        <v>0</v>
      </c>
      <c r="N51" s="107">
        <v>0</v>
      </c>
      <c r="O51" s="107">
        <v>0</v>
      </c>
      <c r="P51" s="107">
        <v>0</v>
      </c>
      <c r="Q51" s="107">
        <v>0</v>
      </c>
      <c r="R51" s="107">
        <v>15</v>
      </c>
      <c r="S51" s="107"/>
      <c r="T51" s="107">
        <v>4000</v>
      </c>
      <c r="U51" s="107">
        <v>800</v>
      </c>
      <c r="V51" s="107">
        <v>0</v>
      </c>
      <c r="W51" s="107"/>
      <c r="X51" s="107">
        <f>C51*商品!N45+D51*商品!E25+H51*商品!F25</f>
        <v>0</v>
      </c>
      <c r="Y51" s="107" t="e">
        <f>R51*商品!#REF!</f>
        <v>#REF!</v>
      </c>
      <c r="Z51" s="107" t="e">
        <f t="shared" si="5"/>
        <v>#REF!</v>
      </c>
      <c r="AA51" s="107" t="e">
        <f t="shared" si="3"/>
        <v>#REF!</v>
      </c>
      <c r="AB51" s="110" t="e">
        <f t="shared" si="4"/>
        <v>#REF!</v>
      </c>
    </row>
    <row r="52" spans="1:28">
      <c r="A52" s="107" t="s">
        <v>221</v>
      </c>
      <c r="B52" s="107"/>
      <c r="C52" s="107">
        <v>15</v>
      </c>
      <c r="D52" s="107">
        <v>10</v>
      </c>
      <c r="E52" s="107">
        <v>0</v>
      </c>
      <c r="F52" s="107">
        <v>0</v>
      </c>
      <c r="G52" s="107">
        <v>0</v>
      </c>
      <c r="H52" s="107">
        <v>0</v>
      </c>
      <c r="I52" s="107"/>
      <c r="J52" s="107">
        <v>0</v>
      </c>
      <c r="K52" s="107">
        <v>0</v>
      </c>
      <c r="L52" s="107">
        <v>0</v>
      </c>
      <c r="M52" s="107">
        <v>0</v>
      </c>
      <c r="N52" s="107">
        <v>0</v>
      </c>
      <c r="O52" s="107">
        <v>0</v>
      </c>
      <c r="P52" s="107">
        <v>0</v>
      </c>
      <c r="Q52" s="107">
        <v>0</v>
      </c>
      <c r="R52" s="107">
        <v>25</v>
      </c>
      <c r="S52" s="107"/>
      <c r="T52" s="107">
        <v>3600</v>
      </c>
      <c r="U52" s="107">
        <v>1200</v>
      </c>
      <c r="V52" s="107">
        <v>0</v>
      </c>
      <c r="W52" s="107"/>
      <c r="X52" s="107" t="e">
        <f>C52*商品!N46+D52*商品!#REF!+H52*商品!#REF!</f>
        <v>#REF!</v>
      </c>
      <c r="Y52" s="107">
        <f>R52*商品!V32</f>
        <v>0</v>
      </c>
      <c r="Z52" s="107" t="e">
        <f t="shared" si="5"/>
        <v>#REF!</v>
      </c>
      <c r="AA52" s="107" t="e">
        <f t="shared" si="3"/>
        <v>#REF!</v>
      </c>
      <c r="AB52" s="110" t="e">
        <f t="shared" si="4"/>
        <v>#REF!</v>
      </c>
    </row>
    <row r="53" spans="1:28">
      <c r="A53" s="107" t="s">
        <v>222</v>
      </c>
      <c r="B53" s="107"/>
      <c r="C53" s="107">
        <v>25</v>
      </c>
      <c r="D53" s="107">
        <v>15</v>
      </c>
      <c r="E53" s="107">
        <v>0</v>
      </c>
      <c r="F53" s="107">
        <v>0</v>
      </c>
      <c r="G53" s="107">
        <v>0</v>
      </c>
      <c r="H53" s="107">
        <v>0</v>
      </c>
      <c r="I53" s="107"/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s="107">
        <v>0</v>
      </c>
      <c r="P53" s="107">
        <v>0</v>
      </c>
      <c r="Q53" s="107">
        <v>0</v>
      </c>
      <c r="R53" s="107">
        <v>45</v>
      </c>
      <c r="S53" s="107"/>
      <c r="T53" s="107">
        <v>3200</v>
      </c>
      <c r="U53" s="107">
        <v>1600</v>
      </c>
      <c r="V53" s="107">
        <v>0</v>
      </c>
      <c r="W53" s="107"/>
      <c r="X53" s="107" t="e">
        <f>C53*商品!N47+D53*商品!#REF!+H53*商品!#REF!</f>
        <v>#REF!</v>
      </c>
      <c r="Y53" s="107">
        <f>R53*商品!V33</f>
        <v>0</v>
      </c>
      <c r="Z53" s="107" t="e">
        <f t="shared" si="5"/>
        <v>#REF!</v>
      </c>
      <c r="AA53" s="107" t="e">
        <f t="shared" si="3"/>
        <v>#REF!</v>
      </c>
      <c r="AB53" s="110" t="e">
        <f t="shared" si="4"/>
        <v>#REF!</v>
      </c>
    </row>
    <row r="54" spans="1:28">
      <c r="A54" s="107" t="s">
        <v>249</v>
      </c>
      <c r="B54" s="107"/>
      <c r="C54" s="107">
        <v>30</v>
      </c>
      <c r="D54" s="107">
        <v>20</v>
      </c>
      <c r="E54" s="107">
        <v>0</v>
      </c>
      <c r="F54" s="107">
        <v>0</v>
      </c>
      <c r="G54" s="107">
        <v>0</v>
      </c>
      <c r="H54" s="107">
        <v>0</v>
      </c>
      <c r="I54" s="107"/>
      <c r="J54" s="107">
        <v>0</v>
      </c>
      <c r="K54" s="107">
        <v>0</v>
      </c>
      <c r="L54" s="107">
        <v>0</v>
      </c>
      <c r="M54" s="107">
        <v>0</v>
      </c>
      <c r="N54" s="107">
        <v>0</v>
      </c>
      <c r="O54" s="107">
        <v>0</v>
      </c>
      <c r="P54" s="107">
        <v>0</v>
      </c>
      <c r="Q54" s="107">
        <v>0</v>
      </c>
      <c r="R54" s="107">
        <v>60</v>
      </c>
      <c r="S54" s="107"/>
      <c r="T54" s="107">
        <v>3000</v>
      </c>
      <c r="U54" s="107">
        <v>1800</v>
      </c>
      <c r="V54" s="107">
        <v>0</v>
      </c>
      <c r="W54" s="107"/>
      <c r="X54" s="107" t="e">
        <f>C54*商品!N48+D54*商品!#REF!+H54*商品!#REF!</f>
        <v>#REF!</v>
      </c>
      <c r="Y54" s="107">
        <f>R54*商品!V34</f>
        <v>0</v>
      </c>
      <c r="Z54" s="107" t="e">
        <f t="shared" si="5"/>
        <v>#REF!</v>
      </c>
      <c r="AA54" s="107" t="e">
        <f t="shared" si="3"/>
        <v>#REF!</v>
      </c>
      <c r="AB54" s="110" t="e">
        <f t="shared" si="4"/>
        <v>#REF!</v>
      </c>
    </row>
    <row r="55" spans="1:28">
      <c r="A55" s="107" t="s">
        <v>224</v>
      </c>
      <c r="B55" s="107"/>
      <c r="C55" s="107">
        <v>0</v>
      </c>
      <c r="D55" s="107">
        <v>0</v>
      </c>
      <c r="E55" s="107">
        <v>0</v>
      </c>
      <c r="F55" s="107">
        <v>0</v>
      </c>
      <c r="G55" s="107">
        <v>0</v>
      </c>
      <c r="H55" s="107">
        <v>6</v>
      </c>
      <c r="I55" s="107"/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s="107">
        <v>0</v>
      </c>
      <c r="P55" s="107">
        <v>0</v>
      </c>
      <c r="Q55" s="107">
        <v>0</v>
      </c>
      <c r="R55" s="107">
        <v>15</v>
      </c>
      <c r="S55" s="107"/>
      <c r="T55" s="107">
        <v>0</v>
      </c>
      <c r="U55" s="107">
        <v>0</v>
      </c>
      <c r="V55" s="107">
        <v>150</v>
      </c>
      <c r="W55" s="107"/>
      <c r="X55" s="107" t="e">
        <f>C55*商品!N49+D55*商品!#REF!+H55*商品!#REF!</f>
        <v>#REF!</v>
      </c>
      <c r="Y55" s="107">
        <f>R55*商品!V35</f>
        <v>0</v>
      </c>
      <c r="Z55" s="107" t="e">
        <f t="shared" si="5"/>
        <v>#REF!</v>
      </c>
      <c r="AA55" s="107" t="e">
        <f t="shared" si="3"/>
        <v>#REF!</v>
      </c>
      <c r="AB55" s="110" t="e">
        <f t="shared" si="4"/>
        <v>#REF!</v>
      </c>
    </row>
    <row r="56" spans="1:28">
      <c r="A56" s="107" t="s">
        <v>225</v>
      </c>
      <c r="B56" s="107"/>
      <c r="C56" s="107">
        <v>0</v>
      </c>
      <c r="D56" s="107">
        <v>0</v>
      </c>
      <c r="E56" s="107">
        <v>0</v>
      </c>
      <c r="F56" s="107">
        <v>0</v>
      </c>
      <c r="G56" s="107">
        <v>0</v>
      </c>
      <c r="H56" s="107">
        <v>12</v>
      </c>
      <c r="I56" s="107"/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s="107">
        <v>0</v>
      </c>
      <c r="P56" s="107">
        <v>0</v>
      </c>
      <c r="Q56" s="107">
        <v>0</v>
      </c>
      <c r="R56" s="107">
        <v>30</v>
      </c>
      <c r="S56" s="107"/>
      <c r="T56" s="107">
        <v>0</v>
      </c>
      <c r="U56" s="107">
        <v>0</v>
      </c>
      <c r="V56" s="107">
        <v>250</v>
      </c>
      <c r="W56" s="107"/>
      <c r="X56" s="107" t="e">
        <f>C56*商品!N50+D56*商品!#REF!+H56*商品!#REF!</f>
        <v>#REF!</v>
      </c>
      <c r="Y56" s="107">
        <f>R56*商品!V36</f>
        <v>0</v>
      </c>
      <c r="Z56" s="107" t="e">
        <f t="shared" si="5"/>
        <v>#REF!</v>
      </c>
      <c r="AA56" s="107" t="e">
        <f t="shared" si="3"/>
        <v>#REF!</v>
      </c>
      <c r="AB56" s="110" t="e">
        <f t="shared" si="4"/>
        <v>#REF!</v>
      </c>
    </row>
    <row r="57" spans="1:28">
      <c r="A57" s="107" t="s">
        <v>226</v>
      </c>
      <c r="B57" s="107"/>
      <c r="C57" s="107">
        <v>0</v>
      </c>
      <c r="D57" s="107">
        <v>0</v>
      </c>
      <c r="E57" s="107">
        <v>0</v>
      </c>
      <c r="F57" s="107">
        <v>0</v>
      </c>
      <c r="G57" s="107">
        <v>0</v>
      </c>
      <c r="H57" s="107">
        <v>18</v>
      </c>
      <c r="I57" s="107"/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s="107">
        <v>0</v>
      </c>
      <c r="P57" s="107">
        <v>0</v>
      </c>
      <c r="Q57" s="107">
        <v>0</v>
      </c>
      <c r="R57" s="107">
        <v>50</v>
      </c>
      <c r="S57" s="107"/>
      <c r="T57" s="107">
        <v>0</v>
      </c>
      <c r="U57" s="107">
        <v>0</v>
      </c>
      <c r="V57" s="107">
        <v>350</v>
      </c>
      <c r="W57" s="107"/>
      <c r="X57" s="107" t="e">
        <f>C57*商品!N51+D57*商品!#REF!+H57*商品!#REF!</f>
        <v>#REF!</v>
      </c>
      <c r="Y57" s="107">
        <f>R57*商品!V37</f>
        <v>0</v>
      </c>
      <c r="Z57" s="107" t="e">
        <f t="shared" si="5"/>
        <v>#REF!</v>
      </c>
      <c r="AA57" s="107" t="e">
        <f t="shared" si="3"/>
        <v>#REF!</v>
      </c>
      <c r="AB57" s="110" t="e">
        <f t="shared" si="4"/>
        <v>#REF!</v>
      </c>
    </row>
    <row r="58" spans="1:28">
      <c r="A58" s="103" t="s">
        <v>257</v>
      </c>
      <c r="C58">
        <v>0</v>
      </c>
      <c r="D58">
        <v>0</v>
      </c>
      <c r="E58">
        <v>3</v>
      </c>
      <c r="F58">
        <v>3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-1000</v>
      </c>
      <c r="U58">
        <v>200</v>
      </c>
      <c r="V58">
        <v>0</v>
      </c>
      <c r="X58">
        <f>C58*商品!N45+D58*商品!E25+H58*商品!F25+E58*商品!I3+F58*商品!K5</f>
        <v>300</v>
      </c>
      <c r="Y58" t="e">
        <f>P58*商品!#REF!</f>
        <v>#REF!</v>
      </c>
      <c r="Z58" t="e">
        <f t="shared" si="5"/>
        <v>#REF!</v>
      </c>
      <c r="AA58" t="e">
        <f t="shared" si="3"/>
        <v>#REF!</v>
      </c>
      <c r="AB58" s="102" t="e">
        <f t="shared" si="4"/>
        <v>#REF!</v>
      </c>
    </row>
    <row r="59" spans="1:28">
      <c r="A59" s="103" t="s">
        <v>258</v>
      </c>
      <c r="C59">
        <v>0</v>
      </c>
      <c r="D59">
        <v>0</v>
      </c>
      <c r="E59">
        <v>5</v>
      </c>
      <c r="F59">
        <v>5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-2000</v>
      </c>
      <c r="U59">
        <v>400</v>
      </c>
      <c r="V59">
        <v>0</v>
      </c>
      <c r="X59" t="e">
        <f>C59*商品!N46+D59*商品!#REF!+H59*商品!#REF!+E59*商品!#REF!+F59*商品!#REF!</f>
        <v>#REF!</v>
      </c>
      <c r="Y59" t="e">
        <f>P59*商品!#REF!</f>
        <v>#REF!</v>
      </c>
      <c r="Z59" t="e">
        <f t="shared" si="5"/>
        <v>#REF!</v>
      </c>
      <c r="AA59" t="e">
        <f t="shared" si="3"/>
        <v>#REF!</v>
      </c>
      <c r="AB59" s="102" t="e">
        <f t="shared" si="4"/>
        <v>#REF!</v>
      </c>
    </row>
    <row r="60" spans="1:28">
      <c r="A60" s="103" t="s">
        <v>179</v>
      </c>
      <c r="C60">
        <v>0</v>
      </c>
      <c r="D60">
        <v>0</v>
      </c>
      <c r="E60">
        <v>0</v>
      </c>
      <c r="F60">
        <v>0</v>
      </c>
      <c r="G60">
        <v>0</v>
      </c>
      <c r="H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-3000</v>
      </c>
      <c r="U60">
        <v>0</v>
      </c>
      <c r="V60">
        <v>200</v>
      </c>
      <c r="X60" t="e">
        <f>C60*商品!N47+D60*商品!#REF!+H60*商品!#REF!</f>
        <v>#REF!</v>
      </c>
      <c r="Y60" t="e">
        <f>P60*商品!#REF!</f>
        <v>#REF!</v>
      </c>
      <c r="Z60" t="e">
        <f t="shared" si="5"/>
        <v>#REF!</v>
      </c>
      <c r="AA60" t="e">
        <f t="shared" si="3"/>
        <v>#REF!</v>
      </c>
      <c r="AB60" s="102" t="e">
        <f t="shared" si="4"/>
        <v>#REF!</v>
      </c>
    </row>
  </sheetData>
  <sheetProtection formatCells="0" insertHyperlinks="0" autoFilter="0"/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"/>
  <sheetViews>
    <sheetView workbookViewId="0">
      <selection activeCell="A25" sqref="A25"/>
    </sheetView>
  </sheetViews>
  <sheetFormatPr defaultColWidth="9" defaultRowHeight="13.5"/>
  <cols>
    <col min="1" max="1" width="22" customWidth="1"/>
    <col min="2" max="2" width="5.375" customWidth="1"/>
    <col min="7" max="7" width="11.25" customWidth="1"/>
    <col min="8" max="8" width="12.75" customWidth="1"/>
    <col min="9" max="9" width="21.75" customWidth="1"/>
    <col min="10" max="10" width="12.5083333333333" customWidth="1"/>
    <col min="11" max="11" width="11.5083333333333" customWidth="1"/>
    <col min="12" max="12" width="7.625" customWidth="1"/>
    <col min="14" max="14" width="9.625" customWidth="1"/>
    <col min="15" max="15" width="7.375" customWidth="1"/>
    <col min="16" max="16" width="11.25" customWidth="1"/>
    <col min="17" max="17" width="11.125" customWidth="1"/>
    <col min="18" max="18" width="10.5083333333333" customWidth="1"/>
    <col min="19" max="19" width="9.875" customWidth="1"/>
    <col min="20" max="20" width="11.75" customWidth="1"/>
  </cols>
  <sheetData>
    <row r="1" ht="17.25" customHeight="1" spans="1:19">
      <c r="A1" s="95" t="s">
        <v>259</v>
      </c>
      <c r="B1" s="96" t="s">
        <v>1</v>
      </c>
      <c r="C1" s="97" t="s">
        <v>7</v>
      </c>
      <c r="D1" s="97" t="s">
        <v>70</v>
      </c>
      <c r="E1" s="97" t="s">
        <v>191</v>
      </c>
      <c r="F1" s="97" t="s">
        <v>3</v>
      </c>
      <c r="G1" s="97" t="s">
        <v>5</v>
      </c>
      <c r="H1" s="97" t="s">
        <v>9</v>
      </c>
      <c r="I1" s="96" t="s">
        <v>8</v>
      </c>
      <c r="J1" s="97" t="s">
        <v>260</v>
      </c>
      <c r="K1" s="97" t="s">
        <v>261</v>
      </c>
      <c r="L1" s="96" t="s">
        <v>11</v>
      </c>
      <c r="M1" t="s">
        <v>12</v>
      </c>
      <c r="N1" s="97" t="s">
        <v>262</v>
      </c>
      <c r="O1" s="97" t="s">
        <v>263</v>
      </c>
      <c r="P1" s="97" t="s">
        <v>264</v>
      </c>
      <c r="Q1" s="96" t="s">
        <v>16</v>
      </c>
      <c r="R1" s="97" t="s">
        <v>17</v>
      </c>
      <c r="S1" s="97" t="s">
        <v>20</v>
      </c>
    </row>
    <row r="2" spans="1:19">
      <c r="A2" s="97" t="s">
        <v>265</v>
      </c>
      <c r="B2" s="96"/>
      <c r="I2" s="96"/>
      <c r="L2" s="96"/>
      <c r="Q2" s="96"/>
      <c r="R2">
        <f>C2*商品!L15+D2*商品!M15+E2*商品!K5+F2*商品!F15+G2*商品!I3+H2*商品!J5</f>
        <v>0</v>
      </c>
      <c r="S2" t="e">
        <f>J2/(M2+N2+O2)</f>
        <v>#DIV/0!</v>
      </c>
    </row>
    <row r="3" spans="1:18">
      <c r="A3" s="97" t="s">
        <v>266</v>
      </c>
      <c r="B3" s="96"/>
      <c r="I3" s="96"/>
      <c r="L3" s="96"/>
      <c r="Q3" s="96"/>
      <c r="R3" t="e">
        <f>C3*商品!#REF!+D3*商品!#REF!+E3*商品!#REF!+F3*商品!#REF!+G3*商品!#REF!+H3*商品!#REF!</f>
        <v>#REF!</v>
      </c>
    </row>
    <row r="4" spans="1:18">
      <c r="A4" s="97" t="s">
        <v>267</v>
      </c>
      <c r="B4" s="96"/>
      <c r="I4" s="96"/>
      <c r="L4" s="96"/>
      <c r="Q4" s="96"/>
      <c r="R4" t="e">
        <f>C4*商品!#REF!+D4*商品!#REF!+E4*商品!#REF!+F4*商品!A8+G4*商品!#REF!+H4*商品!D4</f>
        <v>#REF!</v>
      </c>
    </row>
    <row r="5" spans="1:18">
      <c r="A5" s="97" t="s">
        <v>268</v>
      </c>
      <c r="B5" s="96"/>
      <c r="I5" s="96"/>
      <c r="L5" s="96"/>
      <c r="Q5" s="96"/>
      <c r="R5" t="e">
        <f>C5*商品!#REF!+D5*商品!#REF!+E5*商品!L34+F5*商品!#REF!+G5*商品!#REF!+H5*商品!#REF!</f>
        <v>#REF!</v>
      </c>
    </row>
    <row r="6" spans="1:18">
      <c r="A6" s="97" t="s">
        <v>269</v>
      </c>
      <c r="B6" s="96"/>
      <c r="I6" s="96"/>
      <c r="L6" s="96"/>
      <c r="Q6" s="96"/>
      <c r="R6" t="e">
        <f>C6*商品!#REF!+D6*商品!#REF!+E6*商品!L35+F6*商品!#REF!+G6*商品!#REF!+H6*商品!#REF!</f>
        <v>#REF!</v>
      </c>
    </row>
    <row r="7" spans="1:18">
      <c r="A7" s="97" t="s">
        <v>270</v>
      </c>
      <c r="B7" s="96"/>
      <c r="I7" s="96"/>
      <c r="L7" s="96"/>
      <c r="Q7" s="96"/>
      <c r="R7" t="e">
        <f>C7*商品!#REF!+D7*商品!#REF!+E7*商品!L36+F7*商品!A14+G7*商品!#REF!+H7*商品!#REF!</f>
        <v>#REF!</v>
      </c>
    </row>
    <row r="9" ht="21" customHeight="1" spans="1:19">
      <c r="A9" s="95" t="s">
        <v>271</v>
      </c>
      <c r="B9" s="96" t="s">
        <v>1</v>
      </c>
      <c r="C9" s="97" t="s">
        <v>7</v>
      </c>
      <c r="D9" s="97" t="s">
        <v>70</v>
      </c>
      <c r="E9" s="97" t="s">
        <v>191</v>
      </c>
      <c r="F9" s="97" t="s">
        <v>272</v>
      </c>
      <c r="G9" s="96" t="s">
        <v>8</v>
      </c>
      <c r="H9" s="97" t="s">
        <v>273</v>
      </c>
      <c r="I9" s="97" t="s">
        <v>274</v>
      </c>
      <c r="J9" s="97" t="s">
        <v>261</v>
      </c>
      <c r="K9" s="96" t="s">
        <v>11</v>
      </c>
      <c r="L9" s="97" t="s">
        <v>263</v>
      </c>
      <c r="M9" s="97" t="s">
        <v>275</v>
      </c>
      <c r="N9" s="97" t="s">
        <v>262</v>
      </c>
      <c r="O9" s="97" t="s">
        <v>276</v>
      </c>
      <c r="P9" s="97" t="s">
        <v>264</v>
      </c>
      <c r="Q9" s="96" t="s">
        <v>16</v>
      </c>
      <c r="R9" s="97" t="s">
        <v>17</v>
      </c>
      <c r="S9" s="97" t="s">
        <v>20</v>
      </c>
    </row>
    <row r="10" ht="15" customHeight="1" spans="1:19">
      <c r="A10" s="98" t="s">
        <v>277</v>
      </c>
      <c r="B10" s="96"/>
      <c r="C10" s="99"/>
      <c r="D10" s="99"/>
      <c r="E10" s="99"/>
      <c r="F10" s="99"/>
      <c r="G10" s="96"/>
      <c r="H10" s="99"/>
      <c r="I10" s="99"/>
      <c r="J10" s="99"/>
      <c r="K10" s="96"/>
      <c r="L10" s="99"/>
      <c r="M10" s="99"/>
      <c r="N10" s="99"/>
      <c r="Q10" s="96"/>
      <c r="R10">
        <f>C10*商品!L15+D10*商品!M15+E10*商品!K5+F10*商品!H3</f>
        <v>0</v>
      </c>
      <c r="S10" t="e">
        <f>H10/(L10+M10+N10+P10)</f>
        <v>#DIV/0!</v>
      </c>
    </row>
    <row r="11" ht="15" customHeight="1" spans="1:19">
      <c r="A11" s="98" t="s">
        <v>278</v>
      </c>
      <c r="B11" s="96"/>
      <c r="C11" s="99"/>
      <c r="D11" s="99"/>
      <c r="E11" s="99"/>
      <c r="F11" s="99"/>
      <c r="G11" s="96"/>
      <c r="H11" s="99"/>
      <c r="I11" s="99"/>
      <c r="J11" s="99"/>
      <c r="K11" s="96"/>
      <c r="L11" s="99"/>
      <c r="M11" s="99"/>
      <c r="N11" s="99"/>
      <c r="Q11" s="96"/>
      <c r="R11" t="e">
        <f>C11*商品!#REF!+D11*商品!#REF!+E11*商品!#REF!+F11*商品!B32</f>
        <v>#REF!</v>
      </c>
      <c r="S11" t="e">
        <f t="shared" ref="S11:S19" si="0">H11/(L11+M11+N11+P11)</f>
        <v>#DIV/0!</v>
      </c>
    </row>
    <row r="12" ht="15" customHeight="1" spans="1:19">
      <c r="A12" s="98" t="s">
        <v>279</v>
      </c>
      <c r="B12" s="96"/>
      <c r="G12" s="96"/>
      <c r="K12" s="96"/>
      <c r="Q12" s="96"/>
      <c r="R12" t="e">
        <f>C12*商品!#REF!+D12*商品!#REF!+E12*商品!#REF!+F12*商品!B33</f>
        <v>#REF!</v>
      </c>
      <c r="S12" t="e">
        <f t="shared" si="0"/>
        <v>#DIV/0!</v>
      </c>
    </row>
    <row r="13" spans="1:19">
      <c r="A13" s="100" t="s">
        <v>280</v>
      </c>
      <c r="B13" s="96"/>
      <c r="G13" s="96"/>
      <c r="K13" s="96"/>
      <c r="Q13" s="96"/>
      <c r="R13" t="e">
        <f>C13*商品!#REF!+D13*商品!#REF!+E13*商品!L34+F13*商品!B34</f>
        <v>#REF!</v>
      </c>
      <c r="S13" t="e">
        <f t="shared" si="0"/>
        <v>#DIV/0!</v>
      </c>
    </row>
    <row r="14" spans="1:19">
      <c r="A14" s="100" t="s">
        <v>281</v>
      </c>
      <c r="B14" s="96"/>
      <c r="G14" s="96"/>
      <c r="K14" s="96"/>
      <c r="Q14" s="96"/>
      <c r="R14" t="e">
        <f>C14*商品!#REF!+D14*商品!#REF!+E14*商品!L35+F14*商品!B35</f>
        <v>#REF!</v>
      </c>
      <c r="S14" t="e">
        <f t="shared" si="0"/>
        <v>#DIV/0!</v>
      </c>
    </row>
    <row r="15" spans="1:19">
      <c r="A15" s="100" t="s">
        <v>282</v>
      </c>
      <c r="B15" s="96"/>
      <c r="G15" s="96"/>
      <c r="K15" s="96"/>
      <c r="Q15" s="96"/>
      <c r="R15" t="e">
        <f>C15*商品!#REF!+D15*商品!#REF!+E15*商品!L36+F15*商品!B36</f>
        <v>#REF!</v>
      </c>
      <c r="S15" t="e">
        <f t="shared" si="0"/>
        <v>#DIV/0!</v>
      </c>
    </row>
    <row r="16" spans="1:19">
      <c r="A16" s="100" t="s">
        <v>283</v>
      </c>
      <c r="B16" s="96"/>
      <c r="G16" s="96"/>
      <c r="K16" s="96"/>
      <c r="Q16" s="96"/>
      <c r="R16" t="e">
        <f>C16*商品!#REF!+D16*商品!#REF!+E16*商品!L37+F16*商品!B37</f>
        <v>#REF!</v>
      </c>
      <c r="S16" t="e">
        <f t="shared" si="0"/>
        <v>#DIV/0!</v>
      </c>
    </row>
    <row r="17" spans="1:19">
      <c r="A17" s="100" t="s">
        <v>284</v>
      </c>
      <c r="B17" s="96"/>
      <c r="G17" s="96"/>
      <c r="K17" s="96"/>
      <c r="Q17" s="96"/>
      <c r="R17" t="e">
        <f>C17*商品!#REF!+D17*商品!#REF!+E17*商品!L38+F17*商品!B38</f>
        <v>#REF!</v>
      </c>
      <c r="S17" t="e">
        <f t="shared" si="0"/>
        <v>#DIV/0!</v>
      </c>
    </row>
    <row r="18" spans="1:19">
      <c r="A18" s="100" t="s">
        <v>285</v>
      </c>
      <c r="B18" s="96"/>
      <c r="G18" s="96"/>
      <c r="K18" s="96"/>
      <c r="Q18" s="96"/>
      <c r="R18" t="e">
        <f>C18*商品!G19+D18*商品!#REF!+E18*商品!L39+F18*商品!B39</f>
        <v>#REF!</v>
      </c>
      <c r="S18" t="e">
        <f t="shared" si="0"/>
        <v>#DIV/0!</v>
      </c>
    </row>
    <row r="19" spans="1:19">
      <c r="A19" s="100" t="s">
        <v>286</v>
      </c>
      <c r="B19" s="96"/>
      <c r="G19" s="96"/>
      <c r="K19" s="96"/>
      <c r="Q19" s="96"/>
      <c r="R19" t="e">
        <f>C19*商品!#REF!+D19*商品!#REF!+E19*商品!L40+F19*商品!B40</f>
        <v>#REF!</v>
      </c>
      <c r="S19" t="e">
        <f t="shared" si="0"/>
        <v>#DIV/0!</v>
      </c>
    </row>
    <row r="20" spans="1:17">
      <c r="A20" s="97" t="s">
        <v>287</v>
      </c>
      <c r="B20" s="96"/>
      <c r="G20" s="96"/>
      <c r="K20" s="96"/>
      <c r="Q20" s="96"/>
    </row>
    <row r="21" spans="1:17">
      <c r="A21" s="97" t="s">
        <v>288</v>
      </c>
      <c r="B21" s="96"/>
      <c r="G21" s="96"/>
      <c r="K21" s="96"/>
      <c r="Q21" s="96"/>
    </row>
    <row r="22" spans="1:17">
      <c r="A22" s="101" t="s">
        <v>289</v>
      </c>
      <c r="B22" s="96"/>
      <c r="G22" s="96"/>
      <c r="K22" s="96"/>
      <c r="Q22" s="96"/>
    </row>
    <row r="23" spans="1:17">
      <c r="A23" s="101" t="s">
        <v>290</v>
      </c>
      <c r="B23" s="96"/>
      <c r="G23" s="96"/>
      <c r="K23" s="96"/>
      <c r="Q23" s="96"/>
    </row>
    <row r="24" spans="9:9">
      <c r="I24" s="96"/>
    </row>
    <row r="25" ht="17.25" customHeight="1" spans="1:17">
      <c r="A25" s="95" t="s">
        <v>291</v>
      </c>
      <c r="B25" s="96" t="s">
        <v>1</v>
      </c>
      <c r="C25" s="97" t="s">
        <v>7</v>
      </c>
      <c r="D25" s="97" t="s">
        <v>70</v>
      </c>
      <c r="E25" s="97" t="s">
        <v>272</v>
      </c>
      <c r="F25" s="96" t="s">
        <v>8</v>
      </c>
      <c r="G25" s="97" t="s">
        <v>292</v>
      </c>
      <c r="H25" s="97" t="s">
        <v>293</v>
      </c>
      <c r="I25" s="97" t="s">
        <v>261</v>
      </c>
      <c r="J25" s="96" t="s">
        <v>11</v>
      </c>
      <c r="K25" s="97" t="s">
        <v>294</v>
      </c>
      <c r="L25" s="97" t="s">
        <v>12</v>
      </c>
      <c r="M25" s="97" t="s">
        <v>262</v>
      </c>
      <c r="N25" s="97" t="s">
        <v>264</v>
      </c>
      <c r="O25" s="96" t="s">
        <v>16</v>
      </c>
      <c r="P25" s="97" t="s">
        <v>17</v>
      </c>
      <c r="Q25" s="97" t="s">
        <v>20</v>
      </c>
    </row>
    <row r="26" ht="16.5" customHeight="1" spans="1:17">
      <c r="A26" s="98" t="s">
        <v>295</v>
      </c>
      <c r="B26" s="96"/>
      <c r="C26" s="99"/>
      <c r="D26" s="99"/>
      <c r="E26" s="99"/>
      <c r="F26" s="96"/>
      <c r="G26" s="99"/>
      <c r="H26" s="99"/>
      <c r="I26" s="99"/>
      <c r="J26" s="96"/>
      <c r="K26" s="99"/>
      <c r="L26" s="99"/>
      <c r="M26" s="99"/>
      <c r="O26" s="96"/>
      <c r="P26">
        <f>C26*商品!L15+D26*商品!M15+E26*商品!H3</f>
        <v>0</v>
      </c>
      <c r="Q26" t="e">
        <f t="shared" ref="Q26:Q31" si="1">G26/(K26+L26+M26+N26)</f>
        <v>#DIV/0!</v>
      </c>
    </row>
    <row r="27" ht="17.25" customHeight="1" spans="1:17">
      <c r="A27" s="98" t="s">
        <v>296</v>
      </c>
      <c r="B27" s="96"/>
      <c r="C27" s="99"/>
      <c r="D27" s="99"/>
      <c r="E27" s="99"/>
      <c r="F27" s="96"/>
      <c r="G27" s="99"/>
      <c r="H27" s="99"/>
      <c r="I27" s="99"/>
      <c r="J27" s="96"/>
      <c r="K27" s="99"/>
      <c r="L27" s="99"/>
      <c r="M27" s="99"/>
      <c r="O27" s="96"/>
      <c r="P27" t="e">
        <f>C27*商品!#REF!+D27*商品!#REF!+E27*商品!B32</f>
        <v>#REF!</v>
      </c>
      <c r="Q27" t="e">
        <f t="shared" si="1"/>
        <v>#DIV/0!</v>
      </c>
    </row>
    <row r="28" ht="15" customHeight="1" spans="1:17">
      <c r="A28" s="98" t="s">
        <v>297</v>
      </c>
      <c r="B28" s="96"/>
      <c r="F28" s="96"/>
      <c r="J28" s="96"/>
      <c r="O28" s="96"/>
      <c r="P28" t="e">
        <f>C28*商品!#REF!+D28*商品!#REF!+E28*商品!B33</f>
        <v>#REF!</v>
      </c>
      <c r="Q28" t="e">
        <f t="shared" si="1"/>
        <v>#DIV/0!</v>
      </c>
    </row>
    <row r="29" spans="1:17">
      <c r="A29" s="100" t="s">
        <v>298</v>
      </c>
      <c r="B29" s="96"/>
      <c r="F29" s="96"/>
      <c r="J29" s="96"/>
      <c r="O29" s="96"/>
      <c r="P29" t="e">
        <f>C29*商品!#REF!+D29*商品!#REF!+E29*商品!B34</f>
        <v>#REF!</v>
      </c>
      <c r="Q29" t="e">
        <f t="shared" si="1"/>
        <v>#DIV/0!</v>
      </c>
    </row>
    <row r="30" spans="1:17">
      <c r="A30" s="100" t="s">
        <v>299</v>
      </c>
      <c r="B30" s="96"/>
      <c r="F30" s="96"/>
      <c r="J30" s="96"/>
      <c r="O30" s="96"/>
      <c r="P30" t="e">
        <f>C30*商品!#REF!+D30*商品!#REF!+E30*商品!B35</f>
        <v>#REF!</v>
      </c>
      <c r="Q30" t="e">
        <f t="shared" si="1"/>
        <v>#DIV/0!</v>
      </c>
    </row>
    <row r="31" spans="1:17">
      <c r="A31" s="100" t="s">
        <v>300</v>
      </c>
      <c r="B31" s="96"/>
      <c r="F31" s="96"/>
      <c r="J31" s="96"/>
      <c r="O31" s="96"/>
      <c r="P31" t="e">
        <f>C31*商品!#REF!+D31*商品!#REF!+E31*商品!B36</f>
        <v>#REF!</v>
      </c>
      <c r="Q31" t="e">
        <f t="shared" si="1"/>
        <v>#DIV/0!</v>
      </c>
    </row>
    <row r="32" spans="1:15">
      <c r="A32" s="100"/>
      <c r="B32" s="96"/>
      <c r="F32" s="96"/>
      <c r="J32" s="96"/>
      <c r="O32" s="96"/>
    </row>
    <row r="33" spans="1:15">
      <c r="A33" s="100"/>
      <c r="B33" s="96"/>
      <c r="F33" s="96"/>
      <c r="J33" s="96"/>
      <c r="O33" s="96"/>
    </row>
    <row r="34" spans="1:15">
      <c r="A34" s="100"/>
      <c r="B34" s="96"/>
      <c r="F34" s="96"/>
      <c r="J34" s="96"/>
      <c r="O34" s="96"/>
    </row>
    <row r="35" spans="1:15">
      <c r="A35" s="100"/>
      <c r="B35" s="96"/>
      <c r="F35" s="96"/>
      <c r="J35" s="96"/>
      <c r="O35" s="96"/>
    </row>
    <row r="36" spans="1:19">
      <c r="A36" s="97"/>
      <c r="B36" s="96"/>
      <c r="I36" s="96"/>
      <c r="M36" s="96"/>
      <c r="S36" s="96"/>
    </row>
    <row r="37" spans="1:19">
      <c r="A37" s="97"/>
      <c r="B37" s="96"/>
      <c r="I37" s="96"/>
      <c r="M37" s="96"/>
      <c r="S37" s="96"/>
    </row>
    <row r="38" spans="1:19">
      <c r="A38" s="101"/>
      <c r="B38" s="96"/>
      <c r="I38" s="96"/>
      <c r="M38" s="96"/>
      <c r="S38" s="96"/>
    </row>
    <row r="39" spans="1:19">
      <c r="A39" s="101"/>
      <c r="B39" s="96"/>
      <c r="I39" s="96"/>
      <c r="M39" s="96"/>
      <c r="S39" s="96"/>
    </row>
  </sheetData>
  <sheetProtection formatCells="0" insertHyperlinks="0" autoFilter="0"/>
  <mergeCells count="12">
    <mergeCell ref="B1:B7"/>
    <mergeCell ref="B9:B23"/>
    <mergeCell ref="B25:B31"/>
    <mergeCell ref="F25:F31"/>
    <mergeCell ref="G9:G23"/>
    <mergeCell ref="I1:I7"/>
    <mergeCell ref="J25:J31"/>
    <mergeCell ref="K9:K23"/>
    <mergeCell ref="L1:L7"/>
    <mergeCell ref="O25:O31"/>
    <mergeCell ref="Q1:Q7"/>
    <mergeCell ref="Q9:Q2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C7" sqref="C7"/>
    </sheetView>
  </sheetViews>
  <sheetFormatPr defaultColWidth="9" defaultRowHeight="16.5"/>
  <cols>
    <col min="1" max="1" width="16.625" style="73" customWidth="1"/>
    <col min="2" max="3" width="16.625" style="74" customWidth="1"/>
    <col min="4" max="14" width="5.625" style="75" customWidth="1"/>
    <col min="15" max="15" width="5.125" style="75" customWidth="1"/>
    <col min="16" max="18" width="9" style="75"/>
    <col min="19" max="19" width="6.875" style="75" customWidth="1"/>
    <col min="20" max="20" width="5.375" style="75" customWidth="1"/>
    <col min="21" max="21" width="9" style="75"/>
    <col min="22" max="23" width="9.25" style="75"/>
    <col min="24" max="24" width="13.75" style="75"/>
    <col min="25" max="25" width="9.375" style="75"/>
    <col min="26" max="26" width="11.375" style="75" customWidth="1"/>
    <col min="27" max="16384" width="9" style="75"/>
  </cols>
  <sheetData>
    <row r="1" spans="1:26">
      <c r="A1" s="2" t="s">
        <v>301</v>
      </c>
      <c r="B1" s="74" t="s">
        <v>302</v>
      </c>
      <c r="C1" s="74" t="s">
        <v>214</v>
      </c>
      <c r="D1" s="75" t="s">
        <v>5</v>
      </c>
      <c r="E1" s="76" t="s">
        <v>77</v>
      </c>
      <c r="F1" s="76" t="s">
        <v>3</v>
      </c>
      <c r="G1" s="75" t="s">
        <v>6</v>
      </c>
      <c r="H1" s="75" t="s">
        <v>7</v>
      </c>
      <c r="I1" s="74" t="s">
        <v>8</v>
      </c>
      <c r="J1" s="76" t="s">
        <v>3</v>
      </c>
      <c r="K1" s="76" t="s">
        <v>10</v>
      </c>
      <c r="L1" s="76" t="s">
        <v>61</v>
      </c>
      <c r="M1" s="76" t="s">
        <v>98</v>
      </c>
      <c r="N1" s="76" t="s">
        <v>303</v>
      </c>
      <c r="O1" s="74" t="s">
        <v>11</v>
      </c>
      <c r="P1" s="75" t="s">
        <v>12</v>
      </c>
      <c r="Q1" s="76" t="s">
        <v>13</v>
      </c>
      <c r="R1" s="76" t="s">
        <v>14</v>
      </c>
      <c r="S1" s="76" t="s">
        <v>40</v>
      </c>
      <c r="T1" s="75" t="s">
        <v>15</v>
      </c>
      <c r="U1" s="74" t="s">
        <v>16</v>
      </c>
      <c r="V1" s="75" t="s">
        <v>17</v>
      </c>
      <c r="W1" s="75" t="s">
        <v>18</v>
      </c>
      <c r="X1" s="75" t="s">
        <v>19</v>
      </c>
      <c r="Y1" s="75" t="s">
        <v>20</v>
      </c>
      <c r="Z1" s="92" t="s">
        <v>100</v>
      </c>
    </row>
    <row r="2" spans="1:26">
      <c r="A2" s="77" t="s">
        <v>304</v>
      </c>
      <c r="B2" s="78"/>
      <c r="C2" s="78"/>
      <c r="D2" s="79">
        <v>5</v>
      </c>
      <c r="E2" s="79">
        <v>0</v>
      </c>
      <c r="F2" s="79">
        <v>0</v>
      </c>
      <c r="G2" s="79">
        <v>0</v>
      </c>
      <c r="H2" s="79">
        <v>0</v>
      </c>
      <c r="I2" s="79"/>
      <c r="J2" s="79">
        <v>25</v>
      </c>
      <c r="K2" s="79">
        <v>0</v>
      </c>
      <c r="L2" s="79">
        <v>0</v>
      </c>
      <c r="M2" s="79">
        <v>0</v>
      </c>
      <c r="N2" s="79">
        <v>0</v>
      </c>
      <c r="O2" s="79"/>
      <c r="P2" s="79">
        <v>4500</v>
      </c>
      <c r="Q2" s="79">
        <v>0</v>
      </c>
      <c r="R2" s="79">
        <v>0</v>
      </c>
      <c r="S2" s="79">
        <v>0</v>
      </c>
      <c r="T2" s="79"/>
      <c r="U2" s="79"/>
      <c r="V2" s="79">
        <f>D2*商品!I3+E2*商品!G5+F2*商品!F15+G2*商品!N5+H2*商品!L15</f>
        <v>200</v>
      </c>
      <c r="W2" s="79">
        <f>J2*商品!F15</f>
        <v>750</v>
      </c>
      <c r="X2" s="79">
        <f>W2-V2</f>
        <v>550</v>
      </c>
      <c r="Y2" s="93">
        <f t="shared" ref="Y2:Y10" si="0">X2/(P2+Q2+R2+S2+T2)</f>
        <v>0.122222222222222</v>
      </c>
      <c r="Z2" s="93">
        <f>X2/V2</f>
        <v>2.75</v>
      </c>
    </row>
    <row r="3" spans="1:26">
      <c r="A3" s="80"/>
      <c r="B3" s="81" t="s">
        <v>305</v>
      </c>
      <c r="C3" s="82"/>
      <c r="D3" s="79">
        <v>10</v>
      </c>
      <c r="E3" s="79">
        <v>0</v>
      </c>
      <c r="F3" s="79">
        <v>0</v>
      </c>
      <c r="G3" s="79">
        <v>0</v>
      </c>
      <c r="H3" s="79">
        <v>0</v>
      </c>
      <c r="I3" s="79"/>
      <c r="J3" s="79">
        <v>40</v>
      </c>
      <c r="K3" s="79">
        <v>0</v>
      </c>
      <c r="L3" s="79">
        <v>0</v>
      </c>
      <c r="M3" s="79">
        <v>0</v>
      </c>
      <c r="N3" s="79">
        <v>0</v>
      </c>
      <c r="O3" s="79"/>
      <c r="P3" s="79">
        <v>4000</v>
      </c>
      <c r="Q3" s="79">
        <v>750</v>
      </c>
      <c r="R3" s="79">
        <v>150</v>
      </c>
      <c r="S3" s="79">
        <v>0</v>
      </c>
      <c r="T3" s="79"/>
      <c r="U3" s="79"/>
      <c r="V3" s="79" t="e">
        <f>D3*商品!#REF!+E3*商品!F32+F3*商品!#REF!+G3*商品!#REF!+H3*商品!#REF!</f>
        <v>#REF!</v>
      </c>
      <c r="W3" s="79" t="e">
        <f>J3*商品!#REF!</f>
        <v>#REF!</v>
      </c>
      <c r="X3" s="79" t="e">
        <f t="shared" ref="X3:X11" si="1">W3-V3</f>
        <v>#REF!</v>
      </c>
      <c r="Y3" s="93" t="e">
        <f t="shared" si="0"/>
        <v>#REF!</v>
      </c>
      <c r="Z3" s="93" t="e">
        <f t="shared" ref="Z3:Z11" si="2">X3/V3</f>
        <v>#REF!</v>
      </c>
    </row>
    <row r="4" spans="1:26">
      <c r="A4" s="83"/>
      <c r="B4" s="82"/>
      <c r="C4" s="82" t="s">
        <v>306</v>
      </c>
      <c r="D4" s="79">
        <v>15</v>
      </c>
      <c r="E4" s="79">
        <v>0</v>
      </c>
      <c r="F4" s="79">
        <v>0</v>
      </c>
      <c r="G4" s="79">
        <v>0</v>
      </c>
      <c r="H4" s="79">
        <v>0</v>
      </c>
      <c r="I4" s="79"/>
      <c r="J4" s="79">
        <v>60</v>
      </c>
      <c r="K4" s="79">
        <v>0</v>
      </c>
      <c r="L4" s="79">
        <v>0</v>
      </c>
      <c r="M4" s="79">
        <v>0</v>
      </c>
      <c r="N4" s="79">
        <v>0</v>
      </c>
      <c r="O4" s="79"/>
      <c r="P4" s="79">
        <v>3750</v>
      </c>
      <c r="Q4" s="79">
        <v>900</v>
      </c>
      <c r="R4" s="79">
        <v>250</v>
      </c>
      <c r="S4" s="79">
        <v>0</v>
      </c>
      <c r="T4" s="79"/>
      <c r="U4" s="79"/>
      <c r="V4" s="79" t="e">
        <f>D4*商品!#REF!+E4*商品!F33+F4*商品!A8+G4*商品!#REF!+H4*商品!#REF!</f>
        <v>#REF!</v>
      </c>
      <c r="W4" s="79" t="e">
        <f>J4*商品!A8</f>
        <v>#VALUE!</v>
      </c>
      <c r="X4" s="79" t="e">
        <f t="shared" si="1"/>
        <v>#VALUE!</v>
      </c>
      <c r="Y4" s="93" t="e">
        <f t="shared" si="0"/>
        <v>#VALUE!</v>
      </c>
      <c r="Z4" s="93" t="e">
        <f t="shared" si="2"/>
        <v>#VALUE!</v>
      </c>
    </row>
    <row r="5" spans="1:26">
      <c r="A5" s="83"/>
      <c r="B5" s="82"/>
      <c r="C5" s="82" t="s">
        <v>307</v>
      </c>
      <c r="D5" s="79"/>
      <c r="E5" s="79"/>
      <c r="F5" s="79"/>
      <c r="G5" s="79"/>
      <c r="H5" s="79"/>
      <c r="I5" s="79"/>
      <c r="J5" s="79"/>
      <c r="K5" s="79">
        <v>0</v>
      </c>
      <c r="L5" s="79">
        <v>0</v>
      </c>
      <c r="M5" s="79">
        <v>0</v>
      </c>
      <c r="N5" s="79">
        <v>0</v>
      </c>
      <c r="O5" s="79"/>
      <c r="P5" s="79"/>
      <c r="Q5" s="79"/>
      <c r="R5" s="79"/>
      <c r="S5" s="79"/>
      <c r="T5" s="79"/>
      <c r="U5" s="79"/>
      <c r="V5" s="79" t="e">
        <f>D5*商品!#REF!+E5*商品!F34+F5*商品!#REF!+G5*商品!#REF!+H5*商品!#REF!</f>
        <v>#REF!</v>
      </c>
      <c r="W5" s="79" t="e">
        <f>J5*商品!#REF!</f>
        <v>#REF!</v>
      </c>
      <c r="X5" s="79" t="e">
        <f t="shared" si="1"/>
        <v>#REF!</v>
      </c>
      <c r="Y5" s="93" t="e">
        <f t="shared" si="0"/>
        <v>#REF!</v>
      </c>
      <c r="Z5" s="93" t="e">
        <f t="shared" si="2"/>
        <v>#REF!</v>
      </c>
    </row>
    <row r="6" spans="1:26">
      <c r="A6" s="83"/>
      <c r="B6" s="82"/>
      <c r="C6" s="82" t="s">
        <v>308</v>
      </c>
      <c r="D6" s="79"/>
      <c r="E6" s="79"/>
      <c r="F6" s="79"/>
      <c r="G6" s="79"/>
      <c r="H6" s="79"/>
      <c r="I6" s="79"/>
      <c r="J6" s="79"/>
      <c r="K6" s="79">
        <v>0</v>
      </c>
      <c r="L6" s="79">
        <v>0</v>
      </c>
      <c r="M6" s="79">
        <v>0</v>
      </c>
      <c r="N6" s="79">
        <v>0</v>
      </c>
      <c r="O6" s="79"/>
      <c r="P6" s="79"/>
      <c r="Q6" s="79"/>
      <c r="R6" s="79"/>
      <c r="S6" s="79"/>
      <c r="T6" s="79"/>
      <c r="U6" s="79"/>
      <c r="V6" s="79" t="e">
        <f>D6*商品!#REF!+E6*商品!F35+F6*商品!#REF!+G6*商品!#REF!+H6*商品!#REF!</f>
        <v>#REF!</v>
      </c>
      <c r="W6" s="79" t="e">
        <f>J6*商品!#REF!</f>
        <v>#REF!</v>
      </c>
      <c r="X6" s="79" t="e">
        <f t="shared" si="1"/>
        <v>#REF!</v>
      </c>
      <c r="Y6" s="93" t="e">
        <f t="shared" si="0"/>
        <v>#REF!</v>
      </c>
      <c r="Z6" s="93" t="e">
        <f t="shared" si="2"/>
        <v>#REF!</v>
      </c>
    </row>
    <row r="7" spans="1:26">
      <c r="A7" s="83"/>
      <c r="B7" s="82"/>
      <c r="C7" s="82" t="s">
        <v>309</v>
      </c>
      <c r="D7" s="79">
        <v>0</v>
      </c>
      <c r="E7" s="79">
        <v>5</v>
      </c>
      <c r="F7" s="79">
        <v>0</v>
      </c>
      <c r="G7" s="79">
        <v>0</v>
      </c>
      <c r="H7" s="79">
        <v>0</v>
      </c>
      <c r="I7" s="79"/>
      <c r="J7" s="79">
        <v>10</v>
      </c>
      <c r="K7" s="79">
        <v>0</v>
      </c>
      <c r="L7" s="79">
        <v>0</v>
      </c>
      <c r="M7" s="79">
        <v>0</v>
      </c>
      <c r="N7" s="79">
        <v>0</v>
      </c>
      <c r="O7" s="79"/>
      <c r="P7" s="79">
        <v>-200</v>
      </c>
      <c r="Q7" s="79">
        <v>200</v>
      </c>
      <c r="R7" s="79">
        <v>0</v>
      </c>
      <c r="S7" s="79">
        <v>0</v>
      </c>
      <c r="T7" s="79"/>
      <c r="U7" s="79"/>
      <c r="V7" s="79" t="e">
        <f>D7*商品!#REF!+E7*商品!F36+F7*商品!A14+G7*商品!M5+H7*商品!#REF!</f>
        <v>#REF!</v>
      </c>
      <c r="W7" s="79" t="e">
        <f>J7*商品!A14</f>
        <v>#VALUE!</v>
      </c>
      <c r="X7" s="79" t="e">
        <f t="shared" si="1"/>
        <v>#VALUE!</v>
      </c>
      <c r="Y7" s="93" t="e">
        <f t="shared" si="0"/>
        <v>#VALUE!</v>
      </c>
      <c r="Z7" s="93" t="e">
        <f t="shared" si="2"/>
        <v>#VALUE!</v>
      </c>
    </row>
    <row r="8" spans="1:26">
      <c r="A8" s="83"/>
      <c r="B8" s="82"/>
      <c r="C8" s="82" t="s">
        <v>310</v>
      </c>
      <c r="D8" s="79">
        <v>0</v>
      </c>
      <c r="E8" s="79">
        <v>10</v>
      </c>
      <c r="F8" s="79">
        <v>0</v>
      </c>
      <c r="G8" s="79">
        <v>0</v>
      </c>
      <c r="H8" s="79">
        <v>0</v>
      </c>
      <c r="I8" s="79"/>
      <c r="J8" s="79">
        <v>20</v>
      </c>
      <c r="K8" s="79">
        <v>0</v>
      </c>
      <c r="L8" s="79">
        <v>0</v>
      </c>
      <c r="M8" s="79">
        <v>0</v>
      </c>
      <c r="N8" s="79">
        <v>0</v>
      </c>
      <c r="O8" s="79"/>
      <c r="P8" s="79">
        <v>-500</v>
      </c>
      <c r="Q8" s="79">
        <v>350</v>
      </c>
      <c r="R8" s="79">
        <v>150</v>
      </c>
      <c r="S8" s="79">
        <v>0</v>
      </c>
      <c r="T8" s="79"/>
      <c r="U8" s="79"/>
      <c r="V8" s="79" t="e">
        <f>D8*商品!#REF!+E8*商品!F37+F8*商品!#REF!+G8*商品!#REF!+H8*商品!#REF!</f>
        <v>#REF!</v>
      </c>
      <c r="W8" s="79" t="e">
        <f>J8*商品!#REF!</f>
        <v>#REF!</v>
      </c>
      <c r="X8" s="79" t="e">
        <f t="shared" si="1"/>
        <v>#REF!</v>
      </c>
      <c r="Y8" s="93" t="e">
        <f t="shared" si="0"/>
        <v>#REF!</v>
      </c>
      <c r="Z8" s="93" t="e">
        <f t="shared" si="2"/>
        <v>#REF!</v>
      </c>
    </row>
    <row r="9" spans="1:26">
      <c r="A9" s="83"/>
      <c r="B9" s="82"/>
      <c r="C9" s="82" t="s">
        <v>311</v>
      </c>
      <c r="D9" s="79"/>
      <c r="E9" s="79"/>
      <c r="F9" s="79"/>
      <c r="G9" s="79"/>
      <c r="H9" s="79"/>
      <c r="I9" s="79"/>
      <c r="J9" s="79"/>
      <c r="K9" s="79">
        <v>0</v>
      </c>
      <c r="L9" s="79">
        <v>0</v>
      </c>
      <c r="M9" s="79">
        <v>0</v>
      </c>
      <c r="N9" s="79">
        <v>0</v>
      </c>
      <c r="O9" s="79"/>
      <c r="P9" s="79"/>
      <c r="Q9" s="79"/>
      <c r="R9" s="79"/>
      <c r="S9" s="79"/>
      <c r="T9" s="79"/>
      <c r="U9" s="79"/>
      <c r="V9" s="79" t="e">
        <f>D9*商品!#REF!+E9*商品!F38+F9*商品!#REF!+G9*商品!#REF!+H9*商品!#REF!</f>
        <v>#REF!</v>
      </c>
      <c r="W9" s="79" t="e">
        <f>J9*商品!#REF!</f>
        <v>#REF!</v>
      </c>
      <c r="X9" s="79" t="e">
        <f t="shared" si="1"/>
        <v>#REF!</v>
      </c>
      <c r="Y9" s="93" t="e">
        <f t="shared" si="0"/>
        <v>#REF!</v>
      </c>
      <c r="Z9" s="93" t="e">
        <f t="shared" si="2"/>
        <v>#REF!</v>
      </c>
    </row>
    <row r="10" spans="1:26">
      <c r="A10" s="83"/>
      <c r="B10" s="82"/>
      <c r="C10" s="82" t="s">
        <v>312</v>
      </c>
      <c r="D10" s="79"/>
      <c r="E10" s="79"/>
      <c r="F10" s="79"/>
      <c r="G10" s="79"/>
      <c r="H10" s="79"/>
      <c r="I10" s="79"/>
      <c r="J10" s="79"/>
      <c r="K10" s="79">
        <v>0</v>
      </c>
      <c r="L10" s="79">
        <v>0</v>
      </c>
      <c r="M10" s="79">
        <v>0</v>
      </c>
      <c r="N10" s="79">
        <v>0</v>
      </c>
      <c r="O10" s="79"/>
      <c r="P10" s="79"/>
      <c r="Q10" s="79"/>
      <c r="R10" s="79"/>
      <c r="S10" s="79"/>
      <c r="T10" s="79"/>
      <c r="U10" s="79"/>
      <c r="V10" s="79" t="e">
        <f>D10*商品!#REF!+E10*商品!F39+F10*商品!A16+G10*商品!I16+H10*商品!G19</f>
        <v>#REF!</v>
      </c>
      <c r="W10" s="79" t="e">
        <f>J10*商品!A16</f>
        <v>#VALUE!</v>
      </c>
      <c r="X10" s="79" t="e">
        <f t="shared" si="1"/>
        <v>#VALUE!</v>
      </c>
      <c r="Y10" s="93" t="e">
        <f t="shared" si="0"/>
        <v>#VALUE!</v>
      </c>
      <c r="Z10" s="93" t="e">
        <f t="shared" si="2"/>
        <v>#VALUE!</v>
      </c>
    </row>
    <row r="11" spans="1:26">
      <c r="A11" s="84"/>
      <c r="B11" s="82"/>
      <c r="C11" s="82" t="s">
        <v>313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93"/>
      <c r="Z11" s="93"/>
    </row>
    <row r="12" spans="1:26">
      <c r="A12" s="84"/>
      <c r="B12" s="82"/>
      <c r="C12" s="82" t="s">
        <v>314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93"/>
      <c r="Z12" s="93"/>
    </row>
    <row r="13" spans="1:26">
      <c r="A13" s="85" t="s">
        <v>315</v>
      </c>
      <c r="B13" s="86"/>
      <c r="C13" s="86"/>
      <c r="D13" s="87">
        <v>5</v>
      </c>
      <c r="E13" s="87">
        <v>0</v>
      </c>
      <c r="F13" s="87">
        <v>0</v>
      </c>
      <c r="G13" s="87">
        <v>0</v>
      </c>
      <c r="H13" s="87">
        <v>0</v>
      </c>
      <c r="I13" s="87"/>
      <c r="J13" s="87">
        <v>0</v>
      </c>
      <c r="K13" s="87">
        <v>20</v>
      </c>
      <c r="L13" s="87">
        <v>0</v>
      </c>
      <c r="M13" s="87">
        <v>0</v>
      </c>
      <c r="N13" s="87">
        <v>0</v>
      </c>
      <c r="O13" s="87"/>
      <c r="P13" s="87">
        <v>4500</v>
      </c>
      <c r="Q13" s="87">
        <v>0</v>
      </c>
      <c r="R13" s="87">
        <v>0</v>
      </c>
      <c r="S13" s="87">
        <v>0</v>
      </c>
      <c r="T13" s="87"/>
      <c r="U13" s="87"/>
      <c r="V13" s="87">
        <f>D13*商品!I3+E13*商品!G5+F13*商品!F15+G13*商品!N5+H13*商品!L15</f>
        <v>200</v>
      </c>
      <c r="W13" s="87">
        <f>K13*商品!G15</f>
        <v>1000</v>
      </c>
      <c r="X13" s="87">
        <f>W13-V13</f>
        <v>800</v>
      </c>
      <c r="Y13" s="94">
        <f t="shared" ref="Y13:Y49" si="3">X13/(P13+Q13+R13+S13+T13)</f>
        <v>0.177777777777778</v>
      </c>
      <c r="Z13" s="94">
        <f>X13/V13</f>
        <v>4</v>
      </c>
    </row>
    <row r="14" spans="1:26">
      <c r="A14" s="88" t="s">
        <v>316</v>
      </c>
      <c r="B14" s="86"/>
      <c r="C14" s="86"/>
      <c r="D14" s="87">
        <v>10</v>
      </c>
      <c r="E14" s="87">
        <v>0</v>
      </c>
      <c r="F14" s="87">
        <v>10</v>
      </c>
      <c r="G14" s="87">
        <v>0</v>
      </c>
      <c r="H14" s="87">
        <v>0</v>
      </c>
      <c r="I14" s="87"/>
      <c r="J14" s="87">
        <v>0</v>
      </c>
      <c r="K14" s="87">
        <v>40</v>
      </c>
      <c r="L14" s="87">
        <v>0</v>
      </c>
      <c r="M14" s="87">
        <v>0</v>
      </c>
      <c r="N14" s="87">
        <v>0</v>
      </c>
      <c r="O14" s="87"/>
      <c r="P14" s="87">
        <v>4000</v>
      </c>
      <c r="Q14" s="87">
        <v>750</v>
      </c>
      <c r="R14" s="87">
        <v>150</v>
      </c>
      <c r="S14" s="87">
        <v>0</v>
      </c>
      <c r="T14" s="87"/>
      <c r="U14" s="87"/>
      <c r="V14" s="87" t="e">
        <f>D14*商品!#REF!+E14*商品!F32+F14*商品!#REF!+G14*商品!#REF!+H14*商品!#REF!</f>
        <v>#REF!</v>
      </c>
      <c r="W14" s="87" t="e">
        <f>K14*商品!#REF!</f>
        <v>#REF!</v>
      </c>
      <c r="X14" s="87" t="e">
        <f t="shared" ref="X14:X49" si="4">W14-V14</f>
        <v>#REF!</v>
      </c>
      <c r="Y14" s="94" t="e">
        <f t="shared" si="3"/>
        <v>#REF!</v>
      </c>
      <c r="Z14" s="94" t="e">
        <f t="shared" ref="Z14:Z49" si="5">X14/V14</f>
        <v>#REF!</v>
      </c>
    </row>
    <row r="15" spans="1:26">
      <c r="A15" s="88" t="s">
        <v>317</v>
      </c>
      <c r="B15" s="86"/>
      <c r="C15" s="86"/>
      <c r="D15" s="87">
        <v>15</v>
      </c>
      <c r="E15" s="87">
        <v>0</v>
      </c>
      <c r="F15" s="87">
        <v>15</v>
      </c>
      <c r="G15" s="87">
        <v>0</v>
      </c>
      <c r="H15" s="87">
        <v>0</v>
      </c>
      <c r="I15" s="87"/>
      <c r="J15" s="87">
        <v>0</v>
      </c>
      <c r="K15" s="87">
        <v>50</v>
      </c>
      <c r="L15" s="87">
        <v>0</v>
      </c>
      <c r="M15" s="87">
        <v>0</v>
      </c>
      <c r="N15" s="87">
        <v>0</v>
      </c>
      <c r="O15" s="87"/>
      <c r="P15" s="87">
        <v>3750</v>
      </c>
      <c r="Q15" s="87">
        <v>900</v>
      </c>
      <c r="R15" s="87">
        <v>250</v>
      </c>
      <c r="S15" s="87">
        <v>0</v>
      </c>
      <c r="T15" s="87"/>
      <c r="U15" s="87"/>
      <c r="V15" s="87" t="e">
        <f>D15*商品!#REF!+E15*商品!F33+F15*商品!A8+G15*商品!#REF!+H15*商品!#REF!</f>
        <v>#REF!</v>
      </c>
      <c r="W15" s="87">
        <f>K15*商品!C8</f>
        <v>0</v>
      </c>
      <c r="X15" s="87" t="e">
        <f t="shared" si="4"/>
        <v>#REF!</v>
      </c>
      <c r="Y15" s="94" t="e">
        <f t="shared" si="3"/>
        <v>#REF!</v>
      </c>
      <c r="Z15" s="94" t="e">
        <f t="shared" si="5"/>
        <v>#REF!</v>
      </c>
    </row>
    <row r="16" spans="1:26">
      <c r="A16" s="88" t="s">
        <v>309</v>
      </c>
      <c r="B16" s="86"/>
      <c r="C16" s="86"/>
      <c r="D16" s="87"/>
      <c r="E16" s="87"/>
      <c r="F16" s="87"/>
      <c r="G16" s="87"/>
      <c r="H16" s="87"/>
      <c r="I16" s="87"/>
      <c r="J16" s="87">
        <v>0</v>
      </c>
      <c r="K16" s="87"/>
      <c r="L16" s="87">
        <v>0</v>
      </c>
      <c r="M16" s="87">
        <v>0</v>
      </c>
      <c r="N16" s="87">
        <v>0</v>
      </c>
      <c r="O16" s="87"/>
      <c r="P16" s="87"/>
      <c r="Q16" s="87"/>
      <c r="R16" s="87"/>
      <c r="S16" s="87"/>
      <c r="T16" s="87"/>
      <c r="U16" s="87"/>
      <c r="V16" s="87" t="e">
        <f>D16*商品!#REF!+E16*商品!F34+F16*商品!#REF!+G16*商品!#REF!+H16*商品!#REF!</f>
        <v>#REF!</v>
      </c>
      <c r="W16" s="87" t="e">
        <f>K16*商品!#REF!</f>
        <v>#REF!</v>
      </c>
      <c r="X16" s="87" t="e">
        <f t="shared" si="4"/>
        <v>#REF!</v>
      </c>
      <c r="Y16" s="94" t="e">
        <f t="shared" si="3"/>
        <v>#REF!</v>
      </c>
      <c r="Z16" s="94" t="e">
        <f t="shared" si="5"/>
        <v>#REF!</v>
      </c>
    </row>
    <row r="17" spans="1:26">
      <c r="A17" s="88" t="s">
        <v>310</v>
      </c>
      <c r="B17" s="86"/>
      <c r="C17" s="86"/>
      <c r="D17" s="87"/>
      <c r="E17" s="87"/>
      <c r="F17" s="87"/>
      <c r="G17" s="87"/>
      <c r="H17" s="87"/>
      <c r="I17" s="87"/>
      <c r="J17" s="87">
        <v>0</v>
      </c>
      <c r="K17" s="87"/>
      <c r="L17" s="87">
        <v>0</v>
      </c>
      <c r="M17" s="87">
        <v>0</v>
      </c>
      <c r="N17" s="87">
        <v>0</v>
      </c>
      <c r="O17" s="87"/>
      <c r="P17" s="87"/>
      <c r="Q17" s="87"/>
      <c r="R17" s="87"/>
      <c r="S17" s="87"/>
      <c r="T17" s="87"/>
      <c r="U17" s="87"/>
      <c r="V17" s="87" t="e">
        <f>D17*商品!#REF!+E17*商品!F35+F17*商品!#REF!+G17*商品!#REF!+H17*商品!#REF!</f>
        <v>#REF!</v>
      </c>
      <c r="W17" s="87" t="e">
        <f>K17*商品!#REF!</f>
        <v>#REF!</v>
      </c>
      <c r="X17" s="87" t="e">
        <f t="shared" si="4"/>
        <v>#REF!</v>
      </c>
      <c r="Y17" s="94" t="e">
        <f t="shared" si="3"/>
        <v>#REF!</v>
      </c>
      <c r="Z17" s="94" t="e">
        <f t="shared" si="5"/>
        <v>#REF!</v>
      </c>
    </row>
    <row r="18" spans="1:26">
      <c r="A18" s="88" t="s">
        <v>311</v>
      </c>
      <c r="B18" s="86"/>
      <c r="C18" s="86"/>
      <c r="D18" s="87">
        <v>0</v>
      </c>
      <c r="E18" s="87">
        <v>5</v>
      </c>
      <c r="F18" s="87">
        <v>0</v>
      </c>
      <c r="G18" s="87">
        <v>0</v>
      </c>
      <c r="H18" s="87">
        <v>0</v>
      </c>
      <c r="I18" s="87"/>
      <c r="J18" s="87">
        <v>0</v>
      </c>
      <c r="K18" s="87">
        <v>10</v>
      </c>
      <c r="L18" s="87">
        <v>0</v>
      </c>
      <c r="M18" s="87">
        <v>0</v>
      </c>
      <c r="N18" s="87">
        <v>0</v>
      </c>
      <c r="O18" s="87"/>
      <c r="P18" s="87">
        <v>-200</v>
      </c>
      <c r="Q18" s="87">
        <v>200</v>
      </c>
      <c r="R18" s="87">
        <v>0</v>
      </c>
      <c r="S18" s="87">
        <v>0</v>
      </c>
      <c r="T18" s="87"/>
      <c r="U18" s="87"/>
      <c r="V18" s="87" t="e">
        <f>D18*商品!#REF!+E18*商品!F36+F18*商品!A14+G18*商品!M5+H18*商品!#REF!</f>
        <v>#REF!</v>
      </c>
      <c r="W18" s="87">
        <f>K18*商品!C14</f>
        <v>0</v>
      </c>
      <c r="X18" s="87" t="e">
        <f t="shared" si="4"/>
        <v>#REF!</v>
      </c>
      <c r="Y18" s="94" t="e">
        <f t="shared" si="3"/>
        <v>#REF!</v>
      </c>
      <c r="Z18" s="94" t="e">
        <f t="shared" si="5"/>
        <v>#REF!</v>
      </c>
    </row>
    <row r="19" spans="1:26">
      <c r="A19" s="88" t="s">
        <v>312</v>
      </c>
      <c r="B19" s="86"/>
      <c r="C19" s="86"/>
      <c r="D19" s="87">
        <v>0</v>
      </c>
      <c r="E19" s="87">
        <v>10</v>
      </c>
      <c r="F19" s="87">
        <v>0</v>
      </c>
      <c r="G19" s="87">
        <v>0</v>
      </c>
      <c r="H19" s="87">
        <v>0</v>
      </c>
      <c r="I19" s="87"/>
      <c r="J19" s="87">
        <v>0</v>
      </c>
      <c r="K19" s="87">
        <v>20</v>
      </c>
      <c r="L19" s="87">
        <v>0</v>
      </c>
      <c r="M19" s="87">
        <v>0</v>
      </c>
      <c r="N19" s="87">
        <v>0</v>
      </c>
      <c r="O19" s="87"/>
      <c r="P19" s="87">
        <v>-500</v>
      </c>
      <c r="Q19" s="87">
        <v>350</v>
      </c>
      <c r="R19" s="87">
        <v>150</v>
      </c>
      <c r="S19" s="87">
        <v>0</v>
      </c>
      <c r="T19" s="87"/>
      <c r="U19" s="87"/>
      <c r="V19" s="87" t="e">
        <f>D19*商品!#REF!+E19*商品!F37+F19*商品!#REF!+G19*商品!#REF!+H19*商品!#REF!</f>
        <v>#REF!</v>
      </c>
      <c r="W19" s="87" t="e">
        <f>K19*商品!#REF!</f>
        <v>#REF!</v>
      </c>
      <c r="X19" s="87" t="e">
        <f t="shared" si="4"/>
        <v>#REF!</v>
      </c>
      <c r="Y19" s="94" t="e">
        <f t="shared" si="3"/>
        <v>#REF!</v>
      </c>
      <c r="Z19" s="94" t="e">
        <f t="shared" si="5"/>
        <v>#REF!</v>
      </c>
    </row>
    <row r="20" spans="1:26">
      <c r="A20" s="88" t="s">
        <v>313</v>
      </c>
      <c r="B20" s="86"/>
      <c r="C20" s="86"/>
      <c r="D20" s="87"/>
      <c r="E20" s="87"/>
      <c r="F20" s="87"/>
      <c r="G20" s="87"/>
      <c r="H20" s="87"/>
      <c r="I20" s="87"/>
      <c r="J20" s="87">
        <v>0</v>
      </c>
      <c r="K20" s="87"/>
      <c r="L20" s="87">
        <v>0</v>
      </c>
      <c r="M20" s="87">
        <v>0</v>
      </c>
      <c r="N20" s="87">
        <v>0</v>
      </c>
      <c r="O20" s="87"/>
      <c r="P20" s="87"/>
      <c r="Q20" s="87"/>
      <c r="R20" s="87"/>
      <c r="S20" s="87"/>
      <c r="T20" s="87"/>
      <c r="U20" s="87"/>
      <c r="V20" s="87" t="e">
        <f>D20*商品!#REF!+E20*商品!F38+F20*商品!#REF!+G20*商品!#REF!+H20*商品!#REF!</f>
        <v>#REF!</v>
      </c>
      <c r="W20" s="87" t="e">
        <f>K20*商品!#REF!</f>
        <v>#REF!</v>
      </c>
      <c r="X20" s="87" t="e">
        <f t="shared" si="4"/>
        <v>#REF!</v>
      </c>
      <c r="Y20" s="94" t="e">
        <f t="shared" si="3"/>
        <v>#REF!</v>
      </c>
      <c r="Z20" s="94" t="e">
        <f t="shared" si="5"/>
        <v>#REF!</v>
      </c>
    </row>
    <row r="21" spans="1:26">
      <c r="A21" s="88" t="s">
        <v>314</v>
      </c>
      <c r="B21" s="86"/>
      <c r="C21" s="86"/>
      <c r="D21" s="87"/>
      <c r="E21" s="87"/>
      <c r="F21" s="87"/>
      <c r="G21" s="87"/>
      <c r="H21" s="87"/>
      <c r="I21" s="87"/>
      <c r="J21" s="87">
        <v>0</v>
      </c>
      <c r="K21" s="87"/>
      <c r="L21" s="87">
        <v>0</v>
      </c>
      <c r="M21" s="87">
        <v>0</v>
      </c>
      <c r="N21" s="87">
        <v>0</v>
      </c>
      <c r="O21" s="87"/>
      <c r="P21" s="87"/>
      <c r="Q21" s="87"/>
      <c r="R21" s="87"/>
      <c r="S21" s="87"/>
      <c r="T21" s="87"/>
      <c r="U21" s="87"/>
      <c r="V21" s="87" t="e">
        <f>D21*商品!#REF!+E21*商品!F39+F21*商品!A16+G21*商品!I16+H21*商品!G19</f>
        <v>#REF!</v>
      </c>
      <c r="W21" s="87">
        <f>K21*商品!C16</f>
        <v>0</v>
      </c>
      <c r="X21" s="87" t="e">
        <f t="shared" si="4"/>
        <v>#REF!</v>
      </c>
      <c r="Y21" s="94" t="e">
        <f t="shared" si="3"/>
        <v>#REF!</v>
      </c>
      <c r="Z21" s="94" t="e">
        <f t="shared" si="5"/>
        <v>#REF!</v>
      </c>
    </row>
    <row r="22" spans="1:26">
      <c r="A22" s="77" t="s">
        <v>318</v>
      </c>
      <c r="B22" s="78"/>
      <c r="C22" s="78"/>
      <c r="D22" s="79">
        <v>5</v>
      </c>
      <c r="E22" s="79">
        <v>0</v>
      </c>
      <c r="F22" s="79">
        <v>0</v>
      </c>
      <c r="G22" s="79">
        <v>0</v>
      </c>
      <c r="H22" s="79">
        <v>0</v>
      </c>
      <c r="I22" s="79"/>
      <c r="J22" s="79">
        <v>0</v>
      </c>
      <c r="K22" s="79">
        <v>0</v>
      </c>
      <c r="L22" s="79">
        <v>20</v>
      </c>
      <c r="M22" s="79">
        <v>0</v>
      </c>
      <c r="N22" s="79">
        <v>0</v>
      </c>
      <c r="O22" s="79"/>
      <c r="P22" s="79">
        <v>4500</v>
      </c>
      <c r="Q22" s="79">
        <v>0</v>
      </c>
      <c r="R22" s="79">
        <v>0</v>
      </c>
      <c r="S22" s="79">
        <v>0</v>
      </c>
      <c r="T22" s="79"/>
      <c r="U22" s="79"/>
      <c r="V22" s="79">
        <f>D22*商品!I3+E22*商品!G5+F22*商品!F15+G22*商品!N5+H22*商品!L15</f>
        <v>200</v>
      </c>
      <c r="W22" s="79">
        <f>L22*商品!I15</f>
        <v>800</v>
      </c>
      <c r="X22" s="79">
        <f t="shared" si="4"/>
        <v>600</v>
      </c>
      <c r="Y22" s="93">
        <f t="shared" si="3"/>
        <v>0.133333333333333</v>
      </c>
      <c r="Z22" s="93">
        <f t="shared" si="5"/>
        <v>3</v>
      </c>
    </row>
    <row r="23" spans="1:26">
      <c r="A23" s="89" t="s">
        <v>316</v>
      </c>
      <c r="B23" s="78"/>
      <c r="C23" s="78"/>
      <c r="D23" s="79">
        <v>10</v>
      </c>
      <c r="E23" s="79">
        <v>0</v>
      </c>
      <c r="F23" s="79">
        <v>10</v>
      </c>
      <c r="G23" s="79">
        <v>0</v>
      </c>
      <c r="H23" s="79">
        <v>0</v>
      </c>
      <c r="I23" s="79"/>
      <c r="J23" s="79">
        <v>0</v>
      </c>
      <c r="K23" s="79">
        <v>0</v>
      </c>
      <c r="L23" s="79">
        <v>40</v>
      </c>
      <c r="M23" s="79">
        <v>0</v>
      </c>
      <c r="N23" s="79">
        <v>0</v>
      </c>
      <c r="O23" s="79"/>
      <c r="P23" s="79">
        <v>4000</v>
      </c>
      <c r="Q23" s="79">
        <v>750</v>
      </c>
      <c r="R23" s="79">
        <v>150</v>
      </c>
      <c r="S23" s="79">
        <v>0</v>
      </c>
      <c r="T23" s="79"/>
      <c r="U23" s="79"/>
      <c r="V23" s="79" t="e">
        <f>D23*商品!#REF!+E23*商品!F32+F23*商品!#REF!+G23*商品!#REF!+H23*商品!#REF!</f>
        <v>#REF!</v>
      </c>
      <c r="W23" s="79" t="e">
        <f>L23*商品!#REF!</f>
        <v>#REF!</v>
      </c>
      <c r="X23" s="79" t="e">
        <f t="shared" si="4"/>
        <v>#REF!</v>
      </c>
      <c r="Y23" s="93" t="e">
        <f t="shared" si="3"/>
        <v>#REF!</v>
      </c>
      <c r="Z23" s="93" t="e">
        <f t="shared" si="5"/>
        <v>#REF!</v>
      </c>
    </row>
    <row r="24" spans="1:26">
      <c r="A24" s="89" t="s">
        <v>317</v>
      </c>
      <c r="B24" s="78"/>
      <c r="C24" s="78"/>
      <c r="D24" s="79">
        <v>15</v>
      </c>
      <c r="E24" s="79">
        <v>0</v>
      </c>
      <c r="F24" s="79">
        <v>15</v>
      </c>
      <c r="G24" s="79">
        <v>0</v>
      </c>
      <c r="H24" s="79">
        <v>0</v>
      </c>
      <c r="I24" s="79"/>
      <c r="J24" s="79">
        <v>0</v>
      </c>
      <c r="K24" s="79">
        <v>0</v>
      </c>
      <c r="L24" s="79">
        <v>50</v>
      </c>
      <c r="M24" s="79">
        <v>0</v>
      </c>
      <c r="N24" s="79">
        <v>0</v>
      </c>
      <c r="O24" s="79"/>
      <c r="P24" s="79">
        <v>3750</v>
      </c>
      <c r="Q24" s="79">
        <v>900</v>
      </c>
      <c r="R24" s="79">
        <v>250</v>
      </c>
      <c r="S24" s="79">
        <v>0</v>
      </c>
      <c r="T24" s="79"/>
      <c r="U24" s="79"/>
      <c r="V24" s="79" t="e">
        <f>D24*商品!#REF!+E24*商品!F33+F24*商品!A8+G24*商品!#REF!+H24*商品!#REF!</f>
        <v>#REF!</v>
      </c>
      <c r="W24" s="79" t="e">
        <f>L24*商品!#REF!</f>
        <v>#REF!</v>
      </c>
      <c r="X24" s="79" t="e">
        <f t="shared" si="4"/>
        <v>#REF!</v>
      </c>
      <c r="Y24" s="93" t="e">
        <f t="shared" si="3"/>
        <v>#REF!</v>
      </c>
      <c r="Z24" s="93" t="e">
        <f t="shared" si="5"/>
        <v>#REF!</v>
      </c>
    </row>
    <row r="25" spans="1:26">
      <c r="A25" s="89" t="s">
        <v>309</v>
      </c>
      <c r="B25" s="78"/>
      <c r="C25" s="78"/>
      <c r="D25" s="79"/>
      <c r="E25" s="79"/>
      <c r="F25" s="79"/>
      <c r="G25" s="79"/>
      <c r="H25" s="79"/>
      <c r="I25" s="79"/>
      <c r="J25" s="79">
        <v>0</v>
      </c>
      <c r="K25" s="79">
        <v>0</v>
      </c>
      <c r="L25" s="79"/>
      <c r="M25" s="79">
        <v>0</v>
      </c>
      <c r="N25" s="79">
        <v>0</v>
      </c>
      <c r="O25" s="79"/>
      <c r="P25" s="79"/>
      <c r="Q25" s="79"/>
      <c r="R25" s="79"/>
      <c r="S25" s="79"/>
      <c r="T25" s="79"/>
      <c r="U25" s="79"/>
      <c r="V25" s="79" t="e">
        <f>D25*商品!#REF!+E25*商品!F34+F25*商品!#REF!+G25*商品!#REF!+H25*商品!#REF!</f>
        <v>#REF!</v>
      </c>
      <c r="W25" s="79" t="e">
        <f>L25*商品!#REF!</f>
        <v>#REF!</v>
      </c>
      <c r="X25" s="79" t="e">
        <f t="shared" si="4"/>
        <v>#REF!</v>
      </c>
      <c r="Y25" s="93" t="e">
        <f t="shared" si="3"/>
        <v>#REF!</v>
      </c>
      <c r="Z25" s="93" t="e">
        <f t="shared" si="5"/>
        <v>#REF!</v>
      </c>
    </row>
    <row r="26" spans="1:26">
      <c r="A26" s="89" t="s">
        <v>310</v>
      </c>
      <c r="B26" s="78"/>
      <c r="C26" s="78"/>
      <c r="D26" s="79"/>
      <c r="E26" s="79"/>
      <c r="F26" s="79"/>
      <c r="G26" s="79"/>
      <c r="H26" s="79"/>
      <c r="I26" s="79"/>
      <c r="J26" s="79">
        <v>0</v>
      </c>
      <c r="K26" s="79">
        <v>0</v>
      </c>
      <c r="L26" s="79"/>
      <c r="M26" s="79">
        <v>0</v>
      </c>
      <c r="N26" s="79">
        <v>0</v>
      </c>
      <c r="O26" s="79"/>
      <c r="P26" s="79"/>
      <c r="Q26" s="79"/>
      <c r="R26" s="79"/>
      <c r="S26" s="79"/>
      <c r="T26" s="79"/>
      <c r="U26" s="79"/>
      <c r="V26" s="79" t="e">
        <f>D26*商品!#REF!+E26*商品!F35+F26*商品!#REF!+G26*商品!#REF!+H26*商品!#REF!</f>
        <v>#REF!</v>
      </c>
      <c r="W26" s="79" t="e">
        <f>L26*商品!#REF!</f>
        <v>#REF!</v>
      </c>
      <c r="X26" s="79" t="e">
        <f t="shared" si="4"/>
        <v>#REF!</v>
      </c>
      <c r="Y26" s="93" t="e">
        <f t="shared" si="3"/>
        <v>#REF!</v>
      </c>
      <c r="Z26" s="93" t="e">
        <f t="shared" si="5"/>
        <v>#REF!</v>
      </c>
    </row>
    <row r="27" spans="1:26">
      <c r="A27" s="89" t="s">
        <v>311</v>
      </c>
      <c r="B27" s="78"/>
      <c r="C27" s="78"/>
      <c r="D27" s="79">
        <v>0</v>
      </c>
      <c r="E27" s="79">
        <v>5</v>
      </c>
      <c r="F27" s="79">
        <v>0</v>
      </c>
      <c r="G27" s="79">
        <v>0</v>
      </c>
      <c r="H27" s="79">
        <v>0</v>
      </c>
      <c r="I27" s="79"/>
      <c r="J27" s="79">
        <v>0</v>
      </c>
      <c r="K27" s="79">
        <v>0</v>
      </c>
      <c r="L27" s="79">
        <v>10</v>
      </c>
      <c r="M27" s="79">
        <v>0</v>
      </c>
      <c r="N27" s="79">
        <v>0</v>
      </c>
      <c r="O27" s="79"/>
      <c r="P27" s="79">
        <v>-200</v>
      </c>
      <c r="Q27" s="79">
        <v>200</v>
      </c>
      <c r="R27" s="79">
        <v>0</v>
      </c>
      <c r="S27" s="79">
        <v>0</v>
      </c>
      <c r="T27" s="79"/>
      <c r="U27" s="79"/>
      <c r="V27" s="79" t="e">
        <f>D27*商品!#REF!+E27*商品!F36+F27*商品!A14+G27*商品!M5+H27*商品!#REF!</f>
        <v>#REF!</v>
      </c>
      <c r="W27" s="79" t="e">
        <f>L27*商品!#REF!</f>
        <v>#REF!</v>
      </c>
      <c r="X27" s="79" t="e">
        <f t="shared" si="4"/>
        <v>#REF!</v>
      </c>
      <c r="Y27" s="93" t="e">
        <f t="shared" si="3"/>
        <v>#REF!</v>
      </c>
      <c r="Z27" s="93" t="e">
        <f t="shared" si="5"/>
        <v>#REF!</v>
      </c>
    </row>
    <row r="28" spans="1:26">
      <c r="A28" s="89" t="s">
        <v>312</v>
      </c>
      <c r="B28" s="78"/>
      <c r="C28" s="78"/>
      <c r="D28" s="79">
        <v>0</v>
      </c>
      <c r="E28" s="79">
        <v>10</v>
      </c>
      <c r="F28" s="79">
        <v>0</v>
      </c>
      <c r="G28" s="79">
        <v>0</v>
      </c>
      <c r="H28" s="79">
        <v>0</v>
      </c>
      <c r="I28" s="79"/>
      <c r="J28" s="79">
        <v>0</v>
      </c>
      <c r="K28" s="79">
        <v>0</v>
      </c>
      <c r="L28" s="79">
        <v>20</v>
      </c>
      <c r="M28" s="79">
        <v>0</v>
      </c>
      <c r="N28" s="79">
        <v>0</v>
      </c>
      <c r="O28" s="79"/>
      <c r="P28" s="79">
        <v>-500</v>
      </c>
      <c r="Q28" s="79">
        <v>350</v>
      </c>
      <c r="R28" s="79">
        <v>150</v>
      </c>
      <c r="S28" s="79">
        <v>0</v>
      </c>
      <c r="T28" s="79"/>
      <c r="U28" s="79"/>
      <c r="V28" s="79" t="e">
        <f>D28*商品!#REF!+E28*商品!F37+F28*商品!#REF!+G28*商品!#REF!+H28*商品!#REF!</f>
        <v>#REF!</v>
      </c>
      <c r="W28" s="79" t="e">
        <f>L28*商品!#REF!</f>
        <v>#REF!</v>
      </c>
      <c r="X28" s="79" t="e">
        <f t="shared" si="4"/>
        <v>#REF!</v>
      </c>
      <c r="Y28" s="93" t="e">
        <f t="shared" si="3"/>
        <v>#REF!</v>
      </c>
      <c r="Z28" s="93" t="e">
        <f t="shared" si="5"/>
        <v>#REF!</v>
      </c>
    </row>
    <row r="29" spans="1:26">
      <c r="A29" s="89" t="s">
        <v>313</v>
      </c>
      <c r="B29" s="78"/>
      <c r="C29" s="78"/>
      <c r="D29" s="79"/>
      <c r="E29" s="79"/>
      <c r="F29" s="79"/>
      <c r="G29" s="79"/>
      <c r="H29" s="79"/>
      <c r="I29" s="79"/>
      <c r="J29" s="79">
        <v>0</v>
      </c>
      <c r="K29" s="79">
        <v>0</v>
      </c>
      <c r="L29" s="79"/>
      <c r="M29" s="79">
        <v>0</v>
      </c>
      <c r="N29" s="79">
        <v>0</v>
      </c>
      <c r="O29" s="79"/>
      <c r="P29" s="79"/>
      <c r="Q29" s="79"/>
      <c r="R29" s="79"/>
      <c r="S29" s="79"/>
      <c r="T29" s="79"/>
      <c r="U29" s="79"/>
      <c r="V29" s="79" t="e">
        <f>D29*商品!#REF!+E29*商品!F38+F29*商品!#REF!+G29*商品!#REF!+H29*商品!#REF!</f>
        <v>#REF!</v>
      </c>
      <c r="W29" s="79" t="e">
        <f>L29*商品!#REF!</f>
        <v>#REF!</v>
      </c>
      <c r="X29" s="79" t="e">
        <f t="shared" si="4"/>
        <v>#REF!</v>
      </c>
      <c r="Y29" s="93" t="e">
        <f t="shared" si="3"/>
        <v>#REF!</v>
      </c>
      <c r="Z29" s="93" t="e">
        <f t="shared" si="5"/>
        <v>#REF!</v>
      </c>
    </row>
    <row r="30" spans="1:26">
      <c r="A30" s="89" t="s">
        <v>314</v>
      </c>
      <c r="B30" s="78"/>
      <c r="C30" s="78"/>
      <c r="D30" s="79"/>
      <c r="E30" s="79"/>
      <c r="F30" s="79"/>
      <c r="G30" s="79"/>
      <c r="H30" s="79"/>
      <c r="I30" s="79"/>
      <c r="J30" s="79">
        <v>0</v>
      </c>
      <c r="K30" s="79">
        <v>0</v>
      </c>
      <c r="L30" s="79"/>
      <c r="M30" s="79">
        <v>0</v>
      </c>
      <c r="N30" s="79">
        <v>0</v>
      </c>
      <c r="O30" s="79"/>
      <c r="P30" s="79"/>
      <c r="Q30" s="79"/>
      <c r="R30" s="79"/>
      <c r="S30" s="79"/>
      <c r="T30" s="79"/>
      <c r="U30" s="79"/>
      <c r="V30" s="79" t="e">
        <f>D30*商品!#REF!+E30*商品!F39+F30*商品!A16+G30*商品!I16+H30*商品!G19</f>
        <v>#REF!</v>
      </c>
      <c r="W30" s="79" t="e">
        <f>L30*商品!#REF!</f>
        <v>#REF!</v>
      </c>
      <c r="X30" s="79" t="e">
        <f t="shared" si="4"/>
        <v>#REF!</v>
      </c>
      <c r="Y30" s="93" t="e">
        <f t="shared" si="3"/>
        <v>#REF!</v>
      </c>
      <c r="Z30" s="93" t="e">
        <f t="shared" si="5"/>
        <v>#REF!</v>
      </c>
    </row>
    <row r="31" spans="1:26">
      <c r="A31" s="85" t="s">
        <v>319</v>
      </c>
      <c r="B31" s="86"/>
      <c r="C31" s="86"/>
      <c r="D31" s="87">
        <v>5</v>
      </c>
      <c r="E31" s="87">
        <v>0</v>
      </c>
      <c r="F31" s="87">
        <v>0</v>
      </c>
      <c r="G31" s="87">
        <v>0</v>
      </c>
      <c r="H31" s="87">
        <v>0</v>
      </c>
      <c r="I31" s="87"/>
      <c r="J31" s="87">
        <v>0</v>
      </c>
      <c r="K31" s="87">
        <v>0</v>
      </c>
      <c r="L31" s="87">
        <v>0</v>
      </c>
      <c r="M31" s="87">
        <v>20</v>
      </c>
      <c r="N31" s="87">
        <v>0</v>
      </c>
      <c r="O31" s="87"/>
      <c r="P31" s="87">
        <v>4500</v>
      </c>
      <c r="Q31" s="87">
        <v>0</v>
      </c>
      <c r="R31" s="87">
        <v>0</v>
      </c>
      <c r="S31" s="87">
        <v>0</v>
      </c>
      <c r="T31" s="87"/>
      <c r="U31" s="87"/>
      <c r="V31" s="87">
        <f>D31*商品!I3+E31*商品!G5+F31*商品!F15+G31*商品!N5+H31*商品!L15</f>
        <v>200</v>
      </c>
      <c r="W31" s="87">
        <f>M31*商品!J15</f>
        <v>1000</v>
      </c>
      <c r="X31" s="87">
        <f t="shared" si="4"/>
        <v>800</v>
      </c>
      <c r="Y31" s="94">
        <f t="shared" si="3"/>
        <v>0.177777777777778</v>
      </c>
      <c r="Z31" s="94">
        <f t="shared" si="5"/>
        <v>4</v>
      </c>
    </row>
    <row r="32" spans="1:26">
      <c r="A32" s="88" t="s">
        <v>316</v>
      </c>
      <c r="B32" s="86"/>
      <c r="C32" s="86"/>
      <c r="D32" s="87">
        <v>10</v>
      </c>
      <c r="E32" s="87">
        <v>0</v>
      </c>
      <c r="F32" s="87">
        <v>10</v>
      </c>
      <c r="G32" s="87">
        <v>0</v>
      </c>
      <c r="H32" s="87">
        <v>0</v>
      </c>
      <c r="I32" s="87"/>
      <c r="J32" s="87">
        <v>0</v>
      </c>
      <c r="K32" s="87">
        <v>0</v>
      </c>
      <c r="L32" s="87">
        <v>0</v>
      </c>
      <c r="M32" s="87">
        <v>40</v>
      </c>
      <c r="N32" s="87">
        <v>0</v>
      </c>
      <c r="O32" s="87"/>
      <c r="P32" s="87">
        <v>4000</v>
      </c>
      <c r="Q32" s="87">
        <v>750</v>
      </c>
      <c r="R32" s="87">
        <v>150</v>
      </c>
      <c r="S32" s="87">
        <v>0</v>
      </c>
      <c r="T32" s="87"/>
      <c r="U32" s="87"/>
      <c r="V32" s="87" t="e">
        <f>D32*商品!#REF!+E32*商品!F32+F32*商品!#REF!+G32*商品!#REF!+H32*商品!#REF!</f>
        <v>#REF!</v>
      </c>
      <c r="W32" s="87">
        <f>M32*商品!C32</f>
        <v>0</v>
      </c>
      <c r="X32" s="87" t="e">
        <f t="shared" si="4"/>
        <v>#REF!</v>
      </c>
      <c r="Y32" s="94" t="e">
        <f t="shared" si="3"/>
        <v>#REF!</v>
      </c>
      <c r="Z32" s="94" t="e">
        <f t="shared" si="5"/>
        <v>#REF!</v>
      </c>
    </row>
    <row r="33" spans="1:26">
      <c r="A33" s="88" t="s">
        <v>317</v>
      </c>
      <c r="B33" s="86"/>
      <c r="C33" s="86"/>
      <c r="D33" s="87">
        <v>15</v>
      </c>
      <c r="E33" s="87">
        <v>0</v>
      </c>
      <c r="F33" s="87">
        <v>15</v>
      </c>
      <c r="G33" s="87">
        <v>0</v>
      </c>
      <c r="H33" s="87">
        <v>0</v>
      </c>
      <c r="I33" s="87"/>
      <c r="J33" s="87">
        <v>0</v>
      </c>
      <c r="K33" s="87">
        <v>0</v>
      </c>
      <c r="L33" s="87">
        <v>0</v>
      </c>
      <c r="M33" s="87">
        <v>50</v>
      </c>
      <c r="N33" s="87">
        <v>0</v>
      </c>
      <c r="O33" s="87"/>
      <c r="P33" s="87">
        <v>3750</v>
      </c>
      <c r="Q33" s="87">
        <v>900</v>
      </c>
      <c r="R33" s="87">
        <v>250</v>
      </c>
      <c r="S33" s="87">
        <v>0</v>
      </c>
      <c r="T33" s="87"/>
      <c r="U33" s="87"/>
      <c r="V33" s="87" t="e">
        <f>D33*商品!#REF!+E33*商品!F33+F33*商品!A8+G33*商品!#REF!+H33*商品!#REF!</f>
        <v>#REF!</v>
      </c>
      <c r="W33" s="87">
        <f>M33*商品!C33</f>
        <v>0</v>
      </c>
      <c r="X33" s="87" t="e">
        <f t="shared" si="4"/>
        <v>#REF!</v>
      </c>
      <c r="Y33" s="94" t="e">
        <f t="shared" si="3"/>
        <v>#REF!</v>
      </c>
      <c r="Z33" s="94" t="e">
        <f t="shared" si="5"/>
        <v>#REF!</v>
      </c>
    </row>
    <row r="34" spans="1:26">
      <c r="A34" s="88" t="s">
        <v>309</v>
      </c>
      <c r="B34" s="86"/>
      <c r="C34" s="86"/>
      <c r="D34" s="87"/>
      <c r="E34" s="87"/>
      <c r="F34" s="87"/>
      <c r="G34" s="87"/>
      <c r="H34" s="87"/>
      <c r="I34" s="87"/>
      <c r="J34" s="87">
        <v>0</v>
      </c>
      <c r="K34" s="87">
        <v>0</v>
      </c>
      <c r="L34" s="87">
        <v>0</v>
      </c>
      <c r="M34" s="87"/>
      <c r="N34" s="87">
        <v>0</v>
      </c>
      <c r="O34" s="87"/>
      <c r="P34" s="87"/>
      <c r="Q34" s="87"/>
      <c r="R34" s="87"/>
      <c r="S34" s="87"/>
      <c r="T34" s="87"/>
      <c r="U34" s="87"/>
      <c r="V34" s="87" t="e">
        <f>D34*商品!#REF!+E34*商品!F34+F34*商品!#REF!+G34*商品!#REF!+H34*商品!#REF!</f>
        <v>#REF!</v>
      </c>
      <c r="W34" s="87">
        <f>M34*商品!C34</f>
        <v>0</v>
      </c>
      <c r="X34" s="87" t="e">
        <f t="shared" si="4"/>
        <v>#REF!</v>
      </c>
      <c r="Y34" s="94" t="e">
        <f t="shared" si="3"/>
        <v>#REF!</v>
      </c>
      <c r="Z34" s="94" t="e">
        <f t="shared" si="5"/>
        <v>#REF!</v>
      </c>
    </row>
    <row r="35" spans="1:26">
      <c r="A35" s="88" t="s">
        <v>310</v>
      </c>
      <c r="B35" s="86"/>
      <c r="C35" s="86"/>
      <c r="D35" s="87"/>
      <c r="E35" s="87"/>
      <c r="F35" s="87"/>
      <c r="G35" s="87"/>
      <c r="H35" s="87"/>
      <c r="I35" s="87"/>
      <c r="J35" s="87">
        <v>0</v>
      </c>
      <c r="K35" s="87">
        <v>0</v>
      </c>
      <c r="L35" s="87">
        <v>0</v>
      </c>
      <c r="M35" s="87"/>
      <c r="N35" s="87">
        <v>0</v>
      </c>
      <c r="O35" s="87"/>
      <c r="P35" s="87"/>
      <c r="Q35" s="87"/>
      <c r="R35" s="87"/>
      <c r="S35" s="87"/>
      <c r="T35" s="87"/>
      <c r="U35" s="87"/>
      <c r="V35" s="87" t="e">
        <f>D35*商品!#REF!+E35*商品!F35+F35*商品!#REF!+G35*商品!#REF!+H35*商品!#REF!</f>
        <v>#REF!</v>
      </c>
      <c r="W35" s="87">
        <f>M35*商品!C35</f>
        <v>0</v>
      </c>
      <c r="X35" s="87" t="e">
        <f t="shared" si="4"/>
        <v>#REF!</v>
      </c>
      <c r="Y35" s="94" t="e">
        <f t="shared" si="3"/>
        <v>#REF!</v>
      </c>
      <c r="Z35" s="94" t="e">
        <f t="shared" si="5"/>
        <v>#REF!</v>
      </c>
    </row>
    <row r="36" spans="1:26">
      <c r="A36" s="88" t="s">
        <v>311</v>
      </c>
      <c r="B36" s="86"/>
      <c r="C36" s="86"/>
      <c r="D36" s="87">
        <v>0</v>
      </c>
      <c r="E36" s="87">
        <v>5</v>
      </c>
      <c r="F36" s="87">
        <v>0</v>
      </c>
      <c r="G36" s="87">
        <v>0</v>
      </c>
      <c r="H36" s="87">
        <v>0</v>
      </c>
      <c r="I36" s="87"/>
      <c r="J36" s="87">
        <v>0</v>
      </c>
      <c r="K36" s="87">
        <v>0</v>
      </c>
      <c r="L36" s="87">
        <v>0</v>
      </c>
      <c r="M36" s="87">
        <v>10</v>
      </c>
      <c r="N36" s="87">
        <v>0</v>
      </c>
      <c r="O36" s="87"/>
      <c r="P36" s="87">
        <v>-200</v>
      </c>
      <c r="Q36" s="87">
        <v>200</v>
      </c>
      <c r="R36" s="87">
        <v>0</v>
      </c>
      <c r="S36" s="87">
        <v>0</v>
      </c>
      <c r="T36" s="87"/>
      <c r="U36" s="87"/>
      <c r="V36" s="87" t="e">
        <f>D36*商品!#REF!+E36*商品!F36+F36*商品!A14+G36*商品!M5+H36*商品!#REF!</f>
        <v>#REF!</v>
      </c>
      <c r="W36" s="87">
        <f>M36*商品!C36</f>
        <v>0</v>
      </c>
      <c r="X36" s="87" t="e">
        <f t="shared" si="4"/>
        <v>#REF!</v>
      </c>
      <c r="Y36" s="94" t="e">
        <f t="shared" si="3"/>
        <v>#REF!</v>
      </c>
      <c r="Z36" s="94" t="e">
        <f t="shared" si="5"/>
        <v>#REF!</v>
      </c>
    </row>
    <row r="37" spans="1:26">
      <c r="A37" s="88" t="s">
        <v>312</v>
      </c>
      <c r="B37" s="86"/>
      <c r="C37" s="86"/>
      <c r="D37" s="87">
        <v>0</v>
      </c>
      <c r="E37" s="87">
        <v>10</v>
      </c>
      <c r="F37" s="87">
        <v>0</v>
      </c>
      <c r="G37" s="87">
        <v>0</v>
      </c>
      <c r="H37" s="87">
        <v>0</v>
      </c>
      <c r="I37" s="87"/>
      <c r="J37" s="87">
        <v>0</v>
      </c>
      <c r="K37" s="87">
        <v>0</v>
      </c>
      <c r="L37" s="87">
        <v>0</v>
      </c>
      <c r="M37" s="87">
        <v>20</v>
      </c>
      <c r="N37" s="87">
        <v>0</v>
      </c>
      <c r="O37" s="87"/>
      <c r="P37" s="87">
        <v>-500</v>
      </c>
      <c r="Q37" s="87">
        <v>350</v>
      </c>
      <c r="R37" s="87">
        <v>150</v>
      </c>
      <c r="S37" s="87">
        <v>0</v>
      </c>
      <c r="T37" s="87"/>
      <c r="U37" s="87"/>
      <c r="V37" s="87" t="e">
        <f>D37*商品!#REF!+E37*商品!F37+F37*商品!#REF!+G37*商品!#REF!+H37*商品!#REF!</f>
        <v>#REF!</v>
      </c>
      <c r="W37" s="87">
        <f>M37*商品!C37</f>
        <v>0</v>
      </c>
      <c r="X37" s="87" t="e">
        <f t="shared" si="4"/>
        <v>#REF!</v>
      </c>
      <c r="Y37" s="94" t="e">
        <f t="shared" si="3"/>
        <v>#REF!</v>
      </c>
      <c r="Z37" s="94" t="e">
        <f t="shared" si="5"/>
        <v>#REF!</v>
      </c>
    </row>
    <row r="38" spans="1:26">
      <c r="A38" s="88" t="s">
        <v>313</v>
      </c>
      <c r="B38" s="86"/>
      <c r="C38" s="86"/>
      <c r="D38" s="87"/>
      <c r="E38" s="87"/>
      <c r="F38" s="87"/>
      <c r="G38" s="87"/>
      <c r="H38" s="87"/>
      <c r="I38" s="87"/>
      <c r="J38" s="87">
        <v>0</v>
      </c>
      <c r="K38" s="87">
        <v>0</v>
      </c>
      <c r="L38" s="87">
        <v>0</v>
      </c>
      <c r="M38" s="87"/>
      <c r="N38" s="87">
        <v>0</v>
      </c>
      <c r="O38" s="87"/>
      <c r="P38" s="87"/>
      <c r="Q38" s="87"/>
      <c r="R38" s="87"/>
      <c r="S38" s="87"/>
      <c r="T38" s="87"/>
      <c r="U38" s="87"/>
      <c r="V38" s="87" t="e">
        <f>D38*商品!#REF!+E38*商品!F38+F38*商品!#REF!+G38*商品!#REF!+H38*商品!#REF!</f>
        <v>#REF!</v>
      </c>
      <c r="W38" s="87">
        <f>M38*商品!C38</f>
        <v>0</v>
      </c>
      <c r="X38" s="87" t="e">
        <f t="shared" si="4"/>
        <v>#REF!</v>
      </c>
      <c r="Y38" s="94" t="e">
        <f t="shared" si="3"/>
        <v>#REF!</v>
      </c>
      <c r="Z38" s="94" t="e">
        <f t="shared" si="5"/>
        <v>#REF!</v>
      </c>
    </row>
    <row r="39" spans="1:26">
      <c r="A39" s="88" t="s">
        <v>314</v>
      </c>
      <c r="B39" s="86"/>
      <c r="C39" s="86"/>
      <c r="D39" s="87"/>
      <c r="E39" s="87"/>
      <c r="F39" s="87"/>
      <c r="G39" s="87"/>
      <c r="H39" s="87"/>
      <c r="I39" s="87"/>
      <c r="J39" s="87">
        <v>0</v>
      </c>
      <c r="K39" s="87">
        <v>0</v>
      </c>
      <c r="L39" s="87">
        <v>0</v>
      </c>
      <c r="M39" s="87"/>
      <c r="N39" s="87">
        <v>0</v>
      </c>
      <c r="O39" s="87"/>
      <c r="P39" s="87"/>
      <c r="Q39" s="87"/>
      <c r="R39" s="87"/>
      <c r="S39" s="87"/>
      <c r="T39" s="87"/>
      <c r="U39" s="87"/>
      <c r="V39" s="87" t="e">
        <f>D39*商品!#REF!+E39*商品!F39+F39*商品!A16+G39*商品!I16+H39*商品!G19</f>
        <v>#REF!</v>
      </c>
      <c r="W39" s="87">
        <f>M39*商品!C39</f>
        <v>0</v>
      </c>
      <c r="X39" s="87" t="e">
        <f t="shared" si="4"/>
        <v>#REF!</v>
      </c>
      <c r="Y39" s="94" t="e">
        <f t="shared" si="3"/>
        <v>#REF!</v>
      </c>
      <c r="Z39" s="94" t="e">
        <f t="shared" si="5"/>
        <v>#REF!</v>
      </c>
    </row>
    <row r="40" spans="1:26">
      <c r="A40" s="77" t="s">
        <v>320</v>
      </c>
      <c r="B40" s="78"/>
      <c r="C40" s="78"/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/>
      <c r="J40" s="79">
        <v>0</v>
      </c>
      <c r="K40" s="79">
        <v>0</v>
      </c>
      <c r="L40" s="79">
        <v>0</v>
      </c>
      <c r="M40" s="79">
        <v>0</v>
      </c>
      <c r="N40" s="79">
        <v>20</v>
      </c>
      <c r="O40" s="79"/>
      <c r="P40" s="79">
        <v>4500</v>
      </c>
      <c r="Q40" s="79">
        <v>0</v>
      </c>
      <c r="R40" s="79">
        <v>0</v>
      </c>
      <c r="S40" s="79">
        <v>500</v>
      </c>
      <c r="T40" s="79"/>
      <c r="U40" s="79"/>
      <c r="V40" s="79">
        <f>D40*商品!I3+E40*商品!G5+F40*商品!F15+G40*商品!N5+H40*商品!L15</f>
        <v>0</v>
      </c>
      <c r="W40" s="79">
        <f>N40*商品!K15</f>
        <v>2000</v>
      </c>
      <c r="X40" s="79">
        <f t="shared" si="4"/>
        <v>2000</v>
      </c>
      <c r="Y40" s="93">
        <f t="shared" si="3"/>
        <v>0.4</v>
      </c>
      <c r="Z40" s="93" t="e">
        <f t="shared" si="5"/>
        <v>#DIV/0!</v>
      </c>
    </row>
    <row r="41" spans="1:26">
      <c r="A41" s="89"/>
      <c r="B41" s="78" t="s">
        <v>321</v>
      </c>
      <c r="C41" s="78"/>
      <c r="D41" s="79">
        <v>5</v>
      </c>
      <c r="E41" s="79">
        <v>0</v>
      </c>
      <c r="F41" s="79">
        <v>0</v>
      </c>
      <c r="G41" s="79">
        <v>0</v>
      </c>
      <c r="H41" s="79">
        <v>0</v>
      </c>
      <c r="I41" s="79"/>
      <c r="J41" s="79">
        <v>0</v>
      </c>
      <c r="K41" s="79">
        <v>0</v>
      </c>
      <c r="L41" s="79">
        <v>0</v>
      </c>
      <c r="M41" s="79">
        <v>0</v>
      </c>
      <c r="N41" s="79">
        <v>20</v>
      </c>
      <c r="O41" s="79"/>
      <c r="P41" s="79">
        <v>4500</v>
      </c>
      <c r="Q41" s="79">
        <v>0</v>
      </c>
      <c r="R41" s="79">
        <v>0</v>
      </c>
      <c r="S41" s="79">
        <v>0</v>
      </c>
      <c r="T41" s="79"/>
      <c r="U41" s="79"/>
      <c r="V41" s="79" t="e">
        <f>D41*商品!#REF!+E41*商品!F32+F41*商品!#REF!+G41*商品!#REF!+H41*商品!#REF!</f>
        <v>#REF!</v>
      </c>
      <c r="W41" s="79">
        <f>N41*商品!Y32</f>
        <v>0</v>
      </c>
      <c r="X41" s="79" t="e">
        <f t="shared" si="4"/>
        <v>#REF!</v>
      </c>
      <c r="Y41" s="93" t="e">
        <f t="shared" si="3"/>
        <v>#REF!</v>
      </c>
      <c r="Z41" s="93" t="e">
        <f t="shared" si="5"/>
        <v>#REF!</v>
      </c>
    </row>
    <row r="42" spans="1:26">
      <c r="A42" s="89" t="s">
        <v>316</v>
      </c>
      <c r="B42" s="78"/>
      <c r="C42" s="78"/>
      <c r="D42" s="79">
        <v>10</v>
      </c>
      <c r="E42" s="79">
        <v>0</v>
      </c>
      <c r="F42" s="79">
        <v>10</v>
      </c>
      <c r="G42" s="79">
        <v>0</v>
      </c>
      <c r="H42" s="79">
        <v>0</v>
      </c>
      <c r="I42" s="79"/>
      <c r="J42" s="79">
        <v>0</v>
      </c>
      <c r="K42" s="79">
        <v>0</v>
      </c>
      <c r="L42" s="79">
        <v>0</v>
      </c>
      <c r="M42" s="79">
        <v>0</v>
      </c>
      <c r="N42" s="79">
        <v>40</v>
      </c>
      <c r="O42" s="79"/>
      <c r="P42" s="79">
        <v>4000</v>
      </c>
      <c r="Q42" s="79">
        <v>750</v>
      </c>
      <c r="R42" s="79">
        <v>150</v>
      </c>
      <c r="S42" s="79">
        <v>0</v>
      </c>
      <c r="T42" s="79"/>
      <c r="U42" s="79"/>
      <c r="V42" s="79" t="e">
        <f>D42*商品!#REF!+E42*商品!F32+F42*商品!#REF!+G42*商品!#REF!+H42*商品!#REF!</f>
        <v>#REF!</v>
      </c>
      <c r="W42" s="79">
        <f>N42*商品!Y32</f>
        <v>0</v>
      </c>
      <c r="X42" s="79" t="e">
        <f t="shared" si="4"/>
        <v>#REF!</v>
      </c>
      <c r="Y42" s="93" t="e">
        <f t="shared" si="3"/>
        <v>#REF!</v>
      </c>
      <c r="Z42" s="93" t="e">
        <f t="shared" si="5"/>
        <v>#REF!</v>
      </c>
    </row>
    <row r="43" spans="1:26">
      <c r="A43" s="89" t="s">
        <v>317</v>
      </c>
      <c r="B43" s="78"/>
      <c r="C43" s="78"/>
      <c r="D43" s="79">
        <v>15</v>
      </c>
      <c r="E43" s="79">
        <v>0</v>
      </c>
      <c r="F43" s="79">
        <v>15</v>
      </c>
      <c r="G43" s="79">
        <v>0</v>
      </c>
      <c r="H43" s="79">
        <v>0</v>
      </c>
      <c r="I43" s="79"/>
      <c r="J43" s="79">
        <v>0</v>
      </c>
      <c r="K43" s="79">
        <v>0</v>
      </c>
      <c r="L43" s="79">
        <v>0</v>
      </c>
      <c r="M43" s="79">
        <v>0</v>
      </c>
      <c r="N43" s="79">
        <v>50</v>
      </c>
      <c r="O43" s="79"/>
      <c r="P43" s="79">
        <v>3750</v>
      </c>
      <c r="Q43" s="79">
        <v>900</v>
      </c>
      <c r="R43" s="79">
        <v>250</v>
      </c>
      <c r="S43" s="79">
        <v>0</v>
      </c>
      <c r="T43" s="79"/>
      <c r="U43" s="79"/>
      <c r="V43" s="79" t="e">
        <f>D43*商品!#REF!+E43*商品!F33+F43*商品!A8+G43*商品!#REF!+H43*商品!#REF!</f>
        <v>#REF!</v>
      </c>
      <c r="W43" s="79">
        <f>N43*商品!Y33</f>
        <v>0</v>
      </c>
      <c r="X43" s="79" t="e">
        <f t="shared" si="4"/>
        <v>#REF!</v>
      </c>
      <c r="Y43" s="93" t="e">
        <f t="shared" si="3"/>
        <v>#REF!</v>
      </c>
      <c r="Z43" s="93" t="e">
        <f t="shared" si="5"/>
        <v>#REF!</v>
      </c>
    </row>
    <row r="44" spans="1:26">
      <c r="A44" s="89" t="s">
        <v>309</v>
      </c>
      <c r="B44" s="78"/>
      <c r="C44" s="78"/>
      <c r="D44" s="79"/>
      <c r="E44" s="79"/>
      <c r="F44" s="79"/>
      <c r="G44" s="79"/>
      <c r="H44" s="79"/>
      <c r="I44" s="79"/>
      <c r="J44" s="79">
        <v>0</v>
      </c>
      <c r="K44" s="79">
        <v>0</v>
      </c>
      <c r="L44" s="79">
        <v>0</v>
      </c>
      <c r="M44" s="79">
        <v>0</v>
      </c>
      <c r="N44" s="79"/>
      <c r="O44" s="79"/>
      <c r="P44" s="79"/>
      <c r="Q44" s="79"/>
      <c r="R44" s="79"/>
      <c r="S44" s="79"/>
      <c r="T44" s="79"/>
      <c r="U44" s="79"/>
      <c r="V44" s="79" t="e">
        <f>D44*商品!#REF!+E44*商品!F34+F44*商品!#REF!+G44*商品!#REF!+H44*商品!#REF!</f>
        <v>#REF!</v>
      </c>
      <c r="W44" s="79">
        <f>N44*商品!Y34</f>
        <v>0</v>
      </c>
      <c r="X44" s="79" t="e">
        <f t="shared" si="4"/>
        <v>#REF!</v>
      </c>
      <c r="Y44" s="93" t="e">
        <f t="shared" si="3"/>
        <v>#REF!</v>
      </c>
      <c r="Z44" s="93" t="e">
        <f t="shared" si="5"/>
        <v>#REF!</v>
      </c>
    </row>
    <row r="45" spans="1:26">
      <c r="A45" s="89" t="s">
        <v>310</v>
      </c>
      <c r="B45" s="78"/>
      <c r="C45" s="78"/>
      <c r="D45" s="79"/>
      <c r="E45" s="79"/>
      <c r="F45" s="79"/>
      <c r="G45" s="79"/>
      <c r="H45" s="79"/>
      <c r="I45" s="79"/>
      <c r="J45" s="79">
        <v>0</v>
      </c>
      <c r="K45" s="79">
        <v>0</v>
      </c>
      <c r="L45" s="79">
        <v>0</v>
      </c>
      <c r="M45" s="79">
        <v>0</v>
      </c>
      <c r="N45" s="79"/>
      <c r="O45" s="79"/>
      <c r="P45" s="79"/>
      <c r="Q45" s="79"/>
      <c r="R45" s="79"/>
      <c r="S45" s="79"/>
      <c r="T45" s="79"/>
      <c r="U45" s="79"/>
      <c r="V45" s="79" t="e">
        <f>D45*商品!#REF!+E45*商品!F35+F45*商品!#REF!+G45*商品!#REF!+H45*商品!#REF!</f>
        <v>#REF!</v>
      </c>
      <c r="W45" s="79">
        <f>N45*商品!Y35</f>
        <v>0</v>
      </c>
      <c r="X45" s="79" t="e">
        <f t="shared" si="4"/>
        <v>#REF!</v>
      </c>
      <c r="Y45" s="93" t="e">
        <f t="shared" si="3"/>
        <v>#REF!</v>
      </c>
      <c r="Z45" s="93" t="e">
        <f t="shared" si="5"/>
        <v>#REF!</v>
      </c>
    </row>
    <row r="46" spans="1:26">
      <c r="A46" s="89" t="s">
        <v>311</v>
      </c>
      <c r="B46" s="78"/>
      <c r="C46" s="78"/>
      <c r="D46" s="79">
        <v>0</v>
      </c>
      <c r="E46" s="79">
        <v>5</v>
      </c>
      <c r="F46" s="79">
        <v>0</v>
      </c>
      <c r="G46" s="79">
        <v>0</v>
      </c>
      <c r="H46" s="79">
        <v>0</v>
      </c>
      <c r="I46" s="79"/>
      <c r="J46" s="79">
        <v>0</v>
      </c>
      <c r="K46" s="79">
        <v>0</v>
      </c>
      <c r="L46" s="79">
        <v>0</v>
      </c>
      <c r="M46" s="79">
        <v>0</v>
      </c>
      <c r="N46" s="79">
        <v>10</v>
      </c>
      <c r="O46" s="79"/>
      <c r="P46" s="79">
        <v>-200</v>
      </c>
      <c r="Q46" s="79">
        <v>200</v>
      </c>
      <c r="R46" s="79">
        <v>0</v>
      </c>
      <c r="S46" s="79">
        <v>0</v>
      </c>
      <c r="T46" s="79"/>
      <c r="U46" s="79"/>
      <c r="V46" s="79" t="e">
        <f>D46*商品!#REF!+E46*商品!F36+F46*商品!A14+G46*商品!M5+H46*商品!#REF!</f>
        <v>#REF!</v>
      </c>
      <c r="W46" s="79">
        <f>N46*商品!Y36</f>
        <v>0</v>
      </c>
      <c r="X46" s="79" t="e">
        <f t="shared" si="4"/>
        <v>#REF!</v>
      </c>
      <c r="Y46" s="93" t="e">
        <f t="shared" si="3"/>
        <v>#REF!</v>
      </c>
      <c r="Z46" s="93" t="e">
        <f t="shared" si="5"/>
        <v>#REF!</v>
      </c>
    </row>
    <row r="47" spans="1:26">
      <c r="A47" s="89" t="s">
        <v>312</v>
      </c>
      <c r="B47" s="78"/>
      <c r="C47" s="78"/>
      <c r="D47" s="79">
        <v>0</v>
      </c>
      <c r="E47" s="79">
        <v>10</v>
      </c>
      <c r="F47" s="79">
        <v>0</v>
      </c>
      <c r="G47" s="79">
        <v>0</v>
      </c>
      <c r="H47" s="79">
        <v>0</v>
      </c>
      <c r="I47" s="79"/>
      <c r="J47" s="79">
        <v>0</v>
      </c>
      <c r="K47" s="79">
        <v>0</v>
      </c>
      <c r="L47" s="79">
        <v>0</v>
      </c>
      <c r="M47" s="79">
        <v>0</v>
      </c>
      <c r="N47" s="79">
        <v>20</v>
      </c>
      <c r="O47" s="79"/>
      <c r="P47" s="79">
        <v>-500</v>
      </c>
      <c r="Q47" s="79">
        <v>350</v>
      </c>
      <c r="R47" s="79">
        <v>150</v>
      </c>
      <c r="S47" s="79">
        <v>0</v>
      </c>
      <c r="T47" s="79"/>
      <c r="U47" s="79"/>
      <c r="V47" s="79" t="e">
        <f>D47*商品!#REF!+E47*商品!F37+F47*商品!#REF!+G47*商品!#REF!+H47*商品!#REF!</f>
        <v>#REF!</v>
      </c>
      <c r="W47" s="79">
        <f>N47*商品!Y37</f>
        <v>0</v>
      </c>
      <c r="X47" s="79" t="e">
        <f t="shared" si="4"/>
        <v>#REF!</v>
      </c>
      <c r="Y47" s="93" t="e">
        <f t="shared" si="3"/>
        <v>#REF!</v>
      </c>
      <c r="Z47" s="93" t="e">
        <f t="shared" si="5"/>
        <v>#REF!</v>
      </c>
    </row>
    <row r="48" spans="1:26">
      <c r="A48" s="89" t="s">
        <v>313</v>
      </c>
      <c r="B48" s="78"/>
      <c r="C48" s="78"/>
      <c r="D48" s="79"/>
      <c r="E48" s="79"/>
      <c r="F48" s="79"/>
      <c r="G48" s="79"/>
      <c r="H48" s="79"/>
      <c r="I48" s="79"/>
      <c r="J48" s="79">
        <v>0</v>
      </c>
      <c r="K48" s="79">
        <v>0</v>
      </c>
      <c r="L48" s="79">
        <v>0</v>
      </c>
      <c r="M48" s="79">
        <v>0</v>
      </c>
      <c r="N48" s="79"/>
      <c r="O48" s="79"/>
      <c r="P48" s="79"/>
      <c r="Q48" s="79"/>
      <c r="R48" s="79"/>
      <c r="S48" s="79"/>
      <c r="T48" s="79"/>
      <c r="U48" s="79"/>
      <c r="V48" s="79" t="e">
        <f>D48*商品!#REF!+E48*商品!F38+F48*商品!#REF!+G48*商品!#REF!+H48*商品!#REF!</f>
        <v>#REF!</v>
      </c>
      <c r="W48" s="79">
        <f>N48*商品!Y38</f>
        <v>0</v>
      </c>
      <c r="X48" s="79" t="e">
        <f t="shared" si="4"/>
        <v>#REF!</v>
      </c>
      <c r="Y48" s="93" t="e">
        <f t="shared" si="3"/>
        <v>#REF!</v>
      </c>
      <c r="Z48" s="93" t="e">
        <f t="shared" si="5"/>
        <v>#REF!</v>
      </c>
    </row>
    <row r="49" spans="1:26">
      <c r="A49" s="89" t="s">
        <v>314</v>
      </c>
      <c r="B49" s="78"/>
      <c r="C49" s="78"/>
      <c r="D49" s="79"/>
      <c r="E49" s="79"/>
      <c r="F49" s="79"/>
      <c r="G49" s="79"/>
      <c r="H49" s="79"/>
      <c r="I49" s="79"/>
      <c r="J49" s="79">
        <v>0</v>
      </c>
      <c r="K49" s="79">
        <v>0</v>
      </c>
      <c r="L49" s="79">
        <v>0</v>
      </c>
      <c r="M49" s="79">
        <v>0</v>
      </c>
      <c r="N49" s="79"/>
      <c r="O49" s="79"/>
      <c r="P49" s="79"/>
      <c r="Q49" s="79"/>
      <c r="R49" s="79"/>
      <c r="S49" s="79"/>
      <c r="T49" s="79"/>
      <c r="U49" s="79"/>
      <c r="V49" s="79" t="e">
        <f>D49*商品!#REF!+E49*商品!F39+F49*商品!A16+G49*商品!I16+H49*商品!G19</f>
        <v>#REF!</v>
      </c>
      <c r="W49" s="79">
        <f>N49*商品!Y39</f>
        <v>0</v>
      </c>
      <c r="X49" s="79" t="e">
        <f t="shared" si="4"/>
        <v>#REF!</v>
      </c>
      <c r="Y49" s="93" t="e">
        <f t="shared" si="3"/>
        <v>#REF!</v>
      </c>
      <c r="Z49" s="93" t="e">
        <f t="shared" si="5"/>
        <v>#REF!</v>
      </c>
    </row>
    <row r="50" ht="15" spans="1:26">
      <c r="A50" s="85" t="s">
        <v>322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" spans="1:26">
      <c r="A51" s="85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" spans="1:26">
      <c r="A52" s="85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" spans="1:26">
      <c r="A53" s="85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" spans="1:26">
      <c r="A54" s="85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" spans="1:26">
      <c r="A55" s="85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" spans="1:26">
      <c r="A56" s="77" t="s">
        <v>323</v>
      </c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" spans="1:26">
      <c r="A57" s="77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" spans="1:26">
      <c r="A58" s="77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" spans="1:26">
      <c r="A59" s="77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" spans="1:26">
      <c r="A60" s="85" t="s">
        <v>324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5" spans="1:26">
      <c r="A61" s="85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" spans="1:26">
      <c r="A62" s="85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</sheetData>
  <sheetProtection formatCells="0" insertHyperlinks="0" autoFilter="0"/>
  <mergeCells count="1">
    <mergeCell ref="A3:A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5"/>
  <sheetViews>
    <sheetView tabSelected="1" zoomScale="80" zoomScaleNormal="80" workbookViewId="0">
      <selection activeCell="AC19" sqref="AC19"/>
    </sheetView>
  </sheetViews>
  <sheetFormatPr defaultColWidth="8.725" defaultRowHeight="18"/>
  <cols>
    <col min="1" max="1" width="9.125" style="1" customWidth="1"/>
    <col min="2" max="3" width="9.125" style="3" customWidth="1"/>
    <col min="4" max="5" width="9.125" style="1" customWidth="1"/>
    <col min="6" max="25" width="9.125" style="3" customWidth="1"/>
    <col min="26" max="26" width="16.625" style="3" customWidth="1"/>
    <col min="27" max="40" width="9.125" style="3" customWidth="1"/>
    <col min="41" max="41" width="4.375" style="3" customWidth="1"/>
    <col min="42" max="43" width="8.725" style="3"/>
    <col min="44" max="44" width="8.875" style="3" customWidth="1"/>
    <col min="45" max="16384" width="8.725" style="3"/>
  </cols>
  <sheetData>
    <row r="1" s="1" customFormat="1" spans="1:35">
      <c r="A1" s="1" t="s">
        <v>325</v>
      </c>
      <c r="D1" s="4" t="s">
        <v>326</v>
      </c>
      <c r="E1" s="5" t="s">
        <v>327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45">
        <v>17</v>
      </c>
      <c r="W1" s="40"/>
      <c r="X1" s="46" t="s">
        <v>328</v>
      </c>
      <c r="Y1" s="63"/>
      <c r="Z1" s="64" t="s">
        <v>329</v>
      </c>
      <c r="AA1" s="63">
        <v>1</v>
      </c>
      <c r="AB1" s="63">
        <v>2</v>
      </c>
      <c r="AC1" s="63">
        <v>3</v>
      </c>
      <c r="AD1" s="64">
        <v>4</v>
      </c>
      <c r="AE1" s="65">
        <v>5</v>
      </c>
      <c r="AF1" s="40"/>
      <c r="AG1" s="40"/>
      <c r="AH1" s="1"/>
      <c r="AI1" s="38"/>
    </row>
    <row r="2" spans="1:38">
      <c r="A2" s="6" t="s">
        <v>330</v>
      </c>
      <c r="B2" s="7"/>
      <c r="C2" s="7"/>
      <c r="D2" s="8">
        <v>14</v>
      </c>
      <c r="E2" s="9">
        <v>14</v>
      </c>
      <c r="F2" s="10" t="s">
        <v>107</v>
      </c>
      <c r="G2" s="11" t="s">
        <v>94</v>
      </c>
      <c r="H2" s="12" t="s">
        <v>99</v>
      </c>
      <c r="I2" s="12" t="s">
        <v>5</v>
      </c>
      <c r="J2" s="12" t="s">
        <v>62</v>
      </c>
      <c r="K2" s="12" t="s">
        <v>63</v>
      </c>
      <c r="L2" s="12" t="s">
        <v>331</v>
      </c>
      <c r="M2" s="12" t="s">
        <v>332</v>
      </c>
      <c r="N2" s="11" t="s">
        <v>333</v>
      </c>
      <c r="O2" s="11" t="s">
        <v>334</v>
      </c>
      <c r="P2" s="41" t="s">
        <v>335</v>
      </c>
      <c r="Q2" s="19" t="s">
        <v>336</v>
      </c>
      <c r="R2" s="41"/>
      <c r="S2" s="41"/>
      <c r="T2" s="12"/>
      <c r="U2" s="12"/>
      <c r="V2" s="47"/>
      <c r="W2" s="40"/>
      <c r="X2" s="48" t="s">
        <v>337</v>
      </c>
      <c r="Y2" s="66"/>
      <c r="Z2" s="67" t="s">
        <v>338</v>
      </c>
      <c r="AA2" s="66" t="s">
        <v>339</v>
      </c>
      <c r="AB2" s="66" t="s">
        <v>36</v>
      </c>
      <c r="AC2" s="66" t="s">
        <v>3</v>
      </c>
      <c r="AD2" s="67" t="s">
        <v>340</v>
      </c>
      <c r="AE2" s="68" t="s">
        <v>341</v>
      </c>
      <c r="AF2" s="40"/>
      <c r="AG2" s="40"/>
      <c r="AH2" s="1"/>
      <c r="AI2" s="38"/>
      <c r="AJ2" s="1"/>
      <c r="AK2" s="1"/>
      <c r="AL2" s="1"/>
    </row>
    <row r="3" spans="1:38">
      <c r="A3" s="13"/>
      <c r="B3" s="1"/>
      <c r="C3" s="1"/>
      <c r="D3" s="14"/>
      <c r="E3" s="15"/>
      <c r="F3" s="16">
        <v>30</v>
      </c>
      <c r="G3" s="3">
        <v>30</v>
      </c>
      <c r="H3" s="3">
        <v>35</v>
      </c>
      <c r="I3" s="3">
        <v>40</v>
      </c>
      <c r="J3" s="3">
        <v>40</v>
      </c>
      <c r="K3" s="3">
        <v>70</v>
      </c>
      <c r="L3" s="3">
        <v>30</v>
      </c>
      <c r="M3" s="3">
        <v>60</v>
      </c>
      <c r="N3" s="3">
        <v>30</v>
      </c>
      <c r="O3" s="3">
        <v>60</v>
      </c>
      <c r="P3" s="3">
        <v>60</v>
      </c>
      <c r="Q3" s="18">
        <v>50</v>
      </c>
      <c r="V3" s="49"/>
      <c r="W3" s="40"/>
      <c r="X3" s="48"/>
      <c r="Y3" s="66"/>
      <c r="Z3" s="67"/>
      <c r="AA3" s="66" t="s">
        <v>342</v>
      </c>
      <c r="AB3" s="66" t="s">
        <v>343</v>
      </c>
      <c r="AC3" s="66" t="s">
        <v>344</v>
      </c>
      <c r="AD3" s="67" t="s">
        <v>345</v>
      </c>
      <c r="AE3" s="68" t="s">
        <v>344</v>
      </c>
      <c r="AF3" s="40"/>
      <c r="AG3" s="40"/>
      <c r="AH3" s="1"/>
      <c r="AI3" s="1"/>
      <c r="AJ3" s="1"/>
      <c r="AK3" s="1"/>
      <c r="AL3" s="1"/>
    </row>
    <row r="4" spans="1:38">
      <c r="A4" s="6" t="s">
        <v>346</v>
      </c>
      <c r="B4" s="7"/>
      <c r="C4" s="7"/>
      <c r="D4" s="8">
        <v>11</v>
      </c>
      <c r="E4" s="9">
        <v>11</v>
      </c>
      <c r="F4" s="12" t="s">
        <v>215</v>
      </c>
      <c r="G4" s="12" t="s">
        <v>77</v>
      </c>
      <c r="H4" s="12" t="s">
        <v>347</v>
      </c>
      <c r="I4" s="41" t="s">
        <v>117</v>
      </c>
      <c r="J4" s="19" t="s">
        <v>9</v>
      </c>
      <c r="K4" s="19" t="s">
        <v>137</v>
      </c>
      <c r="L4" s="42" t="s">
        <v>348</v>
      </c>
      <c r="M4" s="42" t="s">
        <v>349</v>
      </c>
      <c r="N4" s="19" t="s">
        <v>6</v>
      </c>
      <c r="O4" s="42" t="s">
        <v>350</v>
      </c>
      <c r="P4" s="19" t="s">
        <v>351</v>
      </c>
      <c r="Q4" s="42" t="s">
        <v>352</v>
      </c>
      <c r="R4" s="42" t="s">
        <v>151</v>
      </c>
      <c r="S4" s="50" t="s">
        <v>150</v>
      </c>
      <c r="T4" s="41"/>
      <c r="U4" s="41"/>
      <c r="V4" s="51"/>
      <c r="W4" s="40"/>
      <c r="X4" s="48" t="s">
        <v>353</v>
      </c>
      <c r="Y4" s="66"/>
      <c r="Z4" s="67" t="s">
        <v>338</v>
      </c>
      <c r="AA4" s="67" t="s">
        <v>94</v>
      </c>
      <c r="AB4" s="67"/>
      <c r="AC4" s="67"/>
      <c r="AD4" s="67"/>
      <c r="AE4" s="68"/>
      <c r="AF4" s="40"/>
      <c r="AG4" s="40"/>
      <c r="AH4" s="1"/>
      <c r="AI4" s="1"/>
      <c r="AJ4" s="1"/>
      <c r="AK4" s="1"/>
      <c r="AL4" s="1"/>
    </row>
    <row r="5" spans="1:38">
      <c r="A5" s="13"/>
      <c r="B5" s="17"/>
      <c r="C5" s="17"/>
      <c r="D5" s="14"/>
      <c r="E5" s="15"/>
      <c r="F5" s="18">
        <v>30</v>
      </c>
      <c r="G5" s="18">
        <v>50</v>
      </c>
      <c r="H5" s="3">
        <v>50</v>
      </c>
      <c r="I5" s="32">
        <v>100</v>
      </c>
      <c r="J5" s="32">
        <v>70</v>
      </c>
      <c r="K5" s="32">
        <v>60</v>
      </c>
      <c r="L5" s="32">
        <v>90</v>
      </c>
      <c r="M5" s="32">
        <v>130</v>
      </c>
      <c r="N5" s="32">
        <v>120</v>
      </c>
      <c r="O5" s="32">
        <v>70</v>
      </c>
      <c r="P5" s="32">
        <v>50</v>
      </c>
      <c r="Q5" s="32">
        <v>90</v>
      </c>
      <c r="R5" s="32">
        <v>150</v>
      </c>
      <c r="S5" s="52">
        <v>200</v>
      </c>
      <c r="T5" s="43"/>
      <c r="U5" s="43"/>
      <c r="V5" s="53"/>
      <c r="W5" s="40"/>
      <c r="X5" s="48"/>
      <c r="Y5" s="66"/>
      <c r="Z5" s="67"/>
      <c r="AA5" s="67" t="s">
        <v>342</v>
      </c>
      <c r="AB5" s="67"/>
      <c r="AC5" s="67"/>
      <c r="AD5" s="67"/>
      <c r="AE5" s="68"/>
      <c r="AF5" s="40"/>
      <c r="AG5" s="40"/>
      <c r="AH5" s="1"/>
      <c r="AI5" s="1"/>
      <c r="AJ5" s="1"/>
      <c r="AK5" s="1"/>
      <c r="AL5" s="1"/>
    </row>
    <row r="6" spans="1:38">
      <c r="A6" s="6" t="s">
        <v>354</v>
      </c>
      <c r="B6" s="7"/>
      <c r="C6" s="7"/>
      <c r="D6" s="8">
        <v>3</v>
      </c>
      <c r="E6" s="9">
        <v>3</v>
      </c>
      <c r="F6" s="19" t="s">
        <v>193</v>
      </c>
      <c r="G6" s="19" t="s">
        <v>173</v>
      </c>
      <c r="H6" s="19" t="s">
        <v>355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49"/>
      <c r="W6" s="40"/>
      <c r="X6" s="48" t="s">
        <v>356</v>
      </c>
      <c r="Y6" s="66"/>
      <c r="Z6" s="67" t="s">
        <v>357</v>
      </c>
      <c r="AA6" s="67" t="s">
        <v>105</v>
      </c>
      <c r="AB6" s="67" t="s">
        <v>106</v>
      </c>
      <c r="AC6" s="67" t="s">
        <v>218</v>
      </c>
      <c r="AD6" s="67" t="s">
        <v>216</v>
      </c>
      <c r="AE6" s="68" t="s">
        <v>107</v>
      </c>
      <c r="AF6" s="40"/>
      <c r="AG6" s="40"/>
      <c r="AH6" s="1"/>
      <c r="AI6" s="1"/>
      <c r="AJ6" s="1"/>
      <c r="AK6" s="1"/>
      <c r="AL6" s="1"/>
    </row>
    <row r="7" spans="1:38">
      <c r="A7" s="13"/>
      <c r="B7" s="17"/>
      <c r="C7" s="17"/>
      <c r="D7" s="14"/>
      <c r="E7" s="15"/>
      <c r="F7" s="18">
        <v>30</v>
      </c>
      <c r="G7" s="18">
        <v>30</v>
      </c>
      <c r="H7" s="18">
        <v>200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49"/>
      <c r="W7" s="40"/>
      <c r="X7" s="48"/>
      <c r="Y7" s="66"/>
      <c r="Z7" s="67"/>
      <c r="AA7" s="67" t="s">
        <v>342</v>
      </c>
      <c r="AB7" s="67" t="s">
        <v>343</v>
      </c>
      <c r="AC7" s="67" t="s">
        <v>344</v>
      </c>
      <c r="AD7" s="67" t="s">
        <v>344</v>
      </c>
      <c r="AE7" s="68" t="s">
        <v>344</v>
      </c>
      <c r="AF7" s="40"/>
      <c r="AG7" s="40"/>
      <c r="AH7" s="1"/>
      <c r="AI7" s="1"/>
      <c r="AJ7" s="1"/>
      <c r="AK7" s="1"/>
      <c r="AL7" s="1"/>
    </row>
    <row r="8" spans="1:38">
      <c r="A8" s="6" t="s">
        <v>358</v>
      </c>
      <c r="B8" s="7"/>
      <c r="C8" s="7"/>
      <c r="D8" s="8">
        <v>10</v>
      </c>
      <c r="E8" s="9">
        <v>11</v>
      </c>
      <c r="F8" s="11" t="s">
        <v>105</v>
      </c>
      <c r="G8" s="20" t="s">
        <v>94</v>
      </c>
      <c r="H8" s="12" t="s">
        <v>36</v>
      </c>
      <c r="I8" s="12" t="s">
        <v>218</v>
      </c>
      <c r="J8" s="12" t="s">
        <v>216</v>
      </c>
      <c r="K8" s="11" t="s">
        <v>92</v>
      </c>
      <c r="L8" s="12" t="s">
        <v>35</v>
      </c>
      <c r="M8" s="12" t="s">
        <v>37</v>
      </c>
      <c r="N8" s="12" t="s">
        <v>217</v>
      </c>
      <c r="O8" s="12" t="s">
        <v>359</v>
      </c>
      <c r="P8" s="12" t="s">
        <v>2</v>
      </c>
      <c r="Q8" s="54"/>
      <c r="R8" s="54"/>
      <c r="S8" s="41"/>
      <c r="T8" s="12"/>
      <c r="U8" s="12"/>
      <c r="V8" s="55"/>
      <c r="W8" s="40"/>
      <c r="X8" s="48" t="s">
        <v>360</v>
      </c>
      <c r="Y8" s="66"/>
      <c r="Z8" s="67" t="s">
        <v>361</v>
      </c>
      <c r="AA8" s="67" t="s">
        <v>36</v>
      </c>
      <c r="AB8" s="67" t="s">
        <v>331</v>
      </c>
      <c r="AC8" s="67"/>
      <c r="AD8" s="67"/>
      <c r="AE8" s="68"/>
      <c r="AF8" s="40"/>
      <c r="AG8" s="40"/>
      <c r="AH8" s="38"/>
      <c r="AI8" s="1"/>
      <c r="AJ8" s="1"/>
      <c r="AK8" s="1"/>
      <c r="AL8" s="1"/>
    </row>
    <row r="9" spans="1:38">
      <c r="A9" s="13"/>
      <c r="B9" s="17"/>
      <c r="C9" s="17"/>
      <c r="D9" s="14"/>
      <c r="E9" s="15"/>
      <c r="F9" s="21">
        <v>20</v>
      </c>
      <c r="G9" s="22">
        <v>30</v>
      </c>
      <c r="H9" s="18">
        <v>20</v>
      </c>
      <c r="I9" s="18">
        <v>30</v>
      </c>
      <c r="J9" s="18">
        <v>30</v>
      </c>
      <c r="K9" s="18">
        <v>30</v>
      </c>
      <c r="L9" s="18">
        <v>40</v>
      </c>
      <c r="M9" s="18">
        <v>40</v>
      </c>
      <c r="N9" s="18">
        <v>50</v>
      </c>
      <c r="O9" s="18">
        <v>80</v>
      </c>
      <c r="P9" s="18">
        <v>40</v>
      </c>
      <c r="U9" s="18"/>
      <c r="V9" s="56"/>
      <c r="W9" s="40"/>
      <c r="X9" s="48"/>
      <c r="Y9" s="66"/>
      <c r="Z9" s="67"/>
      <c r="AA9" s="67" t="s">
        <v>342</v>
      </c>
      <c r="AB9" s="67" t="s">
        <v>344</v>
      </c>
      <c r="AC9" s="67"/>
      <c r="AD9" s="67"/>
      <c r="AE9" s="68"/>
      <c r="AF9" s="40"/>
      <c r="AG9" s="40"/>
      <c r="AH9" s="1"/>
      <c r="AI9" s="1"/>
      <c r="AJ9" s="1"/>
      <c r="AK9" s="1"/>
      <c r="AL9" s="1"/>
    </row>
    <row r="10" spans="1:38">
      <c r="A10" s="6" t="s">
        <v>362</v>
      </c>
      <c r="B10" s="7"/>
      <c r="C10" s="7"/>
      <c r="D10" s="8">
        <v>2</v>
      </c>
      <c r="E10" s="9">
        <v>2</v>
      </c>
      <c r="F10" s="12" t="s">
        <v>339</v>
      </c>
      <c r="G10" s="12" t="s">
        <v>51</v>
      </c>
      <c r="H10" s="12"/>
      <c r="I10" s="12"/>
      <c r="J10" s="12"/>
      <c r="K10" s="12"/>
      <c r="L10" s="12"/>
      <c r="M10" s="12"/>
      <c r="N10" s="41"/>
      <c r="O10" s="12"/>
      <c r="P10" s="12"/>
      <c r="Q10" s="12"/>
      <c r="R10" s="12"/>
      <c r="S10" s="12"/>
      <c r="T10" s="12"/>
      <c r="U10" s="12"/>
      <c r="V10" s="47"/>
      <c r="W10" s="40"/>
      <c r="X10" s="48" t="s">
        <v>363</v>
      </c>
      <c r="Y10" s="66"/>
      <c r="Z10" s="67" t="s">
        <v>364</v>
      </c>
      <c r="AA10" s="67" t="s">
        <v>339</v>
      </c>
      <c r="AB10" s="67" t="s">
        <v>333</v>
      </c>
      <c r="AC10" s="67"/>
      <c r="AD10" s="67"/>
      <c r="AE10" s="68"/>
      <c r="AF10" s="40"/>
      <c r="AG10" s="40"/>
      <c r="AH10" s="1"/>
      <c r="AI10" s="1"/>
      <c r="AJ10" s="1"/>
      <c r="AK10" s="1"/>
      <c r="AL10" s="1"/>
    </row>
    <row r="11" spans="1:38">
      <c r="A11" s="23"/>
      <c r="B11" s="24"/>
      <c r="C11" s="24"/>
      <c r="D11" s="25"/>
      <c r="E11" s="15"/>
      <c r="F11" s="26">
        <v>20</v>
      </c>
      <c r="G11" s="26">
        <v>40</v>
      </c>
      <c r="H11" s="26"/>
      <c r="I11" s="26"/>
      <c r="J11" s="26"/>
      <c r="K11" s="26"/>
      <c r="L11" s="26"/>
      <c r="M11" s="26"/>
      <c r="N11" s="43"/>
      <c r="O11" s="26"/>
      <c r="P11" s="26"/>
      <c r="Q11" s="26"/>
      <c r="R11" s="26"/>
      <c r="S11" s="26"/>
      <c r="T11" s="26"/>
      <c r="U11" s="26"/>
      <c r="V11" s="57"/>
      <c r="W11" s="40"/>
      <c r="X11" s="48"/>
      <c r="Y11" s="66"/>
      <c r="Z11" s="67"/>
      <c r="AA11" s="67" t="s">
        <v>342</v>
      </c>
      <c r="AB11" s="67" t="s">
        <v>344</v>
      </c>
      <c r="AC11" s="67"/>
      <c r="AD11" s="67"/>
      <c r="AE11" s="68"/>
      <c r="AF11" s="40"/>
      <c r="AG11" s="40"/>
      <c r="AH11" s="1"/>
      <c r="AI11" s="1"/>
      <c r="AJ11" s="1"/>
      <c r="AK11" s="1"/>
      <c r="AL11" s="1"/>
    </row>
    <row r="12" spans="1:38">
      <c r="A12" s="27" t="s">
        <v>365</v>
      </c>
      <c r="B12" s="17"/>
      <c r="C12" s="17"/>
      <c r="D12" s="14">
        <v>1</v>
      </c>
      <c r="E12" s="9">
        <v>1</v>
      </c>
      <c r="F12" s="28" t="s">
        <v>106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58"/>
      <c r="T12" s="18"/>
      <c r="U12" s="18"/>
      <c r="V12" s="59"/>
      <c r="W12" s="40"/>
      <c r="X12" s="48" t="s">
        <v>366</v>
      </c>
      <c r="Y12" s="66"/>
      <c r="Z12" s="67" t="s">
        <v>367</v>
      </c>
      <c r="AA12" s="67" t="s">
        <v>333</v>
      </c>
      <c r="AB12" s="67" t="s">
        <v>62</v>
      </c>
      <c r="AC12" s="67"/>
      <c r="AD12" s="67"/>
      <c r="AE12" s="68"/>
      <c r="AF12" s="40"/>
      <c r="AG12" s="40"/>
      <c r="AH12" s="1"/>
      <c r="AI12" s="1"/>
      <c r="AJ12" s="1"/>
      <c r="AK12" s="1"/>
      <c r="AL12" s="1"/>
    </row>
    <row r="13" spans="1:38">
      <c r="A13" s="29"/>
      <c r="B13" s="30"/>
      <c r="C13" s="30"/>
      <c r="D13" s="31"/>
      <c r="E13" s="15"/>
      <c r="F13" s="32">
        <v>20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60"/>
      <c r="W13" s="40"/>
      <c r="X13" s="48"/>
      <c r="Y13" s="66"/>
      <c r="Z13" s="67"/>
      <c r="AA13" s="67" t="s">
        <v>342</v>
      </c>
      <c r="AB13" s="67" t="s">
        <v>368</v>
      </c>
      <c r="AC13" s="67"/>
      <c r="AD13" s="67"/>
      <c r="AE13" s="68"/>
      <c r="AF13" s="40"/>
      <c r="AG13" s="40"/>
      <c r="AH13" s="1"/>
      <c r="AI13" s="1"/>
      <c r="AJ13" s="1"/>
      <c r="AK13" s="1"/>
      <c r="AL13" s="1"/>
    </row>
    <row r="14" spans="1:38">
      <c r="A14" s="27" t="s">
        <v>369</v>
      </c>
      <c r="B14" s="1"/>
      <c r="C14" s="1"/>
      <c r="D14" s="14">
        <v>8</v>
      </c>
      <c r="E14" s="9">
        <v>8</v>
      </c>
      <c r="F14" s="3" t="s">
        <v>3</v>
      </c>
      <c r="G14" s="3" t="s">
        <v>370</v>
      </c>
      <c r="H14" s="3" t="s">
        <v>4</v>
      </c>
      <c r="I14" s="3" t="s">
        <v>371</v>
      </c>
      <c r="J14" s="3" t="s">
        <v>372</v>
      </c>
      <c r="K14" s="39" t="s">
        <v>373</v>
      </c>
      <c r="L14" s="3" t="s">
        <v>7</v>
      </c>
      <c r="M14" s="39" t="s">
        <v>70</v>
      </c>
      <c r="V14" s="59"/>
      <c r="W14" s="40"/>
      <c r="X14" s="48" t="s">
        <v>374</v>
      </c>
      <c r="Y14" s="66"/>
      <c r="Z14" s="67" t="s">
        <v>375</v>
      </c>
      <c r="AA14" s="67" t="s">
        <v>332</v>
      </c>
      <c r="AB14" s="67" t="s">
        <v>334</v>
      </c>
      <c r="AC14" s="67" t="s">
        <v>376</v>
      </c>
      <c r="AD14" s="67" t="s">
        <v>377</v>
      </c>
      <c r="AE14" s="68"/>
      <c r="AF14" s="40"/>
      <c r="AG14" s="40"/>
      <c r="AH14" s="1"/>
      <c r="AI14" s="1"/>
      <c r="AJ14" s="1"/>
      <c r="AK14" s="1"/>
      <c r="AL14" s="1"/>
    </row>
    <row r="15" spans="1:38">
      <c r="A15" s="29"/>
      <c r="B15" s="30"/>
      <c r="C15" s="30"/>
      <c r="D15" s="31"/>
      <c r="E15" s="15"/>
      <c r="F15" s="32">
        <v>30</v>
      </c>
      <c r="G15" s="32">
        <v>50</v>
      </c>
      <c r="H15" s="32">
        <v>40</v>
      </c>
      <c r="I15" s="32">
        <v>40</v>
      </c>
      <c r="J15" s="32">
        <v>50</v>
      </c>
      <c r="K15" s="32">
        <v>100</v>
      </c>
      <c r="L15" s="32">
        <v>80</v>
      </c>
      <c r="M15" s="32">
        <v>80</v>
      </c>
      <c r="N15" s="43"/>
      <c r="O15" s="32"/>
      <c r="P15" s="32"/>
      <c r="Q15" s="32"/>
      <c r="R15" s="32"/>
      <c r="S15" s="32"/>
      <c r="T15" s="32"/>
      <c r="U15" s="32"/>
      <c r="V15" s="60"/>
      <c r="W15" s="40"/>
      <c r="X15" s="48"/>
      <c r="Y15" s="66"/>
      <c r="Z15" s="67"/>
      <c r="AA15" s="67" t="s">
        <v>342</v>
      </c>
      <c r="AB15" s="67" t="s">
        <v>343</v>
      </c>
      <c r="AC15" s="67" t="s">
        <v>378</v>
      </c>
      <c r="AD15" s="67" t="s">
        <v>368</v>
      </c>
      <c r="AE15" s="68"/>
      <c r="AF15" s="40"/>
      <c r="AG15" s="40"/>
      <c r="AH15" s="1"/>
      <c r="AI15" s="1"/>
      <c r="AJ15" s="1"/>
      <c r="AK15" s="1"/>
      <c r="AL15" s="1"/>
    </row>
    <row r="16" spans="1:38">
      <c r="A16" s="27" t="s">
        <v>379</v>
      </c>
      <c r="B16" s="1"/>
      <c r="C16" s="1"/>
      <c r="D16" s="14">
        <v>0</v>
      </c>
      <c r="E16" s="9">
        <v>11</v>
      </c>
      <c r="F16" s="33" t="s">
        <v>117</v>
      </c>
      <c r="G16" s="34" t="s">
        <v>380</v>
      </c>
      <c r="H16" s="34" t="s">
        <v>381</v>
      </c>
      <c r="I16" s="44" t="s">
        <v>382</v>
      </c>
      <c r="J16" s="44" t="s">
        <v>383</v>
      </c>
      <c r="K16" s="44" t="s">
        <v>350</v>
      </c>
      <c r="L16" s="44" t="s">
        <v>352</v>
      </c>
      <c r="M16" s="44" t="s">
        <v>151</v>
      </c>
      <c r="N16" s="44" t="s">
        <v>150</v>
      </c>
      <c r="O16" s="33" t="s">
        <v>7</v>
      </c>
      <c r="P16" s="36" t="s">
        <v>70</v>
      </c>
      <c r="V16" s="59"/>
      <c r="W16" s="40"/>
      <c r="X16" s="48" t="s">
        <v>384</v>
      </c>
      <c r="Y16" s="66"/>
      <c r="Z16" s="67" t="s">
        <v>385</v>
      </c>
      <c r="AA16" s="67" t="s">
        <v>218</v>
      </c>
      <c r="AB16" s="67" t="s">
        <v>216</v>
      </c>
      <c r="AC16" s="67" t="s">
        <v>107</v>
      </c>
      <c r="AD16" s="67" t="s">
        <v>92</v>
      </c>
      <c r="AE16" s="68"/>
      <c r="AF16" s="40"/>
      <c r="AG16" s="40"/>
      <c r="AH16" s="1"/>
      <c r="AI16" s="1"/>
      <c r="AJ16" s="1"/>
      <c r="AK16" s="1"/>
      <c r="AL16" s="1"/>
    </row>
    <row r="17" spans="1:38">
      <c r="A17" s="29"/>
      <c r="B17" s="30"/>
      <c r="C17" s="30"/>
      <c r="D17" s="31"/>
      <c r="E17" s="15"/>
      <c r="F17" s="35">
        <v>100</v>
      </c>
      <c r="G17" s="35">
        <v>90</v>
      </c>
      <c r="H17" s="35">
        <v>120</v>
      </c>
      <c r="I17" s="35">
        <v>90</v>
      </c>
      <c r="J17" s="35">
        <v>130</v>
      </c>
      <c r="K17" s="35">
        <v>70</v>
      </c>
      <c r="L17" s="35">
        <v>90</v>
      </c>
      <c r="M17" s="35">
        <v>150</v>
      </c>
      <c r="N17" s="35">
        <v>200</v>
      </c>
      <c r="O17" s="35">
        <v>80</v>
      </c>
      <c r="P17" s="35">
        <v>80</v>
      </c>
      <c r="Q17" s="43"/>
      <c r="R17" s="32"/>
      <c r="S17" s="32"/>
      <c r="T17" s="32"/>
      <c r="U17" s="32"/>
      <c r="V17" s="60"/>
      <c r="W17" s="40"/>
      <c r="X17" s="48"/>
      <c r="Y17" s="66"/>
      <c r="Z17" s="67"/>
      <c r="AA17" s="67" t="s">
        <v>342</v>
      </c>
      <c r="AB17" s="67" t="s">
        <v>343</v>
      </c>
      <c r="AC17" s="67" t="s">
        <v>343</v>
      </c>
      <c r="AD17" s="67" t="s">
        <v>343</v>
      </c>
      <c r="AE17" s="68"/>
      <c r="AF17" s="40"/>
      <c r="AG17" s="40"/>
      <c r="AH17" s="1"/>
      <c r="AI17" s="1"/>
      <c r="AJ17" s="1"/>
      <c r="AK17" s="1"/>
      <c r="AL17" s="1"/>
    </row>
    <row r="18" spans="1:38">
      <c r="A18" s="27" t="s">
        <v>386</v>
      </c>
      <c r="B18" s="1"/>
      <c r="C18" s="1"/>
      <c r="D18" s="14">
        <v>0</v>
      </c>
      <c r="E18" s="9">
        <v>1</v>
      </c>
      <c r="F18" s="36" t="s">
        <v>211</v>
      </c>
      <c r="V18" s="59"/>
      <c r="W18" s="40"/>
      <c r="X18" s="48" t="s">
        <v>387</v>
      </c>
      <c r="Y18" s="66"/>
      <c r="Z18" s="67" t="s">
        <v>375</v>
      </c>
      <c r="AA18" s="67" t="s">
        <v>217</v>
      </c>
      <c r="AB18" s="67" t="s">
        <v>359</v>
      </c>
      <c r="AC18" s="67"/>
      <c r="AD18" s="67"/>
      <c r="AE18" s="69"/>
      <c r="AF18" s="1"/>
      <c r="AG18" s="1"/>
      <c r="AH18" s="1"/>
      <c r="AI18" s="1"/>
      <c r="AJ18" s="1"/>
      <c r="AK18" s="1"/>
      <c r="AL18" s="1"/>
    </row>
    <row r="19" spans="1:38">
      <c r="A19" s="29"/>
      <c r="B19" s="30"/>
      <c r="C19" s="30"/>
      <c r="D19" s="31"/>
      <c r="E19" s="15"/>
      <c r="F19" s="35">
        <v>40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60"/>
      <c r="W19" s="40"/>
      <c r="X19" s="48"/>
      <c r="Y19" s="66"/>
      <c r="Z19" s="67"/>
      <c r="AA19" s="67" t="s">
        <v>342</v>
      </c>
      <c r="AB19" s="67" t="s">
        <v>344</v>
      </c>
      <c r="AC19" s="67"/>
      <c r="AD19" s="67"/>
      <c r="AE19" s="69"/>
      <c r="AF19" s="1"/>
      <c r="AG19" s="1"/>
      <c r="AH19" s="1"/>
      <c r="AI19" s="1"/>
      <c r="AJ19" s="1"/>
      <c r="AK19" s="1"/>
      <c r="AL19" s="1"/>
    </row>
    <row r="20" spans="1:38">
      <c r="A20" s="27" t="s">
        <v>388</v>
      </c>
      <c r="B20" s="1"/>
      <c r="C20" s="1"/>
      <c r="D20" s="14">
        <f>SUM(D2:D19)</f>
        <v>49</v>
      </c>
      <c r="E20" s="9">
        <f>SUM(E2:E19)</f>
        <v>62</v>
      </c>
      <c r="F20" s="1" t="s">
        <v>389</v>
      </c>
      <c r="G20" s="1"/>
      <c r="H20" s="1"/>
      <c r="I20" s="1"/>
      <c r="J20" s="45"/>
      <c r="K20" s="3" t="s">
        <v>390</v>
      </c>
      <c r="V20" s="61"/>
      <c r="W20" s="40"/>
      <c r="X20" s="48" t="s">
        <v>193</v>
      </c>
      <c r="Y20" s="66"/>
      <c r="Z20" s="67" t="s">
        <v>391</v>
      </c>
      <c r="AA20" s="67" t="s">
        <v>193</v>
      </c>
      <c r="AB20" s="67"/>
      <c r="AC20" s="67"/>
      <c r="AD20" s="67"/>
      <c r="AE20" s="69"/>
      <c r="AF20" s="1"/>
      <c r="AG20" s="1"/>
      <c r="AH20" s="1"/>
      <c r="AI20" s="1"/>
      <c r="AJ20" s="1"/>
      <c r="AK20" s="1"/>
      <c r="AL20" s="1"/>
    </row>
    <row r="21" spans="1:38">
      <c r="A21" s="29"/>
      <c r="B21" s="30"/>
      <c r="C21" s="30"/>
      <c r="D21" s="31"/>
      <c r="E21" s="15"/>
      <c r="F21" s="37"/>
      <c r="G21" s="37"/>
      <c r="H21" s="37"/>
      <c r="I21" s="37"/>
      <c r="J21" s="15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60"/>
      <c r="W21" s="40"/>
      <c r="X21" s="48"/>
      <c r="Y21" s="66"/>
      <c r="Z21" s="67"/>
      <c r="AA21" s="67" t="s">
        <v>342</v>
      </c>
      <c r="AB21" s="67"/>
      <c r="AC21" s="67"/>
      <c r="AD21" s="67"/>
      <c r="AE21" s="69"/>
      <c r="AF21" s="1"/>
      <c r="AG21" s="1"/>
      <c r="AH21" s="1"/>
      <c r="AI21" s="1"/>
      <c r="AJ21" s="1"/>
      <c r="AK21" s="1"/>
      <c r="AL21" s="1"/>
    </row>
    <row r="22" spans="24:32">
      <c r="X22" s="48" t="s">
        <v>392</v>
      </c>
      <c r="Y22" s="66"/>
      <c r="Z22" s="67" t="s">
        <v>375</v>
      </c>
      <c r="AA22" s="67" t="s">
        <v>173</v>
      </c>
      <c r="AB22" s="67" t="s">
        <v>193</v>
      </c>
      <c r="AC22" s="67" t="s">
        <v>348</v>
      </c>
      <c r="AD22" s="67"/>
      <c r="AE22" s="69"/>
      <c r="AF22" s="39"/>
    </row>
    <row r="23" spans="5:31">
      <c r="E23" s="38"/>
      <c r="F23" s="39"/>
      <c r="X23" s="48"/>
      <c r="Y23" s="66"/>
      <c r="Z23" s="67"/>
      <c r="AA23" s="67" t="s">
        <v>342</v>
      </c>
      <c r="AB23" s="67" t="s">
        <v>343</v>
      </c>
      <c r="AC23" s="67" t="s">
        <v>393</v>
      </c>
      <c r="AD23" s="67"/>
      <c r="AE23" s="69"/>
    </row>
    <row r="24" spans="24:31">
      <c r="X24" s="48" t="s">
        <v>394</v>
      </c>
      <c r="Y24" s="66"/>
      <c r="Z24" s="67" t="s">
        <v>385</v>
      </c>
      <c r="AA24" s="67" t="s">
        <v>173</v>
      </c>
      <c r="AB24" s="67" t="s">
        <v>193</v>
      </c>
      <c r="AC24" s="67" t="s">
        <v>335</v>
      </c>
      <c r="AD24" s="67"/>
      <c r="AE24" s="69"/>
    </row>
    <row r="25" spans="24:31">
      <c r="X25" s="48"/>
      <c r="Y25" s="66"/>
      <c r="Z25" s="67"/>
      <c r="AA25" s="67" t="s">
        <v>342</v>
      </c>
      <c r="AB25" s="67" t="s">
        <v>343</v>
      </c>
      <c r="AC25" s="67" t="s">
        <v>393</v>
      </c>
      <c r="AD25" s="67"/>
      <c r="AE25" s="69"/>
    </row>
    <row r="26" spans="24:31">
      <c r="X26" s="48" t="s">
        <v>395</v>
      </c>
      <c r="Y26" s="66"/>
      <c r="Z26" s="67" t="s">
        <v>396</v>
      </c>
      <c r="AA26" s="67" t="s">
        <v>193</v>
      </c>
      <c r="AB26" s="67" t="s">
        <v>355</v>
      </c>
      <c r="AC26" s="67"/>
      <c r="AD26" s="67"/>
      <c r="AE26" s="69"/>
    </row>
    <row r="27" spans="24:31">
      <c r="X27" s="62"/>
      <c r="Y27" s="70"/>
      <c r="Z27" s="71"/>
      <c r="AA27" s="71" t="s">
        <v>342</v>
      </c>
      <c r="AB27" s="71" t="s">
        <v>397</v>
      </c>
      <c r="AC27" s="71"/>
      <c r="AD27" s="71"/>
      <c r="AE27" s="72"/>
    </row>
    <row r="31" spans="15:15">
      <c r="O31" s="16"/>
    </row>
    <row r="32" spans="4:4">
      <c r="D32" s="40"/>
    </row>
    <row r="33" spans="4:4">
      <c r="D33" s="40"/>
    </row>
    <row r="34" spans="4:4">
      <c r="D34" s="40"/>
    </row>
    <row r="35" spans="4:4">
      <c r="D35" s="40"/>
    </row>
    <row r="36" spans="4:4">
      <c r="D36" s="40"/>
    </row>
    <row r="37" spans="4:4">
      <c r="D37" s="40"/>
    </row>
    <row r="38" spans="4:4">
      <c r="D38" s="40"/>
    </row>
    <row r="39" spans="4:4">
      <c r="D39" s="40"/>
    </row>
    <row r="40" spans="4:4">
      <c r="D40" s="40"/>
    </row>
    <row r="41" spans="4:4">
      <c r="D41" s="40"/>
    </row>
    <row r="42" spans="4:4">
      <c r="D42" s="40"/>
    </row>
    <row r="43" spans="4:4">
      <c r="D43" s="40"/>
    </row>
    <row r="44" spans="4:4">
      <c r="D44" s="40"/>
    </row>
    <row r="45" spans="4:4">
      <c r="D45" s="40"/>
    </row>
    <row r="46" spans="4:4">
      <c r="D46" s="40"/>
    </row>
    <row r="47" spans="4:4">
      <c r="D47" s="40"/>
    </row>
    <row r="48" spans="4:4">
      <c r="D48" s="40"/>
    </row>
    <row r="49" spans="4:4">
      <c r="D49" s="40"/>
    </row>
    <row r="50" spans="4:4">
      <c r="D50" s="40"/>
    </row>
    <row r="51" spans="4:4">
      <c r="D51" s="40"/>
    </row>
    <row r="52" spans="4:4">
      <c r="D52" s="40"/>
    </row>
    <row r="53" spans="4:4">
      <c r="D53" s="40"/>
    </row>
    <row r="54" spans="4:4">
      <c r="D54" s="40"/>
    </row>
    <row r="55" spans="4:4">
      <c r="D55" s="40"/>
    </row>
  </sheetData>
  <sheetProtection formatCells="0" insertHyperlinks="0" autoFilter="0"/>
  <mergeCells count="61">
    <mergeCell ref="A1:C1"/>
    <mergeCell ref="X1:Y1"/>
    <mergeCell ref="K20:V20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W1:W21"/>
    <mergeCell ref="Z2:Z3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Z22:Z23"/>
    <mergeCell ref="Z24:Z25"/>
    <mergeCell ref="Z26:Z27"/>
    <mergeCell ref="A2:C3"/>
    <mergeCell ref="A4:C5"/>
    <mergeCell ref="A6:C7"/>
    <mergeCell ref="A8:C9"/>
    <mergeCell ref="A10:C11"/>
    <mergeCell ref="A12:C13"/>
    <mergeCell ref="A14:C15"/>
    <mergeCell ref="A16:C17"/>
    <mergeCell ref="A18:C19"/>
    <mergeCell ref="A20:C21"/>
    <mergeCell ref="F20:J21"/>
    <mergeCell ref="X2:Y3"/>
    <mergeCell ref="X4:Y5"/>
    <mergeCell ref="X6:Y7"/>
    <mergeCell ref="X8:Y9"/>
    <mergeCell ref="X10:Y11"/>
    <mergeCell ref="X12:Y13"/>
    <mergeCell ref="X14:Y15"/>
    <mergeCell ref="X16:Y17"/>
    <mergeCell ref="X18:Y19"/>
    <mergeCell ref="X20:Y21"/>
    <mergeCell ref="X22:Y23"/>
    <mergeCell ref="X24:Y25"/>
    <mergeCell ref="X26:Y27"/>
  </mergeCells>
  <pageMargins left="0.699305555555556" right="0.699305555555556" top="0.75" bottom="0.75" header="0.3" footer="0.3"/>
  <pageSetup paperSize="9" orientation="portrait"/>
  <headerFooter/>
  <ignoredErrors>
    <ignoredError sqref="AB19 AB23:AC27 AB15:AD17 AB13 AB11 AB9 AD5:AE5 AB6:AE7 AB3:AE3" numberStoredAsText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1:P1"/>
  <sheetViews>
    <sheetView workbookViewId="0">
      <selection activeCell="M8" sqref="M8"/>
    </sheetView>
  </sheetViews>
  <sheetFormatPr defaultColWidth="9" defaultRowHeight="13.5"/>
  <sheetData>
    <row r="1" ht="18" spans="14:16">
      <c r="N1" s="1" t="s">
        <v>398</v>
      </c>
      <c r="O1" s="2"/>
      <c r="P1" s="2"/>
    </row>
  </sheetData>
  <mergeCells count="1">
    <mergeCell ref="N1:P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工厂</vt:lpstr>
      <vt:lpstr>基础设施与城镇中心</vt:lpstr>
      <vt:lpstr>农场与自给</vt:lpstr>
      <vt:lpstr>种植园</vt:lpstr>
      <vt:lpstr>政府建筑</vt:lpstr>
      <vt:lpstr>矿业建筑</vt:lpstr>
      <vt:lpstr>商品</vt:lpstr>
      <vt:lpstr>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2022-04-29T12:06:00Z</dcterms:created>
  <dcterms:modified xsi:type="dcterms:W3CDTF">2022-06-25T03:55:35Z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FE8F86231A034EEC93D935801EF89E67</vt:lpwstr>
  </property>
  <property fmtid="{D5CDD505-2E9C-101B-9397-08002B2CF9AE}" pid="3" name="KSOProductBuildVer">
    <vt:lpwstr>2052-10.1.0.7698</vt:lpwstr>
  </property>
</Properties>
</file>