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Users\Yuman\Desktop\MasterProject\results\"/>
    </mc:Choice>
  </mc:AlternateContent>
  <xr:revisionPtr revIDLastSave="0" documentId="13_ncr:1_{43663F3C-827E-4CFC-9075-B9C0B4487505}" xr6:coauthVersionLast="47" xr6:coauthVersionMax="47" xr10:uidLastSave="{00000000-0000-0000-0000-000000000000}"/>
  <bookViews>
    <workbookView xWindow="7200" yWindow="2085" windowWidth="21600" windowHeight="11385" xr2:uid="{00000000-000D-0000-FFFF-FFFF00000000}"/>
  </bookViews>
  <sheets>
    <sheet name="Overview" sheetId="1" r:id="rId1"/>
  </sheets>
  <definedNames>
    <definedName name="_xlnm._FilterDatabase" localSheetId="0" hidden="1">Overview!$A$1:$S$111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11" i="1" l="1"/>
  <c r="K111" i="1"/>
  <c r="J111" i="1"/>
  <c r="L110" i="1"/>
  <c r="K110" i="1"/>
  <c r="J110" i="1"/>
  <c r="L109" i="1"/>
  <c r="K109" i="1"/>
  <c r="J109" i="1"/>
  <c r="L108" i="1"/>
  <c r="K108" i="1"/>
  <c r="J108" i="1"/>
  <c r="L107" i="1"/>
  <c r="K107" i="1"/>
  <c r="J107" i="1"/>
  <c r="L106" i="1"/>
  <c r="K106" i="1"/>
  <c r="J106" i="1"/>
  <c r="L105" i="1"/>
  <c r="K105" i="1"/>
  <c r="J105" i="1"/>
  <c r="L104" i="1"/>
  <c r="K104" i="1"/>
  <c r="J104" i="1"/>
  <c r="L103" i="1"/>
  <c r="K103" i="1"/>
  <c r="J103" i="1"/>
  <c r="L102" i="1"/>
  <c r="K102" i="1"/>
  <c r="J102" i="1"/>
  <c r="L101" i="1"/>
  <c r="K101" i="1"/>
  <c r="J101" i="1"/>
  <c r="K100" i="1"/>
  <c r="J100" i="1"/>
  <c r="L99" i="1"/>
  <c r="K99" i="1"/>
  <c r="J99" i="1"/>
  <c r="L98" i="1"/>
  <c r="K98" i="1"/>
  <c r="J98" i="1"/>
  <c r="L97" i="1"/>
  <c r="K97" i="1"/>
  <c r="J97" i="1"/>
  <c r="L96" i="1"/>
  <c r="K96" i="1"/>
  <c r="J96" i="1"/>
  <c r="L95" i="1"/>
  <c r="K95" i="1"/>
  <c r="J95" i="1"/>
  <c r="L94" i="1"/>
  <c r="K94" i="1"/>
  <c r="J94" i="1"/>
  <c r="L93" i="1"/>
  <c r="K93" i="1"/>
  <c r="J93" i="1"/>
  <c r="L92" i="1"/>
  <c r="K92" i="1"/>
  <c r="J92" i="1"/>
  <c r="L91" i="1"/>
  <c r="K91" i="1"/>
  <c r="J91" i="1"/>
  <c r="L90" i="1"/>
  <c r="K90" i="1"/>
  <c r="J90" i="1"/>
  <c r="L89" i="1"/>
  <c r="K89" i="1"/>
  <c r="J89" i="1"/>
  <c r="L88" i="1"/>
  <c r="K88" i="1"/>
  <c r="J88" i="1"/>
  <c r="L87" i="1"/>
  <c r="K87" i="1"/>
  <c r="J87" i="1"/>
  <c r="L86" i="1"/>
  <c r="K86" i="1"/>
  <c r="J86" i="1"/>
  <c r="L85" i="1"/>
  <c r="K85" i="1"/>
  <c r="J85" i="1"/>
  <c r="L84" i="1"/>
  <c r="K84" i="1"/>
  <c r="J84" i="1"/>
  <c r="L83" i="1"/>
  <c r="K83" i="1"/>
  <c r="J83" i="1"/>
  <c r="L82" i="1"/>
  <c r="K82" i="1"/>
  <c r="J82" i="1"/>
  <c r="L81" i="1"/>
  <c r="K81" i="1"/>
  <c r="J81" i="1"/>
  <c r="L80" i="1"/>
  <c r="K80" i="1"/>
  <c r="J80" i="1"/>
  <c r="L79" i="1"/>
  <c r="K79" i="1"/>
  <c r="J79" i="1"/>
  <c r="L78" i="1"/>
  <c r="K78" i="1"/>
  <c r="J78" i="1"/>
  <c r="L77" i="1"/>
  <c r="K77" i="1"/>
  <c r="J77" i="1"/>
  <c r="L76" i="1"/>
  <c r="K76" i="1"/>
  <c r="J76" i="1"/>
  <c r="L75" i="1"/>
  <c r="K75" i="1"/>
  <c r="J75" i="1"/>
  <c r="L74" i="1"/>
  <c r="K74" i="1"/>
  <c r="J74" i="1"/>
  <c r="L73" i="1"/>
  <c r="K73" i="1"/>
  <c r="J73" i="1"/>
  <c r="L72" i="1"/>
  <c r="K72" i="1"/>
  <c r="J72" i="1"/>
  <c r="L71" i="1"/>
  <c r="K71" i="1"/>
  <c r="J71" i="1"/>
  <c r="L70" i="1"/>
  <c r="K70" i="1"/>
  <c r="J70" i="1"/>
  <c r="L69" i="1"/>
  <c r="K69" i="1"/>
  <c r="J69" i="1"/>
  <c r="L68" i="1"/>
  <c r="K68" i="1"/>
  <c r="J68" i="1"/>
  <c r="L67" i="1"/>
  <c r="K67" i="1"/>
  <c r="J67" i="1"/>
  <c r="L66" i="1"/>
  <c r="K66" i="1"/>
  <c r="J66" i="1"/>
  <c r="L65" i="1"/>
  <c r="K65" i="1"/>
  <c r="J65" i="1"/>
  <c r="L64" i="1"/>
  <c r="K64" i="1"/>
  <c r="J64" i="1"/>
  <c r="L63" i="1"/>
  <c r="K63" i="1"/>
  <c r="J63" i="1"/>
  <c r="L62" i="1"/>
  <c r="K62" i="1"/>
  <c r="J62" i="1"/>
  <c r="L61" i="1"/>
  <c r="K61" i="1"/>
  <c r="J61" i="1"/>
  <c r="L60" i="1"/>
  <c r="K60" i="1"/>
  <c r="J60" i="1"/>
  <c r="K59" i="1"/>
  <c r="J59" i="1"/>
  <c r="K58" i="1"/>
  <c r="J58" i="1"/>
  <c r="K57" i="1"/>
  <c r="J57" i="1"/>
  <c r="K56" i="1"/>
  <c r="J56" i="1"/>
  <c r="L55" i="1"/>
  <c r="K55" i="1"/>
  <c r="J55" i="1"/>
  <c r="L54" i="1"/>
  <c r="K54" i="1"/>
  <c r="J54" i="1"/>
  <c r="L53" i="1"/>
  <c r="K53" i="1"/>
  <c r="J53" i="1"/>
  <c r="L52" i="1"/>
  <c r="K52" i="1"/>
  <c r="J52" i="1"/>
  <c r="K51" i="1"/>
  <c r="J51" i="1"/>
  <c r="L50" i="1"/>
  <c r="K50" i="1"/>
  <c r="J50" i="1"/>
  <c r="L49" i="1"/>
  <c r="K49" i="1"/>
  <c r="J49" i="1"/>
  <c r="L48" i="1"/>
  <c r="K48" i="1"/>
  <c r="J48" i="1"/>
  <c r="L47" i="1"/>
  <c r="K47" i="1"/>
  <c r="J47" i="1"/>
  <c r="K46" i="1"/>
  <c r="J46" i="1"/>
  <c r="L45" i="1"/>
  <c r="K45" i="1"/>
  <c r="J45" i="1"/>
  <c r="L44" i="1"/>
  <c r="K44" i="1"/>
  <c r="J44" i="1"/>
  <c r="L43" i="1"/>
  <c r="K43" i="1"/>
  <c r="J43" i="1"/>
  <c r="L42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L26" i="1"/>
  <c r="K26" i="1"/>
  <c r="J26" i="1"/>
  <c r="K25" i="1"/>
  <c r="J25" i="1"/>
  <c r="K24" i="1"/>
  <c r="J24" i="1"/>
  <c r="L23" i="1"/>
  <c r="K23" i="1"/>
  <c r="J23" i="1"/>
  <c r="K22" i="1"/>
  <c r="J22" i="1"/>
  <c r="L21" i="1"/>
  <c r="K21" i="1"/>
  <c r="J21" i="1"/>
  <c r="L20" i="1"/>
  <c r="K20" i="1"/>
  <c r="J20" i="1"/>
  <c r="L19" i="1"/>
  <c r="K19" i="1"/>
  <c r="J19" i="1"/>
  <c r="L18" i="1"/>
  <c r="K18" i="1"/>
  <c r="J18" i="1"/>
  <c r="K17" i="1"/>
  <c r="J17" i="1"/>
  <c r="K16" i="1"/>
  <c r="J16" i="1"/>
  <c r="K15" i="1"/>
  <c r="J15" i="1"/>
  <c r="L14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L6" i="1"/>
  <c r="K6" i="1"/>
  <c r="J6" i="1"/>
  <c r="K5" i="1"/>
  <c r="J5" i="1"/>
  <c r="K4" i="1"/>
  <c r="J4" i="1"/>
  <c r="L3" i="1"/>
  <c r="K3" i="1"/>
  <c r="J3" i="1"/>
  <c r="K2" i="1"/>
  <c r="J2" i="1"/>
</calcChain>
</file>

<file path=xl/sharedStrings.xml><?xml version="1.0" encoding="utf-8"?>
<sst xmlns="http://schemas.openxmlformats.org/spreadsheetml/2006/main" count="1503" uniqueCount="279">
  <si>
    <t>STATUS</t>
  </si>
  <si>
    <t>TASK</t>
  </si>
  <si>
    <t>REACTION</t>
  </si>
  <si>
    <t>ENANTIOMER</t>
  </si>
  <si>
    <t>R1</t>
  </si>
  <si>
    <t>R2</t>
  </si>
  <si>
    <t>RCAT</t>
  </si>
  <si>
    <t>RCH</t>
  </si>
  <si>
    <t>STATIONARY_POINT</t>
  </si>
  <si>
    <t>RES_DIR</t>
  </si>
  <si>
    <t>CALC_DIR</t>
  </si>
  <si>
    <t>INXYZ</t>
  </si>
  <si>
    <t>OUTXYZ</t>
  </si>
  <si>
    <t>RUNTIME</t>
  </si>
  <si>
    <t>STEP</t>
  </si>
  <si>
    <t>FUNCTIONAL</t>
  </si>
  <si>
    <t>BASIS</t>
  </si>
  <si>
    <t>QUALITY</t>
  </si>
  <si>
    <t>HASH</t>
  </si>
  <si>
    <t>Warning</t>
  </si>
  <si>
    <t>GO</t>
  </si>
  <si>
    <t>achiral_catalyst</t>
  </si>
  <si>
    <t>N/A</t>
  </si>
  <si>
    <t>AlF3</t>
  </si>
  <si>
    <t>cat</t>
  </si>
  <si>
    <t>00:07:41</t>
  </si>
  <si>
    <t>END</t>
  </si>
  <si>
    <t>OLYP</t>
  </si>
  <si>
    <t>TZ2P</t>
  </si>
  <si>
    <t>VeryGood</t>
  </si>
  <si>
    <t>2e42e0a2f6ca798936e873d77e64fac732f5ebe9ca8fd606048126ccdcdd9654</t>
  </si>
  <si>
    <t>Success</t>
  </si>
  <si>
    <t>H</t>
  </si>
  <si>
    <t>Ph</t>
  </si>
  <si>
    <t>P1_cat_complex</t>
  </si>
  <si>
    <t>02:44:30</t>
  </si>
  <si>
    <t>ed7b523ad7d6bd648ad8f5ccbc95bb9ef346a9d7993245b77cd9a9fc249bba5c</t>
  </si>
  <si>
    <t>P2_cat_complex</t>
  </si>
  <si>
    <t>41:52:27</t>
  </si>
  <si>
    <t>429d42c7938617031aef172238a61371e83f32081e906895a82160b2863ce847</t>
  </si>
  <si>
    <t>sub_cat_complex</t>
  </si>
  <si>
    <t>19:31:02</t>
  </si>
  <si>
    <t>163ae1ae13d83df7906160370ad1aa0021e38ba887ef1c055772b2ea073cb4a6</t>
  </si>
  <si>
    <t>TSRC</t>
  </si>
  <si>
    <t>TS</t>
  </si>
  <si>
    <t>04:47:58</t>
  </si>
  <si>
    <t>9a75bcd23a1738c3885b50e021a3c995674af4d29adb50a5442635098b768205</t>
  </si>
  <si>
    <t>BF3</t>
  </si>
  <si>
    <t>00:05:27</t>
  </si>
  <si>
    <t>d6354af552e29c4cb8fb937efd507814cdc19fc72e3de264654a84b2ff760a19</t>
  </si>
  <si>
    <t>89:28:10</t>
  </si>
  <si>
    <t>aebdfe7f6d39cb7da8243f5746c0120d88b1cf1374e0cdbe6b38d7d98bcc1925</t>
  </si>
  <si>
    <t>38:46:15</t>
  </si>
  <si>
    <t>b6072ee1a1bf7696984d5324fa80b84813bbbdb8a445cd8ea9871cf13900d9d2</t>
  </si>
  <si>
    <t>19:07:07</t>
  </si>
  <si>
    <t>00b3a5f721874144ab9c80cb4b54eee9270639cbfdc7293ffaf69bb4964a0826</t>
  </si>
  <si>
    <t>71:29:55</t>
  </si>
  <si>
    <t>5c35fa32c8e7b5da1710118f85360e7d19b26aefd17190d27754ef52aca73d18</t>
  </si>
  <si>
    <t>I2</t>
  </si>
  <si>
    <t>00:05:43</t>
  </si>
  <si>
    <t>534ae82d5e3e63a44f755a0cd93fa1a7370f0b75baef80784ac31de5a96c4a4c</t>
  </si>
  <si>
    <t>92:05:01</t>
  </si>
  <si>
    <t>d14d81b26734b56e6aa6f762a55301926df5dea23b5f1631e94835bb72a6e9f8</t>
  </si>
  <si>
    <t>P2</t>
  </si>
  <si>
    <t>00:47:57</t>
  </si>
  <si>
    <t>eccde96ee74902ce7bd40a9fc3d3f437ef38a00cb464b327f0198dc1afa102f8</t>
  </si>
  <si>
    <t>38:31:31</t>
  </si>
  <si>
    <t>1b211b4c90eea83ca9ca7b6cec7875eb839d308f1c2b6e5cf5619d8ee3e26b58</t>
  </si>
  <si>
    <t>20:35:34</t>
  </si>
  <si>
    <t>1a5bfe32ee90adc13a0783a27a5d87b1c11093bd2a213ec2c13ee727be2f84b3</t>
  </si>
  <si>
    <t>63:22:25</t>
  </si>
  <si>
    <t>c3842650412e61c24a4de40cca26c562acafae84a79411fe1d8e7c13e8baa084</t>
  </si>
  <si>
    <t>SnCl4</t>
  </si>
  <si>
    <t>00:02:19</t>
  </si>
  <si>
    <t>e58dcf6bc380a9f51bf3e728c1b52991e9f6ceb83bf3a20a31bc481c4f2803d0</t>
  </si>
  <si>
    <t>05:07:48</t>
  </si>
  <si>
    <t>fabca3ce8ffe217b63b9ae9ca72c72299ceb0284f0304a70b723f4b38c632bbf</t>
  </si>
  <si>
    <t>Failed</t>
  </si>
  <si>
    <t>03:32:34</t>
  </si>
  <si>
    <t>ac5bd2b8ae54bfa36bb5d43eede38259822983531a009a602624ec0dc195b8ca</t>
  </si>
  <si>
    <t>01:56:54</t>
  </si>
  <si>
    <t>9aa842ecfef1ed5b27e18fd1420531fffc490d3f04f954976f0cae004a94b742</t>
  </si>
  <si>
    <t>TiCl4</t>
  </si>
  <si>
    <t>00:23:07</t>
  </si>
  <si>
    <t>9aef78ef62c30b42c9fc66b8211afb894dda9aad2d243f725804812f14a37ef4</t>
  </si>
  <si>
    <t>05:08:58</t>
  </si>
  <si>
    <t>664832342b1395a9f717f66e729b2b9043c6e0c3bd99dc917286f0f3d39cee21</t>
  </si>
  <si>
    <t>34:17:06</t>
  </si>
  <si>
    <t>f64973fc34ac0fa0b2aba3e0ba0cf0a0ca0642a6519d0e4763866ea401986bad</t>
  </si>
  <si>
    <t>26:23:16</t>
  </si>
  <si>
    <t>61b122121f499244a02dbd39bdb89748c4e804ada7e149ef915657cca1ae3078</t>
  </si>
  <si>
    <t>05:09:50</t>
  </si>
  <si>
    <t>f115ae0777bb9fc404f84aac6c2f4c71fc085f4a520ab737ea0c71f8824db3ab</t>
  </si>
  <si>
    <t>ZnCl2</t>
  </si>
  <si>
    <t>00:08:39</t>
  </si>
  <si>
    <t>27d7a41f975094f69aa6be3f7eacedddfd0b673872fce8bb2c817b501d78e220</t>
  </si>
  <si>
    <t>73:20:13</t>
  </si>
  <si>
    <t>1f485ed45aeb4ef9833edfb3301f440e86276150c0833670bb2d99537a14a25b</t>
  </si>
  <si>
    <t>38:20:18</t>
  </si>
  <si>
    <t>45eab393c675bc6fc6e12f34581f7229c6fcf1bf2bb614ba186fad0e3a7ff98e</t>
  </si>
  <si>
    <t>rad</t>
  </si>
  <si>
    <t>00:10:59</t>
  </si>
  <si>
    <t>aac5957ee451fc01636fdb2f1ef8ba9cee1b346ea2282cc68bb8b023e5992438</t>
  </si>
  <si>
    <t>sub</t>
  </si>
  <si>
    <t>08:59:09</t>
  </si>
  <si>
    <t>74140b4f3fba73818fc0e6b10ec2f01388b4cb4a4fb764ff4a41cdce82a37671</t>
  </si>
  <si>
    <t>29:54:11</t>
  </si>
  <si>
    <t>295d693c5bddf170f67bb1f93a81f960c88e63ffc1c8325d4a124f931bb5b3f6</t>
  </si>
  <si>
    <t>143:21:22</t>
  </si>
  <si>
    <t>0702277e77a64845b021e31d634574853f4ca59eed8b3b27bb2eea983951121d</t>
  </si>
  <si>
    <t>tBu</t>
  </si>
  <si>
    <t>142:54:24</t>
  </si>
  <si>
    <t>52464b6bf7e4c1121ff9dc83badca8e24e23e799b0d5a89e8901730484265038</t>
  </si>
  <si>
    <t>50:02:04</t>
  </si>
  <si>
    <t>00452b2c733fd42ea7e84c5bdbdd29bfa41fbce1ecce9109baa314cff61c3b0e</t>
  </si>
  <si>
    <t>11:52:17</t>
  </si>
  <si>
    <t>221f75f137cda729183b80950eda500992af50bb95ca87896f0ad1444e761872</t>
  </si>
  <si>
    <t>25:12:05</t>
  </si>
  <si>
    <t>8be72ebc0d72259ef79766a8e3c3222348d119420eb0149bb430a72927b5211d</t>
  </si>
  <si>
    <t>94:22:41</t>
  </si>
  <si>
    <t>48d0bfa4eccec169ad3be7a379f54962a3b0d97e36815cdd0817b7a9e757870b</t>
  </si>
  <si>
    <t>100:58:12</t>
  </si>
  <si>
    <t>a02fa8fef83bd2873554bc41ca0a1946f33cef1ba0aa568f9d4babea129ab57b</t>
  </si>
  <si>
    <t>39:16:29</t>
  </si>
  <si>
    <t>cf3c61e4e5e5ca9567a0fbc09f0f6feab73f1b67968a49d51a1465e80ae517a1</t>
  </si>
  <si>
    <t>24:51:21</t>
  </si>
  <si>
    <t>dd57100ba803a6984ae4fe13a834789d7c83233e4b7acebe01c55dfeb9709381</t>
  </si>
  <si>
    <t>03:21:16</t>
  </si>
  <si>
    <t>614595405c98112f0634abee410e56a4c7a4b069d21a22e9b2cc3180b89bb847</t>
  </si>
  <si>
    <t>00:00:07</t>
  </si>
  <si>
    <t>bd71c2832fbf3913cd653b0c4bfc91a1ecada7430064e431a382d8e1faa655e3</t>
  </si>
  <si>
    <t>02:10:29</t>
  </si>
  <si>
    <t>79997ef4ab5efe65cce8b7be922848318351d0d5853050e43cc5fcafff046004</t>
  </si>
  <si>
    <t>00:50:19</t>
  </si>
  <si>
    <t>187212764a5efb23ba0d72c11da30ff02a51d0ab3656a28afd2f692d03ff3348</t>
  </si>
  <si>
    <t>06:12:01</t>
  </si>
  <si>
    <t>7106b8aef1eca45093330cde953ea78fb45f9a8aead1eea9827ec0914e560992</t>
  </si>
  <si>
    <t>03:35:43</t>
  </si>
  <si>
    <t>be5b167ae3f67dfa38af63fea1a4018518d2419f1c6e55906c07b4b41c7bfb1b</t>
  </si>
  <si>
    <t>04:29:19</t>
  </si>
  <si>
    <t>abc5fa486e9dff1e5d2c7b39d092a762e241c2d3bd6020e331def9ad279b3f22</t>
  </si>
  <si>
    <t>03:13:54</t>
  </si>
  <si>
    <t>848c47b4db0b9c8321edc49a42b45cd50a2a169490b88ec05f246c37f52d13aa</t>
  </si>
  <si>
    <t>02:00:54</t>
  </si>
  <si>
    <t>cf707bd805f092f3c2a4ad5a3eda12e87df2193046018ba598b92ed7b2b7157b</t>
  </si>
  <si>
    <t>148:56:03</t>
  </si>
  <si>
    <t>2fb512909b3f78842c613ab0bc2bec5ae62cb567116532af1c1f9b1cfc153c11</t>
  </si>
  <si>
    <t>05:03:05</t>
  </si>
  <si>
    <t>9399ffc91a7259b1339fdfa71c56cb2770f6c9a22f459401fd75d5bb9a0bd45f</t>
  </si>
  <si>
    <t>03:49:27</t>
  </si>
  <si>
    <t>c8fc155f6014077a4f60761d5d5e29726dc30a7cd33035024749aaa352ae707b</t>
  </si>
  <si>
    <t>02:18:04</t>
  </si>
  <si>
    <t>327bf8ba7edaa1e7f6dae360a3d49b1de74cdf5ae85c969413b1f491521e2776</t>
  </si>
  <si>
    <t>05:32:11</t>
  </si>
  <si>
    <t>d0ee3f109e9233070cd9d339ea55641076e85c2b2bda844d53cfd8b5ee1eb552</t>
  </si>
  <si>
    <t>93:43:01</t>
  </si>
  <si>
    <t>dbe10c3157aee1e78e88b86b3bd20f43403be27666acbb388dcc635e8033361d</t>
  </si>
  <si>
    <t>31:17:45</t>
  </si>
  <si>
    <t>2aba89779c62254785fb0c3918a79789628e5a7e3798bdde484ab51a9467008d</t>
  </si>
  <si>
    <t>37:46:34</t>
  </si>
  <si>
    <t>91cc9c1eeb1bf1d31ed36c2ce0dfd685aa330e2e572f328666dade27c5bc0d65</t>
  </si>
  <si>
    <t>142:17:41</t>
  </si>
  <si>
    <t>22f3dc83a22fdb6f9c36d889fdc5f449dd1fcb81573615616e8416d6e672494e</t>
  </si>
  <si>
    <t>no_catalyst</t>
  </si>
  <si>
    <t>00:00:06</t>
  </si>
  <si>
    <t>d9e7296031dca8ccef040d8e3cda13eb4e5c1a5f4ce22749fa36033c668d2786</t>
  </si>
  <si>
    <t>P1</t>
  </si>
  <si>
    <t>00:12:23</t>
  </si>
  <si>
    <t>0f1ab7ba836f89691336ad430d745b0ff7fbac3acfc6bd9e014131108630d990</t>
  </si>
  <si>
    <t>00:09:23</t>
  </si>
  <si>
    <t>6d20f8ee33c67d3e7d3f3d79691a3641dc6711e8ba1f7447df6ebd761c5ece49</t>
  </si>
  <si>
    <t>00:00:49</t>
  </si>
  <si>
    <t>f63c0c4f0e9bd3fbafc1b4969f76dea25f333b34799ce6a2fb3b28ce8e3ffca2</t>
  </si>
  <si>
    <t>Rsub</t>
  </si>
  <si>
    <t>00:04:00</t>
  </si>
  <si>
    <t>980e71ec506194e0b2639460824fc499c2d582d8b45d5eb4d647310134bbea98</t>
  </si>
  <si>
    <t>00:21:39</t>
  </si>
  <si>
    <t>7d57c29f4a18c2804263f5ccb8da7eeecbbec12ad0cb3f4f01ed6d14920820cf</t>
  </si>
  <si>
    <t>01:14:48</t>
  </si>
  <si>
    <t>6f6941fde58a84839f77e7d0a9f75a76b2b82ab0f1a830c201512d8984ced328</t>
  </si>
  <si>
    <t>00:47:52</t>
  </si>
  <si>
    <t>0fb52cd7b80822d44e65190598e58df5e411e20d09549d2706f8554a49951f07</t>
  </si>
  <si>
    <t>00:24:20</t>
  </si>
  <si>
    <t>c3fb60b228e8daff4c0cfbca3590347920430965cb670bcac8af31f96337dfc5</t>
  </si>
  <si>
    <t>00:24:04</t>
  </si>
  <si>
    <t>bbdebcffa95eb2e8f628734a641c7236ac32bd5139e99668e35b80d04c5050b2</t>
  </si>
  <si>
    <t>01:45:57</t>
  </si>
  <si>
    <t>2f1e585af6137f57841631aa3a5a9e8961067757b24c9f265410d8b47944eb7d</t>
  </si>
  <si>
    <t>01:13:49</t>
  </si>
  <si>
    <t>720a583e21bb845a60b52101252f62b0217ddb296918cf34163d50bd7d3e677e</t>
  </si>
  <si>
    <t>00:49:13</t>
  </si>
  <si>
    <t>d8b1a1f70ad2df97bf0598f7e4b1d5026fb706ba0b824e03d70cda46ab5daa13</t>
  </si>
  <si>
    <t>00:28:19</t>
  </si>
  <si>
    <t>1c2ced3b13cac8fcec1d2f5df0c8c7880f0853aaf2143759b93722d17b804281</t>
  </si>
  <si>
    <t>00:28:26</t>
  </si>
  <si>
    <t>f0af778757df3592f061a88db27a90c64d4d30ce803a379805ee082db1f9f326</t>
  </si>
  <si>
    <t>01:53:01</t>
  </si>
  <si>
    <t>c5aae27b8b2c7660c0eac2b15657866f307488e22040257e7d73f5c5b3d157d2</t>
  </si>
  <si>
    <t>urea_tBu_Ph</t>
  </si>
  <si>
    <t>R</t>
  </si>
  <si>
    <t>O</t>
  </si>
  <si>
    <t>P1R_cat_complex</t>
  </si>
  <si>
    <t>69:52:20</t>
  </si>
  <si>
    <t>c3ad269ec1e8dafcde0e0995d5f2ba36e0f205e3e3a77b1c7151bf41ad6a06c6</t>
  </si>
  <si>
    <t>S</t>
  </si>
  <si>
    <t>P1S_cat_complex</t>
  </si>
  <si>
    <t>62:35:00</t>
  </si>
  <si>
    <t>a00490c8b0dff2fb233eef6bb3a2499c9fee009b9aa7378f23dafa295f766cc1</t>
  </si>
  <si>
    <t>01:12:19</t>
  </si>
  <si>
    <t>b791bdc442541576ae9b90dac5ed05cbd3bf8880c131b3b58fc5b9b190a750e8</t>
  </si>
  <si>
    <t>P2R_cat_complex</t>
  </si>
  <si>
    <t>65:10:23</t>
  </si>
  <si>
    <t>5a07328110b0bde65a2deb0a48189fb70f9e1f8a1bbc966f348f1f9a0cc29511</t>
  </si>
  <si>
    <t>P2S_cat_complex</t>
  </si>
  <si>
    <t>36:56:28</t>
  </si>
  <si>
    <t>35afde4b39be4b98694b978f2dcfb1486bf8e3d26cc70ab78a617f328d4d0ffa</t>
  </si>
  <si>
    <t>00:38:38</t>
  </si>
  <si>
    <t>f8bdf9170ea16680721a57c77627f5a4569d240f83681e8c55aab5c483b6c6ff</t>
  </si>
  <si>
    <t>30:13:02</t>
  </si>
  <si>
    <t>a0385999b5f1953ace90f739df5a0e2de4d93378411a7ec3058ed9fb827429fa</t>
  </si>
  <si>
    <t>TSR</t>
  </si>
  <si>
    <t>75:10:33</t>
  </si>
  <si>
    <t>9ce1b6ff563f13cef8bbe7c853d0415c9b4b6df28964eea12dd076808295be80</t>
  </si>
  <si>
    <t>TSS</t>
  </si>
  <si>
    <t>71:35:20</t>
  </si>
  <si>
    <t>934b11d986c43787fadf23ebee8a32760f7e10711c2fc081cb5453818885b535</t>
  </si>
  <si>
    <t>07:51:27</t>
  </si>
  <si>
    <t>6185a1e523ae36a190c33a103dc830596d0bd1712ef4ba0d7f25225b30a49495</t>
  </si>
  <si>
    <t>83:37:08</t>
  </si>
  <si>
    <t>b0367859543eb2ed696fb0dd31e6bd80858b3fb759498ee1cfb7cf3ba66e4e3e</t>
  </si>
  <si>
    <t>68:04:37</t>
  </si>
  <si>
    <t>4e5db031a7a6478b80db6d80baf76a666f5b02a8e4785b21d9fa944c1f546259</t>
  </si>
  <si>
    <t>39:11:37</t>
  </si>
  <si>
    <t>99254e4851a0c9870decb46f43d0a5eb43128563c2b330aa4b9071bc4f290c40</t>
  </si>
  <si>
    <t>34:48:11</t>
  </si>
  <si>
    <t>2f5e878260d64532928b5ddfefee01f9fefebb8ca34f5c48823304eca1983014</t>
  </si>
  <si>
    <t>14:13:53</t>
  </si>
  <si>
    <t>b6133a605ae0dbdc360deecad466b2e115721bfaba035d75c2cd7ec07dc03192</t>
  </si>
  <si>
    <t>39:58:52</t>
  </si>
  <si>
    <t>cd44dbf3374360d8de13df0430e92d5d47aaa85ceae08a0210849a293011b4c9</t>
  </si>
  <si>
    <t>38:58:18</t>
  </si>
  <si>
    <t>c40f34b3b1b0f6aaeb59bc727aba476f6e8542742364b9f7b29fa5a193fe2f96</t>
  </si>
  <si>
    <t>07:25:37</t>
  </si>
  <si>
    <t>dd1ed713bf76cb0863eaafcc4d96f54206acde0cf745cd04e1073353c6ae7ae1</t>
  </si>
  <si>
    <t>6d55b420e5b520ef09cd0c436f2a2550328022fa4daeab9fa35df3dc309024c2</t>
  </si>
  <si>
    <t>64:07:29</t>
  </si>
  <si>
    <t>3d6f63c54d8cfee797dd6fd49e9472e34e4148669f5688ee51e779872bf10539</t>
  </si>
  <si>
    <t>60:33:18</t>
  </si>
  <si>
    <t>b8518f6eecda786241c0f3ff26bb0e4da613a0c16e083944d75305dc27fa9487</t>
  </si>
  <si>
    <t>01:42:28</t>
  </si>
  <si>
    <t>746db3aeed8d49edf98f74f2547f4d3c5332e3a71c082a65482dae550964b140</t>
  </si>
  <si>
    <t>39:43:02</t>
  </si>
  <si>
    <t>fce9b5fa1d76c3a6a0348dad78cffd40ba0d58f009af514afe5508f38e42d154</t>
  </si>
  <si>
    <t>37:29:51</t>
  </si>
  <si>
    <t>184ce2f10bf38894020d7dfb6e25605bd836fb3c43a513697fe3ea6385ccd567</t>
  </si>
  <si>
    <t>00:03:16</t>
  </si>
  <si>
    <t>bf628873db6a5f112b02b1949dca39bd04480db8ee5753bc55928964702e1a0d</t>
  </si>
  <si>
    <t>00:44:59</t>
  </si>
  <si>
    <t>ac899bc8b3ad67fc8eb09693e56650cb17468c824dac7ada6cc44f84fb549fbd</t>
  </si>
  <si>
    <t>27:44:20</t>
  </si>
  <si>
    <t>b0ee493ba11bf91cf761fc28b255920a6202a84d6de7ce50ad57f4830a0280f9</t>
  </si>
  <si>
    <t>78:48:23</t>
  </si>
  <si>
    <t>68df5614b027e0ae46c8bfc6c6c49473e943854e38e52ddd5ad840d139ad0d16</t>
  </si>
  <si>
    <t>113:51:43</t>
  </si>
  <si>
    <t>061c2f51effae7d3d0bcf63b78abb8abca51edd2d3840c4cff46c66feec1d85f</t>
  </si>
  <si>
    <t>41:53:02</t>
  </si>
  <si>
    <t>16b581453b50fd31fb6a9906f5f1f6377fc7bc77e959b5f8ae0bc61030b8bc9d</t>
  </si>
  <si>
    <t>37:13:57</t>
  </si>
  <si>
    <t>39b7f7de313407e5365a5167bac65c90f52a055490e7f800fb419381944c9e95</t>
  </si>
  <si>
    <t>19:23:38</t>
  </si>
  <si>
    <t>b6055dfe70e21d5b396019d5398b524168914b46097013880042e1d03b781dec</t>
  </si>
  <si>
    <t>20:28:44</t>
  </si>
  <si>
    <t>0a5acab7d04781f3a0ed9316dd68cbbe6c88a87aecb890689184a7c49ff60e7c</t>
  </si>
  <si>
    <t>17:35:13</t>
  </si>
  <si>
    <t>e8c179c66e43fd7615ff418e727af88e86ba8f9d6db86b156f8bf58e4eb5d728</t>
  </si>
  <si>
    <t>44:23:18</t>
  </si>
  <si>
    <t>8dea30730f0f0592537af3b395f0e57eeba8c6c5fbf1270a29fcf3233c6f5f9f</t>
  </si>
  <si>
    <t>41:41:22</t>
  </si>
  <si>
    <t>0daf424aec8b7230259f7f66f20794e28543f02347856028bbe4c88dcc354fa5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</si>
</sst>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80600B"/>
      <name val="Calibri"/>
    </font>
    <font>
      <sz val="12"/>
      <color theme="10"/>
      <name val="Calibri"/>
      <family val="2"/>
      <scheme val="minor"/>
    </font>
    <font>
      <b/>
      <sz val="11"/>
      <color rgb="FF375623"/>
      <name val="Calibri"/>
    </font>
    <font>
      <b/>
      <sz val="11"/>
      <color rgb="FFC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E2EFDA"/>
        <bgColor rgb="FFE2EFDA"/>
      </patternFill>
    </fill>
    <fill>
      <patternFill patternType="solid">
        <fgColor rgb="FFFFD3D3"/>
        <bgColor rgb="FFFFD3D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1" fillId="0" borderId="1" xfId="0" applyFont="1" applyBorder="1"/>
    <xf numFmtId="0" fontId="2" fillId="2" borderId="2" xfId="0" applyFont="1" applyFill="1" applyBorder="1"/>
    <xf numFmtId="0" fontId="0" fillId="0" borderId="2" xfId="0" applyBorder="1"/>
    <xf numFmtId="0" fontId="3" fillId="0" borderId="2" xfId="1" applyBorder="1"/>
    <xf numFmtId="0" fontId="0" fillId="0" borderId="2" xfId="0" applyBorder="1" applyAlignment="1">
      <alignment horizontal="right"/>
    </xf>
    <xf numFmtId="0" fontId="4" fillId="3" borderId="2" xfId="0" applyFont="1" applyFill="1" applyBorder="1"/>
    <xf numFmtId="0" fontId="5" fillId="4" borderId="2" xfId="0" applyFont="1" applyFill="1" applyBorder="1"/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1"/>
  <sheetViews>
    <sheetView tabSelected="1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10" bestFit="1" customWidth="1"/>
    <col min="2" max="2" width="7.7109375" bestFit="1" customWidth="1"/>
    <col min="3" max="3" width="14.7109375" bestFit="1" customWidth="1"/>
    <col min="4" max="4" width="15.5703125" bestFit="1" customWidth="1"/>
    <col min="5" max="6" width="5.42578125" bestFit="1" customWidth="1"/>
    <col min="7" max="7" width="7.85546875" bestFit="1" customWidth="1"/>
    <col min="8" max="8" width="6.85546875" bestFit="1" customWidth="1"/>
    <col min="9" max="9" width="21.42578125" bestFit="1" customWidth="1"/>
    <col min="10" max="10" width="10.42578125" bestFit="1" customWidth="1"/>
    <col min="11" max="11" width="11.7109375" bestFit="1" customWidth="1"/>
    <col min="13" max="13" width="10.42578125" bestFit="1" customWidth="1"/>
    <col min="14" max="14" width="11.7109375" bestFit="1" customWidth="1"/>
    <col min="15" max="15" width="7.42578125" bestFit="1" customWidth="1"/>
    <col min="16" max="16" width="14.85546875" bestFit="1" customWidth="1"/>
    <col min="17" max="17" width="8.28515625" bestFit="1" customWidth="1"/>
    <col min="18" max="18" width="11" bestFit="1" customWidth="1"/>
    <col min="19" max="19" width="68.710937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ht="15.75" x14ac:dyDescent="0.25">
      <c r="A2" s="2" t="s">
        <v>19</v>
      </c>
      <c r="B2" s="3" t="s">
        <v>20</v>
      </c>
      <c r="C2" s="3" t="s">
        <v>21</v>
      </c>
      <c r="D2" s="3" t="s">
        <v>22</v>
      </c>
      <c r="E2" s="3"/>
      <c r="F2" s="3"/>
      <c r="G2" s="3" t="s">
        <v>23</v>
      </c>
      <c r="H2" s="3"/>
      <c r="I2" s="3" t="s">
        <v>24</v>
      </c>
      <c r="J2" s="4" t="str">
        <f>HYPERLINK("D:\Users\Yuman\Desktop\MasterProject\results\achiral_catalyst.H_Ph_AlF3.vacuum\cat", "Directory")</f>
        <v>Directory</v>
      </c>
      <c r="K2" s="4" t="str">
        <f>HYPERLINK("D:\Users\Yuman\Desktop\MasterProject\calculations\achiral_catalyst.H_Ph_AlF3.vacuum\cat", "Directory")</f>
        <v>Directory</v>
      </c>
      <c r="L2" s="3"/>
      <c r="M2" s="3"/>
      <c r="N2" s="5" t="s">
        <v>25</v>
      </c>
      <c r="O2" s="3" t="s">
        <v>26</v>
      </c>
      <c r="P2" s="3" t="s">
        <v>27</v>
      </c>
      <c r="Q2" s="3" t="s">
        <v>28</v>
      </c>
      <c r="R2" s="3" t="s">
        <v>29</v>
      </c>
      <c r="S2" s="3" t="s">
        <v>30</v>
      </c>
    </row>
    <row r="3" spans="1:19" ht="15.75" x14ac:dyDescent="0.25">
      <c r="A3" s="6" t="s">
        <v>31</v>
      </c>
      <c r="B3" s="3" t="s">
        <v>20</v>
      </c>
      <c r="C3" s="3" t="s">
        <v>21</v>
      </c>
      <c r="D3" s="3" t="s">
        <v>22</v>
      </c>
      <c r="E3" s="3" t="s">
        <v>32</v>
      </c>
      <c r="F3" s="3" t="s">
        <v>33</v>
      </c>
      <c r="G3" s="3" t="s">
        <v>23</v>
      </c>
      <c r="H3" s="3"/>
      <c r="I3" s="3" t="s">
        <v>34</v>
      </c>
      <c r="J3" s="4" t="str">
        <f>HYPERLINK("D:\Users\Yuman\Desktop\MasterProject\results\achiral_catalyst.H_Ph_AlF3.vacuum\P1_cat_complex", "Directory")</f>
        <v>Directory</v>
      </c>
      <c r="K3" s="4" t="str">
        <f>HYPERLINK("D:\Users\Yuman\Desktop\MasterProject\calculations\achiral_catalyst.H_Ph_AlF3.vacuum\P1_cat_complex", "Directory")</f>
        <v>Directory</v>
      </c>
      <c r="L3" s="4" t="str">
        <f>HYPERLINK("D:\Users\Yuman\Desktop\MasterProject\results\achiral_catalyst.H_Ph_AlF3.vacuum\P1_cat_complex/molview2_start_in.bat", "input.xyz")</f>
        <v>input.xyz</v>
      </c>
      <c r="M3" s="3"/>
      <c r="N3" s="5" t="s">
        <v>35</v>
      </c>
      <c r="O3" s="3" t="s">
        <v>26</v>
      </c>
      <c r="P3" s="3" t="s">
        <v>27</v>
      </c>
      <c r="Q3" s="3" t="s">
        <v>28</v>
      </c>
      <c r="R3" s="3" t="s">
        <v>29</v>
      </c>
      <c r="S3" s="3" t="s">
        <v>36</v>
      </c>
    </row>
    <row r="4" spans="1:19" ht="15.75" x14ac:dyDescent="0.25">
      <c r="A4" s="6" t="s">
        <v>31</v>
      </c>
      <c r="B4" s="3" t="s">
        <v>20</v>
      </c>
      <c r="C4" s="3" t="s">
        <v>21</v>
      </c>
      <c r="D4" s="3" t="s">
        <v>22</v>
      </c>
      <c r="E4" s="3" t="s">
        <v>32</v>
      </c>
      <c r="F4" s="3" t="s">
        <v>33</v>
      </c>
      <c r="G4" s="3" t="s">
        <v>23</v>
      </c>
      <c r="H4" s="3"/>
      <c r="I4" s="3" t="s">
        <v>37</v>
      </c>
      <c r="J4" s="4" t="str">
        <f>HYPERLINK("D:\Users\Yuman\Desktop\MasterProject\results\achiral_catalyst.H_Ph_AlF3.vacuum\P2_cat_complex", "Directory")</f>
        <v>Directory</v>
      </c>
      <c r="K4" s="4" t="str">
        <f>HYPERLINK("D:\Users\Yuman\Desktop\MasterProject\calculations\achiral_catalyst.H_Ph_AlF3.vacuum\P2_cat_complex", "Directory")</f>
        <v>Directory</v>
      </c>
      <c r="L4" s="3"/>
      <c r="M4" s="3"/>
      <c r="N4" s="5" t="s">
        <v>38</v>
      </c>
      <c r="O4" s="3" t="s">
        <v>26</v>
      </c>
      <c r="P4" s="3" t="s">
        <v>27</v>
      </c>
      <c r="Q4" s="3" t="s">
        <v>28</v>
      </c>
      <c r="R4" s="3" t="s">
        <v>29</v>
      </c>
      <c r="S4" s="3" t="s">
        <v>39</v>
      </c>
    </row>
    <row r="5" spans="1:19" ht="15.75" x14ac:dyDescent="0.25">
      <c r="A5" s="2" t="s">
        <v>19</v>
      </c>
      <c r="B5" s="3" t="s">
        <v>20</v>
      </c>
      <c r="C5" s="3" t="s">
        <v>21</v>
      </c>
      <c r="D5" s="3" t="s">
        <v>22</v>
      </c>
      <c r="E5" s="3" t="s">
        <v>32</v>
      </c>
      <c r="F5" s="3" t="s">
        <v>33</v>
      </c>
      <c r="G5" s="3" t="s">
        <v>23</v>
      </c>
      <c r="H5" s="3"/>
      <c r="I5" s="3" t="s">
        <v>40</v>
      </c>
      <c r="J5" s="4" t="str">
        <f>HYPERLINK("D:\Users\Yuman\Desktop\MasterProject\results\achiral_catalyst.H_Ph_AlF3.vacuum\sub_cat_complex", "Directory")</f>
        <v>Directory</v>
      </c>
      <c r="K5" s="4" t="str">
        <f>HYPERLINK("D:\Users\Yuman\Desktop\MasterProject\calculations\achiral_catalyst.H_Ph_AlF3.vacuum\sub_cat_complex", "Directory")</f>
        <v>Directory</v>
      </c>
      <c r="L5" s="3"/>
      <c r="M5" s="3"/>
      <c r="N5" s="5" t="s">
        <v>41</v>
      </c>
      <c r="O5" s="3" t="s">
        <v>26</v>
      </c>
      <c r="P5" s="3" t="s">
        <v>27</v>
      </c>
      <c r="Q5" s="3" t="s">
        <v>28</v>
      </c>
      <c r="R5" s="3" t="s">
        <v>29</v>
      </c>
      <c r="S5" s="3" t="s">
        <v>42</v>
      </c>
    </row>
    <row r="6" spans="1:19" ht="15.75" x14ac:dyDescent="0.25">
      <c r="A6" s="6" t="s">
        <v>31</v>
      </c>
      <c r="B6" s="3" t="s">
        <v>43</v>
      </c>
      <c r="C6" s="3" t="s">
        <v>21</v>
      </c>
      <c r="D6" s="3" t="s">
        <v>22</v>
      </c>
      <c r="E6" s="3" t="s">
        <v>32</v>
      </c>
      <c r="F6" s="3" t="s">
        <v>33</v>
      </c>
      <c r="G6" s="3" t="s">
        <v>23</v>
      </c>
      <c r="H6" s="3"/>
      <c r="I6" s="3" t="s">
        <v>44</v>
      </c>
      <c r="J6" s="4" t="str">
        <f>HYPERLINK("D:\Users\Yuman\Desktop\MasterProject\results\achiral_catalyst.H_Ph_AlF3.vacuum\TS", "Directory")</f>
        <v>Directory</v>
      </c>
      <c r="K6" s="4" t="str">
        <f>HYPERLINK("D:\Users\Yuman\Desktop\MasterProject\calculations\achiral_catalyst.H_Ph_AlF3.vacuum\TS", "Directory")</f>
        <v>Directory</v>
      </c>
      <c r="L6" s="4" t="str">
        <f>HYPERLINK("D:\Users\Yuman\Desktop\MasterProject\results\achiral_catalyst.H_Ph_AlF3.vacuum\TS/molview2_start_in.bat", "input.xyz")</f>
        <v>input.xyz</v>
      </c>
      <c r="M6" s="3"/>
      <c r="N6" s="5" t="s">
        <v>45</v>
      </c>
      <c r="O6" s="3" t="s">
        <v>26</v>
      </c>
      <c r="P6" s="3" t="s">
        <v>27</v>
      </c>
      <c r="Q6" s="3" t="s">
        <v>28</v>
      </c>
      <c r="R6" s="3" t="s">
        <v>29</v>
      </c>
      <c r="S6" s="3" t="s">
        <v>46</v>
      </c>
    </row>
    <row r="7" spans="1:19" ht="15.75" x14ac:dyDescent="0.25">
      <c r="A7" s="2" t="s">
        <v>19</v>
      </c>
      <c r="B7" s="3" t="s">
        <v>20</v>
      </c>
      <c r="C7" s="3" t="s">
        <v>21</v>
      </c>
      <c r="D7" s="3" t="s">
        <v>22</v>
      </c>
      <c r="E7" s="3"/>
      <c r="F7" s="3"/>
      <c r="G7" s="3" t="s">
        <v>47</v>
      </c>
      <c r="H7" s="3"/>
      <c r="I7" s="3" t="s">
        <v>24</v>
      </c>
      <c r="J7" s="4" t="str">
        <f>HYPERLINK("D:\Users\Yuman\Desktop\MasterProject\results\achiral_catalyst.H_Ph_BF3.vacuum\cat", "Directory")</f>
        <v>Directory</v>
      </c>
      <c r="K7" s="4" t="str">
        <f>HYPERLINK("D:\Users\Yuman\Desktop\MasterProject\calculations\achiral_catalyst.H_Ph_BF3.vacuum\cat", "Directory")</f>
        <v>Directory</v>
      </c>
      <c r="L7" s="3"/>
      <c r="M7" s="3"/>
      <c r="N7" s="5" t="s">
        <v>48</v>
      </c>
      <c r="O7" s="3" t="s">
        <v>26</v>
      </c>
      <c r="P7" s="3" t="s">
        <v>27</v>
      </c>
      <c r="Q7" s="3" t="s">
        <v>28</v>
      </c>
      <c r="R7" s="3" t="s">
        <v>29</v>
      </c>
      <c r="S7" s="3" t="s">
        <v>49</v>
      </c>
    </row>
    <row r="8" spans="1:19" ht="15.75" x14ac:dyDescent="0.25">
      <c r="A8" s="2" t="s">
        <v>19</v>
      </c>
      <c r="B8" s="3" t="s">
        <v>20</v>
      </c>
      <c r="C8" s="3" t="s">
        <v>21</v>
      </c>
      <c r="D8" s="3" t="s">
        <v>22</v>
      </c>
      <c r="E8" s="3" t="s">
        <v>32</v>
      </c>
      <c r="F8" s="3" t="s">
        <v>33</v>
      </c>
      <c r="G8" s="3" t="s">
        <v>47</v>
      </c>
      <c r="H8" s="3"/>
      <c r="I8" s="3" t="s">
        <v>34</v>
      </c>
      <c r="J8" s="4" t="str">
        <f>HYPERLINK("D:\Users\Yuman\Desktop\MasterProject\results\achiral_catalyst.H_Ph_BF3.vacuum\P1_cat_complex", "Directory")</f>
        <v>Directory</v>
      </c>
      <c r="K8" s="4" t="str">
        <f>HYPERLINK("D:\Users\Yuman\Desktop\MasterProject\calculations\achiral_catalyst.H_Ph_BF3.vacuum\P1_cat_complex", "Directory")</f>
        <v>Directory</v>
      </c>
      <c r="L8" s="3"/>
      <c r="M8" s="3"/>
      <c r="N8" s="5" t="s">
        <v>50</v>
      </c>
      <c r="O8" s="3" t="s">
        <v>26</v>
      </c>
      <c r="P8" s="3" t="s">
        <v>27</v>
      </c>
      <c r="Q8" s="3" t="s">
        <v>28</v>
      </c>
      <c r="R8" s="3" t="s">
        <v>29</v>
      </c>
      <c r="S8" s="3" t="s">
        <v>51</v>
      </c>
    </row>
    <row r="9" spans="1:19" ht="15.75" x14ac:dyDescent="0.25">
      <c r="A9" s="6" t="s">
        <v>31</v>
      </c>
      <c r="B9" s="3" t="s">
        <v>20</v>
      </c>
      <c r="C9" s="3" t="s">
        <v>21</v>
      </c>
      <c r="D9" s="3" t="s">
        <v>22</v>
      </c>
      <c r="E9" s="3" t="s">
        <v>32</v>
      </c>
      <c r="F9" s="3" t="s">
        <v>33</v>
      </c>
      <c r="G9" s="3" t="s">
        <v>47</v>
      </c>
      <c r="H9" s="3"/>
      <c r="I9" s="3" t="s">
        <v>37</v>
      </c>
      <c r="J9" s="4" t="str">
        <f>HYPERLINK("D:\Users\Yuman\Desktop\MasterProject\results\achiral_catalyst.H_Ph_BF3.vacuum\P2_cat_complex", "Directory")</f>
        <v>Directory</v>
      </c>
      <c r="K9" s="4" t="str">
        <f>HYPERLINK("D:\Users\Yuman\Desktop\MasterProject\calculations\achiral_catalyst.H_Ph_BF3.vacuum\P2_cat_complex", "Directory")</f>
        <v>Directory</v>
      </c>
      <c r="L9" s="3"/>
      <c r="M9" s="3"/>
      <c r="N9" s="5" t="s">
        <v>52</v>
      </c>
      <c r="O9" s="3" t="s">
        <v>26</v>
      </c>
      <c r="P9" s="3" t="s">
        <v>27</v>
      </c>
      <c r="Q9" s="3" t="s">
        <v>28</v>
      </c>
      <c r="R9" s="3" t="s">
        <v>29</v>
      </c>
      <c r="S9" s="3" t="s">
        <v>53</v>
      </c>
    </row>
    <row r="10" spans="1:19" ht="15.75" x14ac:dyDescent="0.25">
      <c r="A10" s="2" t="s">
        <v>19</v>
      </c>
      <c r="B10" s="3" t="s">
        <v>20</v>
      </c>
      <c r="C10" s="3" t="s">
        <v>21</v>
      </c>
      <c r="D10" s="3" t="s">
        <v>22</v>
      </c>
      <c r="E10" s="3" t="s">
        <v>32</v>
      </c>
      <c r="F10" s="3" t="s">
        <v>33</v>
      </c>
      <c r="G10" s="3" t="s">
        <v>47</v>
      </c>
      <c r="H10" s="3"/>
      <c r="I10" s="3" t="s">
        <v>40</v>
      </c>
      <c r="J10" s="4" t="str">
        <f>HYPERLINK("D:\Users\Yuman\Desktop\MasterProject\results\achiral_catalyst.H_Ph_BF3.vacuum\sub_cat_complex", "Directory")</f>
        <v>Directory</v>
      </c>
      <c r="K10" s="4" t="str">
        <f>HYPERLINK("D:\Users\Yuman\Desktop\MasterProject\calculations\achiral_catalyst.H_Ph_BF3.vacuum\sub_cat_complex", "Directory")</f>
        <v>Directory</v>
      </c>
      <c r="L10" s="3"/>
      <c r="M10" s="3"/>
      <c r="N10" s="5" t="s">
        <v>54</v>
      </c>
      <c r="O10" s="3" t="s">
        <v>26</v>
      </c>
      <c r="P10" s="3" t="s">
        <v>27</v>
      </c>
      <c r="Q10" s="3" t="s">
        <v>28</v>
      </c>
      <c r="R10" s="3" t="s">
        <v>29</v>
      </c>
      <c r="S10" s="3" t="s">
        <v>55</v>
      </c>
    </row>
    <row r="11" spans="1:19" ht="15.75" x14ac:dyDescent="0.25">
      <c r="A11" s="2" t="s">
        <v>19</v>
      </c>
      <c r="B11" s="3" t="s">
        <v>43</v>
      </c>
      <c r="C11" s="3" t="s">
        <v>21</v>
      </c>
      <c r="D11" s="3" t="s">
        <v>22</v>
      </c>
      <c r="E11" s="3" t="s">
        <v>32</v>
      </c>
      <c r="F11" s="3" t="s">
        <v>33</v>
      </c>
      <c r="G11" s="3" t="s">
        <v>47</v>
      </c>
      <c r="H11" s="3"/>
      <c r="I11" s="3" t="s">
        <v>44</v>
      </c>
      <c r="J11" s="4" t="str">
        <f>HYPERLINK("D:\Users\Yuman\Desktop\MasterProject\results\achiral_catalyst.H_Ph_BF3.vacuum\TS", "Directory")</f>
        <v>Directory</v>
      </c>
      <c r="K11" s="4" t="str">
        <f>HYPERLINK("D:\Users\Yuman\Desktop\MasterProject\calculations\achiral_catalyst.H_Ph_BF3.vacuum\TS", "Directory")</f>
        <v>Directory</v>
      </c>
      <c r="L11" s="3"/>
      <c r="M11" s="3"/>
      <c r="N11" s="5" t="s">
        <v>56</v>
      </c>
      <c r="O11" s="3" t="s">
        <v>26</v>
      </c>
      <c r="P11" s="3" t="s">
        <v>27</v>
      </c>
      <c r="Q11" s="3" t="s">
        <v>28</v>
      </c>
      <c r="R11" s="3" t="s">
        <v>29</v>
      </c>
      <c r="S11" s="3" t="s">
        <v>57</v>
      </c>
    </row>
    <row r="12" spans="1:19" ht="15.75" x14ac:dyDescent="0.25">
      <c r="A12" s="2" t="s">
        <v>19</v>
      </c>
      <c r="B12" s="3" t="s">
        <v>20</v>
      </c>
      <c r="C12" s="3" t="s">
        <v>21</v>
      </c>
      <c r="D12" s="3" t="s">
        <v>22</v>
      </c>
      <c r="E12" s="3"/>
      <c r="F12" s="3"/>
      <c r="G12" s="3" t="s">
        <v>58</v>
      </c>
      <c r="H12" s="3"/>
      <c r="I12" s="3" t="s">
        <v>24</v>
      </c>
      <c r="J12" s="4" t="str">
        <f>HYPERLINK("D:\Users\Yuman\Desktop\MasterProject\results\achiral_catalyst.H_Ph_I2.vacuum\cat", "Directory")</f>
        <v>Directory</v>
      </c>
      <c r="K12" s="4" t="str">
        <f>HYPERLINK("D:\Users\Yuman\Desktop\MasterProject\calculations\achiral_catalyst.H_Ph_I2.vacuum\cat", "Directory")</f>
        <v>Directory</v>
      </c>
      <c r="L12" s="3"/>
      <c r="M12" s="3"/>
      <c r="N12" s="5" t="s">
        <v>59</v>
      </c>
      <c r="O12" s="3" t="s">
        <v>26</v>
      </c>
      <c r="P12" s="3" t="s">
        <v>27</v>
      </c>
      <c r="Q12" s="3" t="s">
        <v>28</v>
      </c>
      <c r="R12" s="3" t="s">
        <v>29</v>
      </c>
      <c r="S12" s="3" t="s">
        <v>60</v>
      </c>
    </row>
    <row r="13" spans="1:19" ht="15.75" x14ac:dyDescent="0.25">
      <c r="A13" s="6" t="s">
        <v>31</v>
      </c>
      <c r="B13" s="3" t="s">
        <v>20</v>
      </c>
      <c r="C13" s="3" t="s">
        <v>21</v>
      </c>
      <c r="D13" s="3" t="s">
        <v>22</v>
      </c>
      <c r="E13" s="3" t="s">
        <v>32</v>
      </c>
      <c r="F13" s="3" t="s">
        <v>33</v>
      </c>
      <c r="G13" s="3" t="s">
        <v>58</v>
      </c>
      <c r="H13" s="3"/>
      <c r="I13" s="3" t="s">
        <v>34</v>
      </c>
      <c r="J13" s="4" t="str">
        <f>HYPERLINK("D:\Users\Yuman\Desktop\MasterProject\results\achiral_catalyst.H_Ph_I2.vacuum\P1_cat_complex", "Directory")</f>
        <v>Directory</v>
      </c>
      <c r="K13" s="4" t="str">
        <f>HYPERLINK("D:\Users\Yuman\Desktop\MasterProject\calculations\achiral_catalyst.H_Ph_I2.vacuum\P1_cat_complex", "Directory")</f>
        <v>Directory</v>
      </c>
      <c r="L13" s="3"/>
      <c r="M13" s="3"/>
      <c r="N13" s="5" t="s">
        <v>61</v>
      </c>
      <c r="O13" s="3" t="s">
        <v>26</v>
      </c>
      <c r="P13" s="3" t="s">
        <v>27</v>
      </c>
      <c r="Q13" s="3" t="s">
        <v>28</v>
      </c>
      <c r="R13" s="3" t="s">
        <v>29</v>
      </c>
      <c r="S13" s="3" t="s">
        <v>62</v>
      </c>
    </row>
    <row r="14" spans="1:19" ht="15.75" x14ac:dyDescent="0.25">
      <c r="A14" s="6" t="s">
        <v>31</v>
      </c>
      <c r="B14" s="3" t="s">
        <v>20</v>
      </c>
      <c r="C14" s="3" t="s">
        <v>21</v>
      </c>
      <c r="D14" s="3" t="s">
        <v>22</v>
      </c>
      <c r="E14" s="3" t="s">
        <v>32</v>
      </c>
      <c r="F14" s="3" t="s">
        <v>33</v>
      </c>
      <c r="G14" s="3"/>
      <c r="H14" s="3"/>
      <c r="I14" s="3" t="s">
        <v>63</v>
      </c>
      <c r="J14" s="4" t="str">
        <f>HYPERLINK("D:\Users\Yuman\Desktop\MasterProject\results\achiral_catalyst.H_Ph_I2.vacuum\P2", "Directory")</f>
        <v>Directory</v>
      </c>
      <c r="K14" s="4" t="str">
        <f>HYPERLINK("D:\Users\Yuman\Desktop\MasterProject\calculations\achiral_catalyst.H_Ph_I2.vacuum\P2", "Directory")</f>
        <v>Directory</v>
      </c>
      <c r="L14" s="4" t="str">
        <f>HYPERLINK("D:\Users\Yuman\Desktop\MasterProject\results\achiral_catalyst.H_Ph_I2.vacuum\P2/molview2_start_in.bat", "input.xyz")</f>
        <v>input.xyz</v>
      </c>
      <c r="M14" s="3"/>
      <c r="N14" s="5" t="s">
        <v>64</v>
      </c>
      <c r="O14" s="3" t="s">
        <v>26</v>
      </c>
      <c r="P14" s="3" t="s">
        <v>27</v>
      </c>
      <c r="Q14" s="3" t="s">
        <v>28</v>
      </c>
      <c r="R14" s="3" t="s">
        <v>29</v>
      </c>
      <c r="S14" s="3" t="s">
        <v>65</v>
      </c>
    </row>
    <row r="15" spans="1:19" ht="15.75" x14ac:dyDescent="0.25">
      <c r="A15" s="2" t="s">
        <v>19</v>
      </c>
      <c r="B15" s="3" t="s">
        <v>20</v>
      </c>
      <c r="C15" s="3" t="s">
        <v>21</v>
      </c>
      <c r="D15" s="3" t="s">
        <v>22</v>
      </c>
      <c r="E15" s="3" t="s">
        <v>32</v>
      </c>
      <c r="F15" s="3" t="s">
        <v>33</v>
      </c>
      <c r="G15" s="3" t="s">
        <v>58</v>
      </c>
      <c r="H15" s="3"/>
      <c r="I15" s="3" t="s">
        <v>37</v>
      </c>
      <c r="J15" s="4" t="str">
        <f>HYPERLINK("D:\Users\Yuman\Desktop\MasterProject\results\achiral_catalyst.H_Ph_I2.vacuum\P2_cat_complex", "Directory")</f>
        <v>Directory</v>
      </c>
      <c r="K15" s="4" t="str">
        <f>HYPERLINK("D:\Users\Yuman\Desktop\MasterProject\calculations\achiral_catalyst.H_Ph_I2.vacuum\P2_cat_complex", "Directory")</f>
        <v>Directory</v>
      </c>
      <c r="L15" s="3"/>
      <c r="M15" s="3"/>
      <c r="N15" s="5" t="s">
        <v>66</v>
      </c>
      <c r="O15" s="3" t="s">
        <v>26</v>
      </c>
      <c r="P15" s="3" t="s">
        <v>27</v>
      </c>
      <c r="Q15" s="3" t="s">
        <v>28</v>
      </c>
      <c r="R15" s="3" t="s">
        <v>29</v>
      </c>
      <c r="S15" s="3" t="s">
        <v>67</v>
      </c>
    </row>
    <row r="16" spans="1:19" ht="15.75" x14ac:dyDescent="0.25">
      <c r="A16" s="2" t="s">
        <v>19</v>
      </c>
      <c r="B16" s="3" t="s">
        <v>20</v>
      </c>
      <c r="C16" s="3" t="s">
        <v>21</v>
      </c>
      <c r="D16" s="3" t="s">
        <v>22</v>
      </c>
      <c r="E16" s="3" t="s">
        <v>32</v>
      </c>
      <c r="F16" s="3" t="s">
        <v>33</v>
      </c>
      <c r="G16" s="3" t="s">
        <v>58</v>
      </c>
      <c r="H16" s="3"/>
      <c r="I16" s="3" t="s">
        <v>40</v>
      </c>
      <c r="J16" s="4" t="str">
        <f>HYPERLINK("D:\Users\Yuman\Desktop\MasterProject\results\achiral_catalyst.H_Ph_I2.vacuum\sub_cat_complex", "Directory")</f>
        <v>Directory</v>
      </c>
      <c r="K16" s="4" t="str">
        <f>HYPERLINK("D:\Users\Yuman\Desktop\MasterProject\calculations\achiral_catalyst.H_Ph_I2.vacuum\sub_cat_complex", "Directory")</f>
        <v>Directory</v>
      </c>
      <c r="L16" s="3"/>
      <c r="M16" s="3"/>
      <c r="N16" s="5" t="s">
        <v>68</v>
      </c>
      <c r="O16" s="3" t="s">
        <v>26</v>
      </c>
      <c r="P16" s="3" t="s">
        <v>27</v>
      </c>
      <c r="Q16" s="3" t="s">
        <v>28</v>
      </c>
      <c r="R16" s="3" t="s">
        <v>29</v>
      </c>
      <c r="S16" s="3" t="s">
        <v>69</v>
      </c>
    </row>
    <row r="17" spans="1:19" ht="15.75" x14ac:dyDescent="0.25">
      <c r="A17" s="2" t="s">
        <v>19</v>
      </c>
      <c r="B17" s="3" t="s">
        <v>43</v>
      </c>
      <c r="C17" s="3" t="s">
        <v>21</v>
      </c>
      <c r="D17" s="3" t="s">
        <v>22</v>
      </c>
      <c r="E17" s="3" t="s">
        <v>32</v>
      </c>
      <c r="F17" s="3" t="s">
        <v>33</v>
      </c>
      <c r="G17" s="3" t="s">
        <v>58</v>
      </c>
      <c r="H17" s="3"/>
      <c r="I17" s="3" t="s">
        <v>44</v>
      </c>
      <c r="J17" s="4" t="str">
        <f>HYPERLINK("D:\Users\Yuman\Desktop\MasterProject\results\achiral_catalyst.H_Ph_I2.vacuum\TS", "Directory")</f>
        <v>Directory</v>
      </c>
      <c r="K17" s="4" t="str">
        <f>HYPERLINK("D:\Users\Yuman\Desktop\MasterProject\calculations\achiral_catalyst.H_Ph_I2.vacuum\TS", "Directory")</f>
        <v>Directory</v>
      </c>
      <c r="L17" s="3"/>
      <c r="M17" s="3"/>
      <c r="N17" s="5" t="s">
        <v>70</v>
      </c>
      <c r="O17" s="3" t="s">
        <v>26</v>
      </c>
      <c r="P17" s="3" t="s">
        <v>27</v>
      </c>
      <c r="Q17" s="3" t="s">
        <v>28</v>
      </c>
      <c r="R17" s="3" t="s">
        <v>29</v>
      </c>
      <c r="S17" s="3" t="s">
        <v>71</v>
      </c>
    </row>
    <row r="18" spans="1:19" ht="15.75" x14ac:dyDescent="0.25">
      <c r="A18" s="6" t="s">
        <v>31</v>
      </c>
      <c r="B18" s="3" t="s">
        <v>20</v>
      </c>
      <c r="C18" s="3" t="s">
        <v>21</v>
      </c>
      <c r="D18" s="3" t="s">
        <v>22</v>
      </c>
      <c r="E18" s="3"/>
      <c r="F18" s="3"/>
      <c r="G18" s="3" t="s">
        <v>72</v>
      </c>
      <c r="H18" s="3"/>
      <c r="I18" s="3" t="s">
        <v>24</v>
      </c>
      <c r="J18" s="4" t="str">
        <f>HYPERLINK("D:\Users\Yuman\Desktop\MasterProject\results\achiral_catalyst.H_Ph_SnCl4.vacuum\cat", "Directory")</f>
        <v>Directory</v>
      </c>
      <c r="K18" s="4" t="str">
        <f>HYPERLINK("D:\Users\Yuman\Desktop\MasterProject\calculations\achiral_catalyst.H_Ph_SnCl4.vacuum\cat", "Directory")</f>
        <v>Directory</v>
      </c>
      <c r="L18" s="4" t="str">
        <f>HYPERLINK("D:\Users\Yuman\Desktop\MasterProject\results\achiral_catalyst.H_Ph_SnCl4.vacuum\cat/molview2_start_in.bat", "input.xyz")</f>
        <v>input.xyz</v>
      </c>
      <c r="M18" s="3"/>
      <c r="N18" s="5" t="s">
        <v>73</v>
      </c>
      <c r="O18" s="3" t="s">
        <v>26</v>
      </c>
      <c r="P18" s="3" t="s">
        <v>27</v>
      </c>
      <c r="Q18" s="3" t="s">
        <v>28</v>
      </c>
      <c r="R18" s="3" t="s">
        <v>29</v>
      </c>
      <c r="S18" s="3" t="s">
        <v>74</v>
      </c>
    </row>
    <row r="19" spans="1:19" ht="15.75" x14ac:dyDescent="0.25">
      <c r="A19" s="6" t="s">
        <v>31</v>
      </c>
      <c r="B19" s="3" t="s">
        <v>20</v>
      </c>
      <c r="C19" s="3" t="s">
        <v>21</v>
      </c>
      <c r="D19" s="3" t="s">
        <v>22</v>
      </c>
      <c r="E19" s="3" t="s">
        <v>32</v>
      </c>
      <c r="F19" s="3" t="s">
        <v>33</v>
      </c>
      <c r="G19" s="3" t="s">
        <v>72</v>
      </c>
      <c r="H19" s="3"/>
      <c r="I19" s="3" t="s">
        <v>34</v>
      </c>
      <c r="J19" s="4" t="str">
        <f>HYPERLINK("D:\Users\Yuman\Desktop\MasterProject\results\achiral_catalyst.H_Ph_SnCl4.vacuum\P1_cat_complex", "Directory")</f>
        <v>Directory</v>
      </c>
      <c r="K19" s="4" t="str">
        <f>HYPERLINK("D:\Users\Yuman\Desktop\MasterProject\calculations\achiral_catalyst.H_Ph_SnCl4.vacuum\P1_cat_complex", "Directory")</f>
        <v>Directory</v>
      </c>
      <c r="L19" s="4" t="str">
        <f>HYPERLINK("D:\Users\Yuman\Desktop\MasterProject\results\achiral_catalyst.H_Ph_SnCl4.vacuum\P1_cat_complex/molview2_start_in.bat", "input.xyz")</f>
        <v>input.xyz</v>
      </c>
      <c r="M19" s="3"/>
      <c r="N19" s="5" t="s">
        <v>75</v>
      </c>
      <c r="O19" s="3" t="s">
        <v>26</v>
      </c>
      <c r="P19" s="3" t="s">
        <v>27</v>
      </c>
      <c r="Q19" s="3" t="s">
        <v>28</v>
      </c>
      <c r="R19" s="3" t="s">
        <v>29</v>
      </c>
      <c r="S19" s="3" t="s">
        <v>76</v>
      </c>
    </row>
    <row r="20" spans="1:19" ht="15.75" x14ac:dyDescent="0.25">
      <c r="A20" s="7" t="s">
        <v>77</v>
      </c>
      <c r="B20" s="3" t="s">
        <v>20</v>
      </c>
      <c r="C20" s="3" t="s">
        <v>21</v>
      </c>
      <c r="D20" s="3" t="s">
        <v>22</v>
      </c>
      <c r="E20" s="3" t="s">
        <v>32</v>
      </c>
      <c r="F20" s="3" t="s">
        <v>33</v>
      </c>
      <c r="G20" s="3" t="s">
        <v>72</v>
      </c>
      <c r="H20" s="3"/>
      <c r="I20" s="3" t="s">
        <v>37</v>
      </c>
      <c r="J20" s="4" t="str">
        <f>HYPERLINK("D:\Users\Yuman\Desktop\MasterProject\results\achiral_catalyst.H_Ph_SnCl4.vacuum\P2_cat_complex", "Directory")</f>
        <v>Directory</v>
      </c>
      <c r="K20" s="4" t="str">
        <f>HYPERLINK("D:\Users\Yuman\Desktop\MasterProject\calculations\achiral_catalyst.H_Ph_SnCl4.vacuum\P2_cat_complex", "Directory")</f>
        <v>Directory</v>
      </c>
      <c r="L20" s="4" t="str">
        <f>HYPERLINK("D:\Users\Yuman\Desktop\MasterProject\results\achiral_catalyst.H_Ph_SnCl4.vacuum\P2_cat_complex/molview2_start_in.bat", "input.xyz")</f>
        <v>input.xyz</v>
      </c>
      <c r="M20" s="3"/>
      <c r="N20" s="5" t="s">
        <v>78</v>
      </c>
      <c r="O20" s="3" t="s">
        <v>26</v>
      </c>
      <c r="P20" s="3" t="s">
        <v>27</v>
      </c>
      <c r="Q20" s="3" t="s">
        <v>28</v>
      </c>
      <c r="R20" s="3" t="s">
        <v>29</v>
      </c>
      <c r="S20" s="3" t="s">
        <v>79</v>
      </c>
    </row>
    <row r="21" spans="1:19" ht="15.75" x14ac:dyDescent="0.25">
      <c r="A21" s="6" t="s">
        <v>31</v>
      </c>
      <c r="B21" s="3" t="s">
        <v>20</v>
      </c>
      <c r="C21" s="3" t="s">
        <v>21</v>
      </c>
      <c r="D21" s="3" t="s">
        <v>22</v>
      </c>
      <c r="E21" s="3" t="s">
        <v>32</v>
      </c>
      <c r="F21" s="3" t="s">
        <v>33</v>
      </c>
      <c r="G21" s="3" t="s">
        <v>72</v>
      </c>
      <c r="H21" s="3"/>
      <c r="I21" s="3" t="s">
        <v>40</v>
      </c>
      <c r="J21" s="4" t="str">
        <f>HYPERLINK("D:\Users\Yuman\Desktop\MasterProject\results\achiral_catalyst.H_Ph_SnCl4.vacuum\sub_cat_complex", "Directory")</f>
        <v>Directory</v>
      </c>
      <c r="K21" s="4" t="str">
        <f>HYPERLINK("D:\Users\Yuman\Desktop\MasterProject\calculations\achiral_catalyst.H_Ph_SnCl4.vacuum\sub_cat_complex", "Directory")</f>
        <v>Directory</v>
      </c>
      <c r="L21" s="4" t="str">
        <f>HYPERLINK("D:\Users\Yuman\Desktop\MasterProject\results\achiral_catalyst.H_Ph_SnCl4.vacuum\sub_cat_complex/molview2_start_in.bat", "input.xyz")</f>
        <v>input.xyz</v>
      </c>
      <c r="M21" s="3"/>
      <c r="N21" s="5" t="s">
        <v>80</v>
      </c>
      <c r="O21" s="3" t="s">
        <v>26</v>
      </c>
      <c r="P21" s="3" t="s">
        <v>27</v>
      </c>
      <c r="Q21" s="3" t="s">
        <v>28</v>
      </c>
      <c r="R21" s="3" t="s">
        <v>29</v>
      </c>
      <c r="S21" s="3" t="s">
        <v>81</v>
      </c>
    </row>
    <row r="22" spans="1:19" ht="15.75" x14ac:dyDescent="0.25">
      <c r="A22" s="2" t="s">
        <v>19</v>
      </c>
      <c r="B22" s="3" t="s">
        <v>20</v>
      </c>
      <c r="C22" s="3" t="s">
        <v>21</v>
      </c>
      <c r="D22" s="3" t="s">
        <v>22</v>
      </c>
      <c r="E22" s="3"/>
      <c r="F22" s="3"/>
      <c r="G22" s="3" t="s">
        <v>82</v>
      </c>
      <c r="H22" s="3"/>
      <c r="I22" s="3" t="s">
        <v>24</v>
      </c>
      <c r="J22" s="4" t="str">
        <f>HYPERLINK("D:\Users\Yuman\Desktop\MasterProject\results\achiral_catalyst.H_Ph_TiCl4.vacuum\cat", "Directory")</f>
        <v>Directory</v>
      </c>
      <c r="K22" s="4" t="str">
        <f>HYPERLINK("D:\Users\Yuman\Desktop\MasterProject\calculations\achiral_catalyst.H_Ph_TiCl4.vacuum\cat", "Directory")</f>
        <v>Directory</v>
      </c>
      <c r="L22" s="3"/>
      <c r="M22" s="3"/>
      <c r="N22" s="5" t="s">
        <v>83</v>
      </c>
      <c r="O22" s="3" t="s">
        <v>26</v>
      </c>
      <c r="P22" s="3" t="s">
        <v>27</v>
      </c>
      <c r="Q22" s="3" t="s">
        <v>28</v>
      </c>
      <c r="R22" s="3" t="s">
        <v>29</v>
      </c>
      <c r="S22" s="3" t="s">
        <v>84</v>
      </c>
    </row>
    <row r="23" spans="1:19" ht="15.75" x14ac:dyDescent="0.25">
      <c r="A23" s="6" t="s">
        <v>31</v>
      </c>
      <c r="B23" s="3" t="s">
        <v>20</v>
      </c>
      <c r="C23" s="3" t="s">
        <v>21</v>
      </c>
      <c r="D23" s="3" t="s">
        <v>22</v>
      </c>
      <c r="E23" s="3" t="s">
        <v>32</v>
      </c>
      <c r="F23" s="3" t="s">
        <v>33</v>
      </c>
      <c r="G23" s="3" t="s">
        <v>82</v>
      </c>
      <c r="H23" s="3"/>
      <c r="I23" s="3" t="s">
        <v>34</v>
      </c>
      <c r="J23" s="4" t="str">
        <f>HYPERLINK("D:\Users\Yuman\Desktop\MasterProject\results\achiral_catalyst.H_Ph_TiCl4.vacuum\P1_cat_complex", "Directory")</f>
        <v>Directory</v>
      </c>
      <c r="K23" s="4" t="str">
        <f>HYPERLINK("D:\Users\Yuman\Desktop\MasterProject\calculations\achiral_catalyst.H_Ph_TiCl4.vacuum\P1_cat_complex", "Directory")</f>
        <v>Directory</v>
      </c>
      <c r="L23" s="4" t="str">
        <f>HYPERLINK("D:\Users\Yuman\Desktop\MasterProject\results\achiral_catalyst.H_Ph_TiCl4.vacuum\P1_cat_complex/molview2_start_in.bat", "input.xyz")</f>
        <v>input.xyz</v>
      </c>
      <c r="M23" s="3"/>
      <c r="N23" s="5" t="s">
        <v>85</v>
      </c>
      <c r="O23" s="3" t="s">
        <v>26</v>
      </c>
      <c r="P23" s="3" t="s">
        <v>27</v>
      </c>
      <c r="Q23" s="3" t="s">
        <v>28</v>
      </c>
      <c r="R23" s="3" t="s">
        <v>29</v>
      </c>
      <c r="S23" s="3" t="s">
        <v>86</v>
      </c>
    </row>
    <row r="24" spans="1:19" ht="15.75" x14ac:dyDescent="0.25">
      <c r="A24" s="6" t="s">
        <v>31</v>
      </c>
      <c r="B24" s="3" t="s">
        <v>20</v>
      </c>
      <c r="C24" s="3" t="s">
        <v>21</v>
      </c>
      <c r="D24" s="3" t="s">
        <v>22</v>
      </c>
      <c r="E24" s="3" t="s">
        <v>32</v>
      </c>
      <c r="F24" s="3" t="s">
        <v>33</v>
      </c>
      <c r="G24" s="3" t="s">
        <v>82</v>
      </c>
      <c r="H24" s="3"/>
      <c r="I24" s="3" t="s">
        <v>37</v>
      </c>
      <c r="J24" s="4" t="str">
        <f>HYPERLINK("D:\Users\Yuman\Desktop\MasterProject\results\achiral_catalyst.H_Ph_TiCl4.vacuum\P2_cat_complex", "Directory")</f>
        <v>Directory</v>
      </c>
      <c r="K24" s="4" t="str">
        <f>HYPERLINK("D:\Users\Yuman\Desktop\MasterProject\calculations\achiral_catalyst.H_Ph_TiCl4.vacuum\P2_cat_complex", "Directory")</f>
        <v>Directory</v>
      </c>
      <c r="L24" s="3"/>
      <c r="M24" s="3"/>
      <c r="N24" s="5" t="s">
        <v>87</v>
      </c>
      <c r="O24" s="3" t="s">
        <v>26</v>
      </c>
      <c r="P24" s="3" t="s">
        <v>27</v>
      </c>
      <c r="Q24" s="3" t="s">
        <v>28</v>
      </c>
      <c r="R24" s="3" t="s">
        <v>29</v>
      </c>
      <c r="S24" s="3" t="s">
        <v>88</v>
      </c>
    </row>
    <row r="25" spans="1:19" ht="15.75" x14ac:dyDescent="0.25">
      <c r="A25" s="2" t="s">
        <v>19</v>
      </c>
      <c r="B25" s="3" t="s">
        <v>20</v>
      </c>
      <c r="C25" s="3" t="s">
        <v>21</v>
      </c>
      <c r="D25" s="3" t="s">
        <v>22</v>
      </c>
      <c r="E25" s="3" t="s">
        <v>32</v>
      </c>
      <c r="F25" s="3" t="s">
        <v>33</v>
      </c>
      <c r="G25" s="3" t="s">
        <v>82</v>
      </c>
      <c r="H25" s="3"/>
      <c r="I25" s="3" t="s">
        <v>40</v>
      </c>
      <c r="J25" s="4" t="str">
        <f>HYPERLINK("D:\Users\Yuman\Desktop\MasterProject\results\achiral_catalyst.H_Ph_TiCl4.vacuum\sub_cat_complex", "Directory")</f>
        <v>Directory</v>
      </c>
      <c r="K25" s="4" t="str">
        <f>HYPERLINK("D:\Users\Yuman\Desktop\MasterProject\calculations\achiral_catalyst.H_Ph_TiCl4.vacuum\sub_cat_complex", "Directory")</f>
        <v>Directory</v>
      </c>
      <c r="L25" s="3"/>
      <c r="M25" s="3"/>
      <c r="N25" s="5" t="s">
        <v>89</v>
      </c>
      <c r="O25" s="3" t="s">
        <v>26</v>
      </c>
      <c r="P25" s="3" t="s">
        <v>27</v>
      </c>
      <c r="Q25" s="3" t="s">
        <v>28</v>
      </c>
      <c r="R25" s="3" t="s">
        <v>29</v>
      </c>
      <c r="S25" s="3" t="s">
        <v>90</v>
      </c>
    </row>
    <row r="26" spans="1:19" ht="15.75" x14ac:dyDescent="0.25">
      <c r="A26" s="6" t="s">
        <v>31</v>
      </c>
      <c r="B26" s="3" t="s">
        <v>43</v>
      </c>
      <c r="C26" s="3" t="s">
        <v>21</v>
      </c>
      <c r="D26" s="3" t="s">
        <v>22</v>
      </c>
      <c r="E26" s="3" t="s">
        <v>32</v>
      </c>
      <c r="F26" s="3" t="s">
        <v>33</v>
      </c>
      <c r="G26" s="3" t="s">
        <v>82</v>
      </c>
      <c r="H26" s="3"/>
      <c r="I26" s="3" t="s">
        <v>44</v>
      </c>
      <c r="J26" s="4" t="str">
        <f>HYPERLINK("D:\Users\Yuman\Desktop\MasterProject\results\achiral_catalyst.H_Ph_TiCl4.vacuum\TS", "Directory")</f>
        <v>Directory</v>
      </c>
      <c r="K26" s="4" t="str">
        <f>HYPERLINK("D:\Users\Yuman\Desktop\MasterProject\calculations\achiral_catalyst.H_Ph_TiCl4.vacuum\TS", "Directory")</f>
        <v>Directory</v>
      </c>
      <c r="L26" s="4" t="str">
        <f>HYPERLINK("D:\Users\Yuman\Desktop\MasterProject\results\achiral_catalyst.H_Ph_TiCl4.vacuum\TS/molview2_start_in.bat", "input.xyz")</f>
        <v>input.xyz</v>
      </c>
      <c r="M26" s="3"/>
      <c r="N26" s="5" t="s">
        <v>91</v>
      </c>
      <c r="O26" s="3" t="s">
        <v>26</v>
      </c>
      <c r="P26" s="3" t="s">
        <v>27</v>
      </c>
      <c r="Q26" s="3" t="s">
        <v>28</v>
      </c>
      <c r="R26" s="3" t="s">
        <v>29</v>
      </c>
      <c r="S26" s="3" t="s">
        <v>92</v>
      </c>
    </row>
    <row r="27" spans="1:19" ht="15.75" x14ac:dyDescent="0.25">
      <c r="A27" s="2" t="s">
        <v>19</v>
      </c>
      <c r="B27" s="3" t="s">
        <v>20</v>
      </c>
      <c r="C27" s="3" t="s">
        <v>21</v>
      </c>
      <c r="D27" s="3" t="s">
        <v>22</v>
      </c>
      <c r="E27" s="3"/>
      <c r="F27" s="3"/>
      <c r="G27" s="3" t="s">
        <v>93</v>
      </c>
      <c r="H27" s="3"/>
      <c r="I27" s="3" t="s">
        <v>24</v>
      </c>
      <c r="J27" s="4" t="str">
        <f>HYPERLINK("D:\Users\Yuman\Desktop\MasterProject\results\achiral_catalyst.H_Ph_ZnCl2.vacuum\cat", "Directory")</f>
        <v>Directory</v>
      </c>
      <c r="K27" s="4" t="str">
        <f>HYPERLINK("D:\Users\Yuman\Desktop\MasterProject\calculations\achiral_catalyst.H_Ph_ZnCl2.vacuum\cat", "Directory")</f>
        <v>Directory</v>
      </c>
      <c r="L27" s="3"/>
      <c r="M27" s="3"/>
      <c r="N27" s="5" t="s">
        <v>94</v>
      </c>
      <c r="O27" s="3" t="s">
        <v>26</v>
      </c>
      <c r="P27" s="3" t="s">
        <v>27</v>
      </c>
      <c r="Q27" s="3" t="s">
        <v>28</v>
      </c>
      <c r="R27" s="3" t="s">
        <v>29</v>
      </c>
      <c r="S27" s="3" t="s">
        <v>95</v>
      </c>
    </row>
    <row r="28" spans="1:19" ht="15.75" x14ac:dyDescent="0.25">
      <c r="A28" s="2" t="s">
        <v>19</v>
      </c>
      <c r="B28" s="3" t="s">
        <v>20</v>
      </c>
      <c r="C28" s="3" t="s">
        <v>21</v>
      </c>
      <c r="D28" s="3" t="s">
        <v>22</v>
      </c>
      <c r="E28" s="3" t="s">
        <v>32</v>
      </c>
      <c r="F28" s="3" t="s">
        <v>33</v>
      </c>
      <c r="G28" s="3" t="s">
        <v>93</v>
      </c>
      <c r="H28" s="3"/>
      <c r="I28" s="3" t="s">
        <v>34</v>
      </c>
      <c r="J28" s="4" t="str">
        <f>HYPERLINK("D:\Users\Yuman\Desktop\MasterProject\results\achiral_catalyst.H_Ph_ZnCl2.vacuum\P1_cat_complex", "Directory")</f>
        <v>Directory</v>
      </c>
      <c r="K28" s="4" t="str">
        <f>HYPERLINK("D:\Users\Yuman\Desktop\MasterProject\calculations\achiral_catalyst.H_Ph_ZnCl2.vacuum\P1_cat_complex", "Directory")</f>
        <v>Directory</v>
      </c>
      <c r="L28" s="3"/>
      <c r="M28" s="3"/>
      <c r="N28" s="5" t="s">
        <v>96</v>
      </c>
      <c r="O28" s="3" t="s">
        <v>26</v>
      </c>
      <c r="P28" s="3" t="s">
        <v>27</v>
      </c>
      <c r="Q28" s="3" t="s">
        <v>28</v>
      </c>
      <c r="R28" s="3" t="s">
        <v>29</v>
      </c>
      <c r="S28" s="3" t="s">
        <v>97</v>
      </c>
    </row>
    <row r="29" spans="1:19" ht="15.75" x14ac:dyDescent="0.25">
      <c r="A29" s="2" t="s">
        <v>19</v>
      </c>
      <c r="B29" s="3" t="s">
        <v>20</v>
      </c>
      <c r="C29" s="3" t="s">
        <v>21</v>
      </c>
      <c r="D29" s="3" t="s">
        <v>22</v>
      </c>
      <c r="E29" s="3" t="s">
        <v>32</v>
      </c>
      <c r="F29" s="3" t="s">
        <v>33</v>
      </c>
      <c r="G29" s="3" t="s">
        <v>93</v>
      </c>
      <c r="H29" s="3"/>
      <c r="I29" s="3" t="s">
        <v>37</v>
      </c>
      <c r="J29" s="4" t="str">
        <f>HYPERLINK("D:\Users\Yuman\Desktop\MasterProject\results\achiral_catalyst.H_Ph_ZnCl2.vacuum\P2_cat_complex", "Directory")</f>
        <v>Directory</v>
      </c>
      <c r="K29" s="4" t="str">
        <f>HYPERLINK("D:\Users\Yuman\Desktop\MasterProject\calculations\achiral_catalyst.H_Ph_ZnCl2.vacuum\P2_cat_complex", "Directory")</f>
        <v>Directory</v>
      </c>
      <c r="L29" s="3"/>
      <c r="M29" s="3"/>
      <c r="N29" s="5" t="s">
        <v>98</v>
      </c>
      <c r="O29" s="3" t="s">
        <v>26</v>
      </c>
      <c r="P29" s="3" t="s">
        <v>27</v>
      </c>
      <c r="Q29" s="3" t="s">
        <v>28</v>
      </c>
      <c r="R29" s="3" t="s">
        <v>29</v>
      </c>
      <c r="S29" s="3" t="s">
        <v>99</v>
      </c>
    </row>
    <row r="30" spans="1:19" ht="15.75" x14ac:dyDescent="0.25">
      <c r="A30" s="2" t="s">
        <v>19</v>
      </c>
      <c r="B30" s="3" t="s">
        <v>20</v>
      </c>
      <c r="C30" s="3" t="s">
        <v>21</v>
      </c>
      <c r="D30" s="3" t="s">
        <v>22</v>
      </c>
      <c r="E30" s="3"/>
      <c r="F30" s="3"/>
      <c r="G30" s="3"/>
      <c r="H30" s="3"/>
      <c r="I30" s="3" t="s">
        <v>100</v>
      </c>
      <c r="J30" s="4" t="str">
        <f>HYPERLINK("D:\Users\Yuman\Desktop\MasterProject\results\achiral_catalyst.H_Ph_ZnCl2.vacuum\rad", "Directory")</f>
        <v>Directory</v>
      </c>
      <c r="K30" s="4" t="str">
        <f>HYPERLINK("D:\Users\Yuman\Desktop\MasterProject\calculations\achiral_catalyst.H_Ph_ZnCl2.vacuum\rad", "Directory")</f>
        <v>Directory</v>
      </c>
      <c r="L30" s="3"/>
      <c r="M30" s="3"/>
      <c r="N30" s="5" t="s">
        <v>101</v>
      </c>
      <c r="O30" s="3" t="s">
        <v>26</v>
      </c>
      <c r="P30" s="3" t="s">
        <v>27</v>
      </c>
      <c r="Q30" s="3" t="s">
        <v>28</v>
      </c>
      <c r="R30" s="3" t="s">
        <v>29</v>
      </c>
      <c r="S30" s="3" t="s">
        <v>102</v>
      </c>
    </row>
    <row r="31" spans="1:19" ht="15.75" x14ac:dyDescent="0.25">
      <c r="A31" s="2" t="s">
        <v>19</v>
      </c>
      <c r="B31" s="3" t="s">
        <v>20</v>
      </c>
      <c r="C31" s="3" t="s">
        <v>21</v>
      </c>
      <c r="D31" s="3" t="s">
        <v>22</v>
      </c>
      <c r="E31" s="3" t="s">
        <v>32</v>
      </c>
      <c r="F31" s="3" t="s">
        <v>33</v>
      </c>
      <c r="G31" s="3"/>
      <c r="H31" s="3"/>
      <c r="I31" s="3" t="s">
        <v>103</v>
      </c>
      <c r="J31" s="4" t="str">
        <f>HYPERLINK("D:\Users\Yuman\Desktop\MasterProject\results\achiral_catalyst.H_Ph_ZnCl2.vacuum\sub", "Directory")</f>
        <v>Directory</v>
      </c>
      <c r="K31" s="4" t="str">
        <f>HYPERLINK("D:\Users\Yuman\Desktop\MasterProject\calculations\achiral_catalyst.H_Ph_ZnCl2.vacuum\sub", "Directory")</f>
        <v>Directory</v>
      </c>
      <c r="L31" s="3"/>
      <c r="M31" s="3"/>
      <c r="N31" s="5" t="s">
        <v>104</v>
      </c>
      <c r="O31" s="3" t="s">
        <v>26</v>
      </c>
      <c r="P31" s="3" t="s">
        <v>27</v>
      </c>
      <c r="Q31" s="3" t="s">
        <v>28</v>
      </c>
      <c r="R31" s="3" t="s">
        <v>29</v>
      </c>
      <c r="S31" s="3" t="s">
        <v>105</v>
      </c>
    </row>
    <row r="32" spans="1:19" ht="15.75" x14ac:dyDescent="0.25">
      <c r="A32" s="2" t="s">
        <v>19</v>
      </c>
      <c r="B32" s="3" t="s">
        <v>20</v>
      </c>
      <c r="C32" s="3" t="s">
        <v>21</v>
      </c>
      <c r="D32" s="3" t="s">
        <v>22</v>
      </c>
      <c r="E32" s="3" t="s">
        <v>32</v>
      </c>
      <c r="F32" s="3" t="s">
        <v>33</v>
      </c>
      <c r="G32" s="3" t="s">
        <v>93</v>
      </c>
      <c r="H32" s="3"/>
      <c r="I32" s="3" t="s">
        <v>40</v>
      </c>
      <c r="J32" s="4" t="str">
        <f>HYPERLINK("D:\Users\Yuman\Desktop\MasterProject\results\achiral_catalyst.H_Ph_ZnCl2.vacuum\sub_cat_complex", "Directory")</f>
        <v>Directory</v>
      </c>
      <c r="K32" s="4" t="str">
        <f>HYPERLINK("D:\Users\Yuman\Desktop\MasterProject\calculations\achiral_catalyst.H_Ph_ZnCl2.vacuum\sub_cat_complex", "Directory")</f>
        <v>Directory</v>
      </c>
      <c r="L32" s="3"/>
      <c r="M32" s="3"/>
      <c r="N32" s="5" t="s">
        <v>106</v>
      </c>
      <c r="O32" s="3" t="s">
        <v>26</v>
      </c>
      <c r="P32" s="3" t="s">
        <v>27</v>
      </c>
      <c r="Q32" s="3" t="s">
        <v>28</v>
      </c>
      <c r="R32" s="3" t="s">
        <v>29</v>
      </c>
      <c r="S32" s="3" t="s">
        <v>107</v>
      </c>
    </row>
    <row r="33" spans="1:19" ht="15.75" x14ac:dyDescent="0.25">
      <c r="A33" s="6" t="s">
        <v>31</v>
      </c>
      <c r="B33" s="3" t="s">
        <v>43</v>
      </c>
      <c r="C33" s="3" t="s">
        <v>21</v>
      </c>
      <c r="D33" s="3" t="s">
        <v>22</v>
      </c>
      <c r="E33" s="3" t="s">
        <v>32</v>
      </c>
      <c r="F33" s="3" t="s">
        <v>33</v>
      </c>
      <c r="G33" s="3" t="s">
        <v>93</v>
      </c>
      <c r="H33" s="3"/>
      <c r="I33" s="3" t="s">
        <v>44</v>
      </c>
      <c r="J33" s="4" t="str">
        <f>HYPERLINK("D:\Users\Yuman\Desktop\MasterProject\results\achiral_catalyst.H_Ph_ZnCl2.vacuum\TS", "Directory")</f>
        <v>Directory</v>
      </c>
      <c r="K33" s="4" t="str">
        <f>HYPERLINK("D:\Users\Yuman\Desktop\MasterProject\calculations\achiral_catalyst.H_Ph_ZnCl2.vacuum\TS", "Directory")</f>
        <v>Directory</v>
      </c>
      <c r="L33" s="3"/>
      <c r="M33" s="3"/>
      <c r="N33" s="5" t="s">
        <v>108</v>
      </c>
      <c r="O33" s="3" t="s">
        <v>26</v>
      </c>
      <c r="P33" s="3" t="s">
        <v>27</v>
      </c>
      <c r="Q33" s="3" t="s">
        <v>28</v>
      </c>
      <c r="R33" s="3" t="s">
        <v>29</v>
      </c>
      <c r="S33" s="3" t="s">
        <v>109</v>
      </c>
    </row>
    <row r="34" spans="1:19" ht="15.75" x14ac:dyDescent="0.25">
      <c r="A34" s="6" t="s">
        <v>31</v>
      </c>
      <c r="B34" s="3" t="s">
        <v>20</v>
      </c>
      <c r="C34" s="3" t="s">
        <v>21</v>
      </c>
      <c r="D34" s="3" t="s">
        <v>22</v>
      </c>
      <c r="E34" s="3" t="s">
        <v>32</v>
      </c>
      <c r="F34" s="3" t="s">
        <v>110</v>
      </c>
      <c r="G34" s="3" t="s">
        <v>23</v>
      </c>
      <c r="H34" s="3"/>
      <c r="I34" s="3" t="s">
        <v>34</v>
      </c>
      <c r="J34" s="4" t="str">
        <f>HYPERLINK("D:\Users\Yuman\Desktop\MasterProject\results\achiral_catalyst.H_tBu_AlF3.vacuum\P1_cat_complex", "Directory")</f>
        <v>Directory</v>
      </c>
      <c r="K34" s="4" t="str">
        <f>HYPERLINK("D:\Users\Yuman\Desktop\MasterProject\calculations\achiral_catalyst.H_tBu_AlF3.vacuum\P1_cat_complex", "Directory")</f>
        <v>Directory</v>
      </c>
      <c r="L34" s="3"/>
      <c r="M34" s="3"/>
      <c r="N34" s="5" t="s">
        <v>111</v>
      </c>
      <c r="O34" s="3" t="s">
        <v>26</v>
      </c>
      <c r="P34" s="3" t="s">
        <v>27</v>
      </c>
      <c r="Q34" s="3" t="s">
        <v>28</v>
      </c>
      <c r="R34" s="3" t="s">
        <v>29</v>
      </c>
      <c r="S34" s="3" t="s">
        <v>112</v>
      </c>
    </row>
    <row r="35" spans="1:19" ht="15.75" x14ac:dyDescent="0.25">
      <c r="A35" s="2" t="s">
        <v>19</v>
      </c>
      <c r="B35" s="3" t="s">
        <v>20</v>
      </c>
      <c r="C35" s="3" t="s">
        <v>21</v>
      </c>
      <c r="D35" s="3" t="s">
        <v>22</v>
      </c>
      <c r="E35" s="3" t="s">
        <v>32</v>
      </c>
      <c r="F35" s="3" t="s">
        <v>110</v>
      </c>
      <c r="G35" s="3" t="s">
        <v>23</v>
      </c>
      <c r="H35" s="3"/>
      <c r="I35" s="3" t="s">
        <v>37</v>
      </c>
      <c r="J35" s="4" t="str">
        <f>HYPERLINK("D:\Users\Yuman\Desktop\MasterProject\results\achiral_catalyst.H_tBu_AlF3.vacuum\P2_cat_complex", "Directory")</f>
        <v>Directory</v>
      </c>
      <c r="K35" s="4" t="str">
        <f>HYPERLINK("D:\Users\Yuman\Desktop\MasterProject\calculations\achiral_catalyst.H_tBu_AlF3.vacuum\P2_cat_complex", "Directory")</f>
        <v>Directory</v>
      </c>
      <c r="L35" s="3"/>
      <c r="M35" s="3"/>
      <c r="N35" s="5" t="s">
        <v>113</v>
      </c>
      <c r="O35" s="3" t="s">
        <v>26</v>
      </c>
      <c r="P35" s="3" t="s">
        <v>27</v>
      </c>
      <c r="Q35" s="3" t="s">
        <v>28</v>
      </c>
      <c r="R35" s="3" t="s">
        <v>29</v>
      </c>
      <c r="S35" s="3" t="s">
        <v>114</v>
      </c>
    </row>
    <row r="36" spans="1:19" ht="15.75" x14ac:dyDescent="0.25">
      <c r="A36" s="2" t="s">
        <v>19</v>
      </c>
      <c r="B36" s="3" t="s">
        <v>20</v>
      </c>
      <c r="C36" s="3" t="s">
        <v>21</v>
      </c>
      <c r="D36" s="3" t="s">
        <v>22</v>
      </c>
      <c r="E36" s="3" t="s">
        <v>32</v>
      </c>
      <c r="F36" s="3" t="s">
        <v>110</v>
      </c>
      <c r="G36" s="3"/>
      <c r="H36" s="3"/>
      <c r="I36" s="3" t="s">
        <v>103</v>
      </c>
      <c r="J36" s="4" t="str">
        <f>HYPERLINK("D:\Users\Yuman\Desktop\MasterProject\results\achiral_catalyst.H_tBu_AlF3.vacuum\sub", "Directory")</f>
        <v>Directory</v>
      </c>
      <c r="K36" s="4" t="str">
        <f>HYPERLINK("D:\Users\Yuman\Desktop\MasterProject\calculations\achiral_catalyst.H_tBu_AlF3.vacuum\sub", "Directory")</f>
        <v>Directory</v>
      </c>
      <c r="L36" s="3"/>
      <c r="M36" s="3"/>
      <c r="N36" s="5" t="s">
        <v>115</v>
      </c>
      <c r="O36" s="3" t="s">
        <v>26</v>
      </c>
      <c r="P36" s="3" t="s">
        <v>27</v>
      </c>
      <c r="Q36" s="3" t="s">
        <v>28</v>
      </c>
      <c r="R36" s="3" t="s">
        <v>29</v>
      </c>
      <c r="S36" s="3" t="s">
        <v>116</v>
      </c>
    </row>
    <row r="37" spans="1:19" ht="15.75" x14ac:dyDescent="0.25">
      <c r="A37" s="2" t="s">
        <v>19</v>
      </c>
      <c r="B37" s="3" t="s">
        <v>20</v>
      </c>
      <c r="C37" s="3" t="s">
        <v>21</v>
      </c>
      <c r="D37" s="3" t="s">
        <v>22</v>
      </c>
      <c r="E37" s="3" t="s">
        <v>32</v>
      </c>
      <c r="F37" s="3" t="s">
        <v>110</v>
      </c>
      <c r="G37" s="3" t="s">
        <v>23</v>
      </c>
      <c r="H37" s="3"/>
      <c r="I37" s="3" t="s">
        <v>40</v>
      </c>
      <c r="J37" s="4" t="str">
        <f>HYPERLINK("D:\Users\Yuman\Desktop\MasterProject\results\achiral_catalyst.H_tBu_AlF3.vacuum\sub_cat_complex", "Directory")</f>
        <v>Directory</v>
      </c>
      <c r="K37" s="4" t="str">
        <f>HYPERLINK("D:\Users\Yuman\Desktop\MasterProject\calculations\achiral_catalyst.H_tBu_AlF3.vacuum\sub_cat_complex", "Directory")</f>
        <v>Directory</v>
      </c>
      <c r="L37" s="3"/>
      <c r="M37" s="3"/>
      <c r="N37" s="5" t="s">
        <v>117</v>
      </c>
      <c r="O37" s="3" t="s">
        <v>26</v>
      </c>
      <c r="P37" s="3" t="s">
        <v>27</v>
      </c>
      <c r="Q37" s="3" t="s">
        <v>28</v>
      </c>
      <c r="R37" s="3" t="s">
        <v>29</v>
      </c>
      <c r="S37" s="3" t="s">
        <v>118</v>
      </c>
    </row>
    <row r="38" spans="1:19" ht="15.75" x14ac:dyDescent="0.25">
      <c r="A38" s="2" t="s">
        <v>19</v>
      </c>
      <c r="B38" s="3" t="s">
        <v>43</v>
      </c>
      <c r="C38" s="3" t="s">
        <v>21</v>
      </c>
      <c r="D38" s="3" t="s">
        <v>22</v>
      </c>
      <c r="E38" s="3" t="s">
        <v>32</v>
      </c>
      <c r="F38" s="3" t="s">
        <v>110</v>
      </c>
      <c r="G38" s="3" t="s">
        <v>23</v>
      </c>
      <c r="H38" s="3"/>
      <c r="I38" s="3" t="s">
        <v>44</v>
      </c>
      <c r="J38" s="4" t="str">
        <f>HYPERLINK("D:\Users\Yuman\Desktop\MasterProject\results\achiral_catalyst.H_tBu_AlF3.vacuum\TS", "Directory")</f>
        <v>Directory</v>
      </c>
      <c r="K38" s="4" t="str">
        <f>HYPERLINK("D:\Users\Yuman\Desktop\MasterProject\calculations\achiral_catalyst.H_tBu_AlF3.vacuum\TS", "Directory")</f>
        <v>Directory</v>
      </c>
      <c r="L38" s="3"/>
      <c r="M38" s="3"/>
      <c r="N38" s="5" t="s">
        <v>119</v>
      </c>
      <c r="O38" s="3" t="s">
        <v>26</v>
      </c>
      <c r="P38" s="3" t="s">
        <v>27</v>
      </c>
      <c r="Q38" s="3" t="s">
        <v>28</v>
      </c>
      <c r="R38" s="3" t="s">
        <v>29</v>
      </c>
      <c r="S38" s="3" t="s">
        <v>120</v>
      </c>
    </row>
    <row r="39" spans="1:19" ht="15.75" x14ac:dyDescent="0.25">
      <c r="A39" s="6" t="s">
        <v>31</v>
      </c>
      <c r="B39" s="3" t="s">
        <v>20</v>
      </c>
      <c r="C39" s="3" t="s">
        <v>21</v>
      </c>
      <c r="D39" s="3" t="s">
        <v>22</v>
      </c>
      <c r="E39" s="3" t="s">
        <v>32</v>
      </c>
      <c r="F39" s="3" t="s">
        <v>110</v>
      </c>
      <c r="G39" s="3" t="s">
        <v>47</v>
      </c>
      <c r="H39" s="3"/>
      <c r="I39" s="3" t="s">
        <v>34</v>
      </c>
      <c r="J39" s="4" t="str">
        <f>HYPERLINK("D:\Users\Yuman\Desktop\MasterProject\results\achiral_catalyst.H_tBu_BF3.vacuum\P1_cat_complex", "Directory")</f>
        <v>Directory</v>
      </c>
      <c r="K39" s="4" t="str">
        <f>HYPERLINK("D:\Users\Yuman\Desktop\MasterProject\calculations\achiral_catalyst.H_tBu_BF3.vacuum\P1_cat_complex", "Directory")</f>
        <v>Directory</v>
      </c>
      <c r="L39" s="3"/>
      <c r="M39" s="3"/>
      <c r="N39" s="5" t="s">
        <v>121</v>
      </c>
      <c r="O39" s="3" t="s">
        <v>26</v>
      </c>
      <c r="P39" s="3" t="s">
        <v>27</v>
      </c>
      <c r="Q39" s="3" t="s">
        <v>28</v>
      </c>
      <c r="R39" s="3" t="s">
        <v>29</v>
      </c>
      <c r="S39" s="3" t="s">
        <v>122</v>
      </c>
    </row>
    <row r="40" spans="1:19" ht="15.75" x14ac:dyDescent="0.25">
      <c r="A40" s="6" t="s">
        <v>31</v>
      </c>
      <c r="B40" s="3" t="s">
        <v>20</v>
      </c>
      <c r="C40" s="3" t="s">
        <v>21</v>
      </c>
      <c r="D40" s="3" t="s">
        <v>22</v>
      </c>
      <c r="E40" s="3" t="s">
        <v>32</v>
      </c>
      <c r="F40" s="3" t="s">
        <v>110</v>
      </c>
      <c r="G40" s="3" t="s">
        <v>47</v>
      </c>
      <c r="H40" s="3"/>
      <c r="I40" s="3" t="s">
        <v>37</v>
      </c>
      <c r="J40" s="4" t="str">
        <f>HYPERLINK("D:\Users\Yuman\Desktop\MasterProject\results\achiral_catalyst.H_tBu_BF3.vacuum\P2_cat_complex", "Directory")</f>
        <v>Directory</v>
      </c>
      <c r="K40" s="4" t="str">
        <f>HYPERLINK("D:\Users\Yuman\Desktop\MasterProject\calculations\achiral_catalyst.H_tBu_BF3.vacuum\P2_cat_complex", "Directory")</f>
        <v>Directory</v>
      </c>
      <c r="L40" s="3"/>
      <c r="M40" s="3"/>
      <c r="N40" s="5" t="s">
        <v>123</v>
      </c>
      <c r="O40" s="3" t="s">
        <v>26</v>
      </c>
      <c r="P40" s="3" t="s">
        <v>27</v>
      </c>
      <c r="Q40" s="3" t="s">
        <v>28</v>
      </c>
      <c r="R40" s="3" t="s">
        <v>29</v>
      </c>
      <c r="S40" s="3" t="s">
        <v>124</v>
      </c>
    </row>
    <row r="41" spans="1:19" ht="15.75" x14ac:dyDescent="0.25">
      <c r="A41" s="2" t="s">
        <v>19</v>
      </c>
      <c r="B41" s="3" t="s">
        <v>20</v>
      </c>
      <c r="C41" s="3" t="s">
        <v>21</v>
      </c>
      <c r="D41" s="3" t="s">
        <v>22</v>
      </c>
      <c r="E41" s="3" t="s">
        <v>32</v>
      </c>
      <c r="F41" s="3" t="s">
        <v>110</v>
      </c>
      <c r="G41" s="3" t="s">
        <v>47</v>
      </c>
      <c r="H41" s="3"/>
      <c r="I41" s="3" t="s">
        <v>40</v>
      </c>
      <c r="J41" s="4" t="str">
        <f>HYPERLINK("D:\Users\Yuman\Desktop\MasterProject\results\achiral_catalyst.H_tBu_BF3.vacuum\sub_cat_complex", "Directory")</f>
        <v>Directory</v>
      </c>
      <c r="K41" s="4" t="str">
        <f>HYPERLINK("D:\Users\Yuman\Desktop\MasterProject\calculations\achiral_catalyst.H_tBu_BF3.vacuum\sub_cat_complex", "Directory")</f>
        <v>Directory</v>
      </c>
      <c r="L41" s="3"/>
      <c r="M41" s="3"/>
      <c r="N41" s="5" t="s">
        <v>125</v>
      </c>
      <c r="O41" s="3" t="s">
        <v>26</v>
      </c>
      <c r="P41" s="3" t="s">
        <v>27</v>
      </c>
      <c r="Q41" s="3" t="s">
        <v>28</v>
      </c>
      <c r="R41" s="3" t="s">
        <v>29</v>
      </c>
      <c r="S41" s="3" t="s">
        <v>126</v>
      </c>
    </row>
    <row r="42" spans="1:19" ht="15.75" x14ac:dyDescent="0.25">
      <c r="A42" s="6" t="s">
        <v>31</v>
      </c>
      <c r="B42" s="3" t="s">
        <v>43</v>
      </c>
      <c r="C42" s="3" t="s">
        <v>21</v>
      </c>
      <c r="D42" s="3" t="s">
        <v>22</v>
      </c>
      <c r="E42" s="3" t="s">
        <v>32</v>
      </c>
      <c r="F42" s="3" t="s">
        <v>110</v>
      </c>
      <c r="G42" s="3" t="s">
        <v>47</v>
      </c>
      <c r="H42" s="3"/>
      <c r="I42" s="3" t="s">
        <v>44</v>
      </c>
      <c r="J42" s="4" t="str">
        <f>HYPERLINK("D:\Users\Yuman\Desktop\MasterProject\results\achiral_catalyst.H_tBu_BF3.vacuum\TS", "Directory")</f>
        <v>Directory</v>
      </c>
      <c r="K42" s="4" t="str">
        <f>HYPERLINK("D:\Users\Yuman\Desktop\MasterProject\calculations\achiral_catalyst.H_tBu_BF3.vacuum\TS", "Directory")</f>
        <v>Directory</v>
      </c>
      <c r="L42" s="4" t="str">
        <f>HYPERLINK("D:\Users\Yuman\Desktop\MasterProject\results\achiral_catalyst.H_tBu_BF3.vacuum\TS/molview2_start_in.bat", "input.xyz")</f>
        <v>input.xyz</v>
      </c>
      <c r="M42" s="3"/>
      <c r="N42" s="5" t="s">
        <v>127</v>
      </c>
      <c r="O42" s="3" t="s">
        <v>26</v>
      </c>
      <c r="P42" s="3" t="s">
        <v>27</v>
      </c>
      <c r="Q42" s="3" t="s">
        <v>28</v>
      </c>
      <c r="R42" s="3" t="s">
        <v>29</v>
      </c>
      <c r="S42" s="3" t="s">
        <v>128</v>
      </c>
    </row>
    <row r="43" spans="1:19" ht="15.75" x14ac:dyDescent="0.25">
      <c r="A43" s="2" t="s">
        <v>19</v>
      </c>
      <c r="B43" s="3" t="s">
        <v>20</v>
      </c>
      <c r="C43" s="3" t="s">
        <v>21</v>
      </c>
      <c r="D43" s="3" t="s">
        <v>22</v>
      </c>
      <c r="E43" s="3"/>
      <c r="F43" s="3"/>
      <c r="G43" s="3"/>
      <c r="H43" s="3"/>
      <c r="I43" s="3" t="s">
        <v>32</v>
      </c>
      <c r="J43" s="4" t="str">
        <f>HYPERLINK("D:\Users\Yuman\Desktop\MasterProject\results\achiral_catalyst.H_tBu_I2.vacuum\H", "Directory")</f>
        <v>Directory</v>
      </c>
      <c r="K43" s="4" t="str">
        <f>HYPERLINK("D:\Users\Yuman\Desktop\MasterProject\calculations\achiral_catalyst.H_tBu_I2.vacuum\H", "Directory")</f>
        <v>Directory</v>
      </c>
      <c r="L43" s="4" t="str">
        <f>HYPERLINK("D:\Users\Yuman\Desktop\MasterProject\results\achiral_catalyst.H_tBu_I2.vacuum\H/molview2_start_in.bat", "input.xyz")</f>
        <v>input.xyz</v>
      </c>
      <c r="M43" s="3"/>
      <c r="N43" s="5" t="s">
        <v>129</v>
      </c>
      <c r="O43" s="3" t="s">
        <v>26</v>
      </c>
      <c r="P43" s="3" t="s">
        <v>27</v>
      </c>
      <c r="Q43" s="3" t="s">
        <v>28</v>
      </c>
      <c r="R43" s="3" t="s">
        <v>29</v>
      </c>
      <c r="S43" s="3" t="s">
        <v>130</v>
      </c>
    </row>
    <row r="44" spans="1:19" ht="15.75" x14ac:dyDescent="0.25">
      <c r="A44" s="6" t="s">
        <v>31</v>
      </c>
      <c r="B44" s="3" t="s">
        <v>20</v>
      </c>
      <c r="C44" s="3" t="s">
        <v>21</v>
      </c>
      <c r="D44" s="3" t="s">
        <v>22</v>
      </c>
      <c r="E44" s="3" t="s">
        <v>32</v>
      </c>
      <c r="F44" s="3" t="s">
        <v>110</v>
      </c>
      <c r="G44" s="3" t="s">
        <v>58</v>
      </c>
      <c r="H44" s="3"/>
      <c r="I44" s="3" t="s">
        <v>34</v>
      </c>
      <c r="J44" s="4" t="str">
        <f>HYPERLINK("D:\Users\Yuman\Desktop\MasterProject\results\achiral_catalyst.H_tBu_I2.vacuum\P1_cat_complex", "Directory")</f>
        <v>Directory</v>
      </c>
      <c r="K44" s="4" t="str">
        <f>HYPERLINK("D:\Users\Yuman\Desktop\MasterProject\calculations\achiral_catalyst.H_tBu_I2.vacuum\P1_cat_complex", "Directory")</f>
        <v>Directory</v>
      </c>
      <c r="L44" s="4" t="str">
        <f>HYPERLINK("D:\Users\Yuman\Desktop\MasterProject\results\achiral_catalyst.H_tBu_I2.vacuum\P1_cat_complex/molview2_start_in.bat", "input.xyz")</f>
        <v>input.xyz</v>
      </c>
      <c r="M44" s="3"/>
      <c r="N44" s="5" t="s">
        <v>131</v>
      </c>
      <c r="O44" s="3" t="s">
        <v>26</v>
      </c>
      <c r="P44" s="3" t="s">
        <v>27</v>
      </c>
      <c r="Q44" s="3" t="s">
        <v>28</v>
      </c>
      <c r="R44" s="3" t="s">
        <v>29</v>
      </c>
      <c r="S44" s="3" t="s">
        <v>132</v>
      </c>
    </row>
    <row r="45" spans="1:19" ht="15.75" x14ac:dyDescent="0.25">
      <c r="A45" s="6" t="s">
        <v>31</v>
      </c>
      <c r="B45" s="3" t="s">
        <v>20</v>
      </c>
      <c r="C45" s="3" t="s">
        <v>21</v>
      </c>
      <c r="D45" s="3" t="s">
        <v>22</v>
      </c>
      <c r="E45" s="3" t="s">
        <v>32</v>
      </c>
      <c r="F45" s="3" t="s">
        <v>110</v>
      </c>
      <c r="G45" s="3"/>
      <c r="H45" s="3"/>
      <c r="I45" s="3" t="s">
        <v>63</v>
      </c>
      <c r="J45" s="4" t="str">
        <f>HYPERLINK("D:\Users\Yuman\Desktop\MasterProject\results\achiral_catalyst.H_tBu_I2.vacuum\P2", "Directory")</f>
        <v>Directory</v>
      </c>
      <c r="K45" s="4" t="str">
        <f>HYPERLINK("D:\Users\Yuman\Desktop\MasterProject\calculations\achiral_catalyst.H_tBu_I2.vacuum\P2", "Directory")</f>
        <v>Directory</v>
      </c>
      <c r="L45" s="4" t="str">
        <f>HYPERLINK("D:\Users\Yuman\Desktop\MasterProject\results\achiral_catalyst.H_tBu_I2.vacuum\P2/molview2_start_in.bat", "input.xyz")</f>
        <v>input.xyz</v>
      </c>
      <c r="M45" s="3"/>
      <c r="N45" s="5" t="s">
        <v>133</v>
      </c>
      <c r="O45" s="3" t="s">
        <v>26</v>
      </c>
      <c r="P45" s="3" t="s">
        <v>27</v>
      </c>
      <c r="Q45" s="3" t="s">
        <v>28</v>
      </c>
      <c r="R45" s="3" t="s">
        <v>29</v>
      </c>
      <c r="S45" s="3" t="s">
        <v>134</v>
      </c>
    </row>
    <row r="46" spans="1:19" ht="15.75" x14ac:dyDescent="0.25">
      <c r="A46" s="2" t="s">
        <v>19</v>
      </c>
      <c r="B46" s="3" t="s">
        <v>20</v>
      </c>
      <c r="C46" s="3" t="s">
        <v>21</v>
      </c>
      <c r="D46" s="3" t="s">
        <v>22</v>
      </c>
      <c r="E46" s="3" t="s">
        <v>32</v>
      </c>
      <c r="F46" s="3" t="s">
        <v>110</v>
      </c>
      <c r="G46" s="3" t="s">
        <v>58</v>
      </c>
      <c r="H46" s="3"/>
      <c r="I46" s="3" t="s">
        <v>40</v>
      </c>
      <c r="J46" s="4" t="str">
        <f>HYPERLINK("D:\Users\Yuman\Desktop\MasterProject\results\achiral_catalyst.H_tBu_I2.vacuum\sub_cat_complex", "Directory")</f>
        <v>Directory</v>
      </c>
      <c r="K46" s="4" t="str">
        <f>HYPERLINK("D:\Users\Yuman\Desktop\MasterProject\calculations\achiral_catalyst.H_tBu_I2.vacuum\sub_cat_complex", "Directory")</f>
        <v>Directory</v>
      </c>
      <c r="L46" s="3"/>
      <c r="M46" s="3"/>
      <c r="N46" s="5" t="s">
        <v>135</v>
      </c>
      <c r="O46" s="3" t="s">
        <v>26</v>
      </c>
      <c r="P46" s="3" t="s">
        <v>27</v>
      </c>
      <c r="Q46" s="3" t="s">
        <v>28</v>
      </c>
      <c r="R46" s="3" t="s">
        <v>29</v>
      </c>
      <c r="S46" s="3" t="s">
        <v>136</v>
      </c>
    </row>
    <row r="47" spans="1:19" ht="15.75" x14ac:dyDescent="0.25">
      <c r="A47" s="6" t="s">
        <v>31</v>
      </c>
      <c r="B47" s="3" t="s">
        <v>43</v>
      </c>
      <c r="C47" s="3" t="s">
        <v>21</v>
      </c>
      <c r="D47" s="3" t="s">
        <v>22</v>
      </c>
      <c r="E47" s="3" t="s">
        <v>32</v>
      </c>
      <c r="F47" s="3" t="s">
        <v>110</v>
      </c>
      <c r="G47" s="3" t="s">
        <v>58</v>
      </c>
      <c r="H47" s="3"/>
      <c r="I47" s="3" t="s">
        <v>44</v>
      </c>
      <c r="J47" s="4" t="str">
        <f>HYPERLINK("D:\Users\Yuman\Desktop\MasterProject\results\achiral_catalyst.H_tBu_I2.vacuum\TS", "Directory")</f>
        <v>Directory</v>
      </c>
      <c r="K47" s="4" t="str">
        <f>HYPERLINK("D:\Users\Yuman\Desktop\MasterProject\calculations\achiral_catalyst.H_tBu_I2.vacuum\TS", "Directory")</f>
        <v>Directory</v>
      </c>
      <c r="L47" s="4" t="str">
        <f>HYPERLINK("D:\Users\Yuman\Desktop\MasterProject\results\achiral_catalyst.H_tBu_I2.vacuum\TS/molview2_start_in.bat", "input.xyz")</f>
        <v>input.xyz</v>
      </c>
      <c r="M47" s="3"/>
      <c r="N47" s="5" t="s">
        <v>137</v>
      </c>
      <c r="O47" s="3" t="s">
        <v>26</v>
      </c>
      <c r="P47" s="3" t="s">
        <v>27</v>
      </c>
      <c r="Q47" s="3" t="s">
        <v>28</v>
      </c>
      <c r="R47" s="3" t="s">
        <v>29</v>
      </c>
      <c r="S47" s="3" t="s">
        <v>138</v>
      </c>
    </row>
    <row r="48" spans="1:19" ht="15.75" x14ac:dyDescent="0.25">
      <c r="A48" s="6" t="s">
        <v>31</v>
      </c>
      <c r="B48" s="3" t="s">
        <v>20</v>
      </c>
      <c r="C48" s="3" t="s">
        <v>21</v>
      </c>
      <c r="D48" s="3" t="s">
        <v>22</v>
      </c>
      <c r="E48" s="3" t="s">
        <v>32</v>
      </c>
      <c r="F48" s="3" t="s">
        <v>110</v>
      </c>
      <c r="G48" s="3" t="s">
        <v>72</v>
      </c>
      <c r="H48" s="3"/>
      <c r="I48" s="3" t="s">
        <v>34</v>
      </c>
      <c r="J48" s="4" t="str">
        <f>HYPERLINK("D:\Users\Yuman\Desktop\MasterProject\results\achiral_catalyst.H_tBu_SnCl4.vacuum\P1_cat_complex", "Directory")</f>
        <v>Directory</v>
      </c>
      <c r="K48" s="4" t="str">
        <f>HYPERLINK("D:\Users\Yuman\Desktop\MasterProject\calculations\achiral_catalyst.H_tBu_SnCl4.vacuum\P1_cat_complex", "Directory")</f>
        <v>Directory</v>
      </c>
      <c r="L48" s="4" t="str">
        <f>HYPERLINK("D:\Users\Yuman\Desktop\MasterProject\results\achiral_catalyst.H_tBu_SnCl4.vacuum\P1_cat_complex/molview2_start_in.bat", "input.xyz")</f>
        <v>input.xyz</v>
      </c>
      <c r="M48" s="3"/>
      <c r="N48" s="5" t="s">
        <v>139</v>
      </c>
      <c r="O48" s="3" t="s">
        <v>26</v>
      </c>
      <c r="P48" s="3" t="s">
        <v>27</v>
      </c>
      <c r="Q48" s="3" t="s">
        <v>28</v>
      </c>
      <c r="R48" s="3" t="s">
        <v>29</v>
      </c>
      <c r="S48" s="3" t="s">
        <v>140</v>
      </c>
    </row>
    <row r="49" spans="1:19" ht="15.75" x14ac:dyDescent="0.25">
      <c r="A49" s="6" t="s">
        <v>31</v>
      </c>
      <c r="B49" s="3" t="s">
        <v>20</v>
      </c>
      <c r="C49" s="3" t="s">
        <v>21</v>
      </c>
      <c r="D49" s="3" t="s">
        <v>22</v>
      </c>
      <c r="E49" s="3" t="s">
        <v>32</v>
      </c>
      <c r="F49" s="3" t="s">
        <v>110</v>
      </c>
      <c r="G49" s="3" t="s">
        <v>72</v>
      </c>
      <c r="H49" s="3"/>
      <c r="I49" s="3" t="s">
        <v>37</v>
      </c>
      <c r="J49" s="4" t="str">
        <f>HYPERLINK("D:\Users\Yuman\Desktop\MasterProject\results\achiral_catalyst.H_tBu_SnCl4.vacuum\P2_cat_complex", "Directory")</f>
        <v>Directory</v>
      </c>
      <c r="K49" s="4" t="str">
        <f>HYPERLINK("D:\Users\Yuman\Desktop\MasterProject\calculations\achiral_catalyst.H_tBu_SnCl4.vacuum\P2_cat_complex", "Directory")</f>
        <v>Directory</v>
      </c>
      <c r="L49" s="4" t="str">
        <f>HYPERLINK("D:\Users\Yuman\Desktop\MasterProject\results\achiral_catalyst.H_tBu_SnCl4.vacuum\P2_cat_complex/molview2_start_in.bat", "input.xyz")</f>
        <v>input.xyz</v>
      </c>
      <c r="M49" s="3"/>
      <c r="N49" s="5" t="s">
        <v>141</v>
      </c>
      <c r="O49" s="3" t="s">
        <v>26</v>
      </c>
      <c r="P49" s="3" t="s">
        <v>27</v>
      </c>
      <c r="Q49" s="3" t="s">
        <v>28</v>
      </c>
      <c r="R49" s="3" t="s">
        <v>29</v>
      </c>
      <c r="S49" s="3" t="s">
        <v>142</v>
      </c>
    </row>
    <row r="50" spans="1:19" ht="15.75" x14ac:dyDescent="0.25">
      <c r="A50" s="6" t="s">
        <v>31</v>
      </c>
      <c r="B50" s="3" t="s">
        <v>20</v>
      </c>
      <c r="C50" s="3" t="s">
        <v>21</v>
      </c>
      <c r="D50" s="3" t="s">
        <v>22</v>
      </c>
      <c r="E50" s="3" t="s">
        <v>32</v>
      </c>
      <c r="F50" s="3" t="s">
        <v>110</v>
      </c>
      <c r="G50" s="3" t="s">
        <v>72</v>
      </c>
      <c r="H50" s="3"/>
      <c r="I50" s="3" t="s">
        <v>40</v>
      </c>
      <c r="J50" s="4" t="str">
        <f>HYPERLINK("D:\Users\Yuman\Desktop\MasterProject\results\achiral_catalyst.H_tBu_SnCl4.vacuum\sub_cat_complex", "Directory")</f>
        <v>Directory</v>
      </c>
      <c r="K50" s="4" t="str">
        <f>HYPERLINK("D:\Users\Yuman\Desktop\MasterProject\calculations\achiral_catalyst.H_tBu_SnCl4.vacuum\sub_cat_complex", "Directory")</f>
        <v>Directory</v>
      </c>
      <c r="L50" s="4" t="str">
        <f>HYPERLINK("D:\Users\Yuman\Desktop\MasterProject\results\achiral_catalyst.H_tBu_SnCl4.vacuum\sub_cat_complex/molview2_start_in.bat", "input.xyz")</f>
        <v>input.xyz</v>
      </c>
      <c r="M50" s="3"/>
      <c r="N50" s="5" t="s">
        <v>143</v>
      </c>
      <c r="O50" s="3" t="s">
        <v>26</v>
      </c>
      <c r="P50" s="3" t="s">
        <v>27</v>
      </c>
      <c r="Q50" s="3" t="s">
        <v>28</v>
      </c>
      <c r="R50" s="3" t="s">
        <v>29</v>
      </c>
      <c r="S50" s="3" t="s">
        <v>144</v>
      </c>
    </row>
    <row r="51" spans="1:19" ht="15.75" x14ac:dyDescent="0.25">
      <c r="A51" s="2" t="s">
        <v>19</v>
      </c>
      <c r="B51" s="3" t="s">
        <v>43</v>
      </c>
      <c r="C51" s="3" t="s">
        <v>21</v>
      </c>
      <c r="D51" s="3" t="s">
        <v>22</v>
      </c>
      <c r="E51" s="3" t="s">
        <v>32</v>
      </c>
      <c r="F51" s="3" t="s">
        <v>110</v>
      </c>
      <c r="G51" s="3" t="s">
        <v>72</v>
      </c>
      <c r="H51" s="3"/>
      <c r="I51" s="3" t="s">
        <v>44</v>
      </c>
      <c r="J51" s="4" t="str">
        <f>HYPERLINK("D:\Users\Yuman\Desktop\MasterProject\results\achiral_catalyst.H_tBu_SnCl4.vacuum\TS", "Directory")</f>
        <v>Directory</v>
      </c>
      <c r="K51" s="4" t="str">
        <f>HYPERLINK("D:\Users\Yuman\Desktop\MasterProject\calculations\achiral_catalyst.H_tBu_SnCl4.vacuum\TS", "Directory")</f>
        <v>Directory</v>
      </c>
      <c r="L51" s="3"/>
      <c r="M51" s="3"/>
      <c r="N51" s="5" t="s">
        <v>145</v>
      </c>
      <c r="O51" s="3" t="s">
        <v>26</v>
      </c>
      <c r="P51" s="3" t="s">
        <v>27</v>
      </c>
      <c r="Q51" s="3" t="s">
        <v>28</v>
      </c>
      <c r="R51" s="3" t="s">
        <v>29</v>
      </c>
      <c r="S51" s="3" t="s">
        <v>146</v>
      </c>
    </row>
    <row r="52" spans="1:19" ht="15.75" x14ac:dyDescent="0.25">
      <c r="A52" s="6" t="s">
        <v>31</v>
      </c>
      <c r="B52" s="3" t="s">
        <v>20</v>
      </c>
      <c r="C52" s="3" t="s">
        <v>21</v>
      </c>
      <c r="D52" s="3" t="s">
        <v>22</v>
      </c>
      <c r="E52" s="3" t="s">
        <v>32</v>
      </c>
      <c r="F52" s="3" t="s">
        <v>110</v>
      </c>
      <c r="G52" s="3" t="s">
        <v>82</v>
      </c>
      <c r="H52" s="3"/>
      <c r="I52" s="3" t="s">
        <v>34</v>
      </c>
      <c r="J52" s="4" t="str">
        <f>HYPERLINK("D:\Users\Yuman\Desktop\MasterProject\results\achiral_catalyst.H_tBu_TiCl4.vacuum\P1_cat_complex", "Directory")</f>
        <v>Directory</v>
      </c>
      <c r="K52" s="4" t="str">
        <f>HYPERLINK("D:\Users\Yuman\Desktop\MasterProject\calculations\achiral_catalyst.H_tBu_TiCl4.vacuum\P1_cat_complex", "Directory")</f>
        <v>Directory</v>
      </c>
      <c r="L52" s="4" t="str">
        <f>HYPERLINK("D:\Users\Yuman\Desktop\MasterProject\results\achiral_catalyst.H_tBu_TiCl4.vacuum\P1_cat_complex/molview2_start_in.bat", "input.xyz")</f>
        <v>input.xyz</v>
      </c>
      <c r="M52" s="3"/>
      <c r="N52" s="5" t="s">
        <v>147</v>
      </c>
      <c r="O52" s="3" t="s">
        <v>26</v>
      </c>
      <c r="P52" s="3" t="s">
        <v>27</v>
      </c>
      <c r="Q52" s="3" t="s">
        <v>28</v>
      </c>
      <c r="R52" s="3" t="s">
        <v>29</v>
      </c>
      <c r="S52" s="3" t="s">
        <v>148</v>
      </c>
    </row>
    <row r="53" spans="1:19" ht="15.75" x14ac:dyDescent="0.25">
      <c r="A53" s="6" t="s">
        <v>31</v>
      </c>
      <c r="B53" s="3" t="s">
        <v>20</v>
      </c>
      <c r="C53" s="3" t="s">
        <v>21</v>
      </c>
      <c r="D53" s="3" t="s">
        <v>22</v>
      </c>
      <c r="E53" s="3" t="s">
        <v>32</v>
      </c>
      <c r="F53" s="3" t="s">
        <v>110</v>
      </c>
      <c r="G53" s="3" t="s">
        <v>82</v>
      </c>
      <c r="H53" s="3"/>
      <c r="I53" s="3" t="s">
        <v>37</v>
      </c>
      <c r="J53" s="4" t="str">
        <f>HYPERLINK("D:\Users\Yuman\Desktop\MasterProject\results\achiral_catalyst.H_tBu_TiCl4.vacuum\P2_cat_complex", "Directory")</f>
        <v>Directory</v>
      </c>
      <c r="K53" s="4" t="str">
        <f>HYPERLINK("D:\Users\Yuman\Desktop\MasterProject\calculations\achiral_catalyst.H_tBu_TiCl4.vacuum\P2_cat_complex", "Directory")</f>
        <v>Directory</v>
      </c>
      <c r="L53" s="4" t="str">
        <f>HYPERLINK("D:\Users\Yuman\Desktop\MasterProject\results\achiral_catalyst.H_tBu_TiCl4.vacuum\P2_cat_complex/molview2_start_in.bat", "input.xyz")</f>
        <v>input.xyz</v>
      </c>
      <c r="M53" s="3"/>
      <c r="N53" s="5" t="s">
        <v>149</v>
      </c>
      <c r="O53" s="3" t="s">
        <v>26</v>
      </c>
      <c r="P53" s="3" t="s">
        <v>27</v>
      </c>
      <c r="Q53" s="3" t="s">
        <v>28</v>
      </c>
      <c r="R53" s="3" t="s">
        <v>29</v>
      </c>
      <c r="S53" s="3" t="s">
        <v>150</v>
      </c>
    </row>
    <row r="54" spans="1:19" ht="15.75" x14ac:dyDescent="0.25">
      <c r="A54" s="6" t="s">
        <v>31</v>
      </c>
      <c r="B54" s="3" t="s">
        <v>20</v>
      </c>
      <c r="C54" s="3" t="s">
        <v>21</v>
      </c>
      <c r="D54" s="3" t="s">
        <v>22</v>
      </c>
      <c r="E54" s="3" t="s">
        <v>32</v>
      </c>
      <c r="F54" s="3" t="s">
        <v>110</v>
      </c>
      <c r="G54" s="3" t="s">
        <v>82</v>
      </c>
      <c r="H54" s="3"/>
      <c r="I54" s="3" t="s">
        <v>40</v>
      </c>
      <c r="J54" s="4" t="str">
        <f>HYPERLINK("D:\Users\Yuman\Desktop\MasterProject\results\achiral_catalyst.H_tBu_TiCl4.vacuum\sub_cat_complex", "Directory")</f>
        <v>Directory</v>
      </c>
      <c r="K54" s="4" t="str">
        <f>HYPERLINK("D:\Users\Yuman\Desktop\MasterProject\calculations\achiral_catalyst.H_tBu_TiCl4.vacuum\sub_cat_complex", "Directory")</f>
        <v>Directory</v>
      </c>
      <c r="L54" s="4" t="str">
        <f>HYPERLINK("D:\Users\Yuman\Desktop\MasterProject\results\achiral_catalyst.H_tBu_TiCl4.vacuum\sub_cat_complex/molview2_start_in.bat", "input.xyz")</f>
        <v>input.xyz</v>
      </c>
      <c r="M54" s="3"/>
      <c r="N54" s="5" t="s">
        <v>151</v>
      </c>
      <c r="O54" s="3" t="s">
        <v>26</v>
      </c>
      <c r="P54" s="3" t="s">
        <v>27</v>
      </c>
      <c r="Q54" s="3" t="s">
        <v>28</v>
      </c>
      <c r="R54" s="3" t="s">
        <v>29</v>
      </c>
      <c r="S54" s="3" t="s">
        <v>152</v>
      </c>
    </row>
    <row r="55" spans="1:19" ht="15.75" x14ac:dyDescent="0.25">
      <c r="A55" s="6" t="s">
        <v>31</v>
      </c>
      <c r="B55" s="3" t="s">
        <v>43</v>
      </c>
      <c r="C55" s="3" t="s">
        <v>21</v>
      </c>
      <c r="D55" s="3" t="s">
        <v>22</v>
      </c>
      <c r="E55" s="3" t="s">
        <v>32</v>
      </c>
      <c r="F55" s="3" t="s">
        <v>110</v>
      </c>
      <c r="G55" s="3" t="s">
        <v>82</v>
      </c>
      <c r="H55" s="3"/>
      <c r="I55" s="3" t="s">
        <v>44</v>
      </c>
      <c r="J55" s="4" t="str">
        <f>HYPERLINK("D:\Users\Yuman\Desktop\MasterProject\results\achiral_catalyst.H_tBu_TiCl4.vacuum\TS", "Directory")</f>
        <v>Directory</v>
      </c>
      <c r="K55" s="4" t="str">
        <f>HYPERLINK("D:\Users\Yuman\Desktop\MasterProject\calculations\achiral_catalyst.H_tBu_TiCl4.vacuum\TS", "Directory")</f>
        <v>Directory</v>
      </c>
      <c r="L55" s="4" t="str">
        <f>HYPERLINK("D:\Users\Yuman\Desktop\MasterProject\results\achiral_catalyst.H_tBu_TiCl4.vacuum\TS/molview2_start_in.bat", "input.xyz")</f>
        <v>input.xyz</v>
      </c>
      <c r="M55" s="3"/>
      <c r="N55" s="5" t="s">
        <v>153</v>
      </c>
      <c r="O55" s="3" t="s">
        <v>26</v>
      </c>
      <c r="P55" s="3" t="s">
        <v>27</v>
      </c>
      <c r="Q55" s="3" t="s">
        <v>28</v>
      </c>
      <c r="R55" s="3" t="s">
        <v>29</v>
      </c>
      <c r="S55" s="3" t="s">
        <v>154</v>
      </c>
    </row>
    <row r="56" spans="1:19" ht="15.75" x14ac:dyDescent="0.25">
      <c r="A56" s="2" t="s">
        <v>19</v>
      </c>
      <c r="B56" s="3" t="s">
        <v>20</v>
      </c>
      <c r="C56" s="3" t="s">
        <v>21</v>
      </c>
      <c r="D56" s="3" t="s">
        <v>22</v>
      </c>
      <c r="E56" s="3" t="s">
        <v>32</v>
      </c>
      <c r="F56" s="3" t="s">
        <v>110</v>
      </c>
      <c r="G56" s="3" t="s">
        <v>93</v>
      </c>
      <c r="H56" s="3"/>
      <c r="I56" s="3" t="s">
        <v>34</v>
      </c>
      <c r="J56" s="4" t="str">
        <f>HYPERLINK("D:\Users\Yuman\Desktop\MasterProject\results\achiral_catalyst.H_tBu_ZnCl2.vacuum\P1_cat_complex", "Directory")</f>
        <v>Directory</v>
      </c>
      <c r="K56" s="4" t="str">
        <f>HYPERLINK("D:\Users\Yuman\Desktop\MasterProject\calculations\achiral_catalyst.H_tBu_ZnCl2.vacuum\P1_cat_complex", "Directory")</f>
        <v>Directory</v>
      </c>
      <c r="L56" s="3"/>
      <c r="M56" s="3"/>
      <c r="N56" s="5" t="s">
        <v>155</v>
      </c>
      <c r="O56" s="3" t="s">
        <v>26</v>
      </c>
      <c r="P56" s="3" t="s">
        <v>27</v>
      </c>
      <c r="Q56" s="3" t="s">
        <v>28</v>
      </c>
      <c r="R56" s="3" t="s">
        <v>29</v>
      </c>
      <c r="S56" s="3" t="s">
        <v>156</v>
      </c>
    </row>
    <row r="57" spans="1:19" ht="15.75" x14ac:dyDescent="0.25">
      <c r="A57" s="6" t="s">
        <v>31</v>
      </c>
      <c r="B57" s="3" t="s">
        <v>20</v>
      </c>
      <c r="C57" s="3" t="s">
        <v>21</v>
      </c>
      <c r="D57" s="3" t="s">
        <v>22</v>
      </c>
      <c r="E57" s="3" t="s">
        <v>32</v>
      </c>
      <c r="F57" s="3" t="s">
        <v>110</v>
      </c>
      <c r="G57" s="3" t="s">
        <v>93</v>
      </c>
      <c r="H57" s="3"/>
      <c r="I57" s="3" t="s">
        <v>37</v>
      </c>
      <c r="J57" s="4" t="str">
        <f>HYPERLINK("D:\Users\Yuman\Desktop\MasterProject\results\achiral_catalyst.H_tBu_ZnCl2.vacuum\P2_cat_complex", "Directory")</f>
        <v>Directory</v>
      </c>
      <c r="K57" s="4" t="str">
        <f>HYPERLINK("D:\Users\Yuman\Desktop\MasterProject\calculations\achiral_catalyst.H_tBu_ZnCl2.vacuum\P2_cat_complex", "Directory")</f>
        <v>Directory</v>
      </c>
      <c r="L57" s="3"/>
      <c r="M57" s="3"/>
      <c r="N57" s="5" t="s">
        <v>157</v>
      </c>
      <c r="O57" s="3" t="s">
        <v>26</v>
      </c>
      <c r="P57" s="3" t="s">
        <v>27</v>
      </c>
      <c r="Q57" s="3" t="s">
        <v>28</v>
      </c>
      <c r="R57" s="3" t="s">
        <v>29</v>
      </c>
      <c r="S57" s="3" t="s">
        <v>158</v>
      </c>
    </row>
    <row r="58" spans="1:19" ht="15.75" x14ac:dyDescent="0.25">
      <c r="A58" s="2" t="s">
        <v>19</v>
      </c>
      <c r="B58" s="3" t="s">
        <v>20</v>
      </c>
      <c r="C58" s="3" t="s">
        <v>21</v>
      </c>
      <c r="D58" s="3" t="s">
        <v>22</v>
      </c>
      <c r="E58" s="3" t="s">
        <v>32</v>
      </c>
      <c r="F58" s="3" t="s">
        <v>110</v>
      </c>
      <c r="G58" s="3" t="s">
        <v>93</v>
      </c>
      <c r="H58" s="3"/>
      <c r="I58" s="3" t="s">
        <v>40</v>
      </c>
      <c r="J58" s="4" t="str">
        <f>HYPERLINK("D:\Users\Yuman\Desktop\MasterProject\results\achiral_catalyst.H_tBu_ZnCl2.vacuum\sub_cat_complex", "Directory")</f>
        <v>Directory</v>
      </c>
      <c r="K58" s="4" t="str">
        <f>HYPERLINK("D:\Users\Yuman\Desktop\MasterProject\calculations\achiral_catalyst.H_tBu_ZnCl2.vacuum\sub_cat_complex", "Directory")</f>
        <v>Directory</v>
      </c>
      <c r="L58" s="3"/>
      <c r="M58" s="3"/>
      <c r="N58" s="5" t="s">
        <v>159</v>
      </c>
      <c r="O58" s="3" t="s">
        <v>26</v>
      </c>
      <c r="P58" s="3" t="s">
        <v>27</v>
      </c>
      <c r="Q58" s="3" t="s">
        <v>28</v>
      </c>
      <c r="R58" s="3" t="s">
        <v>29</v>
      </c>
      <c r="S58" s="3" t="s">
        <v>160</v>
      </c>
    </row>
    <row r="59" spans="1:19" ht="15.75" x14ac:dyDescent="0.25">
      <c r="A59" s="2" t="s">
        <v>19</v>
      </c>
      <c r="B59" s="3" t="s">
        <v>43</v>
      </c>
      <c r="C59" s="3" t="s">
        <v>21</v>
      </c>
      <c r="D59" s="3" t="s">
        <v>22</v>
      </c>
      <c r="E59" s="3" t="s">
        <v>32</v>
      </c>
      <c r="F59" s="3" t="s">
        <v>110</v>
      </c>
      <c r="G59" s="3" t="s">
        <v>93</v>
      </c>
      <c r="H59" s="3"/>
      <c r="I59" s="3" t="s">
        <v>44</v>
      </c>
      <c r="J59" s="4" t="str">
        <f>HYPERLINK("D:\Users\Yuman\Desktop\MasterProject\results\achiral_catalyst.H_tBu_ZnCl2.vacuum\TS", "Directory")</f>
        <v>Directory</v>
      </c>
      <c r="K59" s="4" t="str">
        <f>HYPERLINK("D:\Users\Yuman\Desktop\MasterProject\calculations\achiral_catalyst.H_tBu_ZnCl2.vacuum\TS", "Directory")</f>
        <v>Directory</v>
      </c>
      <c r="L59" s="3"/>
      <c r="M59" s="3"/>
      <c r="N59" s="5" t="s">
        <v>161</v>
      </c>
      <c r="O59" s="3" t="s">
        <v>26</v>
      </c>
      <c r="P59" s="3" t="s">
        <v>27</v>
      </c>
      <c r="Q59" s="3" t="s">
        <v>28</v>
      </c>
      <c r="R59" s="3" t="s">
        <v>29</v>
      </c>
      <c r="S59" s="3" t="s">
        <v>162</v>
      </c>
    </row>
    <row r="60" spans="1:19" ht="15.75" x14ac:dyDescent="0.25">
      <c r="A60" s="2" t="s">
        <v>19</v>
      </c>
      <c r="B60" s="3" t="s">
        <v>20</v>
      </c>
      <c r="C60" s="3" t="s">
        <v>163</v>
      </c>
      <c r="D60" s="3" t="s">
        <v>22</v>
      </c>
      <c r="E60" s="3"/>
      <c r="F60" s="3"/>
      <c r="G60" s="3"/>
      <c r="H60" s="3"/>
      <c r="I60" s="3" t="s">
        <v>32</v>
      </c>
      <c r="J60" s="4" t="str">
        <f>HYPERLINK("D:\Users\Yuman\Desktop\MasterProject\results\no_catalyst.H_H.vacuum\H", "Directory")</f>
        <v>Directory</v>
      </c>
      <c r="K60" s="4" t="str">
        <f>HYPERLINK("D:\Users\Yuman\Desktop\MasterProject\calculations\no_catalyst.H_H.vacuum\H", "Directory")</f>
        <v>Directory</v>
      </c>
      <c r="L60" s="4" t="str">
        <f>HYPERLINK("D:\Users\Yuman\Desktop\MasterProject\results\no_catalyst.H_H.vacuum\H/molview2_start_in.bat", "input.xyz")</f>
        <v>input.xyz</v>
      </c>
      <c r="M60" s="3"/>
      <c r="N60" s="5" t="s">
        <v>164</v>
      </c>
      <c r="O60" s="3" t="s">
        <v>26</v>
      </c>
      <c r="P60" s="3" t="s">
        <v>27</v>
      </c>
      <c r="Q60" s="3" t="s">
        <v>28</v>
      </c>
      <c r="R60" s="3" t="s">
        <v>29</v>
      </c>
      <c r="S60" s="3" t="s">
        <v>165</v>
      </c>
    </row>
    <row r="61" spans="1:19" ht="15.75" x14ac:dyDescent="0.25">
      <c r="A61" s="6" t="s">
        <v>31</v>
      </c>
      <c r="B61" s="3" t="s">
        <v>20</v>
      </c>
      <c r="C61" s="3" t="s">
        <v>163</v>
      </c>
      <c r="D61" s="3" t="s">
        <v>22</v>
      </c>
      <c r="E61" s="3" t="s">
        <v>32</v>
      </c>
      <c r="F61" s="3" t="s">
        <v>32</v>
      </c>
      <c r="G61" s="3"/>
      <c r="H61" s="3"/>
      <c r="I61" s="3" t="s">
        <v>166</v>
      </c>
      <c r="J61" s="4" t="str">
        <f>HYPERLINK("D:\Users\Yuman\Desktop\MasterProject\results\no_catalyst.H_H.vacuum\P1", "Directory")</f>
        <v>Directory</v>
      </c>
      <c r="K61" s="4" t="str">
        <f>HYPERLINK("D:\Users\Yuman\Desktop\MasterProject\calculations\no_catalyst.H_H.vacuum\P1", "Directory")</f>
        <v>Directory</v>
      </c>
      <c r="L61" s="4" t="str">
        <f>HYPERLINK("D:\Users\Yuman\Desktop\MasterProject\results\no_catalyst.H_H.vacuum\P1/molview2_start_in.bat", "input.xyz")</f>
        <v>input.xyz</v>
      </c>
      <c r="M61" s="3"/>
      <c r="N61" s="5" t="s">
        <v>167</v>
      </c>
      <c r="O61" s="3" t="s">
        <v>26</v>
      </c>
      <c r="P61" s="3" t="s">
        <v>27</v>
      </c>
      <c r="Q61" s="3" t="s">
        <v>28</v>
      </c>
      <c r="R61" s="3" t="s">
        <v>29</v>
      </c>
      <c r="S61" s="3" t="s">
        <v>168</v>
      </c>
    </row>
    <row r="62" spans="1:19" ht="15.75" x14ac:dyDescent="0.25">
      <c r="A62" s="6" t="s">
        <v>31</v>
      </c>
      <c r="B62" s="3" t="s">
        <v>20</v>
      </c>
      <c r="C62" s="3" t="s">
        <v>163</v>
      </c>
      <c r="D62" s="3" t="s">
        <v>22</v>
      </c>
      <c r="E62" s="3" t="s">
        <v>32</v>
      </c>
      <c r="F62" s="3" t="s">
        <v>32</v>
      </c>
      <c r="G62" s="3"/>
      <c r="H62" s="3"/>
      <c r="I62" s="3" t="s">
        <v>63</v>
      </c>
      <c r="J62" s="4" t="str">
        <f>HYPERLINK("D:\Users\Yuman\Desktop\MasterProject\results\no_catalyst.H_H.vacuum\P2", "Directory")</f>
        <v>Directory</v>
      </c>
      <c r="K62" s="4" t="str">
        <f>HYPERLINK("D:\Users\Yuman\Desktop\MasterProject\calculations\no_catalyst.H_H.vacuum\P2", "Directory")</f>
        <v>Directory</v>
      </c>
      <c r="L62" s="4" t="str">
        <f>HYPERLINK("D:\Users\Yuman\Desktop\MasterProject\results\no_catalyst.H_H.vacuum\P2/molview2_start_in.bat", "input.xyz")</f>
        <v>input.xyz</v>
      </c>
      <c r="M62" s="3"/>
      <c r="N62" s="5" t="s">
        <v>169</v>
      </c>
      <c r="O62" s="3" t="s">
        <v>26</v>
      </c>
      <c r="P62" s="3" t="s">
        <v>27</v>
      </c>
      <c r="Q62" s="3" t="s">
        <v>28</v>
      </c>
      <c r="R62" s="3" t="s">
        <v>29</v>
      </c>
      <c r="S62" s="3" t="s">
        <v>170</v>
      </c>
    </row>
    <row r="63" spans="1:19" ht="15.75" x14ac:dyDescent="0.25">
      <c r="A63" s="6" t="s">
        <v>31</v>
      </c>
      <c r="B63" s="3" t="s">
        <v>20</v>
      </c>
      <c r="C63" s="3" t="s">
        <v>163</v>
      </c>
      <c r="D63" s="3" t="s">
        <v>22</v>
      </c>
      <c r="E63" s="3"/>
      <c r="F63" s="3"/>
      <c r="G63" s="3"/>
      <c r="H63" s="3"/>
      <c r="I63" s="3" t="s">
        <v>100</v>
      </c>
      <c r="J63" s="4" t="str">
        <f>HYPERLINK("D:\Users\Yuman\Desktop\MasterProject\results\no_catalyst.H_H.vacuum\rad", "Directory")</f>
        <v>Directory</v>
      </c>
      <c r="K63" s="4" t="str">
        <f>HYPERLINK("D:\Users\Yuman\Desktop\MasterProject\calculations\no_catalyst.H_H.vacuum\rad", "Directory")</f>
        <v>Directory</v>
      </c>
      <c r="L63" s="4" t="str">
        <f>HYPERLINK("D:\Users\Yuman\Desktop\MasterProject\results\no_catalyst.H_H.vacuum\rad/molview2_start_in.bat", "input.xyz")</f>
        <v>input.xyz</v>
      </c>
      <c r="M63" s="3"/>
      <c r="N63" s="5" t="s">
        <v>171</v>
      </c>
      <c r="O63" s="3" t="s">
        <v>26</v>
      </c>
      <c r="P63" s="3" t="s">
        <v>27</v>
      </c>
      <c r="Q63" s="3" t="s">
        <v>28</v>
      </c>
      <c r="R63" s="3" t="s">
        <v>29</v>
      </c>
      <c r="S63" s="3" t="s">
        <v>172</v>
      </c>
    </row>
    <row r="64" spans="1:19" ht="15.75" x14ac:dyDescent="0.25">
      <c r="A64" s="6" t="s">
        <v>31</v>
      </c>
      <c r="B64" s="3" t="s">
        <v>20</v>
      </c>
      <c r="C64" s="3" t="s">
        <v>163</v>
      </c>
      <c r="D64" s="3" t="s">
        <v>22</v>
      </c>
      <c r="E64" s="3" t="s">
        <v>32</v>
      </c>
      <c r="F64" s="3" t="s">
        <v>32</v>
      </c>
      <c r="G64" s="3"/>
      <c r="H64" s="3"/>
      <c r="I64" s="3" t="s">
        <v>173</v>
      </c>
      <c r="J64" s="4" t="str">
        <f>HYPERLINK("D:\Users\Yuman\Desktop\MasterProject\results\no_catalyst.H_H.vacuum\Rsub", "Directory")</f>
        <v>Directory</v>
      </c>
      <c r="K64" s="4" t="str">
        <f>HYPERLINK("D:\Users\Yuman\Desktop\MasterProject\calculations\no_catalyst.H_H.vacuum\Rsub", "Directory")</f>
        <v>Directory</v>
      </c>
      <c r="L64" s="4" t="str">
        <f>HYPERLINK("D:\Users\Yuman\Desktop\MasterProject\results\no_catalyst.H_H.vacuum\Rsub/molview2_start_in.bat", "input.xyz")</f>
        <v>input.xyz</v>
      </c>
      <c r="M64" s="3"/>
      <c r="N64" s="5" t="s">
        <v>174</v>
      </c>
      <c r="O64" s="3" t="s">
        <v>26</v>
      </c>
      <c r="P64" s="3" t="s">
        <v>27</v>
      </c>
      <c r="Q64" s="3" t="s">
        <v>28</v>
      </c>
      <c r="R64" s="3" t="s">
        <v>29</v>
      </c>
      <c r="S64" s="3" t="s">
        <v>175</v>
      </c>
    </row>
    <row r="65" spans="1:19" ht="15.75" x14ac:dyDescent="0.25">
      <c r="A65" s="6" t="s">
        <v>31</v>
      </c>
      <c r="B65" s="3" t="s">
        <v>43</v>
      </c>
      <c r="C65" s="3" t="s">
        <v>163</v>
      </c>
      <c r="D65" s="3" t="s">
        <v>22</v>
      </c>
      <c r="E65" s="3" t="s">
        <v>32</v>
      </c>
      <c r="F65" s="3" t="s">
        <v>32</v>
      </c>
      <c r="G65" s="3"/>
      <c r="H65" s="3"/>
      <c r="I65" s="3" t="s">
        <v>44</v>
      </c>
      <c r="J65" s="4" t="str">
        <f>HYPERLINK("D:\Users\Yuman\Desktop\MasterProject\results\no_catalyst.H_H.vacuum\TS", "Directory")</f>
        <v>Directory</v>
      </c>
      <c r="K65" s="4" t="str">
        <f>HYPERLINK("D:\Users\Yuman\Desktop\MasterProject\calculations\no_catalyst.H_H.vacuum\TS", "Directory")</f>
        <v>Directory</v>
      </c>
      <c r="L65" s="4" t="str">
        <f>HYPERLINK("D:\Users\Yuman\Desktop\MasterProject\results\no_catalyst.H_H.vacuum\TS/molview2_start_in.bat", "input.xyz")</f>
        <v>input.xyz</v>
      </c>
      <c r="M65" s="3"/>
      <c r="N65" s="5" t="s">
        <v>176</v>
      </c>
      <c r="O65" s="3" t="s">
        <v>26</v>
      </c>
      <c r="P65" s="3" t="s">
        <v>27</v>
      </c>
      <c r="Q65" s="3" t="s">
        <v>28</v>
      </c>
      <c r="R65" s="3" t="s">
        <v>29</v>
      </c>
      <c r="S65" s="3" t="s">
        <v>177</v>
      </c>
    </row>
    <row r="66" spans="1:19" ht="15.75" x14ac:dyDescent="0.25">
      <c r="A66" s="6" t="s">
        <v>31</v>
      </c>
      <c r="B66" s="3" t="s">
        <v>20</v>
      </c>
      <c r="C66" s="3" t="s">
        <v>163</v>
      </c>
      <c r="D66" s="3" t="s">
        <v>22</v>
      </c>
      <c r="E66" s="3" t="s">
        <v>32</v>
      </c>
      <c r="F66" s="3" t="s">
        <v>33</v>
      </c>
      <c r="G66" s="3"/>
      <c r="H66" s="3"/>
      <c r="I66" s="3" t="s">
        <v>166</v>
      </c>
      <c r="J66" s="4" t="str">
        <f>HYPERLINK("D:\Users\Yuman\Desktop\MasterProject\results\no_catalyst.H_Ph.vacuum\P1", "Directory")</f>
        <v>Directory</v>
      </c>
      <c r="K66" s="4" t="str">
        <f>HYPERLINK("D:\Users\Yuman\Desktop\MasterProject\calculations\no_catalyst.H_Ph.vacuum\P1", "Directory")</f>
        <v>Directory</v>
      </c>
      <c r="L66" s="4" t="str">
        <f>HYPERLINK("D:\Users\Yuman\Desktop\MasterProject\results\no_catalyst.H_Ph.vacuum\P1/molview2_start_in.bat", "input.xyz")</f>
        <v>input.xyz</v>
      </c>
      <c r="M66" s="3"/>
      <c r="N66" s="5" t="s">
        <v>178</v>
      </c>
      <c r="O66" s="3" t="s">
        <v>26</v>
      </c>
      <c r="P66" s="3" t="s">
        <v>27</v>
      </c>
      <c r="Q66" s="3" t="s">
        <v>28</v>
      </c>
      <c r="R66" s="3" t="s">
        <v>29</v>
      </c>
      <c r="S66" s="3" t="s">
        <v>179</v>
      </c>
    </row>
    <row r="67" spans="1:19" ht="15.75" x14ac:dyDescent="0.25">
      <c r="A67" s="6" t="s">
        <v>31</v>
      </c>
      <c r="B67" s="3" t="s">
        <v>20</v>
      </c>
      <c r="C67" s="3" t="s">
        <v>163</v>
      </c>
      <c r="D67" s="3" t="s">
        <v>22</v>
      </c>
      <c r="E67" s="3" t="s">
        <v>32</v>
      </c>
      <c r="F67" s="3" t="s">
        <v>33</v>
      </c>
      <c r="G67" s="3"/>
      <c r="H67" s="3"/>
      <c r="I67" s="3" t="s">
        <v>63</v>
      </c>
      <c r="J67" s="4" t="str">
        <f>HYPERLINK("D:\Users\Yuman\Desktop\MasterProject\results\no_catalyst.H_Ph.vacuum\P2", "Directory")</f>
        <v>Directory</v>
      </c>
      <c r="K67" s="4" t="str">
        <f>HYPERLINK("D:\Users\Yuman\Desktop\MasterProject\calculations\no_catalyst.H_Ph.vacuum\P2", "Directory")</f>
        <v>Directory</v>
      </c>
      <c r="L67" s="4" t="str">
        <f>HYPERLINK("D:\Users\Yuman\Desktop\MasterProject\results\no_catalyst.H_Ph.vacuum\P2/molview2_start_in.bat", "input.xyz")</f>
        <v>input.xyz</v>
      </c>
      <c r="M67" s="3"/>
      <c r="N67" s="5" t="s">
        <v>180</v>
      </c>
      <c r="O67" s="3" t="s">
        <v>26</v>
      </c>
      <c r="P67" s="3" t="s">
        <v>27</v>
      </c>
      <c r="Q67" s="3" t="s">
        <v>28</v>
      </c>
      <c r="R67" s="3" t="s">
        <v>29</v>
      </c>
      <c r="S67" s="3" t="s">
        <v>181</v>
      </c>
    </row>
    <row r="68" spans="1:19" ht="15.75" x14ac:dyDescent="0.25">
      <c r="A68" s="6" t="s">
        <v>31</v>
      </c>
      <c r="B68" s="3" t="s">
        <v>20</v>
      </c>
      <c r="C68" s="3" t="s">
        <v>163</v>
      </c>
      <c r="D68" s="3" t="s">
        <v>22</v>
      </c>
      <c r="E68" s="3" t="s">
        <v>32</v>
      </c>
      <c r="F68" s="3" t="s">
        <v>33</v>
      </c>
      <c r="G68" s="3"/>
      <c r="H68" s="3"/>
      <c r="I68" s="3" t="s">
        <v>173</v>
      </c>
      <c r="J68" s="4" t="str">
        <f>HYPERLINK("D:\Users\Yuman\Desktop\MasterProject\results\no_catalyst.H_Ph.vacuum\Rsub", "Directory")</f>
        <v>Directory</v>
      </c>
      <c r="K68" s="4" t="str">
        <f>HYPERLINK("D:\Users\Yuman\Desktop\MasterProject\calculations\no_catalyst.H_Ph.vacuum\Rsub", "Directory")</f>
        <v>Directory</v>
      </c>
      <c r="L68" s="4" t="str">
        <f>HYPERLINK("D:\Users\Yuman\Desktop\MasterProject\results\no_catalyst.H_Ph.vacuum\Rsub/molview2_start_in.bat", "input.xyz")</f>
        <v>input.xyz</v>
      </c>
      <c r="M68" s="3"/>
      <c r="N68" s="5" t="s">
        <v>182</v>
      </c>
      <c r="O68" s="3" t="s">
        <v>26</v>
      </c>
      <c r="P68" s="3" t="s">
        <v>27</v>
      </c>
      <c r="Q68" s="3" t="s">
        <v>28</v>
      </c>
      <c r="R68" s="3" t="s">
        <v>29</v>
      </c>
      <c r="S68" s="3" t="s">
        <v>183</v>
      </c>
    </row>
    <row r="69" spans="1:19" ht="15.75" x14ac:dyDescent="0.25">
      <c r="A69" s="6" t="s">
        <v>31</v>
      </c>
      <c r="B69" s="3" t="s">
        <v>20</v>
      </c>
      <c r="C69" s="3" t="s">
        <v>163</v>
      </c>
      <c r="D69" s="3" t="s">
        <v>22</v>
      </c>
      <c r="E69" s="3" t="s">
        <v>32</v>
      </c>
      <c r="F69" s="3" t="s">
        <v>33</v>
      </c>
      <c r="G69" s="3"/>
      <c r="H69" s="3"/>
      <c r="I69" s="3" t="s">
        <v>103</v>
      </c>
      <c r="J69" s="4" t="str">
        <f>HYPERLINK("D:\Users\Yuman\Desktop\MasterProject\results\no_catalyst.H_Ph.vacuum\sub", "Directory")</f>
        <v>Directory</v>
      </c>
      <c r="K69" s="4" t="str">
        <f>HYPERLINK("D:\Users\Yuman\Desktop\MasterProject\calculations\no_catalyst.H_Ph.vacuum\sub", "Directory")</f>
        <v>Directory</v>
      </c>
      <c r="L69" s="4" t="str">
        <f>HYPERLINK("D:\Users\Yuman\Desktop\MasterProject\results\no_catalyst.H_Ph.vacuum\sub/molview2_start_in.bat", "input.xyz")</f>
        <v>input.xyz</v>
      </c>
      <c r="M69" s="3"/>
      <c r="N69" s="5" t="s">
        <v>184</v>
      </c>
      <c r="O69" s="3" t="s">
        <v>26</v>
      </c>
      <c r="P69" s="3" t="s">
        <v>27</v>
      </c>
      <c r="Q69" s="3" t="s">
        <v>28</v>
      </c>
      <c r="R69" s="3" t="s">
        <v>29</v>
      </c>
      <c r="S69" s="3" t="s">
        <v>185</v>
      </c>
    </row>
    <row r="70" spans="1:19" ht="15.75" x14ac:dyDescent="0.25">
      <c r="A70" s="6" t="s">
        <v>31</v>
      </c>
      <c r="B70" s="3" t="s">
        <v>43</v>
      </c>
      <c r="C70" s="3" t="s">
        <v>163</v>
      </c>
      <c r="D70" s="3" t="s">
        <v>22</v>
      </c>
      <c r="E70" s="3" t="s">
        <v>32</v>
      </c>
      <c r="F70" s="3" t="s">
        <v>33</v>
      </c>
      <c r="G70" s="3"/>
      <c r="H70" s="3"/>
      <c r="I70" s="3" t="s">
        <v>44</v>
      </c>
      <c r="J70" s="4" t="str">
        <f>HYPERLINK("D:\Users\Yuman\Desktop\MasterProject\results\no_catalyst.H_Ph.vacuum\TS", "Directory")</f>
        <v>Directory</v>
      </c>
      <c r="K70" s="4" t="str">
        <f>HYPERLINK("D:\Users\Yuman\Desktop\MasterProject\calculations\no_catalyst.H_Ph.vacuum\TS", "Directory")</f>
        <v>Directory</v>
      </c>
      <c r="L70" s="4" t="str">
        <f>HYPERLINK("D:\Users\Yuman\Desktop\MasterProject\results\no_catalyst.H_Ph.vacuum\TS/molview2_start_in.bat", "input.xyz")</f>
        <v>input.xyz</v>
      </c>
      <c r="M70" s="3"/>
      <c r="N70" s="5" t="s">
        <v>186</v>
      </c>
      <c r="O70" s="3" t="s">
        <v>26</v>
      </c>
      <c r="P70" s="3" t="s">
        <v>27</v>
      </c>
      <c r="Q70" s="3" t="s">
        <v>28</v>
      </c>
      <c r="R70" s="3" t="s">
        <v>29</v>
      </c>
      <c r="S70" s="3" t="s">
        <v>187</v>
      </c>
    </row>
    <row r="71" spans="1:19" ht="15.75" x14ac:dyDescent="0.25">
      <c r="A71" s="6" t="s">
        <v>31</v>
      </c>
      <c r="B71" s="3" t="s">
        <v>20</v>
      </c>
      <c r="C71" s="3" t="s">
        <v>163</v>
      </c>
      <c r="D71" s="3" t="s">
        <v>22</v>
      </c>
      <c r="E71" s="3" t="s">
        <v>32</v>
      </c>
      <c r="F71" s="3" t="s">
        <v>110</v>
      </c>
      <c r="G71" s="3"/>
      <c r="H71" s="3"/>
      <c r="I71" s="3" t="s">
        <v>166</v>
      </c>
      <c r="J71" s="4" t="str">
        <f>HYPERLINK("D:\Users\Yuman\Desktop\MasterProject\results\no_catalyst.H_tBu.vacuum\P1", "Directory")</f>
        <v>Directory</v>
      </c>
      <c r="K71" s="4" t="str">
        <f>HYPERLINK("D:\Users\Yuman\Desktop\MasterProject\calculations\no_catalyst.H_tBu.vacuum\P1", "Directory")</f>
        <v>Directory</v>
      </c>
      <c r="L71" s="4" t="str">
        <f>HYPERLINK("D:\Users\Yuman\Desktop\MasterProject\results\no_catalyst.H_tBu.vacuum\P1/molview2_start_in.bat", "input.xyz")</f>
        <v>input.xyz</v>
      </c>
      <c r="M71" s="3"/>
      <c r="N71" s="5" t="s">
        <v>188</v>
      </c>
      <c r="O71" s="3" t="s">
        <v>26</v>
      </c>
      <c r="P71" s="3" t="s">
        <v>27</v>
      </c>
      <c r="Q71" s="3" t="s">
        <v>28</v>
      </c>
      <c r="R71" s="3" t="s">
        <v>29</v>
      </c>
      <c r="S71" s="3" t="s">
        <v>189</v>
      </c>
    </row>
    <row r="72" spans="1:19" ht="15.75" x14ac:dyDescent="0.25">
      <c r="A72" s="6" t="s">
        <v>31</v>
      </c>
      <c r="B72" s="3" t="s">
        <v>20</v>
      </c>
      <c r="C72" s="3" t="s">
        <v>163</v>
      </c>
      <c r="D72" s="3" t="s">
        <v>22</v>
      </c>
      <c r="E72" s="3" t="s">
        <v>32</v>
      </c>
      <c r="F72" s="3" t="s">
        <v>110</v>
      </c>
      <c r="G72" s="3"/>
      <c r="H72" s="3"/>
      <c r="I72" s="3" t="s">
        <v>63</v>
      </c>
      <c r="J72" s="4" t="str">
        <f>HYPERLINK("D:\Users\Yuman\Desktop\MasterProject\results\no_catalyst.H_tBu.vacuum\P2", "Directory")</f>
        <v>Directory</v>
      </c>
      <c r="K72" s="4" t="str">
        <f>HYPERLINK("D:\Users\Yuman\Desktop\MasterProject\calculations\no_catalyst.H_tBu.vacuum\P2", "Directory")</f>
        <v>Directory</v>
      </c>
      <c r="L72" s="4" t="str">
        <f>HYPERLINK("D:\Users\Yuman\Desktop\MasterProject\results\no_catalyst.H_tBu.vacuum\P2/molview2_start_in.bat", "input.xyz")</f>
        <v>input.xyz</v>
      </c>
      <c r="M72" s="3"/>
      <c r="N72" s="5" t="s">
        <v>190</v>
      </c>
      <c r="O72" s="3" t="s">
        <v>26</v>
      </c>
      <c r="P72" s="3" t="s">
        <v>27</v>
      </c>
      <c r="Q72" s="3" t="s">
        <v>28</v>
      </c>
      <c r="R72" s="3" t="s">
        <v>29</v>
      </c>
      <c r="S72" s="3" t="s">
        <v>191</v>
      </c>
    </row>
    <row r="73" spans="1:19" ht="15.75" x14ac:dyDescent="0.25">
      <c r="A73" s="6" t="s">
        <v>31</v>
      </c>
      <c r="B73" s="3" t="s">
        <v>20</v>
      </c>
      <c r="C73" s="3" t="s">
        <v>163</v>
      </c>
      <c r="D73" s="3" t="s">
        <v>22</v>
      </c>
      <c r="E73" s="3" t="s">
        <v>32</v>
      </c>
      <c r="F73" s="3" t="s">
        <v>110</v>
      </c>
      <c r="G73" s="3"/>
      <c r="H73" s="3"/>
      <c r="I73" s="3" t="s">
        <v>173</v>
      </c>
      <c r="J73" s="4" t="str">
        <f>HYPERLINK("D:\Users\Yuman\Desktop\MasterProject\results\no_catalyst.H_tBu.vacuum\Rsub", "Directory")</f>
        <v>Directory</v>
      </c>
      <c r="K73" s="4" t="str">
        <f>HYPERLINK("D:\Users\Yuman\Desktop\MasterProject\calculations\no_catalyst.H_tBu.vacuum\Rsub", "Directory")</f>
        <v>Directory</v>
      </c>
      <c r="L73" s="4" t="str">
        <f>HYPERLINK("D:\Users\Yuman\Desktop\MasterProject\results\no_catalyst.H_tBu.vacuum\Rsub/molview2_start_in.bat", "input.xyz")</f>
        <v>input.xyz</v>
      </c>
      <c r="M73" s="3"/>
      <c r="N73" s="5" t="s">
        <v>192</v>
      </c>
      <c r="O73" s="3" t="s">
        <v>26</v>
      </c>
      <c r="P73" s="3" t="s">
        <v>27</v>
      </c>
      <c r="Q73" s="3" t="s">
        <v>28</v>
      </c>
      <c r="R73" s="3" t="s">
        <v>29</v>
      </c>
      <c r="S73" s="3" t="s">
        <v>193</v>
      </c>
    </row>
    <row r="74" spans="1:19" ht="15.75" x14ac:dyDescent="0.25">
      <c r="A74" s="6" t="s">
        <v>31</v>
      </c>
      <c r="B74" s="3" t="s">
        <v>20</v>
      </c>
      <c r="C74" s="3" t="s">
        <v>163</v>
      </c>
      <c r="D74" s="3" t="s">
        <v>22</v>
      </c>
      <c r="E74" s="3" t="s">
        <v>32</v>
      </c>
      <c r="F74" s="3" t="s">
        <v>110</v>
      </c>
      <c r="G74" s="3"/>
      <c r="H74" s="3"/>
      <c r="I74" s="3" t="s">
        <v>103</v>
      </c>
      <c r="J74" s="4" t="str">
        <f>HYPERLINK("D:\Users\Yuman\Desktop\MasterProject\results\no_catalyst.H_tBu.vacuum\sub", "Directory")</f>
        <v>Directory</v>
      </c>
      <c r="K74" s="4" t="str">
        <f>HYPERLINK("D:\Users\Yuman\Desktop\MasterProject\calculations\no_catalyst.H_tBu.vacuum\sub", "Directory")</f>
        <v>Directory</v>
      </c>
      <c r="L74" s="4" t="str">
        <f>HYPERLINK("D:\Users\Yuman\Desktop\MasterProject\results\no_catalyst.H_tBu.vacuum\sub/molview2_start_in.bat", "input.xyz")</f>
        <v>input.xyz</v>
      </c>
      <c r="M74" s="3"/>
      <c r="N74" s="5" t="s">
        <v>194</v>
      </c>
      <c r="O74" s="3" t="s">
        <v>26</v>
      </c>
      <c r="P74" s="3" t="s">
        <v>27</v>
      </c>
      <c r="Q74" s="3" t="s">
        <v>28</v>
      </c>
      <c r="R74" s="3" t="s">
        <v>29</v>
      </c>
      <c r="S74" s="3" t="s">
        <v>195</v>
      </c>
    </row>
    <row r="75" spans="1:19" ht="15.75" x14ac:dyDescent="0.25">
      <c r="A75" s="6" t="s">
        <v>31</v>
      </c>
      <c r="B75" s="3" t="s">
        <v>43</v>
      </c>
      <c r="C75" s="3" t="s">
        <v>163</v>
      </c>
      <c r="D75" s="3" t="s">
        <v>22</v>
      </c>
      <c r="E75" s="3" t="s">
        <v>32</v>
      </c>
      <c r="F75" s="3" t="s">
        <v>110</v>
      </c>
      <c r="G75" s="3"/>
      <c r="H75" s="3"/>
      <c r="I75" s="3" t="s">
        <v>44</v>
      </c>
      <c r="J75" s="4" t="str">
        <f>HYPERLINK("D:\Users\Yuman\Desktop\MasterProject\results\no_catalyst.H_tBu.vacuum\TS", "Directory")</f>
        <v>Directory</v>
      </c>
      <c r="K75" s="4" t="str">
        <f>HYPERLINK("D:\Users\Yuman\Desktop\MasterProject\calculations\no_catalyst.H_tBu.vacuum\TS", "Directory")</f>
        <v>Directory</v>
      </c>
      <c r="L75" s="4" t="str">
        <f>HYPERLINK("D:\Users\Yuman\Desktop\MasterProject\results\no_catalyst.H_tBu.vacuum\TS/molview2_start_in.bat", "input.xyz")</f>
        <v>input.xyz</v>
      </c>
      <c r="M75" s="3"/>
      <c r="N75" s="5" t="s">
        <v>196</v>
      </c>
      <c r="O75" s="3" t="s">
        <v>26</v>
      </c>
      <c r="P75" s="3" t="s">
        <v>27</v>
      </c>
      <c r="Q75" s="3" t="s">
        <v>28</v>
      </c>
      <c r="R75" s="3" t="s">
        <v>29</v>
      </c>
      <c r="S75" s="3" t="s">
        <v>197</v>
      </c>
    </row>
    <row r="76" spans="1:19" ht="15.75" x14ac:dyDescent="0.25">
      <c r="A76" s="6" t="s">
        <v>31</v>
      </c>
      <c r="B76" s="3" t="s">
        <v>20</v>
      </c>
      <c r="C76" s="3" t="s">
        <v>198</v>
      </c>
      <c r="D76" s="3" t="s">
        <v>199</v>
      </c>
      <c r="E76" s="3" t="s">
        <v>32</v>
      </c>
      <c r="F76" s="3" t="s">
        <v>33</v>
      </c>
      <c r="G76" s="3"/>
      <c r="H76" s="3" t="s">
        <v>200</v>
      </c>
      <c r="I76" s="3" t="s">
        <v>201</v>
      </c>
      <c r="J76" s="4" t="str">
        <f>HYPERLINK("D:\Users\Yuman\Desktop\MasterProject\results\urea_tBu_Ph.H_Ph_O.vacuum\P1R_cat_complex", "Directory")</f>
        <v>Directory</v>
      </c>
      <c r="K76" s="4" t="str">
        <f>HYPERLINK("D:\Users\Yuman\Desktop\MasterProject\calculations\urea_tBu_Ph.H_Ph_O.vacuum\P1R_cat_complex", "Directory")</f>
        <v>Directory</v>
      </c>
      <c r="L76" s="4" t="str">
        <f>HYPERLINK("D:\Users\Yuman\Desktop\MasterProject\results\urea_tBu_Ph.H_Ph_O.vacuum\P1R_cat_complex/molview2_start_in.bat", "input.xyz")</f>
        <v>input.xyz</v>
      </c>
      <c r="M76" s="3"/>
      <c r="N76" s="5" t="s">
        <v>202</v>
      </c>
      <c r="O76" s="3" t="s">
        <v>26</v>
      </c>
      <c r="P76" s="3" t="s">
        <v>27</v>
      </c>
      <c r="Q76" s="3" t="s">
        <v>28</v>
      </c>
      <c r="R76" s="3" t="s">
        <v>29</v>
      </c>
      <c r="S76" s="3" t="s">
        <v>203</v>
      </c>
    </row>
    <row r="77" spans="1:19" ht="15.75" x14ac:dyDescent="0.25">
      <c r="A77" s="6" t="s">
        <v>31</v>
      </c>
      <c r="B77" s="3" t="s">
        <v>20</v>
      </c>
      <c r="C77" s="3" t="s">
        <v>198</v>
      </c>
      <c r="D77" s="3" t="s">
        <v>204</v>
      </c>
      <c r="E77" s="3" t="s">
        <v>32</v>
      </c>
      <c r="F77" s="3" t="s">
        <v>33</v>
      </c>
      <c r="G77" s="3"/>
      <c r="H77" s="3" t="s">
        <v>200</v>
      </c>
      <c r="I77" s="3" t="s">
        <v>205</v>
      </c>
      <c r="J77" s="4" t="str">
        <f>HYPERLINK("D:\Users\Yuman\Desktop\MasterProject\results\urea_tBu_Ph.H_Ph_O.vacuum\P1S_cat_complex", "Directory")</f>
        <v>Directory</v>
      </c>
      <c r="K77" s="4" t="str">
        <f>HYPERLINK("D:\Users\Yuman\Desktop\MasterProject\calculations\urea_tBu_Ph.H_Ph_O.vacuum\P1S_cat_complex", "Directory")</f>
        <v>Directory</v>
      </c>
      <c r="L77" s="4" t="str">
        <f>HYPERLINK("D:\Users\Yuman\Desktop\MasterProject\results\urea_tBu_Ph.H_Ph_O.vacuum\P1S_cat_complex/molview2_start_in.bat", "input.xyz")</f>
        <v>input.xyz</v>
      </c>
      <c r="M77" s="3"/>
      <c r="N77" s="5" t="s">
        <v>206</v>
      </c>
      <c r="O77" s="3" t="s">
        <v>26</v>
      </c>
      <c r="P77" s="3" t="s">
        <v>27</v>
      </c>
      <c r="Q77" s="3" t="s">
        <v>28</v>
      </c>
      <c r="R77" s="3" t="s">
        <v>29</v>
      </c>
      <c r="S77" s="3" t="s">
        <v>207</v>
      </c>
    </row>
    <row r="78" spans="1:19" ht="15.75" x14ac:dyDescent="0.25">
      <c r="A78" s="6" t="s">
        <v>31</v>
      </c>
      <c r="B78" s="3" t="s">
        <v>20</v>
      </c>
      <c r="C78" s="3" t="s">
        <v>198</v>
      </c>
      <c r="D78" s="3" t="s">
        <v>22</v>
      </c>
      <c r="E78" s="3" t="s">
        <v>32</v>
      </c>
      <c r="F78" s="3" t="s">
        <v>33</v>
      </c>
      <c r="G78" s="3"/>
      <c r="H78" s="3"/>
      <c r="I78" s="3" t="s">
        <v>63</v>
      </c>
      <c r="J78" s="4" t="str">
        <f>HYPERLINK("D:\Users\Yuman\Desktop\MasterProject\results\urea_tBu_Ph.H_Ph_O.vacuum\P2", "Directory")</f>
        <v>Directory</v>
      </c>
      <c r="K78" s="4" t="str">
        <f>HYPERLINK("D:\Users\Yuman\Desktop\MasterProject\calculations\urea_tBu_Ph.H_Ph_O.vacuum\P2", "Directory")</f>
        <v>Directory</v>
      </c>
      <c r="L78" s="4" t="str">
        <f>HYPERLINK("D:\Users\Yuman\Desktop\MasterProject\results\urea_tBu_Ph.H_Ph_O.vacuum\P2/molview2_start_in.bat", "input.xyz")</f>
        <v>input.xyz</v>
      </c>
      <c r="M78" s="3"/>
      <c r="N78" s="5" t="s">
        <v>208</v>
      </c>
      <c r="O78" s="3" t="s">
        <v>26</v>
      </c>
      <c r="P78" s="3" t="s">
        <v>27</v>
      </c>
      <c r="Q78" s="3" t="s">
        <v>28</v>
      </c>
      <c r="R78" s="3" t="s">
        <v>29</v>
      </c>
      <c r="S78" s="3" t="s">
        <v>209</v>
      </c>
    </row>
    <row r="79" spans="1:19" ht="15.75" x14ac:dyDescent="0.25">
      <c r="A79" s="6" t="s">
        <v>31</v>
      </c>
      <c r="B79" s="3" t="s">
        <v>20</v>
      </c>
      <c r="C79" s="3" t="s">
        <v>198</v>
      </c>
      <c r="D79" s="3" t="s">
        <v>199</v>
      </c>
      <c r="E79" s="3" t="s">
        <v>32</v>
      </c>
      <c r="F79" s="3" t="s">
        <v>33</v>
      </c>
      <c r="G79" s="3"/>
      <c r="H79" s="3" t="s">
        <v>200</v>
      </c>
      <c r="I79" s="3" t="s">
        <v>210</v>
      </c>
      <c r="J79" s="4" t="str">
        <f>HYPERLINK("D:\Users\Yuman\Desktop\MasterProject\results\urea_tBu_Ph.H_Ph_O.vacuum\P2R_cat_complex", "Directory")</f>
        <v>Directory</v>
      </c>
      <c r="K79" s="4" t="str">
        <f>HYPERLINK("D:\Users\Yuman\Desktop\MasterProject\calculations\urea_tBu_Ph.H_Ph_O.vacuum\P2R_cat_complex", "Directory")</f>
        <v>Directory</v>
      </c>
      <c r="L79" s="4" t="str">
        <f>HYPERLINK("D:\Users\Yuman\Desktop\MasterProject\results\urea_tBu_Ph.H_Ph_O.vacuum\P2R_cat_complex/molview2_start_in.bat", "input.xyz")</f>
        <v>input.xyz</v>
      </c>
      <c r="M79" s="3"/>
      <c r="N79" s="5" t="s">
        <v>211</v>
      </c>
      <c r="O79" s="3" t="s">
        <v>26</v>
      </c>
      <c r="P79" s="3" t="s">
        <v>27</v>
      </c>
      <c r="Q79" s="3" t="s">
        <v>28</v>
      </c>
      <c r="R79" s="3" t="s">
        <v>29</v>
      </c>
      <c r="S79" s="3" t="s">
        <v>212</v>
      </c>
    </row>
    <row r="80" spans="1:19" ht="15.75" x14ac:dyDescent="0.25">
      <c r="A80" s="6" t="s">
        <v>31</v>
      </c>
      <c r="B80" s="3" t="s">
        <v>20</v>
      </c>
      <c r="C80" s="3" t="s">
        <v>198</v>
      </c>
      <c r="D80" s="3" t="s">
        <v>204</v>
      </c>
      <c r="E80" s="3" t="s">
        <v>32</v>
      </c>
      <c r="F80" s="3" t="s">
        <v>33</v>
      </c>
      <c r="G80" s="3"/>
      <c r="H80" s="3" t="s">
        <v>200</v>
      </c>
      <c r="I80" s="3" t="s">
        <v>213</v>
      </c>
      <c r="J80" s="4" t="str">
        <f>HYPERLINK("D:\Users\Yuman\Desktop\MasterProject\results\urea_tBu_Ph.H_Ph_O.vacuum\P2S_cat_complex", "Directory")</f>
        <v>Directory</v>
      </c>
      <c r="K80" s="4" t="str">
        <f>HYPERLINK("D:\Users\Yuman\Desktop\MasterProject\calculations\urea_tBu_Ph.H_Ph_O.vacuum\P2S_cat_complex", "Directory")</f>
        <v>Directory</v>
      </c>
      <c r="L80" s="4" t="str">
        <f>HYPERLINK("D:\Users\Yuman\Desktop\MasterProject\results\urea_tBu_Ph.H_Ph_O.vacuum\P2S_cat_complex/molview2_start_in.bat", "input.xyz")</f>
        <v>input.xyz</v>
      </c>
      <c r="M80" s="3"/>
      <c r="N80" s="5" t="s">
        <v>214</v>
      </c>
      <c r="O80" s="3" t="s">
        <v>26</v>
      </c>
      <c r="P80" s="3" t="s">
        <v>27</v>
      </c>
      <c r="Q80" s="3" t="s">
        <v>28</v>
      </c>
      <c r="R80" s="3" t="s">
        <v>29</v>
      </c>
      <c r="S80" s="3" t="s">
        <v>215</v>
      </c>
    </row>
    <row r="81" spans="1:19" ht="15.75" x14ac:dyDescent="0.25">
      <c r="A81" s="6" t="s">
        <v>31</v>
      </c>
      <c r="B81" s="3" t="s">
        <v>20</v>
      </c>
      <c r="C81" s="3" t="s">
        <v>198</v>
      </c>
      <c r="D81" s="3" t="s">
        <v>22</v>
      </c>
      <c r="E81" s="3" t="s">
        <v>32</v>
      </c>
      <c r="F81" s="3" t="s">
        <v>33</v>
      </c>
      <c r="G81" s="3"/>
      <c r="H81" s="3"/>
      <c r="I81" s="3" t="s">
        <v>103</v>
      </c>
      <c r="J81" s="4" t="str">
        <f>HYPERLINK("D:\Users\Yuman\Desktop\MasterProject\results\urea_tBu_Ph.H_Ph_O.vacuum\sub", "Directory")</f>
        <v>Directory</v>
      </c>
      <c r="K81" s="4" t="str">
        <f>HYPERLINK("D:\Users\Yuman\Desktop\MasterProject\calculations\urea_tBu_Ph.H_Ph_O.vacuum\sub", "Directory")</f>
        <v>Directory</v>
      </c>
      <c r="L81" s="4" t="str">
        <f>HYPERLINK("D:\Users\Yuman\Desktop\MasterProject\results\urea_tBu_Ph.H_Ph_O.vacuum\sub/molview2_start_in.bat", "input.xyz")</f>
        <v>input.xyz</v>
      </c>
      <c r="M81" s="3"/>
      <c r="N81" s="5" t="s">
        <v>216</v>
      </c>
      <c r="O81" s="3" t="s">
        <v>26</v>
      </c>
      <c r="P81" s="3" t="s">
        <v>27</v>
      </c>
      <c r="Q81" s="3" t="s">
        <v>28</v>
      </c>
      <c r="R81" s="3" t="s">
        <v>29</v>
      </c>
      <c r="S81" s="3" t="s">
        <v>217</v>
      </c>
    </row>
    <row r="82" spans="1:19" ht="15.75" x14ac:dyDescent="0.25">
      <c r="A82" s="6" t="s">
        <v>31</v>
      </c>
      <c r="B82" s="3" t="s">
        <v>20</v>
      </c>
      <c r="C82" s="3" t="s">
        <v>198</v>
      </c>
      <c r="D82" s="3" t="s">
        <v>22</v>
      </c>
      <c r="E82" s="3" t="s">
        <v>32</v>
      </c>
      <c r="F82" s="3" t="s">
        <v>33</v>
      </c>
      <c r="G82" s="3"/>
      <c r="H82" s="3" t="s">
        <v>200</v>
      </c>
      <c r="I82" s="3" t="s">
        <v>40</v>
      </c>
      <c r="J82" s="4" t="str">
        <f>HYPERLINK("D:\Users\Yuman\Desktop\MasterProject\results\urea_tBu_Ph.H_Ph_O.vacuum\sub_cat_complex", "Directory")</f>
        <v>Directory</v>
      </c>
      <c r="K82" s="4" t="str">
        <f>HYPERLINK("D:\Users\Yuman\Desktop\MasterProject\calculations\urea_tBu_Ph.H_Ph_O.vacuum\sub_cat_complex", "Directory")</f>
        <v>Directory</v>
      </c>
      <c r="L82" s="4" t="str">
        <f>HYPERLINK("D:\Users\Yuman\Desktop\MasterProject\results\urea_tBu_Ph.H_Ph_O.vacuum\sub_cat_complex/molview2_start_in.bat", "input.xyz")</f>
        <v>input.xyz</v>
      </c>
      <c r="M82" s="3"/>
      <c r="N82" s="5" t="s">
        <v>218</v>
      </c>
      <c r="O82" s="3" t="s">
        <v>26</v>
      </c>
      <c r="P82" s="3" t="s">
        <v>27</v>
      </c>
      <c r="Q82" s="3" t="s">
        <v>28</v>
      </c>
      <c r="R82" s="3" t="s">
        <v>29</v>
      </c>
      <c r="S82" s="3" t="s">
        <v>219</v>
      </c>
    </row>
    <row r="83" spans="1:19" ht="15.75" x14ac:dyDescent="0.25">
      <c r="A83" s="6" t="s">
        <v>31</v>
      </c>
      <c r="B83" s="3" t="s">
        <v>43</v>
      </c>
      <c r="C83" s="3" t="s">
        <v>198</v>
      </c>
      <c r="D83" s="3" t="s">
        <v>199</v>
      </c>
      <c r="E83" s="3" t="s">
        <v>32</v>
      </c>
      <c r="F83" s="3" t="s">
        <v>33</v>
      </c>
      <c r="G83" s="3"/>
      <c r="H83" s="3" t="s">
        <v>200</v>
      </c>
      <c r="I83" s="3" t="s">
        <v>220</v>
      </c>
      <c r="J83" s="4" t="str">
        <f>HYPERLINK("D:\Users\Yuman\Desktop\MasterProject\results\urea_tBu_Ph.H_Ph_O.vacuum\TSR", "Directory")</f>
        <v>Directory</v>
      </c>
      <c r="K83" s="4" t="str">
        <f>HYPERLINK("D:\Users\Yuman\Desktop\MasterProject\calculations\urea_tBu_Ph.H_Ph_O.vacuum\TSR", "Directory")</f>
        <v>Directory</v>
      </c>
      <c r="L83" s="4" t="str">
        <f>HYPERLINK("D:\Users\Yuman\Desktop\MasterProject\results\urea_tBu_Ph.H_Ph_O.vacuum\TSR/molview2_start_in.bat", "input.xyz")</f>
        <v>input.xyz</v>
      </c>
      <c r="M83" s="3"/>
      <c r="N83" s="5" t="s">
        <v>221</v>
      </c>
      <c r="O83" s="3" t="s">
        <v>26</v>
      </c>
      <c r="P83" s="3" t="s">
        <v>27</v>
      </c>
      <c r="Q83" s="3" t="s">
        <v>28</v>
      </c>
      <c r="R83" s="3" t="s">
        <v>29</v>
      </c>
      <c r="S83" s="3" t="s">
        <v>222</v>
      </c>
    </row>
    <row r="84" spans="1:19" ht="15.75" x14ac:dyDescent="0.25">
      <c r="A84" s="6" t="s">
        <v>31</v>
      </c>
      <c r="B84" s="3" t="s">
        <v>43</v>
      </c>
      <c r="C84" s="3" t="s">
        <v>198</v>
      </c>
      <c r="D84" s="3" t="s">
        <v>204</v>
      </c>
      <c r="E84" s="3" t="s">
        <v>32</v>
      </c>
      <c r="F84" s="3" t="s">
        <v>33</v>
      </c>
      <c r="G84" s="3"/>
      <c r="H84" s="3" t="s">
        <v>200</v>
      </c>
      <c r="I84" s="3" t="s">
        <v>223</v>
      </c>
      <c r="J84" s="4" t="str">
        <f>HYPERLINK("D:\Users\Yuman\Desktop\MasterProject\results\urea_tBu_Ph.H_Ph_O.vacuum\TSS", "Directory")</f>
        <v>Directory</v>
      </c>
      <c r="K84" s="4" t="str">
        <f>HYPERLINK("D:\Users\Yuman\Desktop\MasterProject\calculations\urea_tBu_Ph.H_Ph_O.vacuum\TSS", "Directory")</f>
        <v>Directory</v>
      </c>
      <c r="L84" s="4" t="str">
        <f>HYPERLINK("D:\Users\Yuman\Desktop\MasterProject\results\urea_tBu_Ph.H_Ph_O.vacuum\TSS/molview2_start_in.bat", "input.xyz")</f>
        <v>input.xyz</v>
      </c>
      <c r="M84" s="3"/>
      <c r="N84" s="5" t="s">
        <v>224</v>
      </c>
      <c r="O84" s="3" t="s">
        <v>26</v>
      </c>
      <c r="P84" s="3" t="s">
        <v>27</v>
      </c>
      <c r="Q84" s="3" t="s">
        <v>28</v>
      </c>
      <c r="R84" s="3" t="s">
        <v>29</v>
      </c>
      <c r="S84" s="3" t="s">
        <v>225</v>
      </c>
    </row>
    <row r="85" spans="1:19" ht="15.75" x14ac:dyDescent="0.25">
      <c r="A85" s="6" t="s">
        <v>31</v>
      </c>
      <c r="B85" s="3" t="s">
        <v>20</v>
      </c>
      <c r="C85" s="3" t="s">
        <v>198</v>
      </c>
      <c r="D85" s="3" t="s">
        <v>22</v>
      </c>
      <c r="E85" s="3"/>
      <c r="F85" s="3"/>
      <c r="G85" s="3"/>
      <c r="H85" s="3" t="s">
        <v>204</v>
      </c>
      <c r="I85" s="3" t="s">
        <v>24</v>
      </c>
      <c r="J85" s="4" t="str">
        <f>HYPERLINK("D:\Users\Yuman\Desktop\MasterProject\results\urea_tBu_Ph.H_Ph_S.vacuum\cat", "Directory")</f>
        <v>Directory</v>
      </c>
      <c r="K85" s="4" t="str">
        <f>HYPERLINK("D:\Users\Yuman\Desktop\MasterProject\calculations\urea_tBu_Ph.H_Ph_S.vacuum\cat", "Directory")</f>
        <v>Directory</v>
      </c>
      <c r="L85" s="4" t="str">
        <f>HYPERLINK("D:\Users\Yuman\Desktop\MasterProject\results\urea_tBu_Ph.H_Ph_S.vacuum\cat/molview2_start_in.bat", "input.xyz")</f>
        <v>input.xyz</v>
      </c>
      <c r="M85" s="3"/>
      <c r="N85" s="5" t="s">
        <v>226</v>
      </c>
      <c r="O85" s="3" t="s">
        <v>26</v>
      </c>
      <c r="P85" s="3" t="s">
        <v>27</v>
      </c>
      <c r="Q85" s="3" t="s">
        <v>28</v>
      </c>
      <c r="R85" s="3" t="s">
        <v>29</v>
      </c>
      <c r="S85" s="3" t="s">
        <v>227</v>
      </c>
    </row>
    <row r="86" spans="1:19" ht="15.75" x14ac:dyDescent="0.25">
      <c r="A86" s="6" t="s">
        <v>31</v>
      </c>
      <c r="B86" s="3" t="s">
        <v>20</v>
      </c>
      <c r="C86" s="3" t="s">
        <v>198</v>
      </c>
      <c r="D86" s="3" t="s">
        <v>199</v>
      </c>
      <c r="E86" s="3" t="s">
        <v>32</v>
      </c>
      <c r="F86" s="3" t="s">
        <v>33</v>
      </c>
      <c r="G86" s="3"/>
      <c r="H86" s="3" t="s">
        <v>204</v>
      </c>
      <c r="I86" s="3" t="s">
        <v>201</v>
      </c>
      <c r="J86" s="4" t="str">
        <f>HYPERLINK("D:\Users\Yuman\Desktop\MasterProject\results\urea_tBu_Ph.H_Ph_S.vacuum\P1R_cat_complex", "Directory")</f>
        <v>Directory</v>
      </c>
      <c r="K86" s="4" t="str">
        <f>HYPERLINK("D:\Users\Yuman\Desktop\MasterProject\calculations\urea_tBu_Ph.H_Ph_S.vacuum\P1R_cat_complex", "Directory")</f>
        <v>Directory</v>
      </c>
      <c r="L86" s="4" t="str">
        <f>HYPERLINK("D:\Users\Yuman\Desktop\MasterProject\results\urea_tBu_Ph.H_Ph_S.vacuum\P1R_cat_complex/molview2_start_in.bat", "input.xyz")</f>
        <v>input.xyz</v>
      </c>
      <c r="M86" s="3"/>
      <c r="N86" s="5" t="s">
        <v>228</v>
      </c>
      <c r="O86" s="3" t="s">
        <v>26</v>
      </c>
      <c r="P86" s="3" t="s">
        <v>27</v>
      </c>
      <c r="Q86" s="3" t="s">
        <v>28</v>
      </c>
      <c r="R86" s="3" t="s">
        <v>29</v>
      </c>
      <c r="S86" s="3" t="s">
        <v>229</v>
      </c>
    </row>
    <row r="87" spans="1:19" ht="15.75" x14ac:dyDescent="0.25">
      <c r="A87" s="6" t="s">
        <v>31</v>
      </c>
      <c r="B87" s="3" t="s">
        <v>20</v>
      </c>
      <c r="C87" s="3" t="s">
        <v>198</v>
      </c>
      <c r="D87" s="3" t="s">
        <v>204</v>
      </c>
      <c r="E87" s="3" t="s">
        <v>32</v>
      </c>
      <c r="F87" s="3" t="s">
        <v>33</v>
      </c>
      <c r="G87" s="3"/>
      <c r="H87" s="3" t="s">
        <v>204</v>
      </c>
      <c r="I87" s="3" t="s">
        <v>205</v>
      </c>
      <c r="J87" s="4" t="str">
        <f>HYPERLINK("D:\Users\Yuman\Desktop\MasterProject\results\urea_tBu_Ph.H_Ph_S.vacuum\P1S_cat_complex", "Directory")</f>
        <v>Directory</v>
      </c>
      <c r="K87" s="4" t="str">
        <f>HYPERLINK("D:\Users\Yuman\Desktop\MasterProject\calculations\urea_tBu_Ph.H_Ph_S.vacuum\P1S_cat_complex", "Directory")</f>
        <v>Directory</v>
      </c>
      <c r="L87" s="4" t="str">
        <f>HYPERLINK("D:\Users\Yuman\Desktop\MasterProject\results\urea_tBu_Ph.H_Ph_S.vacuum\P1S_cat_complex/molview2_start_in.bat", "input.xyz")</f>
        <v>input.xyz</v>
      </c>
      <c r="M87" s="3"/>
      <c r="N87" s="5" t="s">
        <v>230</v>
      </c>
      <c r="O87" s="3" t="s">
        <v>26</v>
      </c>
      <c r="P87" s="3" t="s">
        <v>27</v>
      </c>
      <c r="Q87" s="3" t="s">
        <v>28</v>
      </c>
      <c r="R87" s="3" t="s">
        <v>29</v>
      </c>
      <c r="S87" s="3" t="s">
        <v>231</v>
      </c>
    </row>
    <row r="88" spans="1:19" ht="15.75" x14ac:dyDescent="0.25">
      <c r="A88" s="6" t="s">
        <v>31</v>
      </c>
      <c r="B88" s="3" t="s">
        <v>20</v>
      </c>
      <c r="C88" s="3" t="s">
        <v>198</v>
      </c>
      <c r="D88" s="3" t="s">
        <v>199</v>
      </c>
      <c r="E88" s="3" t="s">
        <v>32</v>
      </c>
      <c r="F88" s="3" t="s">
        <v>33</v>
      </c>
      <c r="G88" s="3"/>
      <c r="H88" s="3" t="s">
        <v>204</v>
      </c>
      <c r="I88" s="3" t="s">
        <v>210</v>
      </c>
      <c r="J88" s="4" t="str">
        <f>HYPERLINK("D:\Users\Yuman\Desktop\MasterProject\results\urea_tBu_Ph.H_Ph_S.vacuum\P2R_cat_complex", "Directory")</f>
        <v>Directory</v>
      </c>
      <c r="K88" s="4" t="str">
        <f>HYPERLINK("D:\Users\Yuman\Desktop\MasterProject\calculations\urea_tBu_Ph.H_Ph_S.vacuum\P2R_cat_complex", "Directory")</f>
        <v>Directory</v>
      </c>
      <c r="L88" s="4" t="str">
        <f>HYPERLINK("D:\Users\Yuman\Desktop\MasterProject\results\urea_tBu_Ph.H_Ph_S.vacuum\P2R_cat_complex/molview2_start_in.bat", "input.xyz")</f>
        <v>input.xyz</v>
      </c>
      <c r="M88" s="3"/>
      <c r="N88" s="5" t="s">
        <v>232</v>
      </c>
      <c r="O88" s="3" t="s">
        <v>26</v>
      </c>
      <c r="P88" s="3" t="s">
        <v>27</v>
      </c>
      <c r="Q88" s="3" t="s">
        <v>28</v>
      </c>
      <c r="R88" s="3" t="s">
        <v>29</v>
      </c>
      <c r="S88" s="3" t="s">
        <v>233</v>
      </c>
    </row>
    <row r="89" spans="1:19" ht="15.75" x14ac:dyDescent="0.25">
      <c r="A89" s="6" t="s">
        <v>31</v>
      </c>
      <c r="B89" s="3" t="s">
        <v>20</v>
      </c>
      <c r="C89" s="3" t="s">
        <v>198</v>
      </c>
      <c r="D89" s="3" t="s">
        <v>204</v>
      </c>
      <c r="E89" s="3" t="s">
        <v>32</v>
      </c>
      <c r="F89" s="3" t="s">
        <v>33</v>
      </c>
      <c r="G89" s="3"/>
      <c r="H89" s="3" t="s">
        <v>204</v>
      </c>
      <c r="I89" s="3" t="s">
        <v>213</v>
      </c>
      <c r="J89" s="4" t="str">
        <f>HYPERLINK("D:\Users\Yuman\Desktop\MasterProject\results\urea_tBu_Ph.H_Ph_S.vacuum\P2S_cat_complex", "Directory")</f>
        <v>Directory</v>
      </c>
      <c r="K89" s="4" t="str">
        <f>HYPERLINK("D:\Users\Yuman\Desktop\MasterProject\calculations\urea_tBu_Ph.H_Ph_S.vacuum\P2S_cat_complex", "Directory")</f>
        <v>Directory</v>
      </c>
      <c r="L89" s="4" t="str">
        <f>HYPERLINK("D:\Users\Yuman\Desktop\MasterProject\results\urea_tBu_Ph.H_Ph_S.vacuum\P2S_cat_complex/molview2_start_in.bat", "input.xyz")</f>
        <v>input.xyz</v>
      </c>
      <c r="M89" s="3"/>
      <c r="N89" s="5" t="s">
        <v>234</v>
      </c>
      <c r="O89" s="3" t="s">
        <v>26</v>
      </c>
      <c r="P89" s="3" t="s">
        <v>27</v>
      </c>
      <c r="Q89" s="3" t="s">
        <v>28</v>
      </c>
      <c r="R89" s="3" t="s">
        <v>29</v>
      </c>
      <c r="S89" s="3" t="s">
        <v>235</v>
      </c>
    </row>
    <row r="90" spans="1:19" ht="15.75" x14ac:dyDescent="0.25">
      <c r="A90" s="6" t="s">
        <v>31</v>
      </c>
      <c r="B90" s="3" t="s">
        <v>20</v>
      </c>
      <c r="C90" s="3" t="s">
        <v>198</v>
      </c>
      <c r="D90" s="3" t="s">
        <v>22</v>
      </c>
      <c r="E90" s="3" t="s">
        <v>32</v>
      </c>
      <c r="F90" s="3" t="s">
        <v>33</v>
      </c>
      <c r="G90" s="3"/>
      <c r="H90" s="3" t="s">
        <v>204</v>
      </c>
      <c r="I90" s="3" t="s">
        <v>40</v>
      </c>
      <c r="J90" s="4" t="str">
        <f>HYPERLINK("D:\Users\Yuman\Desktop\MasterProject\results\urea_tBu_Ph.H_Ph_S.vacuum\sub_cat_complex", "Directory")</f>
        <v>Directory</v>
      </c>
      <c r="K90" s="4" t="str">
        <f>HYPERLINK("D:\Users\Yuman\Desktop\MasterProject\calculations\urea_tBu_Ph.H_Ph_S.vacuum\sub_cat_complex", "Directory")</f>
        <v>Directory</v>
      </c>
      <c r="L90" s="4" t="str">
        <f>HYPERLINK("D:\Users\Yuman\Desktop\MasterProject\results\urea_tBu_Ph.H_Ph_S.vacuum\sub_cat_complex/molview2_start_in.bat", "input.xyz")</f>
        <v>input.xyz</v>
      </c>
      <c r="M90" s="3"/>
      <c r="N90" s="5" t="s">
        <v>236</v>
      </c>
      <c r="O90" s="3" t="s">
        <v>26</v>
      </c>
      <c r="P90" s="3" t="s">
        <v>27</v>
      </c>
      <c r="Q90" s="3" t="s">
        <v>28</v>
      </c>
      <c r="R90" s="3" t="s">
        <v>29</v>
      </c>
      <c r="S90" s="3" t="s">
        <v>237</v>
      </c>
    </row>
    <row r="91" spans="1:19" ht="15.75" x14ac:dyDescent="0.25">
      <c r="A91" s="6" t="s">
        <v>31</v>
      </c>
      <c r="B91" s="3" t="s">
        <v>43</v>
      </c>
      <c r="C91" s="3" t="s">
        <v>198</v>
      </c>
      <c r="D91" s="3" t="s">
        <v>199</v>
      </c>
      <c r="E91" s="3" t="s">
        <v>32</v>
      </c>
      <c r="F91" s="3" t="s">
        <v>33</v>
      </c>
      <c r="G91" s="3"/>
      <c r="H91" s="3" t="s">
        <v>204</v>
      </c>
      <c r="I91" s="3" t="s">
        <v>220</v>
      </c>
      <c r="J91" s="4" t="str">
        <f>HYPERLINK("D:\Users\Yuman\Desktop\MasterProject\results\urea_tBu_Ph.H_Ph_S.vacuum\TSR", "Directory")</f>
        <v>Directory</v>
      </c>
      <c r="K91" s="4" t="str">
        <f>HYPERLINK("D:\Users\Yuman\Desktop\MasterProject\calculations\urea_tBu_Ph.H_Ph_S.vacuum\TSR", "Directory")</f>
        <v>Directory</v>
      </c>
      <c r="L91" s="4" t="str">
        <f>HYPERLINK("D:\Users\Yuman\Desktop\MasterProject\results\urea_tBu_Ph.H_Ph_S.vacuum\TSR/molview2_start_in.bat", "input.xyz")</f>
        <v>input.xyz</v>
      </c>
      <c r="M91" s="3"/>
      <c r="N91" s="5" t="s">
        <v>238</v>
      </c>
      <c r="O91" s="3" t="s">
        <v>26</v>
      </c>
      <c r="P91" s="3" t="s">
        <v>27</v>
      </c>
      <c r="Q91" s="3" t="s">
        <v>28</v>
      </c>
      <c r="R91" s="3" t="s">
        <v>29</v>
      </c>
      <c r="S91" s="3" t="s">
        <v>239</v>
      </c>
    </row>
    <row r="92" spans="1:19" ht="15.75" x14ac:dyDescent="0.25">
      <c r="A92" s="7" t="s">
        <v>77</v>
      </c>
      <c r="B92" s="3" t="s">
        <v>43</v>
      </c>
      <c r="C92" s="3" t="s">
        <v>198</v>
      </c>
      <c r="D92" s="3" t="s">
        <v>204</v>
      </c>
      <c r="E92" s="3" t="s">
        <v>32</v>
      </c>
      <c r="F92" s="3" t="s">
        <v>33</v>
      </c>
      <c r="G92" s="3"/>
      <c r="H92" s="3" t="s">
        <v>204</v>
      </c>
      <c r="I92" s="3" t="s">
        <v>223</v>
      </c>
      <c r="J92" s="4" t="str">
        <f>HYPERLINK("D:\Users\Yuman\Desktop\MasterProject\results\urea_tBu_Ph.H_Ph_S.vacuum\TSS", "Directory")</f>
        <v>Directory</v>
      </c>
      <c r="K92" s="4" t="str">
        <f>HYPERLINK("D:\Users\Yuman\Desktop\MasterProject\calculations\urea_tBu_Ph.H_Ph_S.vacuum\TSS", "Directory")</f>
        <v>Directory</v>
      </c>
      <c r="L92" s="4" t="str">
        <f>HYPERLINK("D:\Users\Yuman\Desktop\MasterProject\results\urea_tBu_Ph.H_Ph_S.vacuum\TSS/molview2_start_in.bat", "input.xyz")</f>
        <v>input.xyz</v>
      </c>
      <c r="M92" s="3"/>
      <c r="N92" s="5" t="s">
        <v>240</v>
      </c>
      <c r="O92" s="3" t="s">
        <v>26</v>
      </c>
      <c r="P92" s="3" t="s">
        <v>27</v>
      </c>
      <c r="Q92" s="3" t="s">
        <v>28</v>
      </c>
      <c r="R92" s="3" t="s">
        <v>29</v>
      </c>
      <c r="S92" s="3" t="s">
        <v>241</v>
      </c>
    </row>
    <row r="93" spans="1:19" ht="15.75" x14ac:dyDescent="0.25">
      <c r="A93" s="6" t="s">
        <v>31</v>
      </c>
      <c r="B93" s="3" t="s">
        <v>20</v>
      </c>
      <c r="C93" s="3" t="s">
        <v>198</v>
      </c>
      <c r="D93" s="3" t="s">
        <v>22</v>
      </c>
      <c r="E93" s="3"/>
      <c r="F93" s="3"/>
      <c r="G93" s="3"/>
      <c r="H93" s="3" t="s">
        <v>200</v>
      </c>
      <c r="I93" s="3" t="s">
        <v>24</v>
      </c>
      <c r="J93" s="4" t="str">
        <f>HYPERLINK("D:\Users\Yuman\Desktop\MasterProject\results\urea_tBu_Ph.H_tBu_O.vacuum\cat", "Directory")</f>
        <v>Directory</v>
      </c>
      <c r="K93" s="4" t="str">
        <f>HYPERLINK("D:\Users\Yuman\Desktop\MasterProject\calculations\urea_tBu_Ph.H_tBu_O.vacuum\cat", "Directory")</f>
        <v>Directory</v>
      </c>
      <c r="L93" s="4" t="str">
        <f>HYPERLINK("D:\Users\Yuman\Desktop\MasterProject\results\urea_tBu_Ph.H_tBu_O.vacuum\cat/molview2_start_in.bat", "input.xyz")</f>
        <v>input.xyz</v>
      </c>
      <c r="M93" s="3"/>
      <c r="N93" s="5" t="s">
        <v>242</v>
      </c>
      <c r="O93" s="3" t="s">
        <v>26</v>
      </c>
      <c r="P93" s="3" t="s">
        <v>27</v>
      </c>
      <c r="Q93" s="3" t="s">
        <v>28</v>
      </c>
      <c r="R93" s="3" t="s">
        <v>29</v>
      </c>
      <c r="S93" s="3" t="s">
        <v>243</v>
      </c>
    </row>
    <row r="94" spans="1:19" ht="15.75" x14ac:dyDescent="0.25">
      <c r="A94" s="2" t="s">
        <v>19</v>
      </c>
      <c r="B94" s="3" t="s">
        <v>20</v>
      </c>
      <c r="C94" s="3" t="s">
        <v>198</v>
      </c>
      <c r="D94" s="3" t="s">
        <v>22</v>
      </c>
      <c r="E94" s="3"/>
      <c r="F94" s="3"/>
      <c r="G94" s="3"/>
      <c r="H94" s="3"/>
      <c r="I94" s="3" t="s">
        <v>32</v>
      </c>
      <c r="J94" s="4" t="str">
        <f>HYPERLINK("D:\Users\Yuman\Desktop\MasterProject\results\urea_tBu_Ph.H_tBu_O.vacuum\H", "Directory")</f>
        <v>Directory</v>
      </c>
      <c r="K94" s="4" t="str">
        <f>HYPERLINK("D:\Users\Yuman\Desktop\MasterProject\calculations\urea_tBu_Ph.H_tBu_O.vacuum\H", "Directory")</f>
        <v>Directory</v>
      </c>
      <c r="L94" s="4" t="str">
        <f>HYPERLINK("D:\Users\Yuman\Desktop\MasterProject\results\urea_tBu_Ph.H_tBu_O.vacuum\H/molview2_start_in.bat", "input.xyz")</f>
        <v>input.xyz</v>
      </c>
      <c r="M94" s="3"/>
      <c r="N94" s="5" t="s">
        <v>129</v>
      </c>
      <c r="O94" s="3" t="s">
        <v>26</v>
      </c>
      <c r="P94" s="3" t="s">
        <v>27</v>
      </c>
      <c r="Q94" s="3" t="s">
        <v>28</v>
      </c>
      <c r="R94" s="3" t="s">
        <v>29</v>
      </c>
      <c r="S94" s="3" t="s">
        <v>244</v>
      </c>
    </row>
    <row r="95" spans="1:19" ht="15.75" x14ac:dyDescent="0.25">
      <c r="A95" s="6" t="s">
        <v>31</v>
      </c>
      <c r="B95" s="3" t="s">
        <v>20</v>
      </c>
      <c r="C95" s="3" t="s">
        <v>198</v>
      </c>
      <c r="D95" s="3" t="s">
        <v>199</v>
      </c>
      <c r="E95" s="3" t="s">
        <v>32</v>
      </c>
      <c r="F95" s="3" t="s">
        <v>110</v>
      </c>
      <c r="G95" s="3"/>
      <c r="H95" s="3" t="s">
        <v>200</v>
      </c>
      <c r="I95" s="3" t="s">
        <v>201</v>
      </c>
      <c r="J95" s="4" t="str">
        <f>HYPERLINK("D:\Users\Yuman\Desktop\MasterProject\results\urea_tBu_Ph.H_tBu_O.vacuum\P1R_cat_complex", "Directory")</f>
        <v>Directory</v>
      </c>
      <c r="K95" s="4" t="str">
        <f>HYPERLINK("D:\Users\Yuman\Desktop\MasterProject\calculations\urea_tBu_Ph.H_tBu_O.vacuum\P1R_cat_complex", "Directory")</f>
        <v>Directory</v>
      </c>
      <c r="L95" s="4" t="str">
        <f>HYPERLINK("D:\Users\Yuman\Desktop\MasterProject\results\urea_tBu_Ph.H_tBu_O.vacuum\P1R_cat_complex/molview2_start_in.bat", "input.xyz")</f>
        <v>input.xyz</v>
      </c>
      <c r="M95" s="3"/>
      <c r="N95" s="5" t="s">
        <v>245</v>
      </c>
      <c r="O95" s="3" t="s">
        <v>26</v>
      </c>
      <c r="P95" s="3" t="s">
        <v>27</v>
      </c>
      <c r="Q95" s="3" t="s">
        <v>28</v>
      </c>
      <c r="R95" s="3" t="s">
        <v>29</v>
      </c>
      <c r="S95" s="3" t="s">
        <v>246</v>
      </c>
    </row>
    <row r="96" spans="1:19" ht="15.75" x14ac:dyDescent="0.25">
      <c r="A96" s="6" t="s">
        <v>31</v>
      </c>
      <c r="B96" s="3" t="s">
        <v>20</v>
      </c>
      <c r="C96" s="3" t="s">
        <v>198</v>
      </c>
      <c r="D96" s="3" t="s">
        <v>204</v>
      </c>
      <c r="E96" s="3" t="s">
        <v>32</v>
      </c>
      <c r="F96" s="3" t="s">
        <v>110</v>
      </c>
      <c r="G96" s="3"/>
      <c r="H96" s="3" t="s">
        <v>200</v>
      </c>
      <c r="I96" s="3" t="s">
        <v>205</v>
      </c>
      <c r="J96" s="4" t="str">
        <f>HYPERLINK("D:\Users\Yuman\Desktop\MasterProject\results\urea_tBu_Ph.H_tBu_O.vacuum\P1S_cat_complex", "Directory")</f>
        <v>Directory</v>
      </c>
      <c r="K96" s="4" t="str">
        <f>HYPERLINK("D:\Users\Yuman\Desktop\MasterProject\calculations\urea_tBu_Ph.H_tBu_O.vacuum\P1S_cat_complex", "Directory")</f>
        <v>Directory</v>
      </c>
      <c r="L96" s="4" t="str">
        <f>HYPERLINK("D:\Users\Yuman\Desktop\MasterProject\results\urea_tBu_Ph.H_tBu_O.vacuum\P1S_cat_complex/molview2_start_in.bat", "input.xyz")</f>
        <v>input.xyz</v>
      </c>
      <c r="M96" s="3"/>
      <c r="N96" s="5" t="s">
        <v>247</v>
      </c>
      <c r="O96" s="3" t="s">
        <v>26</v>
      </c>
      <c r="P96" s="3" t="s">
        <v>27</v>
      </c>
      <c r="Q96" s="3" t="s">
        <v>28</v>
      </c>
      <c r="R96" s="3" t="s">
        <v>29</v>
      </c>
      <c r="S96" s="3" t="s">
        <v>248</v>
      </c>
    </row>
    <row r="97" spans="1:19" ht="15.75" x14ac:dyDescent="0.25">
      <c r="A97" s="6" t="s">
        <v>31</v>
      </c>
      <c r="B97" s="3" t="s">
        <v>20</v>
      </c>
      <c r="C97" s="3" t="s">
        <v>198</v>
      </c>
      <c r="D97" s="3" t="s">
        <v>22</v>
      </c>
      <c r="E97" s="3" t="s">
        <v>32</v>
      </c>
      <c r="F97" s="3" t="s">
        <v>110</v>
      </c>
      <c r="G97" s="3"/>
      <c r="H97" s="3"/>
      <c r="I97" s="3" t="s">
        <v>63</v>
      </c>
      <c r="J97" s="4" t="str">
        <f>HYPERLINK("D:\Users\Yuman\Desktop\MasterProject\results\urea_tBu_Ph.H_tBu_O.vacuum\P2", "Directory")</f>
        <v>Directory</v>
      </c>
      <c r="K97" s="4" t="str">
        <f>HYPERLINK("D:\Users\Yuman\Desktop\MasterProject\calculations\urea_tBu_Ph.H_tBu_O.vacuum\P2", "Directory")</f>
        <v>Directory</v>
      </c>
      <c r="L97" s="4" t="str">
        <f>HYPERLINK("D:\Users\Yuman\Desktop\MasterProject\results\urea_tBu_Ph.H_tBu_O.vacuum\P2/molview2_start_in.bat", "input.xyz")</f>
        <v>input.xyz</v>
      </c>
      <c r="M97" s="3"/>
      <c r="N97" s="5" t="s">
        <v>249</v>
      </c>
      <c r="O97" s="3" t="s">
        <v>26</v>
      </c>
      <c r="P97" s="3" t="s">
        <v>27</v>
      </c>
      <c r="Q97" s="3" t="s">
        <v>28</v>
      </c>
      <c r="R97" s="3" t="s">
        <v>29</v>
      </c>
      <c r="S97" s="3" t="s">
        <v>250</v>
      </c>
    </row>
    <row r="98" spans="1:19" ht="15.75" x14ac:dyDescent="0.25">
      <c r="A98" s="6" t="s">
        <v>31</v>
      </c>
      <c r="B98" s="3" t="s">
        <v>20</v>
      </c>
      <c r="C98" s="3" t="s">
        <v>198</v>
      </c>
      <c r="D98" s="3" t="s">
        <v>199</v>
      </c>
      <c r="E98" s="3" t="s">
        <v>32</v>
      </c>
      <c r="F98" s="3" t="s">
        <v>110</v>
      </c>
      <c r="G98" s="3"/>
      <c r="H98" s="3" t="s">
        <v>200</v>
      </c>
      <c r="I98" s="3" t="s">
        <v>210</v>
      </c>
      <c r="J98" s="4" t="str">
        <f>HYPERLINK("D:\Users\Yuman\Desktop\MasterProject\results\urea_tBu_Ph.H_tBu_O.vacuum\P2R_cat_complex", "Directory")</f>
        <v>Directory</v>
      </c>
      <c r="K98" s="4" t="str">
        <f>HYPERLINK("D:\Users\Yuman\Desktop\MasterProject\calculations\urea_tBu_Ph.H_tBu_O.vacuum\P2R_cat_complex", "Directory")</f>
        <v>Directory</v>
      </c>
      <c r="L98" s="4" t="str">
        <f>HYPERLINK("D:\Users\Yuman\Desktop\MasterProject\results\urea_tBu_Ph.H_tBu_O.vacuum\P2R_cat_complex/molview2_start_in.bat", "input.xyz")</f>
        <v>input.xyz</v>
      </c>
      <c r="M98" s="3"/>
      <c r="N98" s="5" t="s">
        <v>251</v>
      </c>
      <c r="O98" s="3" t="s">
        <v>26</v>
      </c>
      <c r="P98" s="3" t="s">
        <v>27</v>
      </c>
      <c r="Q98" s="3" t="s">
        <v>28</v>
      </c>
      <c r="R98" s="3" t="s">
        <v>29</v>
      </c>
      <c r="S98" s="3" t="s">
        <v>252</v>
      </c>
    </row>
    <row r="99" spans="1:19" ht="15.75" x14ac:dyDescent="0.25">
      <c r="A99" s="6" t="s">
        <v>31</v>
      </c>
      <c r="B99" s="3" t="s">
        <v>20</v>
      </c>
      <c r="C99" s="3" t="s">
        <v>198</v>
      </c>
      <c r="D99" s="3" t="s">
        <v>204</v>
      </c>
      <c r="E99" s="3" t="s">
        <v>32</v>
      </c>
      <c r="F99" s="3" t="s">
        <v>110</v>
      </c>
      <c r="G99" s="3"/>
      <c r="H99" s="3" t="s">
        <v>200</v>
      </c>
      <c r="I99" s="3" t="s">
        <v>213</v>
      </c>
      <c r="J99" s="4" t="str">
        <f>HYPERLINK("D:\Users\Yuman\Desktop\MasterProject\results\urea_tBu_Ph.H_tBu_O.vacuum\P2S_cat_complex", "Directory")</f>
        <v>Directory</v>
      </c>
      <c r="K99" s="4" t="str">
        <f>HYPERLINK("D:\Users\Yuman\Desktop\MasterProject\calculations\urea_tBu_Ph.H_tBu_O.vacuum\P2S_cat_complex", "Directory")</f>
        <v>Directory</v>
      </c>
      <c r="L99" s="4" t="str">
        <f>HYPERLINK("D:\Users\Yuman\Desktop\MasterProject\results\urea_tBu_Ph.H_tBu_O.vacuum\P2S_cat_complex/molview2_start_in.bat", "input.xyz")</f>
        <v>input.xyz</v>
      </c>
      <c r="M99" s="3"/>
      <c r="N99" s="5" t="s">
        <v>253</v>
      </c>
      <c r="O99" s="3" t="s">
        <v>26</v>
      </c>
      <c r="P99" s="3" t="s">
        <v>27</v>
      </c>
      <c r="Q99" s="3" t="s">
        <v>28</v>
      </c>
      <c r="R99" s="3" t="s">
        <v>29</v>
      </c>
      <c r="S99" s="3" t="s">
        <v>254</v>
      </c>
    </row>
    <row r="100" spans="1:19" ht="15.75" x14ac:dyDescent="0.25">
      <c r="A100" s="6" t="s">
        <v>31</v>
      </c>
      <c r="B100" s="3" t="s">
        <v>20</v>
      </c>
      <c r="C100" s="3" t="s">
        <v>198</v>
      </c>
      <c r="D100" s="3" t="s">
        <v>22</v>
      </c>
      <c r="E100" s="3"/>
      <c r="F100" s="3"/>
      <c r="G100" s="3"/>
      <c r="H100" s="3"/>
      <c r="I100" s="3" t="s">
        <v>100</v>
      </c>
      <c r="J100" s="4" t="str">
        <f>HYPERLINK("D:\Users\Yuman\Desktop\MasterProject\results\urea_tBu_Ph.H_tBu_O.vacuum\rad", "Directory")</f>
        <v>Directory</v>
      </c>
      <c r="K100" s="4" t="str">
        <f>HYPERLINK("D:\Users\Yuman\Desktop\MasterProject\calculations\urea_tBu_Ph.H_tBu_O.vacuum\rad", "Directory")</f>
        <v>Directory</v>
      </c>
      <c r="L100" s="3"/>
      <c r="M100" s="3"/>
      <c r="N100" s="5" t="s">
        <v>255</v>
      </c>
      <c r="O100" s="3" t="s">
        <v>26</v>
      </c>
      <c r="P100" s="3" t="s">
        <v>27</v>
      </c>
      <c r="Q100" s="3" t="s">
        <v>28</v>
      </c>
      <c r="R100" s="3" t="s">
        <v>29</v>
      </c>
      <c r="S100" s="3" t="s">
        <v>256</v>
      </c>
    </row>
    <row r="101" spans="1:19" ht="15.75" x14ac:dyDescent="0.25">
      <c r="A101" s="6" t="s">
        <v>31</v>
      </c>
      <c r="B101" s="3" t="s">
        <v>20</v>
      </c>
      <c r="C101" s="3" t="s">
        <v>198</v>
      </c>
      <c r="D101" s="3" t="s">
        <v>22</v>
      </c>
      <c r="E101" s="3" t="s">
        <v>32</v>
      </c>
      <c r="F101" s="3" t="s">
        <v>110</v>
      </c>
      <c r="G101" s="3"/>
      <c r="H101" s="3"/>
      <c r="I101" s="3" t="s">
        <v>103</v>
      </c>
      <c r="J101" s="4" t="str">
        <f>HYPERLINK("D:\Users\Yuman\Desktop\MasterProject\results\urea_tBu_Ph.H_tBu_O.vacuum\sub", "Directory")</f>
        <v>Directory</v>
      </c>
      <c r="K101" s="4" t="str">
        <f>HYPERLINK("D:\Users\Yuman\Desktop\MasterProject\calculations\urea_tBu_Ph.H_tBu_O.vacuum\sub", "Directory")</f>
        <v>Directory</v>
      </c>
      <c r="L101" s="4" t="str">
        <f>HYPERLINK("D:\Users\Yuman\Desktop\MasterProject\results\urea_tBu_Ph.H_tBu_O.vacuum\sub/molview2_start_in.bat", "input.xyz")</f>
        <v>input.xyz</v>
      </c>
      <c r="M101" s="3"/>
      <c r="N101" s="5" t="s">
        <v>257</v>
      </c>
      <c r="O101" s="3" t="s">
        <v>26</v>
      </c>
      <c r="P101" s="3" t="s">
        <v>27</v>
      </c>
      <c r="Q101" s="3" t="s">
        <v>28</v>
      </c>
      <c r="R101" s="3" t="s">
        <v>29</v>
      </c>
      <c r="S101" s="3" t="s">
        <v>258</v>
      </c>
    </row>
    <row r="102" spans="1:19" ht="15.75" x14ac:dyDescent="0.25">
      <c r="A102" s="6" t="s">
        <v>31</v>
      </c>
      <c r="B102" s="3" t="s">
        <v>20</v>
      </c>
      <c r="C102" s="3" t="s">
        <v>198</v>
      </c>
      <c r="D102" s="3" t="s">
        <v>22</v>
      </c>
      <c r="E102" s="3" t="s">
        <v>32</v>
      </c>
      <c r="F102" s="3" t="s">
        <v>110</v>
      </c>
      <c r="G102" s="3"/>
      <c r="H102" s="3" t="s">
        <v>200</v>
      </c>
      <c r="I102" s="3" t="s">
        <v>40</v>
      </c>
      <c r="J102" s="4" t="str">
        <f>HYPERLINK("D:\Users\Yuman\Desktop\MasterProject\results\urea_tBu_Ph.H_tBu_O.vacuum\sub_cat_complex", "Directory")</f>
        <v>Directory</v>
      </c>
      <c r="K102" s="4" t="str">
        <f>HYPERLINK("D:\Users\Yuman\Desktop\MasterProject\calculations\urea_tBu_Ph.H_tBu_O.vacuum\sub_cat_complex", "Directory")</f>
        <v>Directory</v>
      </c>
      <c r="L102" s="4" t="str">
        <f>HYPERLINK("D:\Users\Yuman\Desktop\MasterProject\results\urea_tBu_Ph.H_tBu_O.vacuum\sub_cat_complex/molview2_start_in.bat", "input.xyz")</f>
        <v>input.xyz</v>
      </c>
      <c r="M102" s="3"/>
      <c r="N102" s="5" t="s">
        <v>259</v>
      </c>
      <c r="O102" s="3" t="s">
        <v>26</v>
      </c>
      <c r="P102" s="3" t="s">
        <v>27</v>
      </c>
      <c r="Q102" s="3" t="s">
        <v>28</v>
      </c>
      <c r="R102" s="3" t="s">
        <v>29</v>
      </c>
      <c r="S102" s="3" t="s">
        <v>260</v>
      </c>
    </row>
    <row r="103" spans="1:19" ht="15.75" x14ac:dyDescent="0.25">
      <c r="A103" s="6" t="s">
        <v>31</v>
      </c>
      <c r="B103" s="3" t="s">
        <v>43</v>
      </c>
      <c r="C103" s="3" t="s">
        <v>198</v>
      </c>
      <c r="D103" s="3" t="s">
        <v>199</v>
      </c>
      <c r="E103" s="3" t="s">
        <v>32</v>
      </c>
      <c r="F103" s="3" t="s">
        <v>110</v>
      </c>
      <c r="G103" s="3"/>
      <c r="H103" s="3" t="s">
        <v>200</v>
      </c>
      <c r="I103" s="3" t="s">
        <v>220</v>
      </c>
      <c r="J103" s="4" t="str">
        <f>HYPERLINK("D:\Users\Yuman\Desktop\MasterProject\results\urea_tBu_Ph.H_tBu_O.vacuum\TSR", "Directory")</f>
        <v>Directory</v>
      </c>
      <c r="K103" s="4" t="str">
        <f>HYPERLINK("D:\Users\Yuman\Desktop\MasterProject\calculations\urea_tBu_Ph.H_tBu_O.vacuum\TSR", "Directory")</f>
        <v>Directory</v>
      </c>
      <c r="L103" s="4" t="str">
        <f>HYPERLINK("D:\Users\Yuman\Desktop\MasterProject\results\urea_tBu_Ph.H_tBu_O.vacuum\TSR/molview2_start_in.bat", "input.xyz")</f>
        <v>input.xyz</v>
      </c>
      <c r="M103" s="3"/>
      <c r="N103" s="5" t="s">
        <v>261</v>
      </c>
      <c r="O103" s="3" t="s">
        <v>26</v>
      </c>
      <c r="P103" s="3" t="s">
        <v>27</v>
      </c>
      <c r="Q103" s="3" t="s">
        <v>28</v>
      </c>
      <c r="R103" s="3" t="s">
        <v>29</v>
      </c>
      <c r="S103" s="3" t="s">
        <v>262</v>
      </c>
    </row>
    <row r="104" spans="1:19" ht="15.75" x14ac:dyDescent="0.25">
      <c r="A104" s="6" t="s">
        <v>31</v>
      </c>
      <c r="B104" s="3" t="s">
        <v>43</v>
      </c>
      <c r="C104" s="3" t="s">
        <v>198</v>
      </c>
      <c r="D104" s="3" t="s">
        <v>204</v>
      </c>
      <c r="E104" s="3" t="s">
        <v>32</v>
      </c>
      <c r="F104" s="3" t="s">
        <v>110</v>
      </c>
      <c r="G104" s="3"/>
      <c r="H104" s="3" t="s">
        <v>200</v>
      </c>
      <c r="I104" s="3" t="s">
        <v>223</v>
      </c>
      <c r="J104" s="4" t="str">
        <f>HYPERLINK("D:\Users\Yuman\Desktop\MasterProject\results\urea_tBu_Ph.H_tBu_O.vacuum\TSS", "Directory")</f>
        <v>Directory</v>
      </c>
      <c r="K104" s="4" t="str">
        <f>HYPERLINK("D:\Users\Yuman\Desktop\MasterProject\calculations\urea_tBu_Ph.H_tBu_O.vacuum\TSS", "Directory")</f>
        <v>Directory</v>
      </c>
      <c r="L104" s="4" t="str">
        <f>HYPERLINK("D:\Users\Yuman\Desktop\MasterProject\results\urea_tBu_Ph.H_tBu_O.vacuum\TSS/molview2_start_in.bat", "input.xyz")</f>
        <v>input.xyz</v>
      </c>
      <c r="M104" s="3"/>
      <c r="N104" s="5" t="s">
        <v>263</v>
      </c>
      <c r="O104" s="3" t="s">
        <v>26</v>
      </c>
      <c r="P104" s="3" t="s">
        <v>27</v>
      </c>
      <c r="Q104" s="3" t="s">
        <v>28</v>
      </c>
      <c r="R104" s="3" t="s">
        <v>29</v>
      </c>
      <c r="S104" s="3" t="s">
        <v>264</v>
      </c>
    </row>
    <row r="105" spans="1:19" ht="15.75" x14ac:dyDescent="0.25">
      <c r="A105" s="6" t="s">
        <v>31</v>
      </c>
      <c r="B105" s="3" t="s">
        <v>20</v>
      </c>
      <c r="C105" s="3" t="s">
        <v>198</v>
      </c>
      <c r="D105" s="3" t="s">
        <v>199</v>
      </c>
      <c r="E105" s="3" t="s">
        <v>32</v>
      </c>
      <c r="F105" s="3" t="s">
        <v>110</v>
      </c>
      <c r="G105" s="3"/>
      <c r="H105" s="3" t="s">
        <v>204</v>
      </c>
      <c r="I105" s="3" t="s">
        <v>201</v>
      </c>
      <c r="J105" s="4" t="str">
        <f>HYPERLINK("D:\Users\Yuman\Desktop\MasterProject\results\urea_tBu_Ph.H_tBu_S.vacuum\P1R_cat_complex", "Directory")</f>
        <v>Directory</v>
      </c>
      <c r="K105" s="4" t="str">
        <f>HYPERLINK("D:\Users\Yuman\Desktop\MasterProject\calculations\urea_tBu_Ph.H_tBu_S.vacuum\P1R_cat_complex", "Directory")</f>
        <v>Directory</v>
      </c>
      <c r="L105" s="4" t="str">
        <f>HYPERLINK("D:\Users\Yuman\Desktop\MasterProject\results\urea_tBu_Ph.H_tBu_S.vacuum\P1R_cat_complex/molview2_start_in.bat", "input.xyz")</f>
        <v>input.xyz</v>
      </c>
      <c r="M105" s="3"/>
      <c r="N105" s="5" t="s">
        <v>265</v>
      </c>
      <c r="O105" s="3" t="s">
        <v>26</v>
      </c>
      <c r="P105" s="3" t="s">
        <v>27</v>
      </c>
      <c r="Q105" s="3" t="s">
        <v>28</v>
      </c>
      <c r="R105" s="3" t="s">
        <v>29</v>
      </c>
      <c r="S105" s="3" t="s">
        <v>266</v>
      </c>
    </row>
    <row r="106" spans="1:19" ht="15.75" x14ac:dyDescent="0.25">
      <c r="A106" s="6" t="s">
        <v>31</v>
      </c>
      <c r="B106" s="3" t="s">
        <v>20</v>
      </c>
      <c r="C106" s="3" t="s">
        <v>198</v>
      </c>
      <c r="D106" s="3" t="s">
        <v>204</v>
      </c>
      <c r="E106" s="3" t="s">
        <v>32</v>
      </c>
      <c r="F106" s="3" t="s">
        <v>110</v>
      </c>
      <c r="G106" s="3"/>
      <c r="H106" s="3" t="s">
        <v>204</v>
      </c>
      <c r="I106" s="3" t="s">
        <v>205</v>
      </c>
      <c r="J106" s="4" t="str">
        <f>HYPERLINK("D:\Users\Yuman\Desktop\MasterProject\results\urea_tBu_Ph.H_tBu_S.vacuum\P1S_cat_complex", "Directory")</f>
        <v>Directory</v>
      </c>
      <c r="K106" s="4" t="str">
        <f>HYPERLINK("D:\Users\Yuman\Desktop\MasterProject\calculations\urea_tBu_Ph.H_tBu_S.vacuum\P1S_cat_complex", "Directory")</f>
        <v>Directory</v>
      </c>
      <c r="L106" s="4" t="str">
        <f>HYPERLINK("D:\Users\Yuman\Desktop\MasterProject\results\urea_tBu_Ph.H_tBu_S.vacuum\P1S_cat_complex/molview2_start_in.bat", "input.xyz")</f>
        <v>input.xyz</v>
      </c>
      <c r="M106" s="3"/>
      <c r="N106" s="5" t="s">
        <v>267</v>
      </c>
      <c r="O106" s="3" t="s">
        <v>26</v>
      </c>
      <c r="P106" s="3" t="s">
        <v>27</v>
      </c>
      <c r="Q106" s="3" t="s">
        <v>28</v>
      </c>
      <c r="R106" s="3" t="s">
        <v>29</v>
      </c>
      <c r="S106" s="3" t="s">
        <v>268</v>
      </c>
    </row>
    <row r="107" spans="1:19" ht="15.75" x14ac:dyDescent="0.25">
      <c r="A107" s="6" t="s">
        <v>31</v>
      </c>
      <c r="B107" s="3" t="s">
        <v>20</v>
      </c>
      <c r="C107" s="3" t="s">
        <v>198</v>
      </c>
      <c r="D107" s="3" t="s">
        <v>199</v>
      </c>
      <c r="E107" s="3" t="s">
        <v>32</v>
      </c>
      <c r="F107" s="3" t="s">
        <v>110</v>
      </c>
      <c r="G107" s="3"/>
      <c r="H107" s="3" t="s">
        <v>204</v>
      </c>
      <c r="I107" s="3" t="s">
        <v>210</v>
      </c>
      <c r="J107" s="4" t="str">
        <f>HYPERLINK("D:\Users\Yuman\Desktop\MasterProject\results\urea_tBu_Ph.H_tBu_S.vacuum\P2R_cat_complex", "Directory")</f>
        <v>Directory</v>
      </c>
      <c r="K107" s="4" t="str">
        <f>HYPERLINK("D:\Users\Yuman\Desktop\MasterProject\calculations\urea_tBu_Ph.H_tBu_S.vacuum\P2R_cat_complex", "Directory")</f>
        <v>Directory</v>
      </c>
      <c r="L107" s="4" t="str">
        <f>HYPERLINK("D:\Users\Yuman\Desktop\MasterProject\results\urea_tBu_Ph.H_tBu_S.vacuum\P2R_cat_complex/molview2_start_in.bat", "input.xyz")</f>
        <v>input.xyz</v>
      </c>
      <c r="M107" s="3"/>
      <c r="N107" s="5" t="s">
        <v>269</v>
      </c>
      <c r="O107" s="3" t="s">
        <v>26</v>
      </c>
      <c r="P107" s="3" t="s">
        <v>27</v>
      </c>
      <c r="Q107" s="3" t="s">
        <v>28</v>
      </c>
      <c r="R107" s="3" t="s">
        <v>29</v>
      </c>
      <c r="S107" s="3" t="s">
        <v>270</v>
      </c>
    </row>
    <row r="108" spans="1:19" ht="15.75" x14ac:dyDescent="0.25">
      <c r="A108" s="6" t="s">
        <v>31</v>
      </c>
      <c r="B108" s="3" t="s">
        <v>20</v>
      </c>
      <c r="C108" s="3" t="s">
        <v>198</v>
      </c>
      <c r="D108" s="3" t="s">
        <v>204</v>
      </c>
      <c r="E108" s="3" t="s">
        <v>32</v>
      </c>
      <c r="F108" s="3" t="s">
        <v>110</v>
      </c>
      <c r="G108" s="3"/>
      <c r="H108" s="3" t="s">
        <v>204</v>
      </c>
      <c r="I108" s="3" t="s">
        <v>213</v>
      </c>
      <c r="J108" s="4" t="str">
        <f>HYPERLINK("D:\Users\Yuman\Desktop\MasterProject\results\urea_tBu_Ph.H_tBu_S.vacuum\P2S_cat_complex", "Directory")</f>
        <v>Directory</v>
      </c>
      <c r="K108" s="4" t="str">
        <f>HYPERLINK("D:\Users\Yuman\Desktop\MasterProject\calculations\urea_tBu_Ph.H_tBu_S.vacuum\P2S_cat_complex", "Directory")</f>
        <v>Directory</v>
      </c>
      <c r="L108" s="4" t="str">
        <f>HYPERLINK("D:\Users\Yuman\Desktop\MasterProject\results\urea_tBu_Ph.H_tBu_S.vacuum\P2S_cat_complex/molview2_start_in.bat", "input.xyz")</f>
        <v>input.xyz</v>
      </c>
      <c r="M108" s="3"/>
      <c r="N108" s="5" t="s">
        <v>271</v>
      </c>
      <c r="O108" s="3" t="s">
        <v>26</v>
      </c>
      <c r="P108" s="3" t="s">
        <v>27</v>
      </c>
      <c r="Q108" s="3" t="s">
        <v>28</v>
      </c>
      <c r="R108" s="3" t="s">
        <v>29</v>
      </c>
      <c r="S108" s="3" t="s">
        <v>272</v>
      </c>
    </row>
    <row r="109" spans="1:19" ht="15.75" x14ac:dyDescent="0.25">
      <c r="A109" s="6" t="s">
        <v>31</v>
      </c>
      <c r="B109" s="3" t="s">
        <v>20</v>
      </c>
      <c r="C109" s="3" t="s">
        <v>198</v>
      </c>
      <c r="D109" s="3" t="s">
        <v>22</v>
      </c>
      <c r="E109" s="3" t="s">
        <v>32</v>
      </c>
      <c r="F109" s="3" t="s">
        <v>110</v>
      </c>
      <c r="G109" s="3"/>
      <c r="H109" s="3" t="s">
        <v>204</v>
      </c>
      <c r="I109" s="3" t="s">
        <v>40</v>
      </c>
      <c r="J109" s="4" t="str">
        <f>HYPERLINK("D:\Users\Yuman\Desktop\MasterProject\results\urea_tBu_Ph.H_tBu_S.vacuum\sub_cat_complex", "Directory")</f>
        <v>Directory</v>
      </c>
      <c r="K109" s="4" t="str">
        <f>HYPERLINK("D:\Users\Yuman\Desktop\MasterProject\calculations\urea_tBu_Ph.H_tBu_S.vacuum\sub_cat_complex", "Directory")</f>
        <v>Directory</v>
      </c>
      <c r="L109" s="4" t="str">
        <f>HYPERLINK("D:\Users\Yuman\Desktop\MasterProject\results\urea_tBu_Ph.H_tBu_S.vacuum\sub_cat_complex/molview2_start_in.bat", "input.xyz")</f>
        <v>input.xyz</v>
      </c>
      <c r="M109" s="3"/>
      <c r="N109" s="5" t="s">
        <v>273</v>
      </c>
      <c r="O109" s="3" t="s">
        <v>26</v>
      </c>
      <c r="P109" s="3" t="s">
        <v>27</v>
      </c>
      <c r="Q109" s="3" t="s">
        <v>28</v>
      </c>
      <c r="R109" s="3" t="s">
        <v>29</v>
      </c>
      <c r="S109" s="3" t="s">
        <v>274</v>
      </c>
    </row>
    <row r="110" spans="1:19" ht="15.75" x14ac:dyDescent="0.25">
      <c r="A110" s="6" t="s">
        <v>31</v>
      </c>
      <c r="B110" s="3" t="s">
        <v>43</v>
      </c>
      <c r="C110" s="3" t="s">
        <v>198</v>
      </c>
      <c r="D110" s="3" t="s">
        <v>199</v>
      </c>
      <c r="E110" s="3" t="s">
        <v>32</v>
      </c>
      <c r="F110" s="3" t="s">
        <v>110</v>
      </c>
      <c r="G110" s="3"/>
      <c r="H110" s="3" t="s">
        <v>204</v>
      </c>
      <c r="I110" s="3" t="s">
        <v>220</v>
      </c>
      <c r="J110" s="4" t="str">
        <f>HYPERLINK("D:\Users\Yuman\Desktop\MasterProject\results\urea_tBu_Ph.H_tBu_S.vacuum\TSR", "Directory")</f>
        <v>Directory</v>
      </c>
      <c r="K110" s="4" t="str">
        <f>HYPERLINK("D:\Users\Yuman\Desktop\MasterProject\calculations\urea_tBu_Ph.H_tBu_S.vacuum\TSR", "Directory")</f>
        <v>Directory</v>
      </c>
      <c r="L110" s="4" t="str">
        <f>HYPERLINK("D:\Users\Yuman\Desktop\MasterProject\results\urea_tBu_Ph.H_tBu_S.vacuum\TSR/molview2_start_in.bat", "input.xyz")</f>
        <v>input.xyz</v>
      </c>
      <c r="M110" s="3"/>
      <c r="N110" s="5" t="s">
        <v>275</v>
      </c>
      <c r="O110" s="3" t="s">
        <v>26</v>
      </c>
      <c r="P110" s="3" t="s">
        <v>27</v>
      </c>
      <c r="Q110" s="3" t="s">
        <v>28</v>
      </c>
      <c r="R110" s="3" t="s">
        <v>29</v>
      </c>
      <c r="S110" s="3" t="s">
        <v>276</v>
      </c>
    </row>
    <row r="111" spans="1:19" ht="15.75" x14ac:dyDescent="0.25">
      <c r="A111" s="6" t="s">
        <v>31</v>
      </c>
      <c r="B111" s="3" t="s">
        <v>43</v>
      </c>
      <c r="C111" s="3" t="s">
        <v>198</v>
      </c>
      <c r="D111" s="3" t="s">
        <v>204</v>
      </c>
      <c r="E111" s="3" t="s">
        <v>32</v>
      </c>
      <c r="F111" s="3" t="s">
        <v>110</v>
      </c>
      <c r="G111" s="3"/>
      <c r="H111" s="3" t="s">
        <v>204</v>
      </c>
      <c r="I111" s="3" t="s">
        <v>223</v>
      </c>
      <c r="J111" s="4" t="str">
        <f>HYPERLINK("D:\Users\Yuman\Desktop\MasterProject\results\urea_tBu_Ph.H_tBu_S.vacuum\TSS", "Directory")</f>
        <v>Directory</v>
      </c>
      <c r="K111" s="4" t="str">
        <f>HYPERLINK("D:\Users\Yuman\Desktop\MasterProject\calculations\urea_tBu_Ph.H_tBu_S.vacuum\TSS", "Directory")</f>
        <v>Directory</v>
      </c>
      <c r="L111" s="4" t="str">
        <f>HYPERLINK("D:\Users\Yuman\Desktop\MasterProject\results\urea_tBu_Ph.H_tBu_S.vacuum\TSS/molview2_start_in.bat", "input.xyz")</f>
        <v>input.xyz</v>
      </c>
      <c r="M111" s="3"/>
      <c r="N111" s="5" t="s">
        <v>277</v>
      </c>
      <c r="O111" s="3" t="s">
        <v>26</v>
      </c>
      <c r="P111" s="3" t="s">
        <v>27</v>
      </c>
      <c r="Q111" s="3" t="s">
        <v>28</v>
      </c>
      <c r="R111" s="3" t="s">
        <v>29</v>
      </c>
      <c r="S111" s="3" t="s">
        <v>278</v>
      </c>
    </row>
  </sheetData>
  <autoFilter ref="A1:S111" xr:uid="{00000000-0009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Yuman</cp:lastModifiedBy>
  <dcterms:created xsi:type="dcterms:W3CDTF">2022-02-15T12:11:41Z</dcterms:created>
  <dcterms:modified xsi:type="dcterms:W3CDTF">2022-02-15T12:11:41Z</dcterms:modified>
</cp:coreProperties>
</file>