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24F11E86-D079-482F-A68C-12DA84CC22AA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6" i="1" l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<sst xmlns="http://schemas.openxmlformats.org/spreadsheetml/2006/main" count="1122" uniqueCount="247">
  <si>
    <t>STATUS</t>
  </si>
  <si>
    <t>TASK</t>
  </si>
  <si>
    <t>REACTION</t>
  </si>
  <si>
    <t>ENANTIOMER</t>
  </si>
  <si>
    <t>R1</t>
  </si>
  <si>
    <t>R2</t>
  </si>
  <si>
    <t>RC1</t>
  </si>
  <si>
    <t>RC2</t>
  </si>
  <si>
    <t>RCAT</t>
  </si>
  <si>
    <t>RCH</t>
  </si>
  <si>
    <t>RCH2</t>
  </si>
  <si>
    <t>STATIONARY_POINT</t>
  </si>
  <si>
    <t>RES_DIR</t>
  </si>
  <si>
    <t>CALC_DIR</t>
  </si>
  <si>
    <t>INXYZ</t>
  </si>
  <si>
    <t>OUTXYZ</t>
  </si>
  <si>
    <t>RUNTIME</t>
  </si>
  <si>
    <t>STEP</t>
  </si>
  <si>
    <t>HASH</t>
  </si>
  <si>
    <t>Canceled</t>
  </si>
  <si>
    <t>GO</t>
  </si>
  <si>
    <t>achiral_catalyst</t>
  </si>
  <si>
    <t>N/A</t>
  </si>
  <si>
    <t>H</t>
  </si>
  <si>
    <t>Ph</t>
  </si>
  <si>
    <t>AlF3</t>
  </si>
  <si>
    <t>P1</t>
  </si>
  <si>
    <t>81:05:36</t>
  </si>
  <si>
    <t>FREQ</t>
  </si>
  <si>
    <t>8fd4e98c2e44d0fe3767b08642e1bc4d3a648fe7f616f77edc4c8636793424f7</t>
  </si>
  <si>
    <t>Success</t>
  </si>
  <si>
    <t>P2</t>
  </si>
  <si>
    <t>41:52:27</t>
  </si>
  <si>
    <t>END</t>
  </si>
  <si>
    <t>2065d8911263704022c358a45c6d5e1bcb5008f7c89e644f398c4ea50af3bea7</t>
  </si>
  <si>
    <t>Warning</t>
  </si>
  <si>
    <t>Rcat</t>
  </si>
  <si>
    <t>00:07:41</t>
  </si>
  <si>
    <t>81e83d5dc7d4016cdddedb02119c24677c6e20b777843e63860816c575b05aa5</t>
  </si>
  <si>
    <t>Rsub_cat_complex</t>
  </si>
  <si>
    <t>19:31:02</t>
  </si>
  <si>
    <t>63cc54df270e838570858fa1fd320517eac63a81ead8104027d2a83f4e8e6b97</t>
  </si>
  <si>
    <t>Failed</t>
  </si>
  <si>
    <t>TSRC</t>
  </si>
  <si>
    <t>TS</t>
  </si>
  <si>
    <t>85:32:01</t>
  </si>
  <si>
    <t>9a698a147e2e694a9d33bb693ab5fde89bc72b837e3491c4c1207940788ee03f</t>
  </si>
  <si>
    <t>BF3</t>
  </si>
  <si>
    <t>89:28:10</t>
  </si>
  <si>
    <t>c4211809302721c308d42255f410705eaad668265b5b85e64426b982cb8fc1db</t>
  </si>
  <si>
    <t>38:46:15</t>
  </si>
  <si>
    <t>e5aab35598072146f2c967f93840366633e92d1ab8868a736ad784523994cd4c</t>
  </si>
  <si>
    <t>00:05:27</t>
  </si>
  <si>
    <t>5668aba3acacaaf086015a8787339f361ba520577775fefe6f07bcdd4ebff49c</t>
  </si>
  <si>
    <t>19:07:07</t>
  </si>
  <si>
    <t>8c581d54ee6283b3541a91b60213aff4f07c47de6a83e533095366cecf619714</t>
  </si>
  <si>
    <t>71:29:55</t>
  </si>
  <si>
    <t>b8d0903c7dc324a2bc9e0be630782cd32b214f83f8097e97aebdab6634aa66a1</t>
  </si>
  <si>
    <t>I2</t>
  </si>
  <si>
    <t>92:05:01</t>
  </si>
  <si>
    <t>1a4d63f12b17cb5025d3fe75aaa48ac7e4ac9f74cb8da6e01332b59a555f753c</t>
  </si>
  <si>
    <t>38:31:31</t>
  </si>
  <si>
    <t>92ed87d788ffc4fdeb48f78209cf006db9a2976e272ca063376f4bf73bf12cde</t>
  </si>
  <si>
    <t>00:05:43</t>
  </si>
  <si>
    <t>5e4d2bc701fbc2ff4c8006503c5f6c3d52aaeec4afea3e3c71868b592c12f67a</t>
  </si>
  <si>
    <t>20:35:34</t>
  </si>
  <si>
    <t>f332dbe83cc2956edb5153bdb5eeaf44d3dc260caeac86b76c7fe8722008ed3a</t>
  </si>
  <si>
    <t>63:22:25</t>
  </si>
  <si>
    <t>701705575958dc8e94ed1d85e201ef26c59d108d058a8661d631772b1b29dd48</t>
  </si>
  <si>
    <t>TiCl4</t>
  </si>
  <si>
    <t>71:36:57</t>
  </si>
  <si>
    <t>d324b14b9030daa3e9ed84b4ab9c4d26e91a0a43fb0e9641201abda71a67547f</t>
  </si>
  <si>
    <t>34:17:06</t>
  </si>
  <si>
    <t>00ad40c5a0193fd8553e386fe117f94efe657f38b7d85479bb19b220c0efee26</t>
  </si>
  <si>
    <t>00:23:07</t>
  </si>
  <si>
    <t>d368b4ec88ebf9fb33f7ceece9241361f99b31c8fdb815374ba60314770ad0b1</t>
  </si>
  <si>
    <t>26:23:16</t>
  </si>
  <si>
    <t>ec63931861f61c2b19234722088d036f115c184f322aabb059b57852671b4a48</t>
  </si>
  <si>
    <t>102:35:46</t>
  </si>
  <si>
    <t>6c62d3b05adfba62a74cc9d4331267939ae779b970503225f11c6895f282d345</t>
  </si>
  <si>
    <t>ZnCl2</t>
  </si>
  <si>
    <t>73:20:13</t>
  </si>
  <si>
    <t>5f710573b79846ac338b54fd980a72a02fd780fae3fa2bd3306ee2c0a61d8574</t>
  </si>
  <si>
    <t>38:20:18</t>
  </si>
  <si>
    <t>c589b48d78a76fd7d2449548694cdae72667beaf4efd7b2339e005b6a15e8588</t>
  </si>
  <si>
    <t>00:08:39</t>
  </si>
  <si>
    <t>4281377fa73831b9cb1bb5b304f9189599d36c87e79966cf87a558118efb3fe8</t>
  </si>
  <si>
    <t>Rrad</t>
  </si>
  <si>
    <t>00:10:59</t>
  </si>
  <si>
    <t>c92328922ce49e7e2b6a96b3faf52b8fa54282bffe528846f376475d7a02f834</t>
  </si>
  <si>
    <t>Rsub</t>
  </si>
  <si>
    <t>08:59:09</t>
  </si>
  <si>
    <t>c586b55144bbe34bb20f6d07895e3cd9a6d5f103a663966dd202891474d14431</t>
  </si>
  <si>
    <t>29:54:11</t>
  </si>
  <si>
    <t>e7623eedafe0a7abf2cff2447e22f2c160633c2982ac9a59f04920b190662361</t>
  </si>
  <si>
    <t>143:21:22</t>
  </si>
  <si>
    <t>766afbe7cc81c0c86f7c3bd2b906036b1996fa012304f05702529a4b538ff4ed</t>
  </si>
  <si>
    <t>tBu</t>
  </si>
  <si>
    <t>142:54:24</t>
  </si>
  <si>
    <t>a79a7888a2996cd5295b6df1368aebf39bde3fcde4fd199bd307fa8a90398a22</t>
  </si>
  <si>
    <t>50:02:04</t>
  </si>
  <si>
    <t>e4b05b8f93c1e0b78b54c21b606eedc7d16fe749b8bac1ae3a1b9684851f901b</t>
  </si>
  <si>
    <t>11:52:17</t>
  </si>
  <si>
    <t>2313fc82366d1cdf2b6122e312ed1f439e37669b88f83817ce715d740e423698</t>
  </si>
  <si>
    <t>25:12:05</t>
  </si>
  <si>
    <t>052b574c3e31a3c6f97785d7725ca130a34d88f8148d285c4b01c9fc98002b77</t>
  </si>
  <si>
    <t>94:22:41</t>
  </si>
  <si>
    <t>c8a9a5646409dc92aabe81bdd78a1c89e8eb38b7e4e7bd319b93337078e37a94</t>
  </si>
  <si>
    <t>100:58:12</t>
  </si>
  <si>
    <t>3f4b5c9cb56f78c6b5f085801b2f5ba21770125512dda08260448c553e21d2a6</t>
  </si>
  <si>
    <t>39:16:29</t>
  </si>
  <si>
    <t>885fbce324e2e653f416fd8924a356305706230c7ce41774b8ee9a1d1310f797</t>
  </si>
  <si>
    <t>24:51:21</t>
  </si>
  <si>
    <t>f7153b898e78863a9354fcc700098b463166c3bef5cba5c878020e46dcee3019</t>
  </si>
  <si>
    <t>94:51:55</t>
  </si>
  <si>
    <t>d7bf1f89c5561c1266dc14b308af270bb9855328f667492c228c043b35f89935</t>
  </si>
  <si>
    <t>04:38:57</t>
  </si>
  <si>
    <t>bfefef3e4f026ea5e69c5768188f943a5cc9ad949008213cc235bcb2f4dfb7e2</t>
  </si>
  <si>
    <t>Queued</t>
  </si>
  <si>
    <t>00:00:00</t>
  </si>
  <si>
    <t>735c0c39de8d4474ae2a720ad844e65bc91c9b1f77eae866b3d41658f150ce0b</t>
  </si>
  <si>
    <t>06:12:01</t>
  </si>
  <si>
    <t>f8454ba63a996a2a313a814420c9e1cb9f8505513eeef88a9b79dae6ad318931</t>
  </si>
  <si>
    <t>10:51:00</t>
  </si>
  <si>
    <t>d397f6e54c4a130afccc5f6c0208c40c23d422df01eeaa87ec29a0dde4876a65</t>
  </si>
  <si>
    <t>SnCl4</t>
  </si>
  <si>
    <t>128:41:54</t>
  </si>
  <si>
    <t>61f40a3015c08c432001c4e5bc39b5219185f30115c1ec9b9c1a7aaa3a8e195f</t>
  </si>
  <si>
    <t>30:31:39</t>
  </si>
  <si>
    <t>f8325329748c8e3f9d6029e59a2c70d220c0a71ec0c88624fa75a899ef841579</t>
  </si>
  <si>
    <t>00:27:31</t>
  </si>
  <si>
    <t>004d207cc373080f1042d100e80084b9968a35caedd37a830d6a6794af0062e6</t>
  </si>
  <si>
    <t>51:15:46</t>
  </si>
  <si>
    <t>cab3922a155d326b06e576f63748a409c34387a555354b908c882cf6a8559005</t>
  </si>
  <si>
    <t>148:56:03</t>
  </si>
  <si>
    <t>7d64939ebfdd8468caa6b4d29c7172819aae53c7928ed513cf9325010a318f56</t>
  </si>
  <si>
    <t>93:43:01</t>
  </si>
  <si>
    <t>1e538c011770216d603e82d4bf8d62c206606f253ffa94e52a1fafef28e1116e</t>
  </si>
  <si>
    <t>31:17:45</t>
  </si>
  <si>
    <t>ef5a0665e1f4de44fb12828a82f38332c00e1e0b08b9c3706630fc5ffc01e864</t>
  </si>
  <si>
    <t>37:46:34</t>
  </si>
  <si>
    <t>5c4888ed413ff665410a82252cb8a88514e061f0947dcbb56107fe083bf5ec6d</t>
  </si>
  <si>
    <t>142:17:41</t>
  </si>
  <si>
    <t>e103e0ff9ff0bbd9f1d921e74e463ab8a9774d38e15e54db506ff2d279d25637</t>
  </si>
  <si>
    <t>no_catalyst</t>
  </si>
  <si>
    <t>03:13:22</t>
  </si>
  <si>
    <t>8b4b1294e9a7be3782cdfcb2fc7d8c05f6c1da2fb321d4a776b78cd404509297</t>
  </si>
  <si>
    <t>01:43:43</t>
  </si>
  <si>
    <t>ff1bf3b9f324a02022606563478c284de169d8c25e997fcd118bafc13ec30722</t>
  </si>
  <si>
    <t>00:09:39</t>
  </si>
  <si>
    <t>12e6f784738d5570f2ba1efd6330385b7efdaf5f96a4144d587218ea15774c49</t>
  </si>
  <si>
    <t>00:42:15</t>
  </si>
  <si>
    <t>ddac071bf5085a782b9380d1fb15ecc2b7d4318c085c76457ec1e86fe56289dc</t>
  </si>
  <si>
    <t>04:55:37</t>
  </si>
  <si>
    <t>31d9d4d8184e1d0d4e82935e1435096683878167379776545e1b2dababf2309b</t>
  </si>
  <si>
    <t>squaramide</t>
  </si>
  <si>
    <t>O</t>
  </si>
  <si>
    <t>cat</t>
  </si>
  <si>
    <t>d67406456459da02795231623f7811b31438ba1f48dc9090229179447e0dca6e</t>
  </si>
  <si>
    <t>ed873f95e4045e9ef12164dd1960b83a80be9b080cd82d9ac3d8d4035b5279da</t>
  </si>
  <si>
    <t>R</t>
  </si>
  <si>
    <t>P1R_cat_complex</t>
  </si>
  <si>
    <t>8e6ba0d3dd855ce6e506b3d36972afd15599a2ad03512f5bf53b5232c382d858</t>
  </si>
  <si>
    <t>S</t>
  </si>
  <si>
    <t>P1S_cat_complex</t>
  </si>
  <si>
    <t>016ca927e0810554e4b08c2cd55968faa42165ebd88ccca3b9bdd848cf58df25</t>
  </si>
  <si>
    <t>9f73d538cb73e336da6355c255b9087600014df2b1469cf457ad4a4b0698e733</t>
  </si>
  <si>
    <t>P2R_cat_complex</t>
  </si>
  <si>
    <t>69cd317db3939e6ae4d33849489a54d0c47b0f621b778ce92f59be4de138c978</t>
  </si>
  <si>
    <t>P2S_cat_complex</t>
  </si>
  <si>
    <t>8ab09c2b5eb8247f3d71834d760f368858f22c6402fcbec062b98d8ebedde63d</t>
  </si>
  <si>
    <t>rad</t>
  </si>
  <si>
    <t>6a73e9445413704bcac2e175a2d32ab51c697dba6a2e591009af5099e79a527f</t>
  </si>
  <si>
    <t>sub</t>
  </si>
  <si>
    <t>71ea23f8a2fb146ee60969d36590994ba3fc26a8e10038eb2934e2735797a065</t>
  </si>
  <si>
    <t>sub_cat_complex</t>
  </si>
  <si>
    <t>faf76e02ba02849ef61bf779983a163ae358e1fec3200f005438b1f12e1ec0bb</t>
  </si>
  <si>
    <t>TSR</t>
  </si>
  <si>
    <t>1fffbfaf49eb00949060dfe40cb36cf38408874a908495ead68814fbda6fc11e</t>
  </si>
  <si>
    <t>TSS</t>
  </si>
  <si>
    <t>a0c12feb58f45b7cebcd03991cc7c9cdb9cacf67910a018dacf44830c4a7afed</t>
  </si>
  <si>
    <t>urea_tBu_Ph</t>
  </si>
  <si>
    <t>69:52:20</t>
  </si>
  <si>
    <t>b0693f9e631444c871412593fa38a05a3f3050d558f7fcd345cdb2eab5804325</t>
  </si>
  <si>
    <t>62:35:00</t>
  </si>
  <si>
    <t>1d05fa7c4170fed4d1e730d6a758699748b45993146d071df4316fb129a063db</t>
  </si>
  <si>
    <t>01:12:19</t>
  </si>
  <si>
    <t>f33894258c9f3a01f4d0f3379ad3f5caa65e7dc17262bc674c20cf9ae9820576</t>
  </si>
  <si>
    <t>65:10:23</t>
  </si>
  <si>
    <t>24b8aabce8f736356e1624f9901f8ca2bcc9d93c3063a32b9bea69b5f5445fa0</t>
  </si>
  <si>
    <t>36:56:28</t>
  </si>
  <si>
    <t>729943bcad94f65100b4595220267912b8f018b697c3b78d710d9f7e4af500a0</t>
  </si>
  <si>
    <t>00:38:38</t>
  </si>
  <si>
    <t>8e0bbd79aeb04fd96a9320a54ef7f4bfd7649e7c48c7cfc310460ea97618129d</t>
  </si>
  <si>
    <t>30:13:02</t>
  </si>
  <si>
    <t>34149c4d9f34bf84857c3659209f0d409157db958fce6e8cb44481504eff37a5</t>
  </si>
  <si>
    <t>75:10:33</t>
  </si>
  <si>
    <t>a6a67698b100f73fdf209512bf318ce3248429f6b6e9269ca7f356bf4eceac60</t>
  </si>
  <si>
    <t>Running</t>
  </si>
  <si>
    <t>66:30:52</t>
  </si>
  <si>
    <t>ae0494b902b29473ed0606c62b6871cd73bfc8d22c0af18a3ac88b934f0c67e2</t>
  </si>
  <si>
    <t>07:51:27</t>
  </si>
  <si>
    <t>57ccca94fe8bb7cdf735d40336813745f033d21a7348e94f5eb86885a3708506</t>
  </si>
  <si>
    <t>45:10:25</t>
  </si>
  <si>
    <t>492ae96baacb3e93414a96dd2f32f5ff69140b3162e3657f99c3fbaf2d9152a6</t>
  </si>
  <si>
    <t>57:55:06</t>
  </si>
  <si>
    <t>a967783774fda84fcccdb74a1f55f890ad78492b19313d397792225473555f49</t>
  </si>
  <si>
    <t>39:11:37</t>
  </si>
  <si>
    <t>e1070f32e76e579454b3ce8a27f1138961b6a04def6cf8e66c402f522a2f5a97</t>
  </si>
  <si>
    <t>34:48:11</t>
  </si>
  <si>
    <t>eb2f05b88bf2d0681a6b15bd33a365f2a70fb76545549991169a290107e5f8ea</t>
  </si>
  <si>
    <t>ef06325ba32e73e6896b4bcd7135685f2c92fcbc20c8922f1474fd358f979e3e</t>
  </si>
  <si>
    <t>a2aa3987fabf6cc9c7e22c5b42b4e7f4294edfc679fb5b475c73061cefafb95d</t>
  </si>
  <si>
    <t>a52eb3c88282b5536dcf2d42ad9e0fd8e7b28ed95d097e31892b41306ed71f1d</t>
  </si>
  <si>
    <t>07:25:37</t>
  </si>
  <si>
    <t>e3d80f3b1a65ef2248335f6e14d2b540e79f3882cfea534d8bebfa7ec9ab8e80</t>
  </si>
  <si>
    <t>00:00:07</t>
  </si>
  <si>
    <t>68084fb96e1d55515672a0a7d9f9e88261f01815b6b6566334c85b8c7afe25b8</t>
  </si>
  <si>
    <t>64:07:29</t>
  </si>
  <si>
    <t>866987efab919431232b933eceb7c714f097a87262498acab50ed9e1ef931fa4</t>
  </si>
  <si>
    <t>60:33:18</t>
  </si>
  <si>
    <t>711f58f8bd073be0a3ad18c26d1f94ea62e79faff83f82f13e681b8cbdbad4b2</t>
  </si>
  <si>
    <t>01:42:28</t>
  </si>
  <si>
    <t>09c16c2cea11ada970257b14275bd17b2415f1f5d88c8d0ba5c18d94ebfee162</t>
  </si>
  <si>
    <t>39:43:02</t>
  </si>
  <si>
    <t>233b7088370e290dff760ab2a0eda7a94fa5711644602e33236324972af825f2</t>
  </si>
  <si>
    <t>37:29:51</t>
  </si>
  <si>
    <t>4004637466a693ab01b82b43f533df53e7636e00dbc73963e11d1abd982e01a1</t>
  </si>
  <si>
    <t>00:03:16</t>
  </si>
  <si>
    <t>7e362655bd79dd4011a71f5f53316d92cb7d0d27257acb1fb9bc188efc85f4f5</t>
  </si>
  <si>
    <t>00:44:59</t>
  </si>
  <si>
    <t>178a71eb8aaa014318a096a3f978fe2aaaccc1b5f98b83ee03574a7425697aa4</t>
  </si>
  <si>
    <t>27:44:20</t>
  </si>
  <si>
    <t>795a7056323637ae37f7063645b8be804046616041138aa6b537d8ac2d15475b</t>
  </si>
  <si>
    <t>78:48:23</t>
  </si>
  <si>
    <t>f788c728429e1cfe5c4261ba72629fcdfb602c2225e4de93b74fe5aa20f8431c</t>
  </si>
  <si>
    <t>79:10:27</t>
  </si>
  <si>
    <t>d5bd7f7f3a8a4925ee56ac66041fea0e2ffa6a5001bcf18ecf535ed2ca6da602</t>
  </si>
  <si>
    <t>08:41:50</t>
  </si>
  <si>
    <t>becc4cb7472d397021b25aaee347277e250ee6bf7e7ce83c83b9b6c45e1c2a95</t>
  </si>
  <si>
    <t>2b1cb754a339835083b6f519d073c7925e1d310ecf1da18556dd2d179ec06d65</t>
  </si>
  <si>
    <t>44e1aaaedbd9eac2df45bf29ee28413abb3199d07d885ccaeaa4caf77e576253</t>
  </si>
  <si>
    <t>b92627f30ed23e47fe79881c8cebab015cfaffe024ccefc1e9ef7cee5e05b1b9</t>
  </si>
  <si>
    <t>f898cfcc9d6d68e46b00aabd8d8f2c811c1bb6030ac34f0217fc35b3b75afd5b</t>
  </si>
  <si>
    <t>01:25:36</t>
  </si>
  <si>
    <t>8013ecba2c3c289f23d3dca65fb6cda17df7e5d52eb5c32a11c2202ab266d83e</t>
  </si>
  <si>
    <t>ee99e72211ceffa5bd0dd127911eb854de65652b16742783e6452987676ef53f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</si>
</sst>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C00000"/>
      <name val="Calibri"/>
    </font>
    <font>
      <sz val="12"/>
      <color theme="10"/>
      <name val="Calibri"/>
      <family val="2"/>
      <scheme val="minor"/>
    </font>
    <font>
      <b/>
      <sz val="11"/>
      <color rgb="FF375623"/>
      <name val="Calibri"/>
    </font>
    <font>
      <b/>
      <sz val="11"/>
      <color rgb="FF80600B"/>
      <name val="Calibri"/>
    </font>
    <font>
      <b/>
      <sz val="11"/>
      <color rgb="FF222B35"/>
      <name val="Calibri"/>
    </font>
    <font>
      <b/>
      <sz val="11"/>
      <color rgb="FF7030A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D3D3"/>
        <bgColor rgb="FFFFD3D3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E9C5FF"/>
        <bgColor rgb="FFE9C5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7" fillId="6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4.7109375" bestFit="1" customWidth="1"/>
    <col min="4" max="4" width="15.5703125" bestFit="1" customWidth="1"/>
    <col min="5" max="6" width="5.42578125" bestFit="1" customWidth="1"/>
    <col min="7" max="8" width="6.5703125" bestFit="1" customWidth="1"/>
    <col min="9" max="9" width="7.85546875" bestFit="1" customWidth="1"/>
    <col min="10" max="10" width="6.85546875" bestFit="1" customWidth="1"/>
    <col min="11" max="11" width="7.85546875" bestFit="1" customWidth="1"/>
    <col min="12" max="12" width="21.42578125" bestFit="1" customWidth="1"/>
    <col min="13" max="13" width="10.42578125" bestFit="1" customWidth="1"/>
    <col min="14" max="14" width="11.7109375" bestFit="1" customWidth="1"/>
    <col min="16" max="16" width="10.42578125" bestFit="1" customWidth="1"/>
    <col min="17" max="17" width="11.7109375" bestFit="1" customWidth="1"/>
    <col min="18" max="18" width="7.42578125" bestFit="1" customWidth="1"/>
    <col min="19" max="19" width="68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x14ac:dyDescent="0.25">
      <c r="A2" s="2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/>
      <c r="H2" s="3"/>
      <c r="I2" s="3" t="s">
        <v>25</v>
      </c>
      <c r="J2" s="3"/>
      <c r="K2" s="3"/>
      <c r="L2" s="3" t="s">
        <v>26</v>
      </c>
      <c r="M2" s="4" t="str">
        <f>HYPERLINK("D:\Users\Yuman\Desktop\MasterProject\results\achiral_catalyst.H_Ph_AlF3.vacuum\P1", "Directory")</f>
        <v>Directory</v>
      </c>
      <c r="N2" s="4" t="str">
        <f>HYPERLINK("D:\Users\Yuman\Desktop\MasterProject\calculations_test\achiral_catalyst.H_Ph_AlF3.vacuum\P1", "Directory")</f>
        <v>Directory</v>
      </c>
      <c r="O2" s="3"/>
      <c r="P2" s="3"/>
      <c r="Q2" s="5" t="s">
        <v>27</v>
      </c>
      <c r="R2" s="3" t="s">
        <v>28</v>
      </c>
      <c r="S2" s="3" t="s">
        <v>29</v>
      </c>
    </row>
    <row r="3" spans="1:19" ht="15.75" x14ac:dyDescent="0.25">
      <c r="A3" s="6" t="s">
        <v>30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/>
      <c r="H3" s="3"/>
      <c r="I3" s="3" t="s">
        <v>25</v>
      </c>
      <c r="J3" s="3"/>
      <c r="K3" s="3"/>
      <c r="L3" s="3" t="s">
        <v>31</v>
      </c>
      <c r="M3" s="4" t="str">
        <f>HYPERLINK("D:\Users\Yuman\Desktop\MasterProject\results\achiral_catalyst.H_Ph_AlF3.vacuum\P2", "Directory")</f>
        <v>Directory</v>
      </c>
      <c r="N3" s="4" t="str">
        <f>HYPERLINK("D:\Users\Yuman\Desktop\MasterProject\calculations_test\achiral_catalyst.H_Ph_AlF3.vacuum\P2", "Directory")</f>
        <v>Directory</v>
      </c>
      <c r="O3" s="3"/>
      <c r="P3" s="3"/>
      <c r="Q3" s="5" t="s">
        <v>32</v>
      </c>
      <c r="R3" s="3" t="s">
        <v>33</v>
      </c>
      <c r="S3" s="3" t="s">
        <v>34</v>
      </c>
    </row>
    <row r="4" spans="1:19" ht="15.75" x14ac:dyDescent="0.25">
      <c r="A4" s="7" t="s">
        <v>35</v>
      </c>
      <c r="B4" s="3" t="s">
        <v>20</v>
      </c>
      <c r="C4" s="3" t="s">
        <v>21</v>
      </c>
      <c r="D4" s="3" t="s">
        <v>22</v>
      </c>
      <c r="E4" s="3"/>
      <c r="F4" s="3"/>
      <c r="G4" s="3"/>
      <c r="H4" s="3"/>
      <c r="I4" s="3" t="s">
        <v>25</v>
      </c>
      <c r="J4" s="3"/>
      <c r="K4" s="3"/>
      <c r="L4" s="3" t="s">
        <v>36</v>
      </c>
      <c r="M4" s="4" t="str">
        <f>HYPERLINK("D:\Users\Yuman\Desktop\MasterProject\results\achiral_catalyst.H_Ph_AlF3.vacuum\Rcat", "Directory")</f>
        <v>Directory</v>
      </c>
      <c r="N4" s="4" t="str">
        <f>HYPERLINK("D:\Users\Yuman\Desktop\MasterProject\calculations_test\achiral_catalyst.AlF3.vacuum\Rcat", "Directory")</f>
        <v>Directory</v>
      </c>
      <c r="O4" s="3"/>
      <c r="P4" s="3"/>
      <c r="Q4" s="5" t="s">
        <v>37</v>
      </c>
      <c r="R4" s="3" t="s">
        <v>33</v>
      </c>
      <c r="S4" s="3" t="s">
        <v>38</v>
      </c>
    </row>
    <row r="5" spans="1:19" ht="15.75" x14ac:dyDescent="0.25">
      <c r="A5" s="7" t="s">
        <v>35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/>
      <c r="H5" s="3"/>
      <c r="I5" s="3" t="s">
        <v>25</v>
      </c>
      <c r="J5" s="3"/>
      <c r="K5" s="3"/>
      <c r="L5" s="3" t="s">
        <v>39</v>
      </c>
      <c r="M5" s="4" t="str">
        <f>HYPERLINK("D:\Users\Yuman\Desktop\MasterProject\results\achiral_catalyst.H_Ph_AlF3.vacuum\Rsub_cat_complex", "Directory")</f>
        <v>Directory</v>
      </c>
      <c r="N5" s="4" t="str">
        <f>HYPERLINK("D:\Users\Yuman\Desktop\MasterProject\calculations_test\achiral_catalyst.H_Ph_AlF3.vacuum\Rsub_cat_complex", "Directory")</f>
        <v>Directory</v>
      </c>
      <c r="O5" s="3"/>
      <c r="P5" s="3"/>
      <c r="Q5" s="5" t="s">
        <v>40</v>
      </c>
      <c r="R5" s="3" t="s">
        <v>33</v>
      </c>
      <c r="S5" s="3" t="s">
        <v>41</v>
      </c>
    </row>
    <row r="6" spans="1:19" ht="15.75" x14ac:dyDescent="0.25">
      <c r="A6" s="2" t="s">
        <v>42</v>
      </c>
      <c r="B6" s="3" t="s">
        <v>43</v>
      </c>
      <c r="C6" s="3" t="s">
        <v>21</v>
      </c>
      <c r="D6" s="3" t="s">
        <v>22</v>
      </c>
      <c r="E6" s="3" t="s">
        <v>23</v>
      </c>
      <c r="F6" s="3" t="s">
        <v>24</v>
      </c>
      <c r="G6" s="3"/>
      <c r="H6" s="3"/>
      <c r="I6" s="3" t="s">
        <v>25</v>
      </c>
      <c r="J6" s="3"/>
      <c r="K6" s="3"/>
      <c r="L6" s="3" t="s">
        <v>44</v>
      </c>
      <c r="M6" s="4" t="str">
        <f>HYPERLINK("D:\Users\Yuman\Desktop\MasterProject\results\achiral_catalyst.H_Ph_AlF3.vacuum\TS", "Directory")</f>
        <v>Directory</v>
      </c>
      <c r="N6" s="4" t="str">
        <f>HYPERLINK("D:\Users\Yuman\Desktop\MasterProject\calculations_test\achiral_catalyst.H_Ph_AlF3.vacuum\TS", "Directory")</f>
        <v>Directory</v>
      </c>
      <c r="O6" s="3"/>
      <c r="P6" s="3"/>
      <c r="Q6" s="5" t="s">
        <v>45</v>
      </c>
      <c r="R6" s="3" t="s">
        <v>33</v>
      </c>
      <c r="S6" s="3" t="s">
        <v>46</v>
      </c>
    </row>
    <row r="7" spans="1:19" ht="15.75" x14ac:dyDescent="0.25">
      <c r="A7" s="7" t="s">
        <v>35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/>
      <c r="H7" s="3"/>
      <c r="I7" s="3" t="s">
        <v>47</v>
      </c>
      <c r="J7" s="3"/>
      <c r="K7" s="3"/>
      <c r="L7" s="3" t="s">
        <v>26</v>
      </c>
      <c r="M7" s="4" t="str">
        <f>HYPERLINK("D:\Users\Yuman\Desktop\MasterProject\results\achiral_catalyst.H_Ph_BF3.vacuum\P1", "Directory")</f>
        <v>Directory</v>
      </c>
      <c r="N7" s="4" t="str">
        <f>HYPERLINK("D:\Users\Yuman\Desktop\MasterProject\calculations_test\achiral_catalyst.H_Ph_BF3.vacuum\P1", "Directory")</f>
        <v>Directory</v>
      </c>
      <c r="O7" s="3"/>
      <c r="P7" s="3"/>
      <c r="Q7" s="5" t="s">
        <v>48</v>
      </c>
      <c r="R7" s="3" t="s">
        <v>33</v>
      </c>
      <c r="S7" s="3" t="s">
        <v>49</v>
      </c>
    </row>
    <row r="8" spans="1:19" ht="15.75" x14ac:dyDescent="0.25">
      <c r="A8" s="6" t="s">
        <v>30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24</v>
      </c>
      <c r="G8" s="3"/>
      <c r="H8" s="3"/>
      <c r="I8" s="3" t="s">
        <v>47</v>
      </c>
      <c r="J8" s="3"/>
      <c r="K8" s="3"/>
      <c r="L8" s="3" t="s">
        <v>31</v>
      </c>
      <c r="M8" s="4" t="str">
        <f>HYPERLINK("D:\Users\Yuman\Desktop\MasterProject\results\achiral_catalyst.H_Ph_BF3.vacuum\P2", "Directory")</f>
        <v>Directory</v>
      </c>
      <c r="N8" s="4" t="str">
        <f>HYPERLINK("D:\Users\Yuman\Desktop\MasterProject\calculations_test\achiral_catalyst.H_Ph_BF3.vacuum\P2", "Directory")</f>
        <v>Directory</v>
      </c>
      <c r="O8" s="3"/>
      <c r="P8" s="3"/>
      <c r="Q8" s="5" t="s">
        <v>50</v>
      </c>
      <c r="R8" s="3" t="s">
        <v>33</v>
      </c>
      <c r="S8" s="3" t="s">
        <v>51</v>
      </c>
    </row>
    <row r="9" spans="1:19" ht="15.75" x14ac:dyDescent="0.25">
      <c r="A9" s="7" t="s">
        <v>35</v>
      </c>
      <c r="B9" s="3" t="s">
        <v>20</v>
      </c>
      <c r="C9" s="3" t="s">
        <v>21</v>
      </c>
      <c r="D9" s="3" t="s">
        <v>22</v>
      </c>
      <c r="E9" s="3"/>
      <c r="F9" s="3"/>
      <c r="G9" s="3"/>
      <c r="H9" s="3"/>
      <c r="I9" s="3" t="s">
        <v>47</v>
      </c>
      <c r="J9" s="3"/>
      <c r="K9" s="3"/>
      <c r="L9" s="3" t="s">
        <v>36</v>
      </c>
      <c r="M9" s="4" t="str">
        <f>HYPERLINK("D:\Users\Yuman\Desktop\MasterProject\results\achiral_catalyst.H_Ph_BF3.vacuum\Rcat", "Directory")</f>
        <v>Directory</v>
      </c>
      <c r="N9" s="4" t="str">
        <f>HYPERLINK("D:\Users\Yuman\Desktop\MasterProject\calculations_test\achiral_catalyst.BF3.vacuum\Rcat", "Directory")</f>
        <v>Directory</v>
      </c>
      <c r="O9" s="3"/>
      <c r="P9" s="3"/>
      <c r="Q9" s="5" t="s">
        <v>52</v>
      </c>
      <c r="R9" s="3" t="s">
        <v>33</v>
      </c>
      <c r="S9" s="3" t="s">
        <v>53</v>
      </c>
    </row>
    <row r="10" spans="1:19" ht="15.75" x14ac:dyDescent="0.25">
      <c r="A10" s="7" t="s">
        <v>35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/>
      <c r="H10" s="3"/>
      <c r="I10" s="3" t="s">
        <v>47</v>
      </c>
      <c r="J10" s="3"/>
      <c r="K10" s="3"/>
      <c r="L10" s="3" t="s">
        <v>39</v>
      </c>
      <c r="M10" s="4" t="str">
        <f>HYPERLINK("D:\Users\Yuman\Desktop\MasterProject\results\achiral_catalyst.H_Ph_BF3.vacuum\Rsub_cat_complex", "Directory")</f>
        <v>Directory</v>
      </c>
      <c r="N10" s="4" t="str">
        <f>HYPERLINK("D:\Users\Yuman\Desktop\MasterProject\calculations_test\achiral_catalyst.H_Ph_BF3.vacuum\Rsub_cat_complex", "Directory")</f>
        <v>Directory</v>
      </c>
      <c r="O10" s="3"/>
      <c r="P10" s="3"/>
      <c r="Q10" s="5" t="s">
        <v>54</v>
      </c>
      <c r="R10" s="3" t="s">
        <v>33</v>
      </c>
      <c r="S10" s="3" t="s">
        <v>55</v>
      </c>
    </row>
    <row r="11" spans="1:19" ht="15.75" x14ac:dyDescent="0.25">
      <c r="A11" s="7" t="s">
        <v>35</v>
      </c>
      <c r="B11" s="3" t="s">
        <v>43</v>
      </c>
      <c r="C11" s="3" t="s">
        <v>21</v>
      </c>
      <c r="D11" s="3" t="s">
        <v>22</v>
      </c>
      <c r="E11" s="3" t="s">
        <v>23</v>
      </c>
      <c r="F11" s="3" t="s">
        <v>24</v>
      </c>
      <c r="G11" s="3"/>
      <c r="H11" s="3"/>
      <c r="I11" s="3" t="s">
        <v>47</v>
      </c>
      <c r="J11" s="3"/>
      <c r="K11" s="3"/>
      <c r="L11" s="3" t="s">
        <v>44</v>
      </c>
      <c r="M11" s="4" t="str">
        <f>HYPERLINK("D:\Users\Yuman\Desktop\MasterProject\results\achiral_catalyst.H_Ph_BF3.vacuum\TS", "Directory")</f>
        <v>Directory</v>
      </c>
      <c r="N11" s="4" t="str">
        <f>HYPERLINK("D:\Users\Yuman\Desktop\MasterProject\calculations_test\achiral_catalyst.H_Ph_BF3.vacuum\TS", "Directory")</f>
        <v>Directory</v>
      </c>
      <c r="O11" s="3"/>
      <c r="P11" s="3"/>
      <c r="Q11" s="5" t="s">
        <v>56</v>
      </c>
      <c r="R11" s="3" t="s">
        <v>33</v>
      </c>
      <c r="S11" s="3" t="s">
        <v>57</v>
      </c>
    </row>
    <row r="12" spans="1:19" ht="15.75" x14ac:dyDescent="0.25">
      <c r="A12" s="6" t="s">
        <v>30</v>
      </c>
      <c r="B12" s="3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/>
      <c r="H12" s="3"/>
      <c r="I12" s="3" t="s">
        <v>58</v>
      </c>
      <c r="J12" s="3"/>
      <c r="K12" s="3"/>
      <c r="L12" s="3" t="s">
        <v>26</v>
      </c>
      <c r="M12" s="4" t="str">
        <f>HYPERLINK("D:\Users\Yuman\Desktop\MasterProject\results\achiral_catalyst.H_Ph_I2.vacuum\P1", "Directory")</f>
        <v>Directory</v>
      </c>
      <c r="N12" s="4" t="str">
        <f>HYPERLINK("D:\Users\Yuman\Desktop\MasterProject\calculations_test\achiral_catalyst.H_Ph_I2.vacuum\P1", "Directory")</f>
        <v>Directory</v>
      </c>
      <c r="O12" s="3"/>
      <c r="P12" s="3"/>
      <c r="Q12" s="5" t="s">
        <v>59</v>
      </c>
      <c r="R12" s="3" t="s">
        <v>33</v>
      </c>
      <c r="S12" s="3" t="s">
        <v>60</v>
      </c>
    </row>
    <row r="13" spans="1:19" ht="15.75" x14ac:dyDescent="0.25">
      <c r="A13" s="7" t="s">
        <v>35</v>
      </c>
      <c r="B13" s="3" t="s">
        <v>20</v>
      </c>
      <c r="C13" s="3" t="s">
        <v>21</v>
      </c>
      <c r="D13" s="3" t="s">
        <v>22</v>
      </c>
      <c r="E13" s="3" t="s">
        <v>23</v>
      </c>
      <c r="F13" s="3" t="s">
        <v>24</v>
      </c>
      <c r="G13" s="3"/>
      <c r="H13" s="3"/>
      <c r="I13" s="3" t="s">
        <v>58</v>
      </c>
      <c r="J13" s="3"/>
      <c r="K13" s="3"/>
      <c r="L13" s="3" t="s">
        <v>31</v>
      </c>
      <c r="M13" s="4" t="str">
        <f>HYPERLINK("D:\Users\Yuman\Desktop\MasterProject\results\achiral_catalyst.H_Ph_I2.vacuum\P2", "Directory")</f>
        <v>Directory</v>
      </c>
      <c r="N13" s="4" t="str">
        <f>HYPERLINK("D:\Users\Yuman\Desktop\MasterProject\calculations_test\achiral_catalyst.H_Ph_I2.vacuum\P2", "Directory")</f>
        <v>Directory</v>
      </c>
      <c r="O13" s="3"/>
      <c r="P13" s="3"/>
      <c r="Q13" s="5" t="s">
        <v>61</v>
      </c>
      <c r="R13" s="3" t="s">
        <v>33</v>
      </c>
      <c r="S13" s="3" t="s">
        <v>62</v>
      </c>
    </row>
    <row r="14" spans="1:19" ht="15.75" x14ac:dyDescent="0.25">
      <c r="A14" s="7" t="s">
        <v>35</v>
      </c>
      <c r="B14" s="3" t="s">
        <v>20</v>
      </c>
      <c r="C14" s="3" t="s">
        <v>21</v>
      </c>
      <c r="D14" s="3" t="s">
        <v>22</v>
      </c>
      <c r="E14" s="3"/>
      <c r="F14" s="3"/>
      <c r="G14" s="3"/>
      <c r="H14" s="3"/>
      <c r="I14" s="3" t="s">
        <v>58</v>
      </c>
      <c r="J14" s="3"/>
      <c r="K14" s="3"/>
      <c r="L14" s="3" t="s">
        <v>36</v>
      </c>
      <c r="M14" s="4" t="str">
        <f>HYPERLINK("D:\Users\Yuman\Desktop\MasterProject\results\achiral_catalyst.H_Ph_I2.vacuum\Rcat", "Directory")</f>
        <v>Directory</v>
      </c>
      <c r="N14" s="4" t="str">
        <f>HYPERLINK("D:\Users\Yuman\Desktop\MasterProject\calculations_test\achiral_catalyst.I2.vacuum\Rcat", "Directory")</f>
        <v>Directory</v>
      </c>
      <c r="O14" s="3"/>
      <c r="P14" s="3"/>
      <c r="Q14" s="5" t="s">
        <v>63</v>
      </c>
      <c r="R14" s="3" t="s">
        <v>33</v>
      </c>
      <c r="S14" s="3" t="s">
        <v>64</v>
      </c>
    </row>
    <row r="15" spans="1:19" ht="15.75" x14ac:dyDescent="0.25">
      <c r="A15" s="7" t="s">
        <v>35</v>
      </c>
      <c r="B15" s="3" t="s">
        <v>20</v>
      </c>
      <c r="C15" s="3" t="s">
        <v>21</v>
      </c>
      <c r="D15" s="3" t="s">
        <v>22</v>
      </c>
      <c r="E15" s="3" t="s">
        <v>23</v>
      </c>
      <c r="F15" s="3" t="s">
        <v>24</v>
      </c>
      <c r="G15" s="3"/>
      <c r="H15" s="3"/>
      <c r="I15" s="3" t="s">
        <v>58</v>
      </c>
      <c r="J15" s="3"/>
      <c r="K15" s="3"/>
      <c r="L15" s="3" t="s">
        <v>39</v>
      </c>
      <c r="M15" s="4" t="str">
        <f>HYPERLINK("D:\Users\Yuman\Desktop\MasterProject\results\achiral_catalyst.H_Ph_I2.vacuum\Rsub_cat_complex", "Directory")</f>
        <v>Directory</v>
      </c>
      <c r="N15" s="4" t="str">
        <f>HYPERLINK("D:\Users\Yuman\Desktop\MasterProject\calculations_test\achiral_catalyst.H_Ph_I2.vacuum\Rsub_cat_complex", "Directory")</f>
        <v>Directory</v>
      </c>
      <c r="O15" s="3"/>
      <c r="P15" s="3"/>
      <c r="Q15" s="5" t="s">
        <v>65</v>
      </c>
      <c r="R15" s="3" t="s">
        <v>33</v>
      </c>
      <c r="S15" s="3" t="s">
        <v>66</v>
      </c>
    </row>
    <row r="16" spans="1:19" ht="15.75" x14ac:dyDescent="0.25">
      <c r="A16" s="7" t="s">
        <v>35</v>
      </c>
      <c r="B16" s="3" t="s">
        <v>43</v>
      </c>
      <c r="C16" s="3" t="s">
        <v>21</v>
      </c>
      <c r="D16" s="3" t="s">
        <v>22</v>
      </c>
      <c r="E16" s="3" t="s">
        <v>23</v>
      </c>
      <c r="F16" s="3" t="s">
        <v>24</v>
      </c>
      <c r="G16" s="3"/>
      <c r="H16" s="3"/>
      <c r="I16" s="3" t="s">
        <v>58</v>
      </c>
      <c r="J16" s="3"/>
      <c r="K16" s="3"/>
      <c r="L16" s="3" t="s">
        <v>44</v>
      </c>
      <c r="M16" s="4" t="str">
        <f>HYPERLINK("D:\Users\Yuman\Desktop\MasterProject\results\achiral_catalyst.H_Ph_I2.vacuum\TS", "Directory")</f>
        <v>Directory</v>
      </c>
      <c r="N16" s="4" t="str">
        <f>HYPERLINK("D:\Users\Yuman\Desktop\MasterProject\calculations_test\achiral_catalyst.H_Ph_I2.vacuum\TS", "Directory")</f>
        <v>Directory</v>
      </c>
      <c r="O16" s="3"/>
      <c r="P16" s="3"/>
      <c r="Q16" s="5" t="s">
        <v>67</v>
      </c>
      <c r="R16" s="3" t="s">
        <v>33</v>
      </c>
      <c r="S16" s="3" t="s">
        <v>68</v>
      </c>
    </row>
    <row r="17" spans="1:19" ht="15.75" x14ac:dyDescent="0.25">
      <c r="A17" s="2" t="s">
        <v>19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/>
      <c r="H17" s="3"/>
      <c r="I17" s="3" t="s">
        <v>69</v>
      </c>
      <c r="J17" s="3"/>
      <c r="K17" s="3"/>
      <c r="L17" s="3" t="s">
        <v>26</v>
      </c>
      <c r="M17" s="4" t="str">
        <f>HYPERLINK("D:\Users\Yuman\Desktop\MasterProject\results\achiral_catalyst.H_Ph_TiCl4.vacuum\P1", "Directory")</f>
        <v>Directory</v>
      </c>
      <c r="N17" s="4" t="str">
        <f>HYPERLINK("D:\Users\Yuman\Desktop\MasterProject\calculations_test\achiral_catalyst.H_Ph_TiCl4.vacuum\P1", "Directory")</f>
        <v>Directory</v>
      </c>
      <c r="O17" s="3"/>
      <c r="P17" s="3"/>
      <c r="Q17" s="5" t="s">
        <v>70</v>
      </c>
      <c r="R17" s="3" t="s">
        <v>20</v>
      </c>
      <c r="S17" s="3" t="s">
        <v>71</v>
      </c>
    </row>
    <row r="18" spans="1:19" ht="15.75" x14ac:dyDescent="0.25">
      <c r="A18" s="6" t="s">
        <v>30</v>
      </c>
      <c r="B18" s="3" t="s">
        <v>20</v>
      </c>
      <c r="C18" s="3" t="s">
        <v>21</v>
      </c>
      <c r="D18" s="3" t="s">
        <v>22</v>
      </c>
      <c r="E18" s="3" t="s">
        <v>23</v>
      </c>
      <c r="F18" s="3" t="s">
        <v>24</v>
      </c>
      <c r="G18" s="3"/>
      <c r="H18" s="3"/>
      <c r="I18" s="3" t="s">
        <v>69</v>
      </c>
      <c r="J18" s="3"/>
      <c r="K18" s="3"/>
      <c r="L18" s="3" t="s">
        <v>31</v>
      </c>
      <c r="M18" s="4" t="str">
        <f>HYPERLINK("D:\Users\Yuman\Desktop\MasterProject\results\achiral_catalyst.H_Ph_TiCl4.vacuum\P2", "Directory")</f>
        <v>Directory</v>
      </c>
      <c r="N18" s="4" t="str">
        <f>HYPERLINK("D:\Users\Yuman\Desktop\MasterProject\calculations_test\achiral_catalyst.H_Ph_TiCl4.vacuum\P2", "Directory")</f>
        <v>Directory</v>
      </c>
      <c r="O18" s="3"/>
      <c r="P18" s="3"/>
      <c r="Q18" s="5" t="s">
        <v>72</v>
      </c>
      <c r="R18" s="3" t="s">
        <v>33</v>
      </c>
      <c r="S18" s="3" t="s">
        <v>73</v>
      </c>
    </row>
    <row r="19" spans="1:19" ht="15.75" x14ac:dyDescent="0.25">
      <c r="A19" s="7" t="s">
        <v>35</v>
      </c>
      <c r="B19" s="3" t="s">
        <v>20</v>
      </c>
      <c r="C19" s="3" t="s">
        <v>21</v>
      </c>
      <c r="D19" s="3" t="s">
        <v>22</v>
      </c>
      <c r="E19" s="3"/>
      <c r="F19" s="3"/>
      <c r="G19" s="3"/>
      <c r="H19" s="3"/>
      <c r="I19" s="3" t="s">
        <v>69</v>
      </c>
      <c r="J19" s="3"/>
      <c r="K19" s="3"/>
      <c r="L19" s="3" t="s">
        <v>36</v>
      </c>
      <c r="M19" s="4" t="str">
        <f>HYPERLINK("D:\Users\Yuman\Desktop\MasterProject\results\achiral_catalyst.H_Ph_TiCl4.vacuum\Rcat", "Directory")</f>
        <v>Directory</v>
      </c>
      <c r="N19" s="4" t="str">
        <f>HYPERLINK("D:\Users\Yuman\Desktop\MasterProject\calculations_test\achiral_catalyst.TiCl4.vacuum\Rcat", "Directory")</f>
        <v>Directory</v>
      </c>
      <c r="O19" s="3"/>
      <c r="P19" s="3"/>
      <c r="Q19" s="5" t="s">
        <v>74</v>
      </c>
      <c r="R19" s="3" t="s">
        <v>33</v>
      </c>
      <c r="S19" s="3" t="s">
        <v>75</v>
      </c>
    </row>
    <row r="20" spans="1:19" ht="15.75" x14ac:dyDescent="0.25">
      <c r="A20" s="7" t="s">
        <v>35</v>
      </c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/>
      <c r="H20" s="3"/>
      <c r="I20" s="3" t="s">
        <v>69</v>
      </c>
      <c r="J20" s="3"/>
      <c r="K20" s="3"/>
      <c r="L20" s="3" t="s">
        <v>39</v>
      </c>
      <c r="M20" s="4" t="str">
        <f>HYPERLINK("D:\Users\Yuman\Desktop\MasterProject\results\achiral_catalyst.H_Ph_TiCl4.vacuum\Rsub_cat_complex", "Directory")</f>
        <v>Directory</v>
      </c>
      <c r="N20" s="4" t="str">
        <f>HYPERLINK("D:\Users\Yuman\Desktop\MasterProject\calculations_test\achiral_catalyst.H_Ph_TiCl4.vacuum\Rsub_cat_complex", "Directory")</f>
        <v>Directory</v>
      </c>
      <c r="O20" s="3"/>
      <c r="P20" s="3"/>
      <c r="Q20" s="5" t="s">
        <v>76</v>
      </c>
      <c r="R20" s="3" t="s">
        <v>33</v>
      </c>
      <c r="S20" s="3" t="s">
        <v>77</v>
      </c>
    </row>
    <row r="21" spans="1:19" ht="15.75" x14ac:dyDescent="0.25">
      <c r="A21" s="2" t="s">
        <v>42</v>
      </c>
      <c r="B21" s="3" t="s">
        <v>43</v>
      </c>
      <c r="C21" s="3" t="s">
        <v>21</v>
      </c>
      <c r="D21" s="3" t="s">
        <v>22</v>
      </c>
      <c r="E21" s="3" t="s">
        <v>23</v>
      </c>
      <c r="F21" s="3" t="s">
        <v>24</v>
      </c>
      <c r="G21" s="3"/>
      <c r="H21" s="3"/>
      <c r="I21" s="3" t="s">
        <v>69</v>
      </c>
      <c r="J21" s="3"/>
      <c r="K21" s="3"/>
      <c r="L21" s="3" t="s">
        <v>44</v>
      </c>
      <c r="M21" s="4" t="str">
        <f>HYPERLINK("D:\Users\Yuman\Desktop\MasterProject\results\achiral_catalyst.H_Ph_TiCl4.vacuum\TS", "Directory")</f>
        <v>Directory</v>
      </c>
      <c r="N21" s="4" t="str">
        <f>HYPERLINK("D:\Users\Yuman\Desktop\MasterProject\calculations_test\achiral_catalyst.H_Ph_TiCl4.vacuum\TS", "Directory")</f>
        <v>Directory</v>
      </c>
      <c r="O21" s="3"/>
      <c r="P21" s="3"/>
      <c r="Q21" s="5" t="s">
        <v>78</v>
      </c>
      <c r="R21" s="3" t="s">
        <v>33</v>
      </c>
      <c r="S21" s="3" t="s">
        <v>79</v>
      </c>
    </row>
    <row r="22" spans="1:19" ht="15.75" x14ac:dyDescent="0.25">
      <c r="A22" s="7" t="s">
        <v>35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/>
      <c r="H22" s="3"/>
      <c r="I22" s="3" t="s">
        <v>80</v>
      </c>
      <c r="J22" s="3"/>
      <c r="K22" s="3"/>
      <c r="L22" s="3" t="s">
        <v>26</v>
      </c>
      <c r="M22" s="4" t="str">
        <f>HYPERLINK("D:\Users\Yuman\Desktop\MasterProject\results\achiral_catalyst.H_Ph_ZnCl2.vacuum\P1", "Directory")</f>
        <v>Directory</v>
      </c>
      <c r="N22" s="4" t="str">
        <f>HYPERLINK("D:\Users\Yuman\Desktop\MasterProject\calculations_test\achiral_catalyst.H_Ph_ZnCl2.vacuum\P1", "Directory")</f>
        <v>Directory</v>
      </c>
      <c r="O22" s="3"/>
      <c r="P22" s="3"/>
      <c r="Q22" s="5" t="s">
        <v>81</v>
      </c>
      <c r="R22" s="3" t="s">
        <v>33</v>
      </c>
      <c r="S22" s="3" t="s">
        <v>82</v>
      </c>
    </row>
    <row r="23" spans="1:19" ht="15.75" x14ac:dyDescent="0.25">
      <c r="A23" s="7" t="s">
        <v>35</v>
      </c>
      <c r="B23" s="3" t="s">
        <v>20</v>
      </c>
      <c r="C23" s="3" t="s">
        <v>21</v>
      </c>
      <c r="D23" s="3" t="s">
        <v>22</v>
      </c>
      <c r="E23" s="3" t="s">
        <v>23</v>
      </c>
      <c r="F23" s="3" t="s">
        <v>24</v>
      </c>
      <c r="G23" s="3"/>
      <c r="H23" s="3"/>
      <c r="I23" s="3" t="s">
        <v>80</v>
      </c>
      <c r="J23" s="3"/>
      <c r="K23" s="3"/>
      <c r="L23" s="3" t="s">
        <v>31</v>
      </c>
      <c r="M23" s="4" t="str">
        <f>HYPERLINK("D:\Users\Yuman\Desktop\MasterProject\results\achiral_catalyst.H_Ph_ZnCl2.vacuum\P2", "Directory")</f>
        <v>Directory</v>
      </c>
      <c r="N23" s="4" t="str">
        <f>HYPERLINK("D:\Users\Yuman\Desktop\MasterProject\calculations_test\achiral_catalyst.H_Ph_ZnCl2.vacuum\P2", "Directory")</f>
        <v>Directory</v>
      </c>
      <c r="O23" s="3"/>
      <c r="P23" s="3"/>
      <c r="Q23" s="5" t="s">
        <v>83</v>
      </c>
      <c r="R23" s="3" t="s">
        <v>33</v>
      </c>
      <c r="S23" s="3" t="s">
        <v>84</v>
      </c>
    </row>
    <row r="24" spans="1:19" ht="15.75" x14ac:dyDescent="0.25">
      <c r="A24" s="7" t="s">
        <v>35</v>
      </c>
      <c r="B24" s="3" t="s">
        <v>20</v>
      </c>
      <c r="C24" s="3" t="s">
        <v>21</v>
      </c>
      <c r="D24" s="3" t="s">
        <v>22</v>
      </c>
      <c r="E24" s="3"/>
      <c r="F24" s="3"/>
      <c r="G24" s="3"/>
      <c r="H24" s="3"/>
      <c r="I24" s="3" t="s">
        <v>80</v>
      </c>
      <c r="J24" s="3"/>
      <c r="K24" s="3"/>
      <c r="L24" s="3" t="s">
        <v>36</v>
      </c>
      <c r="M24" s="4" t="str">
        <f>HYPERLINK("D:\Users\Yuman\Desktop\MasterProject\results\achiral_catalyst.H_Ph_ZnCl2.vacuum\Rcat", "Directory")</f>
        <v>Directory</v>
      </c>
      <c r="N24" s="4" t="str">
        <f>HYPERLINK("D:\Users\Yuman\Desktop\MasterProject\calculations_test\achiral_catalyst.ZnCl2.vacuum\Rcat", "Directory")</f>
        <v>Directory</v>
      </c>
      <c r="O24" s="3"/>
      <c r="P24" s="3"/>
      <c r="Q24" s="5" t="s">
        <v>85</v>
      </c>
      <c r="R24" s="3" t="s">
        <v>33</v>
      </c>
      <c r="S24" s="3" t="s">
        <v>86</v>
      </c>
    </row>
    <row r="25" spans="1:19" ht="15.75" x14ac:dyDescent="0.25">
      <c r="A25" s="7" t="s">
        <v>35</v>
      </c>
      <c r="B25" s="3" t="s">
        <v>20</v>
      </c>
      <c r="C25" s="3" t="s">
        <v>21</v>
      </c>
      <c r="D25" s="3" t="s">
        <v>22</v>
      </c>
      <c r="E25" s="3"/>
      <c r="F25" s="3"/>
      <c r="G25" s="3"/>
      <c r="H25" s="3"/>
      <c r="I25" s="3"/>
      <c r="J25" s="3"/>
      <c r="K25" s="3"/>
      <c r="L25" s="3" t="s">
        <v>87</v>
      </c>
      <c r="M25" s="4" t="str">
        <f>HYPERLINK("D:\Users\Yuman\Desktop\MasterProject\results\achiral_catalyst.H_Ph_ZnCl2.vacuum\Rrad", "Directory")</f>
        <v>Directory</v>
      </c>
      <c r="N25" s="4" t="str">
        <f>HYPERLINK("D:\Users\Yuman\Desktop\MasterProject\calculations_test\achiral_catalyst..vacuum\Rrad", "Directory")</f>
        <v>Directory</v>
      </c>
      <c r="O25" s="3"/>
      <c r="P25" s="3"/>
      <c r="Q25" s="5" t="s">
        <v>88</v>
      </c>
      <c r="R25" s="3" t="s">
        <v>33</v>
      </c>
      <c r="S25" s="3" t="s">
        <v>89</v>
      </c>
    </row>
    <row r="26" spans="1:19" ht="15.75" x14ac:dyDescent="0.25">
      <c r="A26" s="7" t="s">
        <v>35</v>
      </c>
      <c r="B26" s="3" t="s">
        <v>20</v>
      </c>
      <c r="C26" s="3" t="s">
        <v>21</v>
      </c>
      <c r="D26" s="3" t="s">
        <v>22</v>
      </c>
      <c r="E26" s="3" t="s">
        <v>23</v>
      </c>
      <c r="F26" s="3" t="s">
        <v>24</v>
      </c>
      <c r="G26" s="3"/>
      <c r="H26" s="3"/>
      <c r="I26" s="3"/>
      <c r="J26" s="3"/>
      <c r="K26" s="3"/>
      <c r="L26" s="3" t="s">
        <v>90</v>
      </c>
      <c r="M26" s="4" t="str">
        <f>HYPERLINK("D:\Users\Yuman\Desktop\MasterProject\results\achiral_catalyst.H_Ph_ZnCl2.vacuum\Rsub", "Directory")</f>
        <v>Directory</v>
      </c>
      <c r="N26" s="4" t="str">
        <f>HYPERLINK("D:\Users\Yuman\Desktop\MasterProject\calculations_test\achiral_catalyst.H_Ph.vacuum\Rsub", "Directory")</f>
        <v>Directory</v>
      </c>
      <c r="O26" s="3"/>
      <c r="P26" s="3"/>
      <c r="Q26" s="5" t="s">
        <v>91</v>
      </c>
      <c r="R26" s="3" t="s">
        <v>33</v>
      </c>
      <c r="S26" s="3" t="s">
        <v>92</v>
      </c>
    </row>
    <row r="27" spans="1:19" ht="15.75" x14ac:dyDescent="0.25">
      <c r="A27" s="7" t="s">
        <v>35</v>
      </c>
      <c r="B27" s="3" t="s">
        <v>20</v>
      </c>
      <c r="C27" s="3" t="s">
        <v>21</v>
      </c>
      <c r="D27" s="3" t="s">
        <v>22</v>
      </c>
      <c r="E27" s="3" t="s">
        <v>23</v>
      </c>
      <c r="F27" s="3" t="s">
        <v>24</v>
      </c>
      <c r="G27" s="3"/>
      <c r="H27" s="3"/>
      <c r="I27" s="3" t="s">
        <v>80</v>
      </c>
      <c r="J27" s="3"/>
      <c r="K27" s="3"/>
      <c r="L27" s="3" t="s">
        <v>39</v>
      </c>
      <c r="M27" s="4" t="str">
        <f>HYPERLINK("D:\Users\Yuman\Desktop\MasterProject\results\achiral_catalyst.H_Ph_ZnCl2.vacuum\Rsub_cat_complex", "Directory")</f>
        <v>Directory</v>
      </c>
      <c r="N27" s="4" t="str">
        <f>HYPERLINK("D:\Users\Yuman\Desktop\MasterProject\calculations_test\achiral_catalyst.H_Ph_ZnCl2.vacuum\Rsub_cat_complex", "Directory")</f>
        <v>Directory</v>
      </c>
      <c r="O27" s="3"/>
      <c r="P27" s="3"/>
      <c r="Q27" s="5" t="s">
        <v>93</v>
      </c>
      <c r="R27" s="3" t="s">
        <v>33</v>
      </c>
      <c r="S27" s="3" t="s">
        <v>94</v>
      </c>
    </row>
    <row r="28" spans="1:19" ht="15.75" x14ac:dyDescent="0.25">
      <c r="A28" s="6" t="s">
        <v>30</v>
      </c>
      <c r="B28" s="3" t="s">
        <v>43</v>
      </c>
      <c r="C28" s="3" t="s">
        <v>21</v>
      </c>
      <c r="D28" s="3" t="s">
        <v>22</v>
      </c>
      <c r="E28" s="3" t="s">
        <v>23</v>
      </c>
      <c r="F28" s="3" t="s">
        <v>24</v>
      </c>
      <c r="G28" s="3"/>
      <c r="H28" s="3"/>
      <c r="I28" s="3" t="s">
        <v>80</v>
      </c>
      <c r="J28" s="3"/>
      <c r="K28" s="3"/>
      <c r="L28" s="3" t="s">
        <v>44</v>
      </c>
      <c r="M28" s="4" t="str">
        <f>HYPERLINK("D:\Users\Yuman\Desktop\MasterProject\results\achiral_catalyst.H_Ph_ZnCl2.vacuum\TS", "Directory")</f>
        <v>Directory</v>
      </c>
      <c r="N28" s="4" t="str">
        <f>HYPERLINK("D:\Users\Yuman\Desktop\MasterProject\calculations_test\achiral_catalyst.H_Ph_ZnCl2.vacuum\TS", "Directory")</f>
        <v>Directory</v>
      </c>
      <c r="O28" s="3"/>
      <c r="P28" s="3"/>
      <c r="Q28" s="5" t="s">
        <v>95</v>
      </c>
      <c r="R28" s="3" t="s">
        <v>33</v>
      </c>
      <c r="S28" s="3" t="s">
        <v>96</v>
      </c>
    </row>
    <row r="29" spans="1:19" ht="15.75" x14ac:dyDescent="0.25">
      <c r="A29" s="6" t="s">
        <v>30</v>
      </c>
      <c r="B29" s="3" t="s">
        <v>20</v>
      </c>
      <c r="C29" s="3" t="s">
        <v>21</v>
      </c>
      <c r="D29" s="3" t="s">
        <v>22</v>
      </c>
      <c r="E29" s="3" t="s">
        <v>23</v>
      </c>
      <c r="F29" s="3" t="s">
        <v>97</v>
      </c>
      <c r="G29" s="3"/>
      <c r="H29" s="3"/>
      <c r="I29" s="3" t="s">
        <v>25</v>
      </c>
      <c r="J29" s="3"/>
      <c r="K29" s="3"/>
      <c r="L29" s="3" t="s">
        <v>26</v>
      </c>
      <c r="M29" s="4" t="str">
        <f>HYPERLINK("D:\Users\Yuman\Desktop\MasterProject\results\achiral_catalyst.H_tBu_AlF3.vacuum\P1", "Directory")</f>
        <v>Directory</v>
      </c>
      <c r="N29" s="4" t="str">
        <f>HYPERLINK("D:\Users\Yuman\Desktop\MasterProject\calculations_test\achiral_catalyst.H_tBu_AlF3.vacuum\P1", "Directory")</f>
        <v>Directory</v>
      </c>
      <c r="O29" s="3"/>
      <c r="P29" s="3"/>
      <c r="Q29" s="5" t="s">
        <v>98</v>
      </c>
      <c r="R29" s="3" t="s">
        <v>33</v>
      </c>
      <c r="S29" s="3" t="s">
        <v>99</v>
      </c>
    </row>
    <row r="30" spans="1:19" ht="15.75" x14ac:dyDescent="0.25">
      <c r="A30" s="7" t="s">
        <v>35</v>
      </c>
      <c r="B30" s="3" t="s">
        <v>20</v>
      </c>
      <c r="C30" s="3" t="s">
        <v>21</v>
      </c>
      <c r="D30" s="3" t="s">
        <v>22</v>
      </c>
      <c r="E30" s="3" t="s">
        <v>23</v>
      </c>
      <c r="F30" s="3" t="s">
        <v>97</v>
      </c>
      <c r="G30" s="3"/>
      <c r="H30" s="3"/>
      <c r="I30" s="3" t="s">
        <v>25</v>
      </c>
      <c r="J30" s="3"/>
      <c r="K30" s="3"/>
      <c r="L30" s="3" t="s">
        <v>31</v>
      </c>
      <c r="M30" s="4" t="str">
        <f>HYPERLINK("D:\Users\Yuman\Desktop\MasterProject\results\achiral_catalyst.H_tBu_AlF3.vacuum\P2", "Directory")</f>
        <v>Directory</v>
      </c>
      <c r="N30" s="4" t="str">
        <f>HYPERLINK("D:\Users\Yuman\Desktop\MasterProject\calculations_test\achiral_catalyst.H_tBu_AlF3.vacuum\P2", "Directory")</f>
        <v>Directory</v>
      </c>
      <c r="O30" s="3"/>
      <c r="P30" s="3"/>
      <c r="Q30" s="5" t="s">
        <v>100</v>
      </c>
      <c r="R30" s="3" t="s">
        <v>33</v>
      </c>
      <c r="S30" s="3" t="s">
        <v>101</v>
      </c>
    </row>
    <row r="31" spans="1:19" ht="15.75" x14ac:dyDescent="0.25">
      <c r="A31" s="7" t="s">
        <v>35</v>
      </c>
      <c r="B31" s="3" t="s">
        <v>20</v>
      </c>
      <c r="C31" s="3" t="s">
        <v>21</v>
      </c>
      <c r="D31" s="3" t="s">
        <v>22</v>
      </c>
      <c r="E31" s="3" t="s">
        <v>23</v>
      </c>
      <c r="F31" s="3" t="s">
        <v>97</v>
      </c>
      <c r="G31" s="3"/>
      <c r="H31" s="3"/>
      <c r="I31" s="3"/>
      <c r="J31" s="3"/>
      <c r="K31" s="3"/>
      <c r="L31" s="3" t="s">
        <v>90</v>
      </c>
      <c r="M31" s="4" t="str">
        <f>HYPERLINK("D:\Users\Yuman\Desktop\MasterProject\results\achiral_catalyst.H_tBu_AlF3.vacuum\Rsub", "Directory")</f>
        <v>Directory</v>
      </c>
      <c r="N31" s="4" t="str">
        <f>HYPERLINK("D:\Users\Yuman\Desktop\MasterProject\calculations_test\achiral_catalyst.H_tBu.vacuum\Rsub", "Directory")</f>
        <v>Directory</v>
      </c>
      <c r="O31" s="3"/>
      <c r="P31" s="3"/>
      <c r="Q31" s="5" t="s">
        <v>102</v>
      </c>
      <c r="R31" s="3" t="s">
        <v>33</v>
      </c>
      <c r="S31" s="3" t="s">
        <v>103</v>
      </c>
    </row>
    <row r="32" spans="1:19" ht="15.75" x14ac:dyDescent="0.25">
      <c r="A32" s="7" t="s">
        <v>35</v>
      </c>
      <c r="B32" s="3" t="s">
        <v>20</v>
      </c>
      <c r="C32" s="3" t="s">
        <v>21</v>
      </c>
      <c r="D32" s="3" t="s">
        <v>22</v>
      </c>
      <c r="E32" s="3" t="s">
        <v>23</v>
      </c>
      <c r="F32" s="3" t="s">
        <v>97</v>
      </c>
      <c r="G32" s="3"/>
      <c r="H32" s="3"/>
      <c r="I32" s="3" t="s">
        <v>25</v>
      </c>
      <c r="J32" s="3"/>
      <c r="K32" s="3"/>
      <c r="L32" s="3" t="s">
        <v>39</v>
      </c>
      <c r="M32" s="4" t="str">
        <f>HYPERLINK("D:\Users\Yuman\Desktop\MasterProject\results\achiral_catalyst.H_tBu_AlF3.vacuum\Rsub_cat_complex", "Directory")</f>
        <v>Directory</v>
      </c>
      <c r="N32" s="4" t="str">
        <f>HYPERLINK("D:\Users\Yuman\Desktop\MasterProject\calculations_test\achiral_catalyst.H_tBu_AlF3.vacuum\Rsub_cat_complex", "Directory")</f>
        <v>Directory</v>
      </c>
      <c r="O32" s="3"/>
      <c r="P32" s="3"/>
      <c r="Q32" s="5" t="s">
        <v>104</v>
      </c>
      <c r="R32" s="3" t="s">
        <v>33</v>
      </c>
      <c r="S32" s="3" t="s">
        <v>105</v>
      </c>
    </row>
    <row r="33" spans="1:19" ht="15.75" x14ac:dyDescent="0.25">
      <c r="A33" s="7" t="s">
        <v>35</v>
      </c>
      <c r="B33" s="3" t="s">
        <v>43</v>
      </c>
      <c r="C33" s="3" t="s">
        <v>21</v>
      </c>
      <c r="D33" s="3" t="s">
        <v>22</v>
      </c>
      <c r="E33" s="3" t="s">
        <v>23</v>
      </c>
      <c r="F33" s="3" t="s">
        <v>97</v>
      </c>
      <c r="G33" s="3"/>
      <c r="H33" s="3"/>
      <c r="I33" s="3" t="s">
        <v>25</v>
      </c>
      <c r="J33" s="3"/>
      <c r="K33" s="3"/>
      <c r="L33" s="3" t="s">
        <v>44</v>
      </c>
      <c r="M33" s="4" t="str">
        <f>HYPERLINK("D:\Users\Yuman\Desktop\MasterProject\results\achiral_catalyst.H_tBu_AlF3.vacuum\TS", "Directory")</f>
        <v>Directory</v>
      </c>
      <c r="N33" s="4" t="str">
        <f>HYPERLINK("D:\Users\Yuman\Desktop\MasterProject\calculations_test\achiral_catalyst.H_tBu_AlF3.vacuum\TS", "Directory")</f>
        <v>Directory</v>
      </c>
      <c r="O33" s="3"/>
      <c r="P33" s="3"/>
      <c r="Q33" s="5" t="s">
        <v>106</v>
      </c>
      <c r="R33" s="3" t="s">
        <v>33</v>
      </c>
      <c r="S33" s="3" t="s">
        <v>107</v>
      </c>
    </row>
    <row r="34" spans="1:19" ht="15.75" x14ac:dyDescent="0.25">
      <c r="A34" s="6" t="s">
        <v>30</v>
      </c>
      <c r="B34" s="3" t="s">
        <v>20</v>
      </c>
      <c r="C34" s="3" t="s">
        <v>21</v>
      </c>
      <c r="D34" s="3" t="s">
        <v>22</v>
      </c>
      <c r="E34" s="3" t="s">
        <v>23</v>
      </c>
      <c r="F34" s="3" t="s">
        <v>97</v>
      </c>
      <c r="G34" s="3"/>
      <c r="H34" s="3"/>
      <c r="I34" s="3" t="s">
        <v>47</v>
      </c>
      <c r="J34" s="3"/>
      <c r="K34" s="3"/>
      <c r="L34" s="3" t="s">
        <v>26</v>
      </c>
      <c r="M34" s="4" t="str">
        <f>HYPERLINK("D:\Users\Yuman\Desktop\MasterProject\results\achiral_catalyst.H_tBu_BF3.vacuum\P1", "Directory")</f>
        <v>Directory</v>
      </c>
      <c r="N34" s="4" t="str">
        <f>HYPERLINK("D:\Users\Yuman\Desktop\MasterProject\calculations_test\achiral_catalyst.H_tBu_BF3.vacuum\P1", "Directory")</f>
        <v>Directory</v>
      </c>
      <c r="O34" s="3"/>
      <c r="P34" s="3"/>
      <c r="Q34" s="5" t="s">
        <v>108</v>
      </c>
      <c r="R34" s="3" t="s">
        <v>33</v>
      </c>
      <c r="S34" s="3" t="s">
        <v>109</v>
      </c>
    </row>
    <row r="35" spans="1:19" ht="15.75" x14ac:dyDescent="0.25">
      <c r="A35" s="6" t="s">
        <v>30</v>
      </c>
      <c r="B35" s="3" t="s">
        <v>20</v>
      </c>
      <c r="C35" s="3" t="s">
        <v>21</v>
      </c>
      <c r="D35" s="3" t="s">
        <v>22</v>
      </c>
      <c r="E35" s="3" t="s">
        <v>23</v>
      </c>
      <c r="F35" s="3" t="s">
        <v>97</v>
      </c>
      <c r="G35" s="3"/>
      <c r="H35" s="3"/>
      <c r="I35" s="3" t="s">
        <v>47</v>
      </c>
      <c r="J35" s="3"/>
      <c r="K35" s="3"/>
      <c r="L35" s="3" t="s">
        <v>31</v>
      </c>
      <c r="M35" s="4" t="str">
        <f>HYPERLINK("D:\Users\Yuman\Desktop\MasterProject\results\achiral_catalyst.H_tBu_BF3.vacuum\P2", "Directory")</f>
        <v>Directory</v>
      </c>
      <c r="N35" s="4" t="str">
        <f>HYPERLINK("D:\Users\Yuman\Desktop\MasterProject\calculations_test\achiral_catalyst.H_tBu_BF3.vacuum\P2", "Directory")</f>
        <v>Directory</v>
      </c>
      <c r="O35" s="3"/>
      <c r="P35" s="3"/>
      <c r="Q35" s="5" t="s">
        <v>110</v>
      </c>
      <c r="R35" s="3" t="s">
        <v>33</v>
      </c>
      <c r="S35" s="3" t="s">
        <v>111</v>
      </c>
    </row>
    <row r="36" spans="1:19" ht="15.75" x14ac:dyDescent="0.25">
      <c r="A36" s="7" t="s">
        <v>35</v>
      </c>
      <c r="B36" s="3" t="s">
        <v>20</v>
      </c>
      <c r="C36" s="3" t="s">
        <v>21</v>
      </c>
      <c r="D36" s="3" t="s">
        <v>22</v>
      </c>
      <c r="E36" s="3" t="s">
        <v>23</v>
      </c>
      <c r="F36" s="3" t="s">
        <v>97</v>
      </c>
      <c r="G36" s="3"/>
      <c r="H36" s="3"/>
      <c r="I36" s="3" t="s">
        <v>47</v>
      </c>
      <c r="J36" s="3"/>
      <c r="K36" s="3"/>
      <c r="L36" s="3" t="s">
        <v>39</v>
      </c>
      <c r="M36" s="4" t="str">
        <f>HYPERLINK("D:\Users\Yuman\Desktop\MasterProject\results\achiral_catalyst.H_tBu_BF3.vacuum\Rsub_cat_complex", "Directory")</f>
        <v>Directory</v>
      </c>
      <c r="N36" s="4" t="str">
        <f>HYPERLINK("D:\Users\Yuman\Desktop\MasterProject\calculations_test\achiral_catalyst.H_tBu_BF3.vacuum\Rsub_cat_complex", "Directory")</f>
        <v>Directory</v>
      </c>
      <c r="O36" s="3"/>
      <c r="P36" s="3"/>
      <c r="Q36" s="5" t="s">
        <v>112</v>
      </c>
      <c r="R36" s="3" t="s">
        <v>33</v>
      </c>
      <c r="S36" s="3" t="s">
        <v>113</v>
      </c>
    </row>
    <row r="37" spans="1:19" ht="15.75" x14ac:dyDescent="0.25">
      <c r="A37" s="2" t="s">
        <v>19</v>
      </c>
      <c r="B37" s="3" t="s">
        <v>43</v>
      </c>
      <c r="C37" s="3" t="s">
        <v>21</v>
      </c>
      <c r="D37" s="3" t="s">
        <v>22</v>
      </c>
      <c r="E37" s="3" t="s">
        <v>23</v>
      </c>
      <c r="F37" s="3" t="s">
        <v>97</v>
      </c>
      <c r="G37" s="3"/>
      <c r="H37" s="3"/>
      <c r="I37" s="3" t="s">
        <v>47</v>
      </c>
      <c r="J37" s="3"/>
      <c r="K37" s="3"/>
      <c r="L37" s="3" t="s">
        <v>44</v>
      </c>
      <c r="M37" s="4" t="str">
        <f>HYPERLINK("D:\Users\Yuman\Desktop\MasterProject\results\achiral_catalyst.H_tBu_BF3.vacuum\TS", "Directory")</f>
        <v>Directory</v>
      </c>
      <c r="N37" s="4" t="str">
        <f>HYPERLINK("D:\Users\Yuman\Desktop\MasterProject\calculations_test\achiral_catalyst.H_tBu_BF3.vacuum\TS", "Directory")</f>
        <v>Directory</v>
      </c>
      <c r="O37" s="3"/>
      <c r="P37" s="3"/>
      <c r="Q37" s="5" t="s">
        <v>114</v>
      </c>
      <c r="R37" s="3" t="s">
        <v>28</v>
      </c>
      <c r="S37" s="3" t="s">
        <v>115</v>
      </c>
    </row>
    <row r="38" spans="1:19" ht="15.75" x14ac:dyDescent="0.25">
      <c r="A38" s="2" t="s">
        <v>42</v>
      </c>
      <c r="B38" s="3" t="s">
        <v>20</v>
      </c>
      <c r="C38" s="3" t="s">
        <v>21</v>
      </c>
      <c r="D38" s="3" t="s">
        <v>22</v>
      </c>
      <c r="E38" s="3" t="s">
        <v>23</v>
      </c>
      <c r="F38" s="3" t="s">
        <v>97</v>
      </c>
      <c r="G38" s="3"/>
      <c r="H38" s="3"/>
      <c r="I38" s="3" t="s">
        <v>58</v>
      </c>
      <c r="J38" s="3"/>
      <c r="K38" s="3"/>
      <c r="L38" s="3" t="s">
        <v>26</v>
      </c>
      <c r="M38" s="4" t="str">
        <f>HYPERLINK("D:\Users\Yuman\Desktop\MasterProject\results\achiral_catalyst.H_tBu_I2.vacuum\P1", "Directory")</f>
        <v>Directory</v>
      </c>
      <c r="N38" s="4" t="str">
        <f>HYPERLINK("D:\Users\Yuman\Desktop\MasterProject\calculations_test\achiral_catalyst.H_tBu_I2.vacuum\P1", "Directory")</f>
        <v>Directory</v>
      </c>
      <c r="O38" s="3"/>
      <c r="P38" s="3"/>
      <c r="Q38" s="5" t="s">
        <v>116</v>
      </c>
      <c r="R38" s="3" t="s">
        <v>20</v>
      </c>
      <c r="S38" s="3" t="s">
        <v>117</v>
      </c>
    </row>
    <row r="39" spans="1:19" ht="15.75" x14ac:dyDescent="0.25">
      <c r="A39" s="8" t="s">
        <v>118</v>
      </c>
      <c r="B39" s="3" t="s">
        <v>20</v>
      </c>
      <c r="C39" s="3" t="s">
        <v>21</v>
      </c>
      <c r="D39" s="3" t="s">
        <v>22</v>
      </c>
      <c r="E39" s="3" t="s">
        <v>23</v>
      </c>
      <c r="F39" s="3" t="s">
        <v>97</v>
      </c>
      <c r="G39" s="3"/>
      <c r="H39" s="3"/>
      <c r="I39" s="3" t="s">
        <v>58</v>
      </c>
      <c r="J39" s="3"/>
      <c r="K39" s="3"/>
      <c r="L39" s="3" t="s">
        <v>31</v>
      </c>
      <c r="M39" s="4" t="str">
        <f>HYPERLINK("D:\Users\Yuman\Desktop\MasterProject\results\achiral_catalyst.H_tBu_I2.vacuum\P2", "Directory")</f>
        <v>Directory</v>
      </c>
      <c r="N39" s="4" t="str">
        <f>HYPERLINK("D:\Users\Yuman\Desktop\MasterProject\calculations_test\achiral_catalyst.H_tBu_I2.vacuum\P2", "Directory")</f>
        <v>Directory</v>
      </c>
      <c r="O39" s="3"/>
      <c r="P39" s="3"/>
      <c r="Q39" s="5" t="s">
        <v>119</v>
      </c>
      <c r="R39" s="3"/>
      <c r="S39" s="3" t="s">
        <v>120</v>
      </c>
    </row>
    <row r="40" spans="1:19" ht="15.75" x14ac:dyDescent="0.25">
      <c r="A40" s="7" t="s">
        <v>35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97</v>
      </c>
      <c r="G40" s="3"/>
      <c r="H40" s="3"/>
      <c r="I40" s="3" t="s">
        <v>58</v>
      </c>
      <c r="J40" s="3"/>
      <c r="K40" s="3"/>
      <c r="L40" s="3" t="s">
        <v>39</v>
      </c>
      <c r="M40" s="4" t="str">
        <f>HYPERLINK("D:\Users\Yuman\Desktop\MasterProject\results\achiral_catalyst.H_tBu_I2.vacuum\Rsub_cat_complex", "Directory")</f>
        <v>Directory</v>
      </c>
      <c r="N40" s="4" t="str">
        <f>HYPERLINK("D:\Users\Yuman\Desktop\MasterProject\calculations_test\achiral_catalyst.H_tBu_I2.vacuum\Rsub_cat_complex", "Directory")</f>
        <v>Directory</v>
      </c>
      <c r="O40" s="3"/>
      <c r="P40" s="3"/>
      <c r="Q40" s="5" t="s">
        <v>121</v>
      </c>
      <c r="R40" s="3" t="s">
        <v>33</v>
      </c>
      <c r="S40" s="3" t="s">
        <v>122</v>
      </c>
    </row>
    <row r="41" spans="1:19" ht="15.75" x14ac:dyDescent="0.25">
      <c r="A41" s="2" t="s">
        <v>42</v>
      </c>
      <c r="B41" s="3" t="s">
        <v>43</v>
      </c>
      <c r="C41" s="3" t="s">
        <v>21</v>
      </c>
      <c r="D41" s="3" t="s">
        <v>22</v>
      </c>
      <c r="E41" s="3" t="s">
        <v>23</v>
      </c>
      <c r="F41" s="3" t="s">
        <v>97</v>
      </c>
      <c r="G41" s="3"/>
      <c r="H41" s="3"/>
      <c r="I41" s="3" t="s">
        <v>58</v>
      </c>
      <c r="J41" s="3"/>
      <c r="K41" s="3"/>
      <c r="L41" s="3" t="s">
        <v>44</v>
      </c>
      <c r="M41" s="4" t="str">
        <f>HYPERLINK("D:\Users\Yuman\Desktop\MasterProject\results\achiral_catalyst.H_tBu_I2.vacuum\TS", "Directory")</f>
        <v>Directory</v>
      </c>
      <c r="N41" s="4" t="str">
        <f>HYPERLINK("D:\Users\Yuman\Desktop\MasterProject\calculations_test\achiral_catalyst.H_tBu_I2.vacuum\TS", "Directory")</f>
        <v>Directory</v>
      </c>
      <c r="O41" s="3"/>
      <c r="P41" s="3"/>
      <c r="Q41" s="5" t="s">
        <v>123</v>
      </c>
      <c r="R41" s="3" t="s">
        <v>28</v>
      </c>
      <c r="S41" s="3" t="s">
        <v>124</v>
      </c>
    </row>
    <row r="42" spans="1:19" ht="15.75" x14ac:dyDescent="0.25">
      <c r="A42" s="2" t="s">
        <v>19</v>
      </c>
      <c r="B42" s="3" t="s">
        <v>20</v>
      </c>
      <c r="C42" s="3" t="s">
        <v>21</v>
      </c>
      <c r="D42" s="3" t="s">
        <v>22</v>
      </c>
      <c r="E42" s="3" t="s">
        <v>23</v>
      </c>
      <c r="F42" s="3" t="s">
        <v>97</v>
      </c>
      <c r="G42" s="3"/>
      <c r="H42" s="3"/>
      <c r="I42" s="3" t="s">
        <v>125</v>
      </c>
      <c r="J42" s="3"/>
      <c r="K42" s="3"/>
      <c r="L42" s="3" t="s">
        <v>26</v>
      </c>
      <c r="M42" s="4" t="str">
        <f>HYPERLINK("D:\Users\Yuman\Desktop\MasterProject\results\achiral_catalyst.H_tBu_SnCl4.vacuum\P1", "Directory")</f>
        <v>Directory</v>
      </c>
      <c r="N42" s="4" t="str">
        <f>HYPERLINK("D:\Users\Yuman\Desktop\MasterProject\calculations_test\achiral_catalyst.H_tBu_SnCl4.vacuum\P1", "Directory")</f>
        <v>Directory</v>
      </c>
      <c r="O42" s="3"/>
      <c r="P42" s="3"/>
      <c r="Q42" s="5" t="s">
        <v>126</v>
      </c>
      <c r="R42" s="3" t="s">
        <v>20</v>
      </c>
      <c r="S42" s="3" t="s">
        <v>127</v>
      </c>
    </row>
    <row r="43" spans="1:19" ht="15.75" x14ac:dyDescent="0.25">
      <c r="A43" s="2" t="s">
        <v>19</v>
      </c>
      <c r="B43" s="3" t="s">
        <v>20</v>
      </c>
      <c r="C43" s="3" t="s">
        <v>21</v>
      </c>
      <c r="D43" s="3" t="s">
        <v>22</v>
      </c>
      <c r="E43" s="3" t="s">
        <v>23</v>
      </c>
      <c r="F43" s="3" t="s">
        <v>97</v>
      </c>
      <c r="G43" s="3"/>
      <c r="H43" s="3"/>
      <c r="I43" s="3" t="s">
        <v>125</v>
      </c>
      <c r="J43" s="3"/>
      <c r="K43" s="3"/>
      <c r="L43" s="3" t="s">
        <v>31</v>
      </c>
      <c r="M43" s="4" t="str">
        <f>HYPERLINK("D:\Users\Yuman\Desktop\MasterProject\results\achiral_catalyst.H_tBu_SnCl4.vacuum\P2", "Directory")</f>
        <v>Directory</v>
      </c>
      <c r="N43" s="4" t="str">
        <f>HYPERLINK("D:\Users\Yuman\Desktop\MasterProject\calculations_test\achiral_catalyst.H_tBu_SnCl4.vacuum\P2", "Directory")</f>
        <v>Directory</v>
      </c>
      <c r="O43" s="3"/>
      <c r="P43" s="3"/>
      <c r="Q43" s="5" t="s">
        <v>128</v>
      </c>
      <c r="R43" s="3" t="s">
        <v>20</v>
      </c>
      <c r="S43" s="3" t="s">
        <v>129</v>
      </c>
    </row>
    <row r="44" spans="1:19" ht="15.75" x14ac:dyDescent="0.25">
      <c r="A44" s="2" t="s">
        <v>42</v>
      </c>
      <c r="B44" s="3" t="s">
        <v>20</v>
      </c>
      <c r="C44" s="3" t="s">
        <v>21</v>
      </c>
      <c r="D44" s="3" t="s">
        <v>22</v>
      </c>
      <c r="E44" s="3"/>
      <c r="F44" s="3"/>
      <c r="G44" s="3"/>
      <c r="H44" s="3"/>
      <c r="I44" s="3" t="s">
        <v>125</v>
      </c>
      <c r="J44" s="3"/>
      <c r="K44" s="3"/>
      <c r="L44" s="3" t="s">
        <v>36</v>
      </c>
      <c r="M44" s="4" t="str">
        <f>HYPERLINK("D:\Users\Yuman\Desktop\MasterProject\results\achiral_catalyst.H_tBu_SnCl4.vacuum\Rcat", "Directory")</f>
        <v>Directory</v>
      </c>
      <c r="N44" s="4" t="str">
        <f>HYPERLINK("D:\Users\Yuman\Desktop\MasterProject\calculations_test\achiral_catalyst.SnCl4.vacuum\Rcat", "Directory")</f>
        <v>Directory</v>
      </c>
      <c r="O44" s="3"/>
      <c r="P44" s="3"/>
      <c r="Q44" s="5" t="s">
        <v>130</v>
      </c>
      <c r="R44" s="3" t="s">
        <v>33</v>
      </c>
      <c r="S44" s="3" t="s">
        <v>131</v>
      </c>
    </row>
    <row r="45" spans="1:19" ht="15.75" x14ac:dyDescent="0.25">
      <c r="A45" s="2" t="s">
        <v>42</v>
      </c>
      <c r="B45" s="3" t="s">
        <v>20</v>
      </c>
      <c r="C45" s="3" t="s">
        <v>21</v>
      </c>
      <c r="D45" s="3" t="s">
        <v>22</v>
      </c>
      <c r="E45" s="3" t="s">
        <v>23</v>
      </c>
      <c r="F45" s="3" t="s">
        <v>97</v>
      </c>
      <c r="G45" s="3"/>
      <c r="H45" s="3"/>
      <c r="I45" s="3" t="s">
        <v>125</v>
      </c>
      <c r="J45" s="3"/>
      <c r="K45" s="3"/>
      <c r="L45" s="3" t="s">
        <v>39</v>
      </c>
      <c r="M45" s="4" t="str">
        <f>HYPERLINK("D:\Users\Yuman\Desktop\MasterProject\results\achiral_catalyst.H_tBu_SnCl4.vacuum\Rsub_cat_complex", "Directory")</f>
        <v>Directory</v>
      </c>
      <c r="N45" s="4" t="str">
        <f>HYPERLINK("D:\Users\Yuman\Desktop\MasterProject\calculations_test\achiral_catalyst.H_tBu_SnCl4.vacuum\Rsub_cat_complex", "Directory")</f>
        <v>Directory</v>
      </c>
      <c r="O45" s="3"/>
      <c r="P45" s="3"/>
      <c r="Q45" s="5" t="s">
        <v>132</v>
      </c>
      <c r="R45" s="3" t="s">
        <v>33</v>
      </c>
      <c r="S45" s="3" t="s">
        <v>133</v>
      </c>
    </row>
    <row r="46" spans="1:19" ht="15.75" x14ac:dyDescent="0.25">
      <c r="A46" s="7" t="s">
        <v>35</v>
      </c>
      <c r="B46" s="3" t="s">
        <v>43</v>
      </c>
      <c r="C46" s="3" t="s">
        <v>21</v>
      </c>
      <c r="D46" s="3" t="s">
        <v>22</v>
      </c>
      <c r="E46" s="3" t="s">
        <v>23</v>
      </c>
      <c r="F46" s="3" t="s">
        <v>97</v>
      </c>
      <c r="G46" s="3"/>
      <c r="H46" s="3"/>
      <c r="I46" s="3" t="s">
        <v>125</v>
      </c>
      <c r="J46" s="3"/>
      <c r="K46" s="3"/>
      <c r="L46" s="3" t="s">
        <v>44</v>
      </c>
      <c r="M46" s="4" t="str">
        <f>HYPERLINK("D:\Users\Yuman\Desktop\MasterProject\results\achiral_catalyst.H_tBu_SnCl4.vacuum\TS", "Directory")</f>
        <v>Directory</v>
      </c>
      <c r="N46" s="4" t="str">
        <f>HYPERLINK("D:\Users\Yuman\Desktop\MasterProject\calculations_test\achiral_catalyst.H_tBu_SnCl4.vacuum\TS", "Directory")</f>
        <v>Directory</v>
      </c>
      <c r="O46" s="3"/>
      <c r="P46" s="3"/>
      <c r="Q46" s="5" t="s">
        <v>134</v>
      </c>
      <c r="R46" s="3" t="s">
        <v>33</v>
      </c>
      <c r="S46" s="3" t="s">
        <v>135</v>
      </c>
    </row>
    <row r="47" spans="1:19" ht="15.75" x14ac:dyDescent="0.25">
      <c r="A47" s="7" t="s">
        <v>35</v>
      </c>
      <c r="B47" s="3" t="s">
        <v>20</v>
      </c>
      <c r="C47" s="3" t="s">
        <v>21</v>
      </c>
      <c r="D47" s="3" t="s">
        <v>22</v>
      </c>
      <c r="E47" s="3" t="s">
        <v>23</v>
      </c>
      <c r="F47" s="3" t="s">
        <v>97</v>
      </c>
      <c r="G47" s="3"/>
      <c r="H47" s="3"/>
      <c r="I47" s="3" t="s">
        <v>80</v>
      </c>
      <c r="J47" s="3"/>
      <c r="K47" s="3"/>
      <c r="L47" s="3" t="s">
        <v>26</v>
      </c>
      <c r="M47" s="4" t="str">
        <f>HYPERLINK("D:\Users\Yuman\Desktop\MasterProject\results\achiral_catalyst.H_tBu_ZnCl2.vacuum\P1", "Directory")</f>
        <v>Directory</v>
      </c>
      <c r="N47" s="4" t="str">
        <f>HYPERLINK("D:\Users\Yuman\Desktop\MasterProject\calculations_test\achiral_catalyst.H_tBu_ZnCl2.vacuum\P1", "Directory")</f>
        <v>Directory</v>
      </c>
      <c r="O47" s="3"/>
      <c r="P47" s="3"/>
      <c r="Q47" s="5" t="s">
        <v>136</v>
      </c>
      <c r="R47" s="3" t="s">
        <v>33</v>
      </c>
      <c r="S47" s="3" t="s">
        <v>137</v>
      </c>
    </row>
    <row r="48" spans="1:19" ht="15.75" x14ac:dyDescent="0.25">
      <c r="A48" s="6" t="s">
        <v>30</v>
      </c>
      <c r="B48" s="3" t="s">
        <v>20</v>
      </c>
      <c r="C48" s="3" t="s">
        <v>21</v>
      </c>
      <c r="D48" s="3" t="s">
        <v>22</v>
      </c>
      <c r="E48" s="3" t="s">
        <v>23</v>
      </c>
      <c r="F48" s="3" t="s">
        <v>97</v>
      </c>
      <c r="G48" s="3"/>
      <c r="H48" s="3"/>
      <c r="I48" s="3" t="s">
        <v>80</v>
      </c>
      <c r="J48" s="3"/>
      <c r="K48" s="3"/>
      <c r="L48" s="3" t="s">
        <v>31</v>
      </c>
      <c r="M48" s="4" t="str">
        <f>HYPERLINK("D:\Users\Yuman\Desktop\MasterProject\results\achiral_catalyst.H_tBu_ZnCl2.vacuum\P2", "Directory")</f>
        <v>Directory</v>
      </c>
      <c r="N48" s="4" t="str">
        <f>HYPERLINK("D:\Users\Yuman\Desktop\MasterProject\calculations_test\achiral_catalyst.H_tBu_ZnCl2.vacuum\P2", "Directory")</f>
        <v>Directory</v>
      </c>
      <c r="O48" s="3"/>
      <c r="P48" s="3"/>
      <c r="Q48" s="5" t="s">
        <v>138</v>
      </c>
      <c r="R48" s="3" t="s">
        <v>33</v>
      </c>
      <c r="S48" s="3" t="s">
        <v>139</v>
      </c>
    </row>
    <row r="49" spans="1:19" ht="15.75" x14ac:dyDescent="0.25">
      <c r="A49" s="7" t="s">
        <v>35</v>
      </c>
      <c r="B49" s="3" t="s">
        <v>20</v>
      </c>
      <c r="C49" s="3" t="s">
        <v>21</v>
      </c>
      <c r="D49" s="3" t="s">
        <v>22</v>
      </c>
      <c r="E49" s="3" t="s">
        <v>23</v>
      </c>
      <c r="F49" s="3" t="s">
        <v>97</v>
      </c>
      <c r="G49" s="3"/>
      <c r="H49" s="3"/>
      <c r="I49" s="3" t="s">
        <v>80</v>
      </c>
      <c r="J49" s="3"/>
      <c r="K49" s="3"/>
      <c r="L49" s="3" t="s">
        <v>39</v>
      </c>
      <c r="M49" s="4" t="str">
        <f>HYPERLINK("D:\Users\Yuman\Desktop\MasterProject\results\achiral_catalyst.H_tBu_ZnCl2.vacuum\Rsub_cat_complex", "Directory")</f>
        <v>Directory</v>
      </c>
      <c r="N49" s="4" t="str">
        <f>HYPERLINK("D:\Users\Yuman\Desktop\MasterProject\calculations_test\achiral_catalyst.H_tBu_ZnCl2.vacuum\Rsub_cat_complex", "Directory")</f>
        <v>Directory</v>
      </c>
      <c r="O49" s="3"/>
      <c r="P49" s="3"/>
      <c r="Q49" s="5" t="s">
        <v>140</v>
      </c>
      <c r="R49" s="3" t="s">
        <v>33</v>
      </c>
      <c r="S49" s="3" t="s">
        <v>141</v>
      </c>
    </row>
    <row r="50" spans="1:19" ht="15.75" x14ac:dyDescent="0.25">
      <c r="A50" s="7" t="s">
        <v>35</v>
      </c>
      <c r="B50" s="3" t="s">
        <v>43</v>
      </c>
      <c r="C50" s="3" t="s">
        <v>21</v>
      </c>
      <c r="D50" s="3" t="s">
        <v>22</v>
      </c>
      <c r="E50" s="3" t="s">
        <v>23</v>
      </c>
      <c r="F50" s="3" t="s">
        <v>97</v>
      </c>
      <c r="G50" s="3"/>
      <c r="H50" s="3"/>
      <c r="I50" s="3" t="s">
        <v>80</v>
      </c>
      <c r="J50" s="3"/>
      <c r="K50" s="3"/>
      <c r="L50" s="3" t="s">
        <v>44</v>
      </c>
      <c r="M50" s="4" t="str">
        <f>HYPERLINK("D:\Users\Yuman\Desktop\MasterProject\results\achiral_catalyst.H_tBu_ZnCl2.vacuum\TS", "Directory")</f>
        <v>Directory</v>
      </c>
      <c r="N50" s="4" t="str">
        <f>HYPERLINK("D:\Users\Yuman\Desktop\MasterProject\calculations_test\achiral_catalyst.H_tBu_ZnCl2.vacuum\TS", "Directory")</f>
        <v>Directory</v>
      </c>
      <c r="O50" s="3"/>
      <c r="P50" s="3"/>
      <c r="Q50" s="5" t="s">
        <v>142</v>
      </c>
      <c r="R50" s="3" t="s">
        <v>33</v>
      </c>
      <c r="S50" s="3" t="s">
        <v>143</v>
      </c>
    </row>
    <row r="51" spans="1:19" ht="15.75" x14ac:dyDescent="0.25">
      <c r="A51" s="7" t="s">
        <v>35</v>
      </c>
      <c r="B51" s="3" t="s">
        <v>20</v>
      </c>
      <c r="C51" s="3" t="s">
        <v>144</v>
      </c>
      <c r="D51" s="3" t="s">
        <v>22</v>
      </c>
      <c r="E51" s="3" t="s">
        <v>23</v>
      </c>
      <c r="F51" s="3" t="s">
        <v>23</v>
      </c>
      <c r="G51" s="3"/>
      <c r="H51" s="3"/>
      <c r="I51" s="3"/>
      <c r="J51" s="3"/>
      <c r="K51" s="3"/>
      <c r="L51" s="3" t="s">
        <v>26</v>
      </c>
      <c r="M51" s="4" t="str">
        <f>HYPERLINK("D:\Users\Yuman\Desktop\MasterProject\results\no_catalyst.H_H.vacuum\P1", "Directory")</f>
        <v>Directory</v>
      </c>
      <c r="N51" s="4" t="str">
        <f>HYPERLINK("D:\Users\Yuman\Desktop\MasterProject\calculations_test\no_catalyst.H_H.vacuum\P1", "Directory")</f>
        <v>Directory</v>
      </c>
      <c r="O51" s="3"/>
      <c r="P51" s="3"/>
      <c r="Q51" s="5" t="s">
        <v>145</v>
      </c>
      <c r="R51" s="3" t="s">
        <v>33</v>
      </c>
      <c r="S51" s="3" t="s">
        <v>146</v>
      </c>
    </row>
    <row r="52" spans="1:19" ht="15.75" x14ac:dyDescent="0.25">
      <c r="A52" s="6" t="s">
        <v>30</v>
      </c>
      <c r="B52" s="3" t="s">
        <v>20</v>
      </c>
      <c r="C52" s="3" t="s">
        <v>144</v>
      </c>
      <c r="D52" s="3" t="s">
        <v>22</v>
      </c>
      <c r="E52" s="3" t="s">
        <v>23</v>
      </c>
      <c r="F52" s="3" t="s">
        <v>23</v>
      </c>
      <c r="G52" s="3"/>
      <c r="H52" s="3"/>
      <c r="I52" s="3"/>
      <c r="J52" s="3"/>
      <c r="K52" s="3"/>
      <c r="L52" s="3" t="s">
        <v>31</v>
      </c>
      <c r="M52" s="4" t="str">
        <f>HYPERLINK("D:\Users\Yuman\Desktop\MasterProject\results\no_catalyst.H_H.vacuum\P2", "Directory")</f>
        <v>Directory</v>
      </c>
      <c r="N52" s="4" t="str">
        <f>HYPERLINK("D:\Users\Yuman\Desktop\MasterProject\calculations_test\no_catalyst.H_H.vacuum\P2", "Directory")</f>
        <v>Directory</v>
      </c>
      <c r="O52" s="3"/>
      <c r="P52" s="3"/>
      <c r="Q52" s="5" t="s">
        <v>147</v>
      </c>
      <c r="R52" s="3" t="s">
        <v>33</v>
      </c>
      <c r="S52" s="3" t="s">
        <v>148</v>
      </c>
    </row>
    <row r="53" spans="1:19" ht="15.75" x14ac:dyDescent="0.25">
      <c r="A53" s="7" t="s">
        <v>35</v>
      </c>
      <c r="B53" s="3" t="s">
        <v>20</v>
      </c>
      <c r="C53" s="3" t="s">
        <v>144</v>
      </c>
      <c r="D53" s="3" t="s">
        <v>22</v>
      </c>
      <c r="E53" s="3"/>
      <c r="F53" s="3"/>
      <c r="G53" s="3"/>
      <c r="H53" s="3"/>
      <c r="I53" s="3"/>
      <c r="J53" s="3"/>
      <c r="K53" s="3"/>
      <c r="L53" s="3" t="s">
        <v>87</v>
      </c>
      <c r="M53" s="4" t="str">
        <f>HYPERLINK("D:\Users\Yuman\Desktop\MasterProject\results\no_catalyst.H_H.vacuum\Rrad", "Directory")</f>
        <v>Directory</v>
      </c>
      <c r="N53" s="4" t="str">
        <f>HYPERLINK("D:\Users\Yuman\Desktop\MasterProject\calculations_test\no_catalyst..vacuum\Rrad", "Directory")</f>
        <v>Directory</v>
      </c>
      <c r="O53" s="3"/>
      <c r="P53" s="3"/>
      <c r="Q53" s="5" t="s">
        <v>149</v>
      </c>
      <c r="R53" s="3" t="s">
        <v>33</v>
      </c>
      <c r="S53" s="3" t="s">
        <v>150</v>
      </c>
    </row>
    <row r="54" spans="1:19" ht="15.75" x14ac:dyDescent="0.25">
      <c r="A54" s="7" t="s">
        <v>35</v>
      </c>
      <c r="B54" s="3" t="s">
        <v>20</v>
      </c>
      <c r="C54" s="3" t="s">
        <v>144</v>
      </c>
      <c r="D54" s="3" t="s">
        <v>22</v>
      </c>
      <c r="E54" s="3" t="s">
        <v>23</v>
      </c>
      <c r="F54" s="3" t="s">
        <v>23</v>
      </c>
      <c r="G54" s="3"/>
      <c r="H54" s="3"/>
      <c r="I54" s="3"/>
      <c r="J54" s="3"/>
      <c r="K54" s="3"/>
      <c r="L54" s="3" t="s">
        <v>90</v>
      </c>
      <c r="M54" s="4" t="str">
        <f>HYPERLINK("D:\Users\Yuman\Desktop\MasterProject\results\no_catalyst.H_H.vacuum\Rsub", "Directory")</f>
        <v>Directory</v>
      </c>
      <c r="N54" s="4" t="str">
        <f>HYPERLINK("D:\Users\Yuman\Desktop\MasterProject\calculations_test\no_catalyst.H_H.vacuum\Rsub", "Directory")</f>
        <v>Directory</v>
      </c>
      <c r="O54" s="3"/>
      <c r="P54" s="3"/>
      <c r="Q54" s="5" t="s">
        <v>151</v>
      </c>
      <c r="R54" s="3" t="s">
        <v>33</v>
      </c>
      <c r="S54" s="3" t="s">
        <v>152</v>
      </c>
    </row>
    <row r="55" spans="1:19" ht="15.75" x14ac:dyDescent="0.25">
      <c r="A55" s="7" t="s">
        <v>35</v>
      </c>
      <c r="B55" s="3" t="s">
        <v>43</v>
      </c>
      <c r="C55" s="3" t="s">
        <v>144</v>
      </c>
      <c r="D55" s="3" t="s">
        <v>22</v>
      </c>
      <c r="E55" s="3" t="s">
        <v>23</v>
      </c>
      <c r="F55" s="3" t="s">
        <v>23</v>
      </c>
      <c r="G55" s="3"/>
      <c r="H55" s="3"/>
      <c r="I55" s="3"/>
      <c r="J55" s="3"/>
      <c r="K55" s="3"/>
      <c r="L55" s="3" t="s">
        <v>44</v>
      </c>
      <c r="M55" s="4" t="str">
        <f>HYPERLINK("D:\Users\Yuman\Desktop\MasterProject\results\no_catalyst.H_H.vacuum\TS", "Directory")</f>
        <v>Directory</v>
      </c>
      <c r="N55" s="4" t="str">
        <f>HYPERLINK("D:\Users\Yuman\Desktop\MasterProject\calculations_test\no_catalyst.H_H.vacuum\TS", "Directory")</f>
        <v>Directory</v>
      </c>
      <c r="O55" s="3"/>
      <c r="P55" s="3"/>
      <c r="Q55" s="5" t="s">
        <v>153</v>
      </c>
      <c r="R55" s="3" t="s">
        <v>33</v>
      </c>
      <c r="S55" s="3" t="s">
        <v>154</v>
      </c>
    </row>
    <row r="56" spans="1:19" ht="15.75" x14ac:dyDescent="0.25">
      <c r="A56" s="8" t="s">
        <v>118</v>
      </c>
      <c r="B56" s="3" t="s">
        <v>20</v>
      </c>
      <c r="C56" s="3" t="s">
        <v>155</v>
      </c>
      <c r="D56" s="3" t="s">
        <v>22</v>
      </c>
      <c r="E56" s="3"/>
      <c r="F56" s="3"/>
      <c r="G56" s="3" t="s">
        <v>24</v>
      </c>
      <c r="H56" s="3" t="s">
        <v>23</v>
      </c>
      <c r="I56" s="3"/>
      <c r="J56" s="3" t="s">
        <v>156</v>
      </c>
      <c r="K56" s="3" t="s">
        <v>156</v>
      </c>
      <c r="L56" s="3" t="s">
        <v>157</v>
      </c>
      <c r="M56" s="4" t="str">
        <f>HYPERLINK("D:\Users\Yuman\Desktop\MasterProject\results\squaramide.H_Ph_Ph_H_O_O.vacuum\cat", "Directory")</f>
        <v>Directory</v>
      </c>
      <c r="N56" s="4" t="str">
        <f>HYPERLINK("D:\Users\Yuman\Desktop\MasterProject\calculations_test\squaramide.Ph_H_O_O.vacuum\cat", "Directory")</f>
        <v>Directory</v>
      </c>
      <c r="O56" s="4" t="str">
        <f>HYPERLINK("D:\Users\Yuman\Desktop\MasterProject\results\squaramide.H_Ph_Ph_H_O_O.vacuum\cat/molview2_start_in.bat", "input.xyz")</f>
        <v>input.xyz</v>
      </c>
      <c r="P56" s="3"/>
      <c r="Q56" s="5" t="s">
        <v>119</v>
      </c>
      <c r="R56" s="3"/>
      <c r="S56" s="3" t="s">
        <v>158</v>
      </c>
    </row>
    <row r="57" spans="1:19" ht="15.75" x14ac:dyDescent="0.25">
      <c r="A57" s="8" t="s">
        <v>118</v>
      </c>
      <c r="B57" s="3" t="s">
        <v>20</v>
      </c>
      <c r="C57" s="3" t="s">
        <v>155</v>
      </c>
      <c r="D57" s="3" t="s">
        <v>22</v>
      </c>
      <c r="E57" s="3"/>
      <c r="F57" s="3"/>
      <c r="G57" s="3"/>
      <c r="H57" s="3"/>
      <c r="I57" s="3"/>
      <c r="J57" s="3"/>
      <c r="K57" s="3"/>
      <c r="L57" s="3" t="s">
        <v>23</v>
      </c>
      <c r="M57" s="4" t="str">
        <f>HYPERLINK("D:\Users\Yuman\Desktop\MasterProject\results\squaramide.H_Ph_Ph_H_O_O.vacuum\H", "Directory")</f>
        <v>Directory</v>
      </c>
      <c r="N57" s="4" t="str">
        <f>HYPERLINK("D:\Users\Yuman\Desktop\MasterProject\calculations_test\squaramide..vacuum\H", "Directory")</f>
        <v>Directory</v>
      </c>
      <c r="O57" s="4" t="str">
        <f>HYPERLINK("D:\Users\Yuman\Desktop\MasterProject\results\squaramide.H_Ph_Ph_H_O_O.vacuum\H/molview2_start_in.bat", "input.xyz")</f>
        <v>input.xyz</v>
      </c>
      <c r="P57" s="3"/>
      <c r="Q57" s="5" t="s">
        <v>119</v>
      </c>
      <c r="R57" s="3"/>
      <c r="S57" s="3" t="s">
        <v>159</v>
      </c>
    </row>
    <row r="58" spans="1:19" ht="15.75" x14ac:dyDescent="0.25">
      <c r="A58" s="8" t="s">
        <v>118</v>
      </c>
      <c r="B58" s="3" t="s">
        <v>20</v>
      </c>
      <c r="C58" s="3" t="s">
        <v>155</v>
      </c>
      <c r="D58" s="3" t="s">
        <v>160</v>
      </c>
      <c r="E58" s="3" t="s">
        <v>23</v>
      </c>
      <c r="F58" s="3" t="s">
        <v>24</v>
      </c>
      <c r="G58" s="3" t="s">
        <v>24</v>
      </c>
      <c r="H58" s="3" t="s">
        <v>23</v>
      </c>
      <c r="I58" s="3"/>
      <c r="J58" s="3" t="s">
        <v>156</v>
      </c>
      <c r="K58" s="3" t="s">
        <v>156</v>
      </c>
      <c r="L58" s="3" t="s">
        <v>161</v>
      </c>
      <c r="M58" s="4" t="str">
        <f>HYPERLINK("D:\Users\Yuman\Desktop\MasterProject\results\squaramide.H_Ph_Ph_H_O_O.vacuum\P1R_cat_complex", "Directory")</f>
        <v>Directory</v>
      </c>
      <c r="N58" s="4" t="str">
        <f>HYPERLINK("D:\Users\Yuman\Desktop\MasterProject\calculations_test\squaramide.H_Ph_Ph_H_O_O.vacuum\P1R_cat_complex", "Directory")</f>
        <v>Directory</v>
      </c>
      <c r="O58" s="4" t="str">
        <f>HYPERLINK("D:\Users\Yuman\Desktop\MasterProject\results\squaramide.H_Ph_Ph_H_O_O.vacuum\P1R_cat_complex/molview2_start_in.bat", "input.xyz")</f>
        <v>input.xyz</v>
      </c>
      <c r="P58" s="3"/>
      <c r="Q58" s="5" t="s">
        <v>119</v>
      </c>
      <c r="R58" s="3"/>
      <c r="S58" s="3" t="s">
        <v>162</v>
      </c>
    </row>
    <row r="59" spans="1:19" ht="15.75" x14ac:dyDescent="0.25">
      <c r="A59" s="8" t="s">
        <v>118</v>
      </c>
      <c r="B59" s="3" t="s">
        <v>20</v>
      </c>
      <c r="C59" s="3" t="s">
        <v>155</v>
      </c>
      <c r="D59" s="3" t="s">
        <v>163</v>
      </c>
      <c r="E59" s="3" t="s">
        <v>23</v>
      </c>
      <c r="F59" s="3" t="s">
        <v>24</v>
      </c>
      <c r="G59" s="3" t="s">
        <v>24</v>
      </c>
      <c r="H59" s="3" t="s">
        <v>23</v>
      </c>
      <c r="I59" s="3"/>
      <c r="J59" s="3" t="s">
        <v>156</v>
      </c>
      <c r="K59" s="3" t="s">
        <v>156</v>
      </c>
      <c r="L59" s="3" t="s">
        <v>164</v>
      </c>
      <c r="M59" s="4" t="str">
        <f>HYPERLINK("D:\Users\Yuman\Desktop\MasterProject\results\squaramide.H_Ph_Ph_H_O_O.vacuum\P1S_cat_complex", "Directory")</f>
        <v>Directory</v>
      </c>
      <c r="N59" s="4" t="str">
        <f>HYPERLINK("D:\Users\Yuman\Desktop\MasterProject\calculations_test\squaramide.H_Ph_Ph_H_O_O.vacuum\P1S_cat_complex", "Directory")</f>
        <v>Directory</v>
      </c>
      <c r="O59" s="4" t="str">
        <f>HYPERLINK("D:\Users\Yuman\Desktop\MasterProject\results\squaramide.H_Ph_Ph_H_O_O.vacuum\P1S_cat_complex/molview2_start_in.bat", "input.xyz")</f>
        <v>input.xyz</v>
      </c>
      <c r="P59" s="3"/>
      <c r="Q59" s="5" t="s">
        <v>119</v>
      </c>
      <c r="R59" s="3"/>
      <c r="S59" s="3" t="s">
        <v>165</v>
      </c>
    </row>
    <row r="60" spans="1:19" ht="15.75" x14ac:dyDescent="0.25">
      <c r="A60" s="8" t="s">
        <v>118</v>
      </c>
      <c r="B60" s="3" t="s">
        <v>20</v>
      </c>
      <c r="C60" s="3" t="s">
        <v>155</v>
      </c>
      <c r="D60" s="3" t="s">
        <v>22</v>
      </c>
      <c r="E60" s="3" t="s">
        <v>23</v>
      </c>
      <c r="F60" s="3" t="s">
        <v>24</v>
      </c>
      <c r="G60" s="3"/>
      <c r="H60" s="3"/>
      <c r="I60" s="3"/>
      <c r="J60" s="3"/>
      <c r="K60" s="3"/>
      <c r="L60" s="3" t="s">
        <v>31</v>
      </c>
      <c r="M60" s="4" t="str">
        <f>HYPERLINK("D:\Users\Yuman\Desktop\MasterProject\results\squaramide.H_Ph_Ph_H_O_O.vacuum\P2", "Directory")</f>
        <v>Directory</v>
      </c>
      <c r="N60" s="4" t="str">
        <f>HYPERLINK("D:\Users\Yuman\Desktop\MasterProject\calculations_test\squaramide.H_Ph.vacuum\P2", "Directory")</f>
        <v>Directory</v>
      </c>
      <c r="O60" s="4" t="str">
        <f>HYPERLINK("D:\Users\Yuman\Desktop\MasterProject\results\squaramide.H_Ph_Ph_H_O_O.vacuum\P2/molview2_start_in.bat", "input.xyz")</f>
        <v>input.xyz</v>
      </c>
      <c r="P60" s="3"/>
      <c r="Q60" s="5" t="s">
        <v>119</v>
      </c>
      <c r="R60" s="3"/>
      <c r="S60" s="3" t="s">
        <v>166</v>
      </c>
    </row>
    <row r="61" spans="1:19" ht="15.75" x14ac:dyDescent="0.25">
      <c r="A61" s="8" t="s">
        <v>118</v>
      </c>
      <c r="B61" s="3" t="s">
        <v>20</v>
      </c>
      <c r="C61" s="3" t="s">
        <v>155</v>
      </c>
      <c r="D61" s="3" t="s">
        <v>160</v>
      </c>
      <c r="E61" s="3" t="s">
        <v>23</v>
      </c>
      <c r="F61" s="3" t="s">
        <v>24</v>
      </c>
      <c r="G61" s="3" t="s">
        <v>24</v>
      </c>
      <c r="H61" s="3" t="s">
        <v>23</v>
      </c>
      <c r="I61" s="3"/>
      <c r="J61" s="3" t="s">
        <v>156</v>
      </c>
      <c r="K61" s="3" t="s">
        <v>156</v>
      </c>
      <c r="L61" s="3" t="s">
        <v>167</v>
      </c>
      <c r="M61" s="4" t="str">
        <f>HYPERLINK("D:\Users\Yuman\Desktop\MasterProject\results\squaramide.H_Ph_Ph_H_O_O.vacuum\P2R_cat_complex", "Directory")</f>
        <v>Directory</v>
      </c>
      <c r="N61" s="4" t="str">
        <f>HYPERLINK("D:\Users\Yuman\Desktop\MasterProject\calculations_test\squaramide.H_Ph_Ph_H_O_O.vacuum\P2R_cat_complex", "Directory")</f>
        <v>Directory</v>
      </c>
      <c r="O61" s="4" t="str">
        <f>HYPERLINK("D:\Users\Yuman\Desktop\MasterProject\results\squaramide.H_Ph_Ph_H_O_O.vacuum\P2R_cat_complex/molview2_start_in.bat", "input.xyz")</f>
        <v>input.xyz</v>
      </c>
      <c r="P61" s="3"/>
      <c r="Q61" s="5" t="s">
        <v>119</v>
      </c>
      <c r="R61" s="3"/>
      <c r="S61" s="3" t="s">
        <v>168</v>
      </c>
    </row>
    <row r="62" spans="1:19" ht="15.75" x14ac:dyDescent="0.25">
      <c r="A62" s="8" t="s">
        <v>118</v>
      </c>
      <c r="B62" s="3" t="s">
        <v>20</v>
      </c>
      <c r="C62" s="3" t="s">
        <v>155</v>
      </c>
      <c r="D62" s="3" t="s">
        <v>163</v>
      </c>
      <c r="E62" s="3" t="s">
        <v>23</v>
      </c>
      <c r="F62" s="3" t="s">
        <v>24</v>
      </c>
      <c r="G62" s="3" t="s">
        <v>24</v>
      </c>
      <c r="H62" s="3" t="s">
        <v>23</v>
      </c>
      <c r="I62" s="3"/>
      <c r="J62" s="3" t="s">
        <v>156</v>
      </c>
      <c r="K62" s="3" t="s">
        <v>156</v>
      </c>
      <c r="L62" s="3" t="s">
        <v>169</v>
      </c>
      <c r="M62" s="4" t="str">
        <f>HYPERLINK("D:\Users\Yuman\Desktop\MasterProject\results\squaramide.H_Ph_Ph_H_O_O.vacuum\P2S_cat_complex", "Directory")</f>
        <v>Directory</v>
      </c>
      <c r="N62" s="4" t="str">
        <f>HYPERLINK("D:\Users\Yuman\Desktop\MasterProject\calculations_test\squaramide.H_Ph_Ph_H_O_O.vacuum\P2S_cat_complex", "Directory")</f>
        <v>Directory</v>
      </c>
      <c r="O62" s="4" t="str">
        <f>HYPERLINK("D:\Users\Yuman\Desktop\MasterProject\results\squaramide.H_Ph_Ph_H_O_O.vacuum\P2S_cat_complex/molview2_start_in.bat", "input.xyz")</f>
        <v>input.xyz</v>
      </c>
      <c r="P62" s="3"/>
      <c r="Q62" s="5" t="s">
        <v>119</v>
      </c>
      <c r="R62" s="3"/>
      <c r="S62" s="3" t="s">
        <v>170</v>
      </c>
    </row>
    <row r="63" spans="1:19" ht="15.75" x14ac:dyDescent="0.25">
      <c r="A63" s="8" t="s">
        <v>118</v>
      </c>
      <c r="B63" s="3" t="s">
        <v>20</v>
      </c>
      <c r="C63" s="3" t="s">
        <v>155</v>
      </c>
      <c r="D63" s="3" t="s">
        <v>22</v>
      </c>
      <c r="E63" s="3"/>
      <c r="F63" s="3"/>
      <c r="G63" s="3"/>
      <c r="H63" s="3"/>
      <c r="I63" s="3"/>
      <c r="J63" s="3"/>
      <c r="K63" s="3"/>
      <c r="L63" s="3" t="s">
        <v>171</v>
      </c>
      <c r="M63" s="4" t="str">
        <f>HYPERLINK("D:\Users\Yuman\Desktop\MasterProject\results\squaramide.H_Ph_Ph_H_O_O.vacuum\rad", "Directory")</f>
        <v>Directory</v>
      </c>
      <c r="N63" s="4" t="str">
        <f>HYPERLINK("D:\Users\Yuman\Desktop\MasterProject\calculations_test\squaramide..vacuum\rad", "Directory")</f>
        <v>Directory</v>
      </c>
      <c r="O63" s="4" t="str">
        <f>HYPERLINK("D:\Users\Yuman\Desktop\MasterProject\results\squaramide.H_Ph_Ph_H_O_O.vacuum\rad/molview2_start_in.bat", "input.xyz")</f>
        <v>input.xyz</v>
      </c>
      <c r="P63" s="3"/>
      <c r="Q63" s="5" t="s">
        <v>119</v>
      </c>
      <c r="R63" s="3"/>
      <c r="S63" s="3" t="s">
        <v>172</v>
      </c>
    </row>
    <row r="64" spans="1:19" ht="15.75" x14ac:dyDescent="0.25">
      <c r="A64" s="8" t="s">
        <v>118</v>
      </c>
      <c r="B64" s="3" t="s">
        <v>20</v>
      </c>
      <c r="C64" s="3" t="s">
        <v>155</v>
      </c>
      <c r="D64" s="3" t="s">
        <v>22</v>
      </c>
      <c r="E64" s="3" t="s">
        <v>23</v>
      </c>
      <c r="F64" s="3" t="s">
        <v>24</v>
      </c>
      <c r="G64" s="3"/>
      <c r="H64" s="3"/>
      <c r="I64" s="3"/>
      <c r="J64" s="3"/>
      <c r="K64" s="3"/>
      <c r="L64" s="3" t="s">
        <v>173</v>
      </c>
      <c r="M64" s="4" t="str">
        <f>HYPERLINK("D:\Users\Yuman\Desktop\MasterProject\results\squaramide.H_Ph_Ph_H_O_O.vacuum\sub", "Directory")</f>
        <v>Directory</v>
      </c>
      <c r="N64" s="4" t="str">
        <f>HYPERLINK("D:\Users\Yuman\Desktop\MasterProject\calculations_test\squaramide.H_Ph.vacuum\sub", "Directory")</f>
        <v>Directory</v>
      </c>
      <c r="O64" s="4" t="str">
        <f>HYPERLINK("D:\Users\Yuman\Desktop\MasterProject\results\squaramide.H_Ph_Ph_H_O_O.vacuum\sub/molview2_start_in.bat", "input.xyz")</f>
        <v>input.xyz</v>
      </c>
      <c r="P64" s="3"/>
      <c r="Q64" s="5" t="s">
        <v>119</v>
      </c>
      <c r="R64" s="3"/>
      <c r="S64" s="3" t="s">
        <v>174</v>
      </c>
    </row>
    <row r="65" spans="1:19" ht="15.75" x14ac:dyDescent="0.25">
      <c r="A65" s="8" t="s">
        <v>118</v>
      </c>
      <c r="B65" s="3" t="s">
        <v>20</v>
      </c>
      <c r="C65" s="3" t="s">
        <v>155</v>
      </c>
      <c r="D65" s="3" t="s">
        <v>22</v>
      </c>
      <c r="E65" s="3" t="s">
        <v>23</v>
      </c>
      <c r="F65" s="3" t="s">
        <v>24</v>
      </c>
      <c r="G65" s="3" t="s">
        <v>24</v>
      </c>
      <c r="H65" s="3" t="s">
        <v>23</v>
      </c>
      <c r="I65" s="3"/>
      <c r="J65" s="3" t="s">
        <v>156</v>
      </c>
      <c r="K65" s="3" t="s">
        <v>156</v>
      </c>
      <c r="L65" s="3" t="s">
        <v>175</v>
      </c>
      <c r="M65" s="4" t="str">
        <f>HYPERLINK("D:\Users\Yuman\Desktop\MasterProject\results\squaramide.H_Ph_Ph_H_O_O.vacuum\sub_cat_complex", "Directory")</f>
        <v>Directory</v>
      </c>
      <c r="N65" s="4" t="str">
        <f>HYPERLINK("D:\Users\Yuman\Desktop\MasterProject\calculations_test\squaramide.H_Ph_Ph_H_O_O.vacuum\sub_cat_complex", "Directory")</f>
        <v>Directory</v>
      </c>
      <c r="O65" s="4" t="str">
        <f>HYPERLINK("D:\Users\Yuman\Desktop\MasterProject\results\squaramide.H_Ph_Ph_H_O_O.vacuum\sub_cat_complex/molview2_start_in.bat", "input.xyz")</f>
        <v>input.xyz</v>
      </c>
      <c r="P65" s="3"/>
      <c r="Q65" s="5" t="s">
        <v>119</v>
      </c>
      <c r="R65" s="3"/>
      <c r="S65" s="3" t="s">
        <v>176</v>
      </c>
    </row>
    <row r="66" spans="1:19" ht="15.75" x14ac:dyDescent="0.25">
      <c r="A66" s="8" t="s">
        <v>118</v>
      </c>
      <c r="B66" s="3" t="s">
        <v>43</v>
      </c>
      <c r="C66" s="3" t="s">
        <v>155</v>
      </c>
      <c r="D66" s="3" t="s">
        <v>160</v>
      </c>
      <c r="E66" s="3" t="s">
        <v>23</v>
      </c>
      <c r="F66" s="3" t="s">
        <v>24</v>
      </c>
      <c r="G66" s="3" t="s">
        <v>24</v>
      </c>
      <c r="H66" s="3" t="s">
        <v>23</v>
      </c>
      <c r="I66" s="3"/>
      <c r="J66" s="3" t="s">
        <v>156</v>
      </c>
      <c r="K66" s="3" t="s">
        <v>156</v>
      </c>
      <c r="L66" s="3" t="s">
        <v>177</v>
      </c>
      <c r="M66" s="4" t="str">
        <f>HYPERLINK("D:\Users\Yuman\Desktop\MasterProject\results\squaramide.H_Ph_Ph_H_O_O.vacuum\TSR", "Directory")</f>
        <v>Directory</v>
      </c>
      <c r="N66" s="4" t="str">
        <f>HYPERLINK("D:\Users\Yuman\Desktop\MasterProject\calculations_test\squaramide.H_Ph_Ph_H_O_O.vacuum\TSR", "Directory")</f>
        <v>Directory</v>
      </c>
      <c r="O66" s="4" t="str">
        <f>HYPERLINK("D:\Users\Yuman\Desktop\MasterProject\results\squaramide.H_Ph_Ph_H_O_O.vacuum\TSR/molview2_start_in.bat", "input.xyz")</f>
        <v>input.xyz</v>
      </c>
      <c r="P66" s="3"/>
      <c r="Q66" s="5" t="s">
        <v>119</v>
      </c>
      <c r="R66" s="3"/>
      <c r="S66" s="3" t="s">
        <v>178</v>
      </c>
    </row>
    <row r="67" spans="1:19" ht="15.75" x14ac:dyDescent="0.25">
      <c r="A67" s="8" t="s">
        <v>118</v>
      </c>
      <c r="B67" s="3" t="s">
        <v>43</v>
      </c>
      <c r="C67" s="3" t="s">
        <v>155</v>
      </c>
      <c r="D67" s="3" t="s">
        <v>163</v>
      </c>
      <c r="E67" s="3" t="s">
        <v>23</v>
      </c>
      <c r="F67" s="3" t="s">
        <v>24</v>
      </c>
      <c r="G67" s="3" t="s">
        <v>24</v>
      </c>
      <c r="H67" s="3" t="s">
        <v>23</v>
      </c>
      <c r="I67" s="3"/>
      <c r="J67" s="3" t="s">
        <v>156</v>
      </c>
      <c r="K67" s="3" t="s">
        <v>156</v>
      </c>
      <c r="L67" s="3" t="s">
        <v>179</v>
      </c>
      <c r="M67" s="4" t="str">
        <f>HYPERLINK("D:\Users\Yuman\Desktop\MasterProject\results\squaramide.H_Ph_Ph_H_O_O.vacuum\TSS", "Directory")</f>
        <v>Directory</v>
      </c>
      <c r="N67" s="4" t="str">
        <f>HYPERLINK("D:\Users\Yuman\Desktop\MasterProject\calculations_test\squaramide.H_Ph_Ph_H_O_O.vacuum\TSS", "Directory")</f>
        <v>Directory</v>
      </c>
      <c r="O67" s="4" t="str">
        <f>HYPERLINK("D:\Users\Yuman\Desktop\MasterProject\results\squaramide.H_Ph_Ph_H_O_O.vacuum\TSS/molview2_start_in.bat", "input.xyz")</f>
        <v>input.xyz</v>
      </c>
      <c r="P67" s="3"/>
      <c r="Q67" s="5" t="s">
        <v>119</v>
      </c>
      <c r="R67" s="3"/>
      <c r="S67" s="3" t="s">
        <v>180</v>
      </c>
    </row>
    <row r="68" spans="1:19" ht="15.75" x14ac:dyDescent="0.25">
      <c r="A68" s="6" t="s">
        <v>30</v>
      </c>
      <c r="B68" s="3" t="s">
        <v>20</v>
      </c>
      <c r="C68" s="3" t="s">
        <v>181</v>
      </c>
      <c r="D68" s="3" t="s">
        <v>160</v>
      </c>
      <c r="E68" s="3" t="s">
        <v>23</v>
      </c>
      <c r="F68" s="3" t="s">
        <v>24</v>
      </c>
      <c r="G68" s="3"/>
      <c r="H68" s="3"/>
      <c r="I68" s="3"/>
      <c r="J68" s="3" t="s">
        <v>156</v>
      </c>
      <c r="K68" s="3"/>
      <c r="L68" s="3" t="s">
        <v>161</v>
      </c>
      <c r="M68" s="4" t="str">
        <f>HYPERLINK("D:\Users\Yuman\Desktop\MasterProject\results\urea_tBu_Ph.H_Ph_O.vacuum\P1R_cat_complex", "Directory")</f>
        <v>Directory</v>
      </c>
      <c r="N68" s="4" t="str">
        <f>HYPERLINK("D:\Users\Yuman\Desktop\MasterProject\calculations_test\urea_tBu_Ph.H_Ph_O.vacuum\P1R_cat_complex", "Directory")</f>
        <v>Directory</v>
      </c>
      <c r="O68" s="4" t="str">
        <f>HYPERLINK("D:\Users\Yuman\Desktop\MasterProject\results\urea_tBu_Ph.H_Ph_O.vacuum\P1R_cat_complex/molview2_start_in.bat", "input.xyz")</f>
        <v>input.xyz</v>
      </c>
      <c r="P68" s="3"/>
      <c r="Q68" s="5" t="s">
        <v>182</v>
      </c>
      <c r="R68" s="3" t="s">
        <v>33</v>
      </c>
      <c r="S68" s="3" t="s">
        <v>183</v>
      </c>
    </row>
    <row r="69" spans="1:19" ht="15.75" x14ac:dyDescent="0.25">
      <c r="A69" s="6" t="s">
        <v>30</v>
      </c>
      <c r="B69" s="3" t="s">
        <v>20</v>
      </c>
      <c r="C69" s="3" t="s">
        <v>181</v>
      </c>
      <c r="D69" s="3" t="s">
        <v>163</v>
      </c>
      <c r="E69" s="3" t="s">
        <v>23</v>
      </c>
      <c r="F69" s="3" t="s">
        <v>24</v>
      </c>
      <c r="G69" s="3"/>
      <c r="H69" s="3"/>
      <c r="I69" s="3"/>
      <c r="J69" s="3" t="s">
        <v>156</v>
      </c>
      <c r="K69" s="3"/>
      <c r="L69" s="3" t="s">
        <v>164</v>
      </c>
      <c r="M69" s="4" t="str">
        <f>HYPERLINK("D:\Users\Yuman\Desktop\MasterProject\results\urea_tBu_Ph.H_Ph_O.vacuum\P1S_cat_complex", "Directory")</f>
        <v>Directory</v>
      </c>
      <c r="N69" s="4" t="str">
        <f>HYPERLINK("D:\Users\Yuman\Desktop\MasterProject\calculations_test\urea_tBu_Ph.H_Ph_O.vacuum\P1S_cat_complex", "Directory")</f>
        <v>Directory</v>
      </c>
      <c r="O69" s="4" t="str">
        <f>HYPERLINK("D:\Users\Yuman\Desktop\MasterProject\results\urea_tBu_Ph.H_Ph_O.vacuum\P1S_cat_complex/molview2_start_in.bat", "input.xyz")</f>
        <v>input.xyz</v>
      </c>
      <c r="P69" s="3"/>
      <c r="Q69" s="5" t="s">
        <v>184</v>
      </c>
      <c r="R69" s="3" t="s">
        <v>33</v>
      </c>
      <c r="S69" s="3" t="s">
        <v>185</v>
      </c>
    </row>
    <row r="70" spans="1:19" ht="15.75" x14ac:dyDescent="0.25">
      <c r="A70" s="6" t="s">
        <v>30</v>
      </c>
      <c r="B70" s="3" t="s">
        <v>20</v>
      </c>
      <c r="C70" s="3" t="s">
        <v>181</v>
      </c>
      <c r="D70" s="3" t="s">
        <v>22</v>
      </c>
      <c r="E70" s="3" t="s">
        <v>23</v>
      </c>
      <c r="F70" s="3" t="s">
        <v>24</v>
      </c>
      <c r="G70" s="3"/>
      <c r="H70" s="3"/>
      <c r="I70" s="3"/>
      <c r="J70" s="3"/>
      <c r="K70" s="3"/>
      <c r="L70" s="3" t="s">
        <v>31</v>
      </c>
      <c r="M70" s="4" t="str">
        <f>HYPERLINK("D:\Users\Yuman\Desktop\MasterProject\results\urea_tBu_Ph.H_Ph_O.vacuum\P2", "Directory")</f>
        <v>Directory</v>
      </c>
      <c r="N70" s="4" t="str">
        <f>HYPERLINK("D:\Users\Yuman\Desktop\MasterProject\calculations_test\urea_tBu_Ph.H_Ph.vacuum\P2", "Directory")</f>
        <v>Directory</v>
      </c>
      <c r="O70" s="4" t="str">
        <f>HYPERLINK("D:\Users\Yuman\Desktop\MasterProject\results\urea_tBu_Ph.H_Ph_O.vacuum\P2/molview2_start_in.bat", "input.xyz")</f>
        <v>input.xyz</v>
      </c>
      <c r="P70" s="3"/>
      <c r="Q70" s="5" t="s">
        <v>186</v>
      </c>
      <c r="R70" s="3" t="s">
        <v>33</v>
      </c>
      <c r="S70" s="3" t="s">
        <v>187</v>
      </c>
    </row>
    <row r="71" spans="1:19" ht="15.75" x14ac:dyDescent="0.25">
      <c r="A71" s="6" t="s">
        <v>30</v>
      </c>
      <c r="B71" s="3" t="s">
        <v>20</v>
      </c>
      <c r="C71" s="3" t="s">
        <v>181</v>
      </c>
      <c r="D71" s="3" t="s">
        <v>160</v>
      </c>
      <c r="E71" s="3" t="s">
        <v>23</v>
      </c>
      <c r="F71" s="3" t="s">
        <v>24</v>
      </c>
      <c r="G71" s="3"/>
      <c r="H71" s="3"/>
      <c r="I71" s="3"/>
      <c r="J71" s="3" t="s">
        <v>156</v>
      </c>
      <c r="K71" s="3"/>
      <c r="L71" s="3" t="s">
        <v>167</v>
      </c>
      <c r="M71" s="4" t="str">
        <f>HYPERLINK("D:\Users\Yuman\Desktop\MasterProject\results\urea_tBu_Ph.H_Ph_O.vacuum\P2R_cat_complex", "Directory")</f>
        <v>Directory</v>
      </c>
      <c r="N71" s="4" t="str">
        <f>HYPERLINK("D:\Users\Yuman\Desktop\MasterProject\calculations_test\urea_tBu_Ph.H_Ph_O.vacuum\P2R_cat_complex", "Directory")</f>
        <v>Directory</v>
      </c>
      <c r="O71" s="4" t="str">
        <f>HYPERLINK("D:\Users\Yuman\Desktop\MasterProject\results\urea_tBu_Ph.H_Ph_O.vacuum\P2R_cat_complex/molview2_start_in.bat", "input.xyz")</f>
        <v>input.xyz</v>
      </c>
      <c r="P71" s="3"/>
      <c r="Q71" s="5" t="s">
        <v>188</v>
      </c>
      <c r="R71" s="3" t="s">
        <v>33</v>
      </c>
      <c r="S71" s="3" t="s">
        <v>189</v>
      </c>
    </row>
    <row r="72" spans="1:19" ht="15.75" x14ac:dyDescent="0.25">
      <c r="A72" s="6" t="s">
        <v>30</v>
      </c>
      <c r="B72" s="3" t="s">
        <v>20</v>
      </c>
      <c r="C72" s="3" t="s">
        <v>181</v>
      </c>
      <c r="D72" s="3" t="s">
        <v>163</v>
      </c>
      <c r="E72" s="3" t="s">
        <v>23</v>
      </c>
      <c r="F72" s="3" t="s">
        <v>24</v>
      </c>
      <c r="G72" s="3"/>
      <c r="H72" s="3"/>
      <c r="I72" s="3"/>
      <c r="J72" s="3" t="s">
        <v>156</v>
      </c>
      <c r="K72" s="3"/>
      <c r="L72" s="3" t="s">
        <v>169</v>
      </c>
      <c r="M72" s="4" t="str">
        <f>HYPERLINK("D:\Users\Yuman\Desktop\MasterProject\results\urea_tBu_Ph.H_Ph_O.vacuum\P2S_cat_complex", "Directory")</f>
        <v>Directory</v>
      </c>
      <c r="N72" s="4" t="str">
        <f>HYPERLINK("D:\Users\Yuman\Desktop\MasterProject\calculations_test\urea_tBu_Ph.H_Ph_O.vacuum\P2S_cat_complex", "Directory")</f>
        <v>Directory</v>
      </c>
      <c r="O72" s="4" t="str">
        <f>HYPERLINK("D:\Users\Yuman\Desktop\MasterProject\results\urea_tBu_Ph.H_Ph_O.vacuum\P2S_cat_complex/molview2_start_in.bat", "input.xyz")</f>
        <v>input.xyz</v>
      </c>
      <c r="P72" s="3"/>
      <c r="Q72" s="5" t="s">
        <v>190</v>
      </c>
      <c r="R72" s="3" t="s">
        <v>33</v>
      </c>
      <c r="S72" s="3" t="s">
        <v>191</v>
      </c>
    </row>
    <row r="73" spans="1:19" ht="15.75" x14ac:dyDescent="0.25">
      <c r="A73" s="6" t="s">
        <v>30</v>
      </c>
      <c r="B73" s="3" t="s">
        <v>20</v>
      </c>
      <c r="C73" s="3" t="s">
        <v>181</v>
      </c>
      <c r="D73" s="3" t="s">
        <v>22</v>
      </c>
      <c r="E73" s="3" t="s">
        <v>23</v>
      </c>
      <c r="F73" s="3" t="s">
        <v>24</v>
      </c>
      <c r="G73" s="3"/>
      <c r="H73" s="3"/>
      <c r="I73" s="3"/>
      <c r="J73" s="3"/>
      <c r="K73" s="3"/>
      <c r="L73" s="3" t="s">
        <v>173</v>
      </c>
      <c r="M73" s="4" t="str">
        <f>HYPERLINK("D:\Users\Yuman\Desktop\MasterProject\results\urea_tBu_Ph.H_Ph_O.vacuum\sub", "Directory")</f>
        <v>Directory</v>
      </c>
      <c r="N73" s="4" t="str">
        <f>HYPERLINK("D:\Users\Yuman\Desktop\MasterProject\calculations_test\urea_tBu_Ph.H_Ph.vacuum\sub", "Directory")</f>
        <v>Directory</v>
      </c>
      <c r="O73" s="4" t="str">
        <f>HYPERLINK("D:\Users\Yuman\Desktop\MasterProject\results\urea_tBu_Ph.H_Ph_O.vacuum\sub/molview2_start_in.bat", "input.xyz")</f>
        <v>input.xyz</v>
      </c>
      <c r="P73" s="3"/>
      <c r="Q73" s="5" t="s">
        <v>192</v>
      </c>
      <c r="R73" s="3" t="s">
        <v>33</v>
      </c>
      <c r="S73" s="3" t="s">
        <v>193</v>
      </c>
    </row>
    <row r="74" spans="1:19" ht="15.75" x14ac:dyDescent="0.25">
      <c r="A74" s="6" t="s">
        <v>30</v>
      </c>
      <c r="B74" s="3" t="s">
        <v>20</v>
      </c>
      <c r="C74" s="3" t="s">
        <v>181</v>
      </c>
      <c r="D74" s="3" t="s">
        <v>22</v>
      </c>
      <c r="E74" s="3" t="s">
        <v>23</v>
      </c>
      <c r="F74" s="3" t="s">
        <v>24</v>
      </c>
      <c r="G74" s="3"/>
      <c r="H74" s="3"/>
      <c r="I74" s="3"/>
      <c r="J74" s="3" t="s">
        <v>156</v>
      </c>
      <c r="K74" s="3"/>
      <c r="L74" s="3" t="s">
        <v>175</v>
      </c>
      <c r="M74" s="4" t="str">
        <f>HYPERLINK("D:\Users\Yuman\Desktop\MasterProject\results\urea_tBu_Ph.H_Ph_O.vacuum\sub_cat_complex", "Directory")</f>
        <v>Directory</v>
      </c>
      <c r="N74" s="4" t="str">
        <f>HYPERLINK("D:\Users\Yuman\Desktop\MasterProject\calculations_test\urea_tBu_Ph.H_Ph_O.vacuum\sub_cat_complex", "Directory")</f>
        <v>Directory</v>
      </c>
      <c r="O74" s="4" t="str">
        <f>HYPERLINK("D:\Users\Yuman\Desktop\MasterProject\results\urea_tBu_Ph.H_Ph_O.vacuum\sub_cat_complex/molview2_start_in.bat", "input.xyz")</f>
        <v>input.xyz</v>
      </c>
      <c r="P74" s="3"/>
      <c r="Q74" s="5" t="s">
        <v>194</v>
      </c>
      <c r="R74" s="3" t="s">
        <v>33</v>
      </c>
      <c r="S74" s="3" t="s">
        <v>195</v>
      </c>
    </row>
    <row r="75" spans="1:19" ht="15.75" x14ac:dyDescent="0.25">
      <c r="A75" s="6" t="s">
        <v>30</v>
      </c>
      <c r="B75" s="3" t="s">
        <v>43</v>
      </c>
      <c r="C75" s="3" t="s">
        <v>181</v>
      </c>
      <c r="D75" s="3" t="s">
        <v>160</v>
      </c>
      <c r="E75" s="3" t="s">
        <v>23</v>
      </c>
      <c r="F75" s="3" t="s">
        <v>24</v>
      </c>
      <c r="G75" s="3"/>
      <c r="H75" s="3"/>
      <c r="I75" s="3"/>
      <c r="J75" s="3" t="s">
        <v>156</v>
      </c>
      <c r="K75" s="3"/>
      <c r="L75" s="3" t="s">
        <v>177</v>
      </c>
      <c r="M75" s="4" t="str">
        <f>HYPERLINK("D:\Users\Yuman\Desktop\MasterProject\results\urea_tBu_Ph.H_Ph_O.vacuum\TSR", "Directory")</f>
        <v>Directory</v>
      </c>
      <c r="N75" s="4" t="str">
        <f>HYPERLINK("D:\Users\Yuman\Desktop\MasterProject\calculations_test\urea_tBu_Ph.H_Ph_O.vacuum\TSR", "Directory")</f>
        <v>Directory</v>
      </c>
      <c r="O75" s="4" t="str">
        <f>HYPERLINK("D:\Users\Yuman\Desktop\MasterProject\results\urea_tBu_Ph.H_Ph_O.vacuum\TSR/molview2_start_in.bat", "input.xyz")</f>
        <v>input.xyz</v>
      </c>
      <c r="P75" s="3"/>
      <c r="Q75" s="5" t="s">
        <v>196</v>
      </c>
      <c r="R75" s="3" t="s">
        <v>33</v>
      </c>
      <c r="S75" s="3" t="s">
        <v>197</v>
      </c>
    </row>
    <row r="76" spans="1:19" ht="15.75" x14ac:dyDescent="0.25">
      <c r="A76" s="9" t="s">
        <v>198</v>
      </c>
      <c r="B76" s="3" t="s">
        <v>43</v>
      </c>
      <c r="C76" s="3" t="s">
        <v>181</v>
      </c>
      <c r="D76" s="3" t="s">
        <v>163</v>
      </c>
      <c r="E76" s="3" t="s">
        <v>23</v>
      </c>
      <c r="F76" s="3" t="s">
        <v>24</v>
      </c>
      <c r="G76" s="3"/>
      <c r="H76" s="3"/>
      <c r="I76" s="3"/>
      <c r="J76" s="3" t="s">
        <v>156</v>
      </c>
      <c r="K76" s="3"/>
      <c r="L76" s="3" t="s">
        <v>179</v>
      </c>
      <c r="M76" s="4" t="str">
        <f>HYPERLINK("D:\Users\Yuman\Desktop\MasterProject\results\urea_tBu_Ph.H_Ph_O.vacuum\TSS", "Directory")</f>
        <v>Directory</v>
      </c>
      <c r="N76" s="4" t="str">
        <f>HYPERLINK("D:\Users\Yuman\Desktop\MasterProject\calculations_test\urea_tBu_Ph.H_Ph_O.vacuum\TSS", "Directory")</f>
        <v>Directory</v>
      </c>
      <c r="O76" s="4" t="str">
        <f>HYPERLINK("D:\Users\Yuman\Desktop\MasterProject\results\urea_tBu_Ph.H_Ph_O.vacuum\TSS/molview2_start_in.bat", "input.xyz")</f>
        <v>input.xyz</v>
      </c>
      <c r="P76" s="3"/>
      <c r="Q76" s="5" t="s">
        <v>199</v>
      </c>
      <c r="R76" s="3" t="s">
        <v>28</v>
      </c>
      <c r="S76" s="3" t="s">
        <v>200</v>
      </c>
    </row>
    <row r="77" spans="1:19" ht="15.75" x14ac:dyDescent="0.25">
      <c r="A77" s="6" t="s">
        <v>30</v>
      </c>
      <c r="B77" s="3" t="s">
        <v>20</v>
      </c>
      <c r="C77" s="3" t="s">
        <v>181</v>
      </c>
      <c r="D77" s="3" t="s">
        <v>22</v>
      </c>
      <c r="E77" s="3"/>
      <c r="F77" s="3"/>
      <c r="G77" s="3"/>
      <c r="H77" s="3"/>
      <c r="I77" s="3"/>
      <c r="J77" s="3" t="s">
        <v>163</v>
      </c>
      <c r="K77" s="3"/>
      <c r="L77" s="3" t="s">
        <v>157</v>
      </c>
      <c r="M77" s="4" t="str">
        <f>HYPERLINK("D:\Users\Yuman\Desktop\MasterProject\results\urea_tBu_Ph.H_Ph_S.vacuum\cat", "Directory")</f>
        <v>Directory</v>
      </c>
      <c r="N77" s="4" t="str">
        <f>HYPERLINK("D:\Users\Yuman\Desktop\MasterProject\calculations_test\urea_tBu_Ph.S.vacuum\cat", "Directory")</f>
        <v>Directory</v>
      </c>
      <c r="O77" s="4" t="str">
        <f>HYPERLINK("D:\Users\Yuman\Desktop\MasterProject\results\urea_tBu_Ph.H_Ph_S.vacuum\cat/molview2_start_in.bat", "input.xyz")</f>
        <v>input.xyz</v>
      </c>
      <c r="P77" s="3"/>
      <c r="Q77" s="5" t="s">
        <v>201</v>
      </c>
      <c r="R77" s="3" t="s">
        <v>33</v>
      </c>
      <c r="S77" s="3" t="s">
        <v>202</v>
      </c>
    </row>
    <row r="78" spans="1:19" ht="15.75" x14ac:dyDescent="0.25">
      <c r="A78" s="9" t="s">
        <v>198</v>
      </c>
      <c r="B78" s="3" t="s">
        <v>20</v>
      </c>
      <c r="C78" s="3" t="s">
        <v>181</v>
      </c>
      <c r="D78" s="3" t="s">
        <v>160</v>
      </c>
      <c r="E78" s="3" t="s">
        <v>23</v>
      </c>
      <c r="F78" s="3" t="s">
        <v>24</v>
      </c>
      <c r="G78" s="3"/>
      <c r="H78" s="3"/>
      <c r="I78" s="3"/>
      <c r="J78" s="3" t="s">
        <v>163</v>
      </c>
      <c r="K78" s="3"/>
      <c r="L78" s="3" t="s">
        <v>161</v>
      </c>
      <c r="M78" s="4" t="str">
        <f>HYPERLINK("D:\Users\Yuman\Desktop\MasterProject\results\urea_tBu_Ph.H_Ph_S.vacuum\P1R_cat_complex", "Directory")</f>
        <v>Directory</v>
      </c>
      <c r="N78" s="4" t="str">
        <f>HYPERLINK("D:\Users\Yuman\Desktop\MasterProject\calculations_test\urea_tBu_Ph.H_Ph_S.vacuum\P1R_cat_complex", "Directory")</f>
        <v>Directory</v>
      </c>
      <c r="O78" s="4" t="str">
        <f>HYPERLINK("D:\Users\Yuman\Desktop\MasterProject\results\urea_tBu_Ph.H_Ph_S.vacuum\P1R_cat_complex/molview2_start_in.bat", "input.xyz")</f>
        <v>input.xyz</v>
      </c>
      <c r="P78" s="3"/>
      <c r="Q78" s="5" t="s">
        <v>203</v>
      </c>
      <c r="R78" s="3" t="s">
        <v>28</v>
      </c>
      <c r="S78" s="3" t="s">
        <v>204</v>
      </c>
    </row>
    <row r="79" spans="1:19" ht="15.75" x14ac:dyDescent="0.25">
      <c r="A79" s="9" t="s">
        <v>198</v>
      </c>
      <c r="B79" s="3" t="s">
        <v>20</v>
      </c>
      <c r="C79" s="3" t="s">
        <v>181</v>
      </c>
      <c r="D79" s="3" t="s">
        <v>163</v>
      </c>
      <c r="E79" s="3" t="s">
        <v>23</v>
      </c>
      <c r="F79" s="3" t="s">
        <v>24</v>
      </c>
      <c r="G79" s="3"/>
      <c r="H79" s="3"/>
      <c r="I79" s="3"/>
      <c r="J79" s="3" t="s">
        <v>163</v>
      </c>
      <c r="K79" s="3"/>
      <c r="L79" s="3" t="s">
        <v>164</v>
      </c>
      <c r="M79" s="4" t="str">
        <f>HYPERLINK("D:\Users\Yuman\Desktop\MasterProject\results\urea_tBu_Ph.H_Ph_S.vacuum\P1S_cat_complex", "Directory")</f>
        <v>Directory</v>
      </c>
      <c r="N79" s="4" t="str">
        <f>HYPERLINK("D:\Users\Yuman\Desktop\MasterProject\calculations_test\urea_tBu_Ph.H_Ph_S.vacuum\P1S_cat_complex", "Directory")</f>
        <v>Directory</v>
      </c>
      <c r="O79" s="4" t="str">
        <f>HYPERLINK("D:\Users\Yuman\Desktop\MasterProject\results\urea_tBu_Ph.H_Ph_S.vacuum\P1S_cat_complex/molview2_start_in.bat", "input.xyz")</f>
        <v>input.xyz</v>
      </c>
      <c r="P79" s="3"/>
      <c r="Q79" s="5" t="s">
        <v>205</v>
      </c>
      <c r="R79" s="3" t="s">
        <v>28</v>
      </c>
      <c r="S79" s="3" t="s">
        <v>206</v>
      </c>
    </row>
    <row r="80" spans="1:19" ht="15.75" x14ac:dyDescent="0.25">
      <c r="A80" s="6" t="s">
        <v>30</v>
      </c>
      <c r="B80" s="3" t="s">
        <v>20</v>
      </c>
      <c r="C80" s="3" t="s">
        <v>181</v>
      </c>
      <c r="D80" s="3" t="s">
        <v>160</v>
      </c>
      <c r="E80" s="3" t="s">
        <v>23</v>
      </c>
      <c r="F80" s="3" t="s">
        <v>24</v>
      </c>
      <c r="G80" s="3"/>
      <c r="H80" s="3"/>
      <c r="I80" s="3"/>
      <c r="J80" s="3" t="s">
        <v>163</v>
      </c>
      <c r="K80" s="3"/>
      <c r="L80" s="3" t="s">
        <v>167</v>
      </c>
      <c r="M80" s="4" t="str">
        <f>HYPERLINK("D:\Users\Yuman\Desktop\MasterProject\results\urea_tBu_Ph.H_Ph_S.vacuum\P2R_cat_complex", "Directory")</f>
        <v>Directory</v>
      </c>
      <c r="N80" s="4" t="str">
        <f>HYPERLINK("D:\Users\Yuman\Desktop\MasterProject\calculations_test\urea_tBu_Ph.H_Ph_S.vacuum\P2R_cat_complex", "Directory")</f>
        <v>Directory</v>
      </c>
      <c r="O80" s="4" t="str">
        <f>HYPERLINK("D:\Users\Yuman\Desktop\MasterProject\results\urea_tBu_Ph.H_Ph_S.vacuum\P2R_cat_complex/molview2_start_in.bat", "input.xyz")</f>
        <v>input.xyz</v>
      </c>
      <c r="P80" s="3"/>
      <c r="Q80" s="5" t="s">
        <v>207</v>
      </c>
      <c r="R80" s="3" t="s">
        <v>33</v>
      </c>
      <c r="S80" s="3" t="s">
        <v>208</v>
      </c>
    </row>
    <row r="81" spans="1:19" ht="15.75" x14ac:dyDescent="0.25">
      <c r="A81" s="6" t="s">
        <v>30</v>
      </c>
      <c r="B81" s="3" t="s">
        <v>20</v>
      </c>
      <c r="C81" s="3" t="s">
        <v>181</v>
      </c>
      <c r="D81" s="3" t="s">
        <v>163</v>
      </c>
      <c r="E81" s="3" t="s">
        <v>23</v>
      </c>
      <c r="F81" s="3" t="s">
        <v>24</v>
      </c>
      <c r="G81" s="3"/>
      <c r="H81" s="3"/>
      <c r="I81" s="3"/>
      <c r="J81" s="3" t="s">
        <v>163</v>
      </c>
      <c r="K81" s="3"/>
      <c r="L81" s="3" t="s">
        <v>169</v>
      </c>
      <c r="M81" s="4" t="str">
        <f>HYPERLINK("D:\Users\Yuman\Desktop\MasterProject\results\urea_tBu_Ph.H_Ph_S.vacuum\P2S_cat_complex", "Directory")</f>
        <v>Directory</v>
      </c>
      <c r="N81" s="4" t="str">
        <f>HYPERLINK("D:\Users\Yuman\Desktop\MasterProject\calculations_test\urea_tBu_Ph.H_Ph_S.vacuum\P2S_cat_complex", "Directory")</f>
        <v>Directory</v>
      </c>
      <c r="O81" s="4" t="str">
        <f>HYPERLINK("D:\Users\Yuman\Desktop\MasterProject\results\urea_tBu_Ph.H_Ph_S.vacuum\P2S_cat_complex/molview2_start_in.bat", "input.xyz")</f>
        <v>input.xyz</v>
      </c>
      <c r="P81" s="3"/>
      <c r="Q81" s="5" t="s">
        <v>209</v>
      </c>
      <c r="R81" s="3" t="s">
        <v>33</v>
      </c>
      <c r="S81" s="3" t="s">
        <v>210</v>
      </c>
    </row>
    <row r="82" spans="1:19" ht="15.75" x14ac:dyDescent="0.25">
      <c r="A82" s="8" t="s">
        <v>118</v>
      </c>
      <c r="B82" s="3" t="s">
        <v>20</v>
      </c>
      <c r="C82" s="3" t="s">
        <v>181</v>
      </c>
      <c r="D82" s="3" t="s">
        <v>22</v>
      </c>
      <c r="E82" s="3" t="s">
        <v>23</v>
      </c>
      <c r="F82" s="3" t="s">
        <v>24</v>
      </c>
      <c r="G82" s="3"/>
      <c r="H82" s="3"/>
      <c r="I82" s="3"/>
      <c r="J82" s="3" t="s">
        <v>163</v>
      </c>
      <c r="K82" s="3"/>
      <c r="L82" s="3" t="s">
        <v>175</v>
      </c>
      <c r="M82" s="4" t="str">
        <f>HYPERLINK("D:\Users\Yuman\Desktop\MasterProject\results\urea_tBu_Ph.H_Ph_S.vacuum\sub_cat_complex", "Directory")</f>
        <v>Directory</v>
      </c>
      <c r="N82" s="4" t="str">
        <f>HYPERLINK("D:\Users\Yuman\Desktop\MasterProject\calculations_test\urea_tBu_Ph.H_Ph_S.vacuum\sub_cat_complex", "Directory")</f>
        <v>Directory</v>
      </c>
      <c r="O82" s="4" t="str">
        <f>HYPERLINK("D:\Users\Yuman\Desktop\MasterProject\results\urea_tBu_Ph.H_Ph_S.vacuum\sub_cat_complex/molview2_start_in.bat", "input.xyz")</f>
        <v>input.xyz</v>
      </c>
      <c r="P82" s="3"/>
      <c r="Q82" s="5" t="s">
        <v>119</v>
      </c>
      <c r="R82" s="3"/>
      <c r="S82" s="3" t="s">
        <v>211</v>
      </c>
    </row>
    <row r="83" spans="1:19" ht="15.75" x14ac:dyDescent="0.25">
      <c r="A83" s="8" t="s">
        <v>118</v>
      </c>
      <c r="B83" s="3" t="s">
        <v>43</v>
      </c>
      <c r="C83" s="3" t="s">
        <v>181</v>
      </c>
      <c r="D83" s="3" t="s">
        <v>160</v>
      </c>
      <c r="E83" s="3" t="s">
        <v>23</v>
      </c>
      <c r="F83" s="3" t="s">
        <v>24</v>
      </c>
      <c r="G83" s="3"/>
      <c r="H83" s="3"/>
      <c r="I83" s="3"/>
      <c r="J83" s="3" t="s">
        <v>163</v>
      </c>
      <c r="K83" s="3"/>
      <c r="L83" s="3" t="s">
        <v>177</v>
      </c>
      <c r="M83" s="4" t="str">
        <f>HYPERLINK("D:\Users\Yuman\Desktop\MasterProject\results\urea_tBu_Ph.H_Ph_S.vacuum\TSR", "Directory")</f>
        <v>Directory</v>
      </c>
      <c r="N83" s="4" t="str">
        <f>HYPERLINK("D:\Users\Yuman\Desktop\MasterProject\calculations_test\urea_tBu_Ph.H_Ph_S.vacuum\TSR", "Directory")</f>
        <v>Directory</v>
      </c>
      <c r="O83" s="4" t="str">
        <f>HYPERLINK("D:\Users\Yuman\Desktop\MasterProject\results\urea_tBu_Ph.H_Ph_S.vacuum\TSR/molview2_start_in.bat", "input.xyz")</f>
        <v>input.xyz</v>
      </c>
      <c r="P83" s="3"/>
      <c r="Q83" s="5" t="s">
        <v>119</v>
      </c>
      <c r="R83" s="3"/>
      <c r="S83" s="3" t="s">
        <v>212</v>
      </c>
    </row>
    <row r="84" spans="1:19" ht="15.75" x14ac:dyDescent="0.25">
      <c r="A84" s="8" t="s">
        <v>118</v>
      </c>
      <c r="B84" s="3" t="s">
        <v>43</v>
      </c>
      <c r="C84" s="3" t="s">
        <v>181</v>
      </c>
      <c r="D84" s="3" t="s">
        <v>163</v>
      </c>
      <c r="E84" s="3" t="s">
        <v>23</v>
      </c>
      <c r="F84" s="3" t="s">
        <v>24</v>
      </c>
      <c r="G84" s="3"/>
      <c r="H84" s="3"/>
      <c r="I84" s="3"/>
      <c r="J84" s="3" t="s">
        <v>163</v>
      </c>
      <c r="K84" s="3"/>
      <c r="L84" s="3" t="s">
        <v>179</v>
      </c>
      <c r="M84" s="4" t="str">
        <f>HYPERLINK("D:\Users\Yuman\Desktop\MasterProject\results\urea_tBu_Ph.H_Ph_S.vacuum\TSS", "Directory")</f>
        <v>Directory</v>
      </c>
      <c r="N84" s="4" t="str">
        <f>HYPERLINK("D:\Users\Yuman\Desktop\MasterProject\calculations_test\urea_tBu_Ph.H_Ph_S.vacuum\TSS", "Directory")</f>
        <v>Directory</v>
      </c>
      <c r="O84" s="4" t="str">
        <f>HYPERLINK("D:\Users\Yuman\Desktop\MasterProject\results\urea_tBu_Ph.H_Ph_S.vacuum\TSS/molview2_start_in.bat", "input.xyz")</f>
        <v>input.xyz</v>
      </c>
      <c r="P84" s="3"/>
      <c r="Q84" s="5" t="s">
        <v>119</v>
      </c>
      <c r="R84" s="3"/>
      <c r="S84" s="3" t="s">
        <v>213</v>
      </c>
    </row>
    <row r="85" spans="1:19" ht="15.75" x14ac:dyDescent="0.25">
      <c r="A85" s="6" t="s">
        <v>30</v>
      </c>
      <c r="B85" s="3" t="s">
        <v>20</v>
      </c>
      <c r="C85" s="3" t="s">
        <v>181</v>
      </c>
      <c r="D85" s="3" t="s">
        <v>22</v>
      </c>
      <c r="E85" s="3"/>
      <c r="F85" s="3"/>
      <c r="G85" s="3"/>
      <c r="H85" s="3"/>
      <c r="I85" s="3"/>
      <c r="J85" s="3" t="s">
        <v>156</v>
      </c>
      <c r="K85" s="3"/>
      <c r="L85" s="3" t="s">
        <v>157</v>
      </c>
      <c r="M85" s="4" t="str">
        <f>HYPERLINK("D:\Users\Yuman\Desktop\MasterProject\results\urea_tBu_Ph.H_tBu_O.vacuum\cat", "Directory")</f>
        <v>Directory</v>
      </c>
      <c r="N85" s="4" t="str">
        <f>HYPERLINK("D:\Users\Yuman\Desktop\MasterProject\calculations_test\urea_tBu_Ph.O.vacuum\cat", "Directory")</f>
        <v>Directory</v>
      </c>
      <c r="O85" s="4" t="str">
        <f>HYPERLINK("D:\Users\Yuman\Desktop\MasterProject\results\urea_tBu_Ph.H_tBu_O.vacuum\cat/molview2_start_in.bat", "input.xyz")</f>
        <v>input.xyz</v>
      </c>
      <c r="P85" s="3"/>
      <c r="Q85" s="5" t="s">
        <v>214</v>
      </c>
      <c r="R85" s="3" t="s">
        <v>33</v>
      </c>
      <c r="S85" s="3" t="s">
        <v>215</v>
      </c>
    </row>
    <row r="86" spans="1:19" ht="15.75" x14ac:dyDescent="0.25">
      <c r="A86" s="7" t="s">
        <v>35</v>
      </c>
      <c r="B86" s="3" t="s">
        <v>20</v>
      </c>
      <c r="C86" s="3" t="s">
        <v>181</v>
      </c>
      <c r="D86" s="3" t="s">
        <v>22</v>
      </c>
      <c r="E86" s="3"/>
      <c r="F86" s="3"/>
      <c r="G86" s="3"/>
      <c r="H86" s="3"/>
      <c r="I86" s="3"/>
      <c r="J86" s="3"/>
      <c r="K86" s="3"/>
      <c r="L86" s="3" t="s">
        <v>23</v>
      </c>
      <c r="M86" s="4" t="str">
        <f>HYPERLINK("D:\Users\Yuman\Desktop\MasterProject\results\urea_tBu_Ph.H_tBu_O.vacuum\H", "Directory")</f>
        <v>Directory</v>
      </c>
      <c r="N86" s="4" t="str">
        <f>HYPERLINK("D:\Users\Yuman\Desktop\MasterProject\calculations_test\urea_tBu_Ph..vacuum\H", "Directory")</f>
        <v>Directory</v>
      </c>
      <c r="O86" s="4" t="str">
        <f>HYPERLINK("D:\Users\Yuman\Desktop\MasterProject\results\urea_tBu_Ph.H_tBu_O.vacuum\H/molview2_start_in.bat", "input.xyz")</f>
        <v>input.xyz</v>
      </c>
      <c r="P86" s="3"/>
      <c r="Q86" s="5" t="s">
        <v>216</v>
      </c>
      <c r="R86" s="3" t="s">
        <v>33</v>
      </c>
      <c r="S86" s="3" t="s">
        <v>217</v>
      </c>
    </row>
    <row r="87" spans="1:19" ht="15.75" x14ac:dyDescent="0.25">
      <c r="A87" s="6" t="s">
        <v>30</v>
      </c>
      <c r="B87" s="3" t="s">
        <v>20</v>
      </c>
      <c r="C87" s="3" t="s">
        <v>181</v>
      </c>
      <c r="D87" s="3" t="s">
        <v>160</v>
      </c>
      <c r="E87" s="3" t="s">
        <v>23</v>
      </c>
      <c r="F87" s="3" t="s">
        <v>97</v>
      </c>
      <c r="G87" s="3"/>
      <c r="H87" s="3"/>
      <c r="I87" s="3"/>
      <c r="J87" s="3" t="s">
        <v>156</v>
      </c>
      <c r="K87" s="3"/>
      <c r="L87" s="3" t="s">
        <v>161</v>
      </c>
      <c r="M87" s="4" t="str">
        <f>HYPERLINK("D:\Users\Yuman\Desktop\MasterProject\results\urea_tBu_Ph.H_tBu_O.vacuum\P1R_cat_complex", "Directory")</f>
        <v>Directory</v>
      </c>
      <c r="N87" s="4" t="str">
        <f>HYPERLINK("D:\Users\Yuman\Desktop\MasterProject\calculations_test\urea_tBu_Ph.H_tBu_O.vacuum\P1R_cat_complex", "Directory")</f>
        <v>Directory</v>
      </c>
      <c r="O87" s="4" t="str">
        <f>HYPERLINK("D:\Users\Yuman\Desktop\MasterProject\results\urea_tBu_Ph.H_tBu_O.vacuum\P1R_cat_complex/molview2_start_in.bat", "input.xyz")</f>
        <v>input.xyz</v>
      </c>
      <c r="P87" s="3"/>
      <c r="Q87" s="5" t="s">
        <v>218</v>
      </c>
      <c r="R87" s="3" t="s">
        <v>33</v>
      </c>
      <c r="S87" s="3" t="s">
        <v>219</v>
      </c>
    </row>
    <row r="88" spans="1:19" ht="15.75" x14ac:dyDescent="0.25">
      <c r="A88" s="6" t="s">
        <v>30</v>
      </c>
      <c r="B88" s="3" t="s">
        <v>20</v>
      </c>
      <c r="C88" s="3" t="s">
        <v>181</v>
      </c>
      <c r="D88" s="3" t="s">
        <v>163</v>
      </c>
      <c r="E88" s="3" t="s">
        <v>23</v>
      </c>
      <c r="F88" s="3" t="s">
        <v>97</v>
      </c>
      <c r="G88" s="3"/>
      <c r="H88" s="3"/>
      <c r="I88" s="3"/>
      <c r="J88" s="3" t="s">
        <v>156</v>
      </c>
      <c r="K88" s="3"/>
      <c r="L88" s="3" t="s">
        <v>164</v>
      </c>
      <c r="M88" s="4" t="str">
        <f>HYPERLINK("D:\Users\Yuman\Desktop\MasterProject\results\urea_tBu_Ph.H_tBu_O.vacuum\P1S_cat_complex", "Directory")</f>
        <v>Directory</v>
      </c>
      <c r="N88" s="4" t="str">
        <f>HYPERLINK("D:\Users\Yuman\Desktop\MasterProject\calculations_test\urea_tBu_Ph.H_tBu_O.vacuum\P1S_cat_complex", "Directory")</f>
        <v>Directory</v>
      </c>
      <c r="O88" s="4" t="str">
        <f>HYPERLINK("D:\Users\Yuman\Desktop\MasterProject\results\urea_tBu_Ph.H_tBu_O.vacuum\P1S_cat_complex/molview2_start_in.bat", "input.xyz")</f>
        <v>input.xyz</v>
      </c>
      <c r="P88" s="3"/>
      <c r="Q88" s="5" t="s">
        <v>220</v>
      </c>
      <c r="R88" s="3" t="s">
        <v>33</v>
      </c>
      <c r="S88" s="3" t="s">
        <v>221</v>
      </c>
    </row>
    <row r="89" spans="1:19" ht="15.75" x14ac:dyDescent="0.25">
      <c r="A89" s="6" t="s">
        <v>30</v>
      </c>
      <c r="B89" s="3" t="s">
        <v>20</v>
      </c>
      <c r="C89" s="3" t="s">
        <v>181</v>
      </c>
      <c r="D89" s="3" t="s">
        <v>22</v>
      </c>
      <c r="E89" s="3" t="s">
        <v>23</v>
      </c>
      <c r="F89" s="3" t="s">
        <v>97</v>
      </c>
      <c r="G89" s="3"/>
      <c r="H89" s="3"/>
      <c r="I89" s="3"/>
      <c r="J89" s="3"/>
      <c r="K89" s="3"/>
      <c r="L89" s="3" t="s">
        <v>31</v>
      </c>
      <c r="M89" s="4" t="str">
        <f>HYPERLINK("D:\Users\Yuman\Desktop\MasterProject\results\urea_tBu_Ph.H_tBu_O.vacuum\P2", "Directory")</f>
        <v>Directory</v>
      </c>
      <c r="N89" s="4" t="str">
        <f>HYPERLINK("D:\Users\Yuman\Desktop\MasterProject\calculations_test\urea_tBu_Ph.H_tBu.vacuum\P2", "Directory")</f>
        <v>Directory</v>
      </c>
      <c r="O89" s="4" t="str">
        <f>HYPERLINK("D:\Users\Yuman\Desktop\MasterProject\results\urea_tBu_Ph.H_tBu_O.vacuum\P2/molview2_start_in.bat", "input.xyz")</f>
        <v>input.xyz</v>
      </c>
      <c r="P89" s="3"/>
      <c r="Q89" s="5" t="s">
        <v>222</v>
      </c>
      <c r="R89" s="3" t="s">
        <v>33</v>
      </c>
      <c r="S89" s="3" t="s">
        <v>223</v>
      </c>
    </row>
    <row r="90" spans="1:19" ht="15.75" x14ac:dyDescent="0.25">
      <c r="A90" s="6" t="s">
        <v>30</v>
      </c>
      <c r="B90" s="3" t="s">
        <v>20</v>
      </c>
      <c r="C90" s="3" t="s">
        <v>181</v>
      </c>
      <c r="D90" s="3" t="s">
        <v>160</v>
      </c>
      <c r="E90" s="3" t="s">
        <v>23</v>
      </c>
      <c r="F90" s="3" t="s">
        <v>97</v>
      </c>
      <c r="G90" s="3"/>
      <c r="H90" s="3"/>
      <c r="I90" s="3"/>
      <c r="J90" s="3" t="s">
        <v>156</v>
      </c>
      <c r="K90" s="3"/>
      <c r="L90" s="3" t="s">
        <v>167</v>
      </c>
      <c r="M90" s="4" t="str">
        <f>HYPERLINK("D:\Users\Yuman\Desktop\MasterProject\results\urea_tBu_Ph.H_tBu_O.vacuum\P2R_cat_complex", "Directory")</f>
        <v>Directory</v>
      </c>
      <c r="N90" s="4" t="str">
        <f>HYPERLINK("D:\Users\Yuman\Desktop\MasterProject\calculations_test\urea_tBu_Ph.H_tBu_O.vacuum\P2R_cat_complex", "Directory")</f>
        <v>Directory</v>
      </c>
      <c r="O90" s="4" t="str">
        <f>HYPERLINK("D:\Users\Yuman\Desktop\MasterProject\results\urea_tBu_Ph.H_tBu_O.vacuum\P2R_cat_complex/molview2_start_in.bat", "input.xyz")</f>
        <v>input.xyz</v>
      </c>
      <c r="P90" s="3"/>
      <c r="Q90" s="5" t="s">
        <v>224</v>
      </c>
      <c r="R90" s="3" t="s">
        <v>33</v>
      </c>
      <c r="S90" s="3" t="s">
        <v>225</v>
      </c>
    </row>
    <row r="91" spans="1:19" ht="15.75" x14ac:dyDescent="0.25">
      <c r="A91" s="6" t="s">
        <v>30</v>
      </c>
      <c r="B91" s="3" t="s">
        <v>20</v>
      </c>
      <c r="C91" s="3" t="s">
        <v>181</v>
      </c>
      <c r="D91" s="3" t="s">
        <v>163</v>
      </c>
      <c r="E91" s="3" t="s">
        <v>23</v>
      </c>
      <c r="F91" s="3" t="s">
        <v>97</v>
      </c>
      <c r="G91" s="3"/>
      <c r="H91" s="3"/>
      <c r="I91" s="3"/>
      <c r="J91" s="3" t="s">
        <v>156</v>
      </c>
      <c r="K91" s="3"/>
      <c r="L91" s="3" t="s">
        <v>169</v>
      </c>
      <c r="M91" s="4" t="str">
        <f>HYPERLINK("D:\Users\Yuman\Desktop\MasterProject\results\urea_tBu_Ph.H_tBu_O.vacuum\P2S_cat_complex", "Directory")</f>
        <v>Directory</v>
      </c>
      <c r="N91" s="4" t="str">
        <f>HYPERLINK("D:\Users\Yuman\Desktop\MasterProject\calculations_test\urea_tBu_Ph.H_tBu_O.vacuum\P2S_cat_complex", "Directory")</f>
        <v>Directory</v>
      </c>
      <c r="O91" s="4" t="str">
        <f>HYPERLINK("D:\Users\Yuman\Desktop\MasterProject\results\urea_tBu_Ph.H_tBu_O.vacuum\P2S_cat_complex/molview2_start_in.bat", "input.xyz")</f>
        <v>input.xyz</v>
      </c>
      <c r="P91" s="3"/>
      <c r="Q91" s="5" t="s">
        <v>226</v>
      </c>
      <c r="R91" s="3" t="s">
        <v>33</v>
      </c>
      <c r="S91" s="3" t="s">
        <v>227</v>
      </c>
    </row>
    <row r="92" spans="1:19" ht="15.75" x14ac:dyDescent="0.25">
      <c r="A92" s="6" t="s">
        <v>30</v>
      </c>
      <c r="B92" s="3" t="s">
        <v>20</v>
      </c>
      <c r="C92" s="3" t="s">
        <v>181</v>
      </c>
      <c r="D92" s="3" t="s">
        <v>22</v>
      </c>
      <c r="E92" s="3"/>
      <c r="F92" s="3"/>
      <c r="G92" s="3"/>
      <c r="H92" s="3"/>
      <c r="I92" s="3"/>
      <c r="J92" s="3"/>
      <c r="K92" s="3"/>
      <c r="L92" s="3" t="s">
        <v>171</v>
      </c>
      <c r="M92" s="4" t="str">
        <f>HYPERLINK("D:\Users\Yuman\Desktop\MasterProject\results\urea_tBu_Ph.H_tBu_O.vacuum\rad", "Directory")</f>
        <v>Directory</v>
      </c>
      <c r="N92" s="4" t="str">
        <f>HYPERLINK("D:\Users\Yuman\Desktop\MasterProject\calculations_test\urea_tBu_Ph..vacuum\rad", "Directory")</f>
        <v>Directory</v>
      </c>
      <c r="O92" s="3"/>
      <c r="P92" s="3"/>
      <c r="Q92" s="5" t="s">
        <v>228</v>
      </c>
      <c r="R92" s="3" t="s">
        <v>33</v>
      </c>
      <c r="S92" s="3" t="s">
        <v>229</v>
      </c>
    </row>
    <row r="93" spans="1:19" ht="15.75" x14ac:dyDescent="0.25">
      <c r="A93" s="6" t="s">
        <v>30</v>
      </c>
      <c r="B93" s="3" t="s">
        <v>20</v>
      </c>
      <c r="C93" s="3" t="s">
        <v>181</v>
      </c>
      <c r="D93" s="3" t="s">
        <v>22</v>
      </c>
      <c r="E93" s="3" t="s">
        <v>23</v>
      </c>
      <c r="F93" s="3" t="s">
        <v>97</v>
      </c>
      <c r="G93" s="3"/>
      <c r="H93" s="3"/>
      <c r="I93" s="3"/>
      <c r="J93" s="3"/>
      <c r="K93" s="3"/>
      <c r="L93" s="3" t="s">
        <v>173</v>
      </c>
      <c r="M93" s="4" t="str">
        <f>HYPERLINK("D:\Users\Yuman\Desktop\MasterProject\results\urea_tBu_Ph.H_tBu_O.vacuum\sub", "Directory")</f>
        <v>Directory</v>
      </c>
      <c r="N93" s="4" t="str">
        <f>HYPERLINK("D:\Users\Yuman\Desktop\MasterProject\calculations_test\urea_tBu_Ph.H_tBu.vacuum\sub", "Directory")</f>
        <v>Directory</v>
      </c>
      <c r="O93" s="4" t="str">
        <f>HYPERLINK("D:\Users\Yuman\Desktop\MasterProject\results\urea_tBu_Ph.H_tBu_O.vacuum\sub/molview2_start_in.bat", "input.xyz")</f>
        <v>input.xyz</v>
      </c>
      <c r="P93" s="3"/>
      <c r="Q93" s="5" t="s">
        <v>230</v>
      </c>
      <c r="R93" s="3" t="s">
        <v>33</v>
      </c>
      <c r="S93" s="3" t="s">
        <v>231</v>
      </c>
    </row>
    <row r="94" spans="1:19" ht="15.75" x14ac:dyDescent="0.25">
      <c r="A94" s="6" t="s">
        <v>30</v>
      </c>
      <c r="B94" s="3" t="s">
        <v>20</v>
      </c>
      <c r="C94" s="3" t="s">
        <v>181</v>
      </c>
      <c r="D94" s="3" t="s">
        <v>22</v>
      </c>
      <c r="E94" s="3" t="s">
        <v>23</v>
      </c>
      <c r="F94" s="3" t="s">
        <v>97</v>
      </c>
      <c r="G94" s="3"/>
      <c r="H94" s="3"/>
      <c r="I94" s="3"/>
      <c r="J94" s="3" t="s">
        <v>156</v>
      </c>
      <c r="K94" s="3"/>
      <c r="L94" s="3" t="s">
        <v>175</v>
      </c>
      <c r="M94" s="4" t="str">
        <f>HYPERLINK("D:\Users\Yuman\Desktop\MasterProject\results\urea_tBu_Ph.H_tBu_O.vacuum\sub_cat_complex", "Directory")</f>
        <v>Directory</v>
      </c>
      <c r="N94" s="4" t="str">
        <f>HYPERLINK("D:\Users\Yuman\Desktop\MasterProject\calculations_test\urea_tBu_Ph.H_tBu_O.vacuum\sub_cat_complex", "Directory")</f>
        <v>Directory</v>
      </c>
      <c r="O94" s="4" t="str">
        <f>HYPERLINK("D:\Users\Yuman\Desktop\MasterProject\results\urea_tBu_Ph.H_tBu_O.vacuum\sub_cat_complex/molview2_start_in.bat", "input.xyz")</f>
        <v>input.xyz</v>
      </c>
      <c r="P94" s="3"/>
      <c r="Q94" s="5" t="s">
        <v>232</v>
      </c>
      <c r="R94" s="3" t="s">
        <v>33</v>
      </c>
      <c r="S94" s="3" t="s">
        <v>233</v>
      </c>
    </row>
    <row r="95" spans="1:19" ht="15.75" x14ac:dyDescent="0.25">
      <c r="A95" s="6" t="s">
        <v>30</v>
      </c>
      <c r="B95" s="3" t="s">
        <v>43</v>
      </c>
      <c r="C95" s="3" t="s">
        <v>181</v>
      </c>
      <c r="D95" s="3" t="s">
        <v>160</v>
      </c>
      <c r="E95" s="3" t="s">
        <v>23</v>
      </c>
      <c r="F95" s="3" t="s">
        <v>97</v>
      </c>
      <c r="G95" s="3"/>
      <c r="H95" s="3"/>
      <c r="I95" s="3"/>
      <c r="J95" s="3" t="s">
        <v>156</v>
      </c>
      <c r="K95" s="3"/>
      <c r="L95" s="3" t="s">
        <v>177</v>
      </c>
      <c r="M95" s="4" t="str">
        <f>HYPERLINK("D:\Users\Yuman\Desktop\MasterProject\results\urea_tBu_Ph.H_tBu_O.vacuum\TSR", "Directory")</f>
        <v>Directory</v>
      </c>
      <c r="N95" s="4" t="str">
        <f>HYPERLINK("D:\Users\Yuman\Desktop\MasterProject\calculations_test\urea_tBu_Ph.H_tBu_O.vacuum\TSR", "Directory")</f>
        <v>Directory</v>
      </c>
      <c r="O95" s="4" t="str">
        <f>HYPERLINK("D:\Users\Yuman\Desktop\MasterProject\results\urea_tBu_Ph.H_tBu_O.vacuum\TSR/molview2_start_in.bat", "input.xyz")</f>
        <v>input.xyz</v>
      </c>
      <c r="P95" s="3"/>
      <c r="Q95" s="5" t="s">
        <v>234</v>
      </c>
      <c r="R95" s="3" t="s">
        <v>33</v>
      </c>
      <c r="S95" s="3" t="s">
        <v>235</v>
      </c>
    </row>
    <row r="96" spans="1:19" ht="15.75" x14ac:dyDescent="0.25">
      <c r="A96" s="2" t="s">
        <v>19</v>
      </c>
      <c r="B96" s="3" t="s">
        <v>43</v>
      </c>
      <c r="C96" s="3" t="s">
        <v>181</v>
      </c>
      <c r="D96" s="3" t="s">
        <v>163</v>
      </c>
      <c r="E96" s="3" t="s">
        <v>23</v>
      </c>
      <c r="F96" s="3" t="s">
        <v>97</v>
      </c>
      <c r="G96" s="3"/>
      <c r="H96" s="3"/>
      <c r="I96" s="3"/>
      <c r="J96" s="3" t="s">
        <v>156</v>
      </c>
      <c r="K96" s="3"/>
      <c r="L96" s="3" t="s">
        <v>179</v>
      </c>
      <c r="M96" s="4" t="str">
        <f>HYPERLINK("D:\Users\Yuman\Desktop\MasterProject\results\urea_tBu_Ph.H_tBu_O.vacuum\TSS", "Directory")</f>
        <v>Directory</v>
      </c>
      <c r="N96" s="4" t="str">
        <f>HYPERLINK("D:\Users\Yuman\Desktop\MasterProject\calculations_test\urea_tBu_Ph.H_tBu_O.vacuum\TSS", "Directory")</f>
        <v>Directory</v>
      </c>
      <c r="O96" s="4" t="str">
        <f>HYPERLINK("D:\Users\Yuman\Desktop\MasterProject\results\urea_tBu_Ph.H_tBu_O.vacuum\TSS/molview2_start_in.bat", "input.xyz")</f>
        <v>input.xyz</v>
      </c>
      <c r="P96" s="3"/>
      <c r="Q96" s="5" t="s">
        <v>236</v>
      </c>
      <c r="R96" s="3" t="s">
        <v>28</v>
      </c>
      <c r="S96" s="3" t="s">
        <v>237</v>
      </c>
    </row>
    <row r="97" spans="1:19" ht="15.75" x14ac:dyDescent="0.25">
      <c r="A97" s="8" t="s">
        <v>118</v>
      </c>
      <c r="B97" s="3" t="s">
        <v>20</v>
      </c>
      <c r="C97" s="3" t="s">
        <v>181</v>
      </c>
      <c r="D97" s="3" t="s">
        <v>22</v>
      </c>
      <c r="E97" s="3"/>
      <c r="F97" s="3"/>
      <c r="G97" s="3"/>
      <c r="H97" s="3"/>
      <c r="I97" s="3"/>
      <c r="J97" s="3" t="s">
        <v>163</v>
      </c>
      <c r="K97" s="3"/>
      <c r="L97" s="3" t="s">
        <v>157</v>
      </c>
      <c r="M97" s="4" t="str">
        <f>HYPERLINK("D:\Users\Yuman\Desktop\MasterProject\results\urea_tBu_Ph.H_tBu_S.vacuum\cat", "Directory")</f>
        <v>Directory</v>
      </c>
      <c r="N97" s="4" t="str">
        <f>HYPERLINK("D:\Users\Yuman\Desktop\MasterProject\calculations_test\urea_tBu_Ph.S.vacuum\cat", "Directory")</f>
        <v>Directory</v>
      </c>
      <c r="O97" s="4" t="str">
        <f>HYPERLINK("D:\Users\Yuman\Desktop\MasterProject\results\urea_tBu_Ph.H_tBu_S.vacuum\cat/molview2_start_in.bat", "input.xyz")</f>
        <v>input.xyz</v>
      </c>
      <c r="P97" s="3"/>
      <c r="Q97" s="5" t="s">
        <v>119</v>
      </c>
      <c r="R97" s="3"/>
      <c r="S97" s="3" t="s">
        <v>202</v>
      </c>
    </row>
    <row r="98" spans="1:19" ht="15.75" x14ac:dyDescent="0.25">
      <c r="A98" s="2" t="s">
        <v>19</v>
      </c>
      <c r="B98" s="3" t="s">
        <v>20</v>
      </c>
      <c r="C98" s="3" t="s">
        <v>181</v>
      </c>
      <c r="D98" s="3" t="s">
        <v>160</v>
      </c>
      <c r="E98" s="3" t="s">
        <v>23</v>
      </c>
      <c r="F98" s="3" t="s">
        <v>97</v>
      </c>
      <c r="G98" s="3"/>
      <c r="H98" s="3"/>
      <c r="I98" s="3"/>
      <c r="J98" s="3" t="s">
        <v>163</v>
      </c>
      <c r="K98" s="3"/>
      <c r="L98" s="3" t="s">
        <v>161</v>
      </c>
      <c r="M98" s="4" t="str">
        <f>HYPERLINK("D:\Users\Yuman\Desktop\MasterProject\results\urea_tBu_Ph.H_tBu_S.vacuum\P1R_cat_complex", "Directory")</f>
        <v>Directory</v>
      </c>
      <c r="N98" s="4" t="str">
        <f>HYPERLINK("D:\Users\Yuman\Desktop\MasterProject\calculations_test\urea_tBu_Ph.H_tBu_S.vacuum\P1R_cat_complex", "Directory")</f>
        <v>Directory</v>
      </c>
      <c r="O98" s="4" t="str">
        <f>HYPERLINK("D:\Users\Yuman\Desktop\MasterProject\results\urea_tBu_Ph.H_tBu_S.vacuum\P1R_cat_complex/molview2_start_in.bat", "input.xyz")</f>
        <v>input.xyz</v>
      </c>
      <c r="P98" s="3"/>
      <c r="Q98" s="5" t="s">
        <v>238</v>
      </c>
      <c r="R98" s="3" t="s">
        <v>20</v>
      </c>
      <c r="S98" s="3" t="s">
        <v>239</v>
      </c>
    </row>
    <row r="99" spans="1:19" ht="15.75" x14ac:dyDescent="0.25">
      <c r="A99" s="8" t="s">
        <v>118</v>
      </c>
      <c r="B99" s="3" t="s">
        <v>20</v>
      </c>
      <c r="C99" s="3" t="s">
        <v>181</v>
      </c>
      <c r="D99" s="3" t="s">
        <v>163</v>
      </c>
      <c r="E99" s="3" t="s">
        <v>23</v>
      </c>
      <c r="F99" s="3" t="s">
        <v>97</v>
      </c>
      <c r="G99" s="3"/>
      <c r="H99" s="3"/>
      <c r="I99" s="3"/>
      <c r="J99" s="3" t="s">
        <v>163</v>
      </c>
      <c r="K99" s="3"/>
      <c r="L99" s="3" t="s">
        <v>164</v>
      </c>
      <c r="M99" s="4" t="str">
        <f>HYPERLINK("D:\Users\Yuman\Desktop\MasterProject\results\urea_tBu_Ph.H_tBu_S.vacuum\P1S_cat_complex", "Directory")</f>
        <v>Directory</v>
      </c>
      <c r="N99" s="4" t="str">
        <f>HYPERLINK("D:\Users\Yuman\Desktop\MasterProject\calculations_test\urea_tBu_Ph.H_tBu_S.vacuum\P1S_cat_complex", "Directory")</f>
        <v>Directory</v>
      </c>
      <c r="O99" s="4" t="str">
        <f>HYPERLINK("D:\Users\Yuman\Desktop\MasterProject\results\urea_tBu_Ph.H_tBu_S.vacuum\P1S_cat_complex/molview2_start_in.bat", "input.xyz")</f>
        <v>input.xyz</v>
      </c>
      <c r="P99" s="3"/>
      <c r="Q99" s="5" t="s">
        <v>119</v>
      </c>
      <c r="R99" s="3"/>
      <c r="S99" s="3" t="s">
        <v>240</v>
      </c>
    </row>
    <row r="100" spans="1:19" ht="15.75" x14ac:dyDescent="0.25">
      <c r="A100" s="8" t="s">
        <v>118</v>
      </c>
      <c r="B100" s="3" t="s">
        <v>20</v>
      </c>
      <c r="C100" s="3" t="s">
        <v>181</v>
      </c>
      <c r="D100" s="3" t="s">
        <v>22</v>
      </c>
      <c r="E100" s="3" t="s">
        <v>23</v>
      </c>
      <c r="F100" s="3" t="s">
        <v>97</v>
      </c>
      <c r="G100" s="3"/>
      <c r="H100" s="3"/>
      <c r="I100" s="3"/>
      <c r="J100" s="3"/>
      <c r="K100" s="3"/>
      <c r="L100" s="3" t="s">
        <v>31</v>
      </c>
      <c r="M100" s="4" t="str">
        <f>HYPERLINK("D:\Users\Yuman\Desktop\MasterProject\results\urea_tBu_Ph.H_tBu_S.vacuum\P2", "Directory")</f>
        <v>Directory</v>
      </c>
      <c r="N100" s="4" t="str">
        <f>HYPERLINK("D:\Users\Yuman\Desktop\MasterProject\calculations_test\urea_tBu_Ph.H_tBu.vacuum\P2", "Directory")</f>
        <v>Directory</v>
      </c>
      <c r="O100" s="4" t="str">
        <f>HYPERLINK("D:\Users\Yuman\Desktop\MasterProject\results\urea_tBu_Ph.H_tBu_S.vacuum\P2/molview2_start_in.bat", "input.xyz")</f>
        <v>input.xyz</v>
      </c>
      <c r="P100" s="3"/>
      <c r="Q100" s="5" t="s">
        <v>119</v>
      </c>
      <c r="R100" s="3"/>
      <c r="S100" s="3" t="s">
        <v>223</v>
      </c>
    </row>
    <row r="101" spans="1:19" ht="15.75" x14ac:dyDescent="0.25">
      <c r="A101" s="8" t="s">
        <v>118</v>
      </c>
      <c r="B101" s="3" t="s">
        <v>20</v>
      </c>
      <c r="C101" s="3" t="s">
        <v>181</v>
      </c>
      <c r="D101" s="3" t="s">
        <v>160</v>
      </c>
      <c r="E101" s="3" t="s">
        <v>23</v>
      </c>
      <c r="F101" s="3" t="s">
        <v>97</v>
      </c>
      <c r="G101" s="3"/>
      <c r="H101" s="3"/>
      <c r="I101" s="3"/>
      <c r="J101" s="3" t="s">
        <v>163</v>
      </c>
      <c r="K101" s="3"/>
      <c r="L101" s="3" t="s">
        <v>167</v>
      </c>
      <c r="M101" s="4" t="str">
        <f>HYPERLINK("D:\Users\Yuman\Desktop\MasterProject\results\urea_tBu_Ph.H_tBu_S.vacuum\P2R_cat_complex", "Directory")</f>
        <v>Directory</v>
      </c>
      <c r="N101" s="4" t="str">
        <f>HYPERLINK("D:\Users\Yuman\Desktop\MasterProject\calculations_test\urea_tBu_Ph.H_tBu_S.vacuum\P2R_cat_complex", "Directory")</f>
        <v>Directory</v>
      </c>
      <c r="O101" s="4" t="str">
        <f>HYPERLINK("D:\Users\Yuman\Desktop\MasterProject\results\urea_tBu_Ph.H_tBu_S.vacuum\P2R_cat_complex/molview2_start_in.bat", "input.xyz")</f>
        <v>input.xyz</v>
      </c>
      <c r="P101" s="3"/>
      <c r="Q101" s="5" t="s">
        <v>119</v>
      </c>
      <c r="R101" s="3"/>
      <c r="S101" s="3" t="s">
        <v>241</v>
      </c>
    </row>
    <row r="102" spans="1:19" ht="15.75" x14ac:dyDescent="0.25">
      <c r="A102" s="8" t="s">
        <v>118</v>
      </c>
      <c r="B102" s="3" t="s">
        <v>20</v>
      </c>
      <c r="C102" s="3" t="s">
        <v>181</v>
      </c>
      <c r="D102" s="3" t="s">
        <v>163</v>
      </c>
      <c r="E102" s="3" t="s">
        <v>23</v>
      </c>
      <c r="F102" s="3" t="s">
        <v>97</v>
      </c>
      <c r="G102" s="3"/>
      <c r="H102" s="3"/>
      <c r="I102" s="3"/>
      <c r="J102" s="3" t="s">
        <v>163</v>
      </c>
      <c r="K102" s="3"/>
      <c r="L102" s="3" t="s">
        <v>169</v>
      </c>
      <c r="M102" s="4" t="str">
        <f>HYPERLINK("D:\Users\Yuman\Desktop\MasterProject\results\urea_tBu_Ph.H_tBu_S.vacuum\P2S_cat_complex", "Directory")</f>
        <v>Directory</v>
      </c>
      <c r="N102" s="4" t="str">
        <f>HYPERLINK("D:\Users\Yuman\Desktop\MasterProject\calculations_test\urea_tBu_Ph.H_tBu_S.vacuum\P2S_cat_complex", "Directory")</f>
        <v>Directory</v>
      </c>
      <c r="O102" s="4" t="str">
        <f>HYPERLINK("D:\Users\Yuman\Desktop\MasterProject\results\urea_tBu_Ph.H_tBu_S.vacuum\P2S_cat_complex/molview2_start_in.bat", "input.xyz")</f>
        <v>input.xyz</v>
      </c>
      <c r="P102" s="3"/>
      <c r="Q102" s="5" t="s">
        <v>119</v>
      </c>
      <c r="R102" s="3"/>
      <c r="S102" s="3" t="s">
        <v>242</v>
      </c>
    </row>
    <row r="103" spans="1:19" ht="15.75" x14ac:dyDescent="0.25">
      <c r="A103" s="8" t="s">
        <v>118</v>
      </c>
      <c r="B103" s="3" t="s">
        <v>20</v>
      </c>
      <c r="C103" s="3" t="s">
        <v>181</v>
      </c>
      <c r="D103" s="3" t="s">
        <v>22</v>
      </c>
      <c r="E103" s="3" t="s">
        <v>23</v>
      </c>
      <c r="F103" s="3" t="s">
        <v>97</v>
      </c>
      <c r="G103" s="3"/>
      <c r="H103" s="3"/>
      <c r="I103" s="3"/>
      <c r="J103" s="3"/>
      <c r="K103" s="3"/>
      <c r="L103" s="3" t="s">
        <v>173</v>
      </c>
      <c r="M103" s="4" t="str">
        <f>HYPERLINK("D:\Users\Yuman\Desktop\MasterProject\results\urea_tBu_Ph.H_tBu_S.vacuum\sub", "Directory")</f>
        <v>Directory</v>
      </c>
      <c r="N103" s="4" t="str">
        <f>HYPERLINK("D:\Users\Yuman\Desktop\MasterProject\calculations_test\urea_tBu_Ph.H_tBu.vacuum\sub", "Directory")</f>
        <v>Directory</v>
      </c>
      <c r="O103" s="4" t="str">
        <f>HYPERLINK("D:\Users\Yuman\Desktop\MasterProject\results\urea_tBu_Ph.H_tBu_S.vacuum\sub/molview2_start_in.bat", "input.xyz")</f>
        <v>input.xyz</v>
      </c>
      <c r="P103" s="3"/>
      <c r="Q103" s="5" t="s">
        <v>119</v>
      </c>
      <c r="R103" s="3"/>
      <c r="S103" s="3" t="s">
        <v>231</v>
      </c>
    </row>
    <row r="104" spans="1:19" ht="15.75" x14ac:dyDescent="0.25">
      <c r="A104" s="8" t="s">
        <v>118</v>
      </c>
      <c r="B104" s="3" t="s">
        <v>20</v>
      </c>
      <c r="C104" s="3" t="s">
        <v>181</v>
      </c>
      <c r="D104" s="3" t="s">
        <v>22</v>
      </c>
      <c r="E104" s="3" t="s">
        <v>23</v>
      </c>
      <c r="F104" s="3" t="s">
        <v>97</v>
      </c>
      <c r="G104" s="3"/>
      <c r="H104" s="3"/>
      <c r="I104" s="3"/>
      <c r="J104" s="3" t="s">
        <v>163</v>
      </c>
      <c r="K104" s="3"/>
      <c r="L104" s="3" t="s">
        <v>175</v>
      </c>
      <c r="M104" s="4" t="str">
        <f>HYPERLINK("D:\Users\Yuman\Desktop\MasterProject\results\urea_tBu_Ph.H_tBu_S.vacuum\sub_cat_complex", "Directory")</f>
        <v>Directory</v>
      </c>
      <c r="N104" s="4" t="str">
        <f>HYPERLINK("D:\Users\Yuman\Desktop\MasterProject\calculations_test\urea_tBu_Ph.H_tBu_S.vacuum\sub_cat_complex", "Directory")</f>
        <v>Directory</v>
      </c>
      <c r="O104" s="4" t="str">
        <f>HYPERLINK("D:\Users\Yuman\Desktop\MasterProject\results\urea_tBu_Ph.H_tBu_S.vacuum\sub_cat_complex/molview2_start_in.bat", "input.xyz")</f>
        <v>input.xyz</v>
      </c>
      <c r="P104" s="3"/>
      <c r="Q104" s="5" t="s">
        <v>119</v>
      </c>
      <c r="R104" s="3"/>
      <c r="S104" s="3" t="s">
        <v>243</v>
      </c>
    </row>
    <row r="105" spans="1:19" ht="15.75" x14ac:dyDescent="0.25">
      <c r="A105" s="9" t="s">
        <v>198</v>
      </c>
      <c r="B105" s="3" t="s">
        <v>43</v>
      </c>
      <c r="C105" s="3" t="s">
        <v>181</v>
      </c>
      <c r="D105" s="3" t="s">
        <v>160</v>
      </c>
      <c r="E105" s="3" t="s">
        <v>23</v>
      </c>
      <c r="F105" s="3" t="s">
        <v>97</v>
      </c>
      <c r="G105" s="3"/>
      <c r="H105" s="3"/>
      <c r="I105" s="3"/>
      <c r="J105" s="3" t="s">
        <v>163</v>
      </c>
      <c r="K105" s="3"/>
      <c r="L105" s="3" t="s">
        <v>177</v>
      </c>
      <c r="M105" s="4" t="str">
        <f>HYPERLINK("D:\Users\Yuman\Desktop\MasterProject\results\urea_tBu_Ph.H_tBu_S.vacuum\TSR", "Directory")</f>
        <v>Directory</v>
      </c>
      <c r="N105" s="4" t="str">
        <f>HYPERLINK("D:\Users\Yuman\Desktop\MasterProject\calculations_test\urea_tBu_Ph.H_tBu_S.vacuum\TSR", "Directory")</f>
        <v>Directory</v>
      </c>
      <c r="O105" s="4" t="str">
        <f>HYPERLINK("D:\Users\Yuman\Desktop\MasterProject\results\urea_tBu_Ph.H_tBu_S.vacuum\TSR/molview2_start_in.bat", "input.xyz")</f>
        <v>input.xyz</v>
      </c>
      <c r="P105" s="3"/>
      <c r="Q105" s="5" t="s">
        <v>244</v>
      </c>
      <c r="R105" s="3" t="s">
        <v>20</v>
      </c>
      <c r="S105" s="3" t="s">
        <v>245</v>
      </c>
    </row>
    <row r="106" spans="1:19" ht="15.75" x14ac:dyDescent="0.25">
      <c r="A106" s="8" t="s">
        <v>118</v>
      </c>
      <c r="B106" s="3" t="s">
        <v>43</v>
      </c>
      <c r="C106" s="3" t="s">
        <v>181</v>
      </c>
      <c r="D106" s="3" t="s">
        <v>163</v>
      </c>
      <c r="E106" s="3" t="s">
        <v>23</v>
      </c>
      <c r="F106" s="3" t="s">
        <v>97</v>
      </c>
      <c r="G106" s="3"/>
      <c r="H106" s="3"/>
      <c r="I106" s="3"/>
      <c r="J106" s="3" t="s">
        <v>163</v>
      </c>
      <c r="K106" s="3"/>
      <c r="L106" s="3" t="s">
        <v>179</v>
      </c>
      <c r="M106" s="4" t="str">
        <f>HYPERLINK("D:\Users\Yuman\Desktop\MasterProject\results\urea_tBu_Ph.H_tBu_S.vacuum\TSS", "Directory")</f>
        <v>Directory</v>
      </c>
      <c r="N106" s="4" t="str">
        <f>HYPERLINK("D:\Users\Yuman\Desktop\MasterProject\calculations_test\urea_tBu_Ph.H_tBu_S.vacuum\TSS", "Directory")</f>
        <v>Directory</v>
      </c>
      <c r="O106" s="4" t="str">
        <f>HYPERLINK("D:\Users\Yuman\Desktop\MasterProject\results\urea_tBu_Ph.H_tBu_S.vacuum\TSS/molview2_start_in.bat", "input.xyz")</f>
        <v>input.xyz</v>
      </c>
      <c r="P106" s="3"/>
      <c r="Q106" s="5" t="s">
        <v>119</v>
      </c>
      <c r="R106" s="3"/>
      <c r="S106" s="3" t="s">
        <v>246</v>
      </c>
    </row>
  </sheetData>
  <autoFilter ref="A1:S10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2022-02-12T22:55:46Z</dcterms:created>
  <dcterms:modified xsi:type="dcterms:W3CDTF">2022-02-12T22:55:46Z</dcterms:modified>
</cp:coreProperties>
</file>