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8A7F4B62-9834-4F22-A516-3C320C7A1705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Overview!$A$1:$S$138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8" i="1" l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N74" i="1"/>
  <c r="M74" i="1"/>
  <c r="O73" i="1"/>
  <c r="N73" i="1"/>
  <c r="M73" i="1"/>
  <c r="O72" i="1"/>
  <c r="N72" i="1"/>
  <c r="M72" i="1"/>
  <c r="N71" i="1"/>
  <c r="M71" i="1"/>
  <c r="O70" i="1"/>
  <c r="N70" i="1"/>
  <c r="M70" i="1"/>
  <c r="N69" i="1"/>
  <c r="M69" i="1"/>
  <c r="O68" i="1"/>
  <c r="N68" i="1"/>
  <c r="M68" i="1"/>
  <c r="O67" i="1"/>
  <c r="N67" i="1"/>
  <c r="M67" i="1"/>
  <c r="N66" i="1"/>
  <c r="M66" i="1"/>
  <c r="N65" i="1"/>
  <c r="M65" i="1"/>
  <c r="N64" i="1"/>
  <c r="M64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N52" i="1"/>
  <c r="M52" i="1"/>
  <c r="O51" i="1"/>
  <c r="N51" i="1"/>
  <c r="M51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O30" i="1"/>
  <c r="N30" i="1"/>
  <c r="M30" i="1"/>
  <c r="N29" i="1"/>
  <c r="M29" i="1"/>
  <c r="N28" i="1"/>
  <c r="M28" i="1"/>
  <c r="O27" i="1"/>
  <c r="N27" i="1"/>
  <c r="M27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N20" i="1"/>
  <c r="M20" i="1"/>
  <c r="N19" i="1"/>
  <c r="M19" i="1"/>
  <c r="O18" i="1"/>
  <c r="N18" i="1"/>
  <c r="M18" i="1"/>
  <c r="O17" i="1"/>
  <c r="N17" i="1"/>
  <c r="M17" i="1"/>
  <c r="N16" i="1"/>
  <c r="M16" i="1"/>
  <c r="O15" i="1"/>
  <c r="N15" i="1"/>
  <c r="M15" i="1"/>
  <c r="N14" i="1"/>
  <c r="M14" i="1"/>
  <c r="O13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O6" i="1"/>
  <c r="N6" i="1"/>
  <c r="M6" i="1"/>
  <c r="N5" i="1"/>
  <c r="M5" i="1"/>
  <c r="N4" i="1"/>
  <c r="M4" i="1"/>
  <c r="O3" i="1"/>
  <c r="N3" i="1"/>
  <c r="M3" i="1"/>
  <c r="N2" i="1"/>
  <c r="M2" i="1"/>
</calcChain>
</file>

<file path=xl/sharedStrings.xml><?xml version="1.0" encoding="utf-8"?>
<sst xmlns="http://schemas.openxmlformats.org/spreadsheetml/2006/main" count="1426" uniqueCount="291">
  <si>
    <t>STATUS</t>
  </si>
  <si>
    <t>TASK</t>
  </si>
  <si>
    <t>REACTION</t>
  </si>
  <si>
    <t>ENANTIOMER</t>
  </si>
  <si>
    <t>R1</t>
  </si>
  <si>
    <t>R2</t>
  </si>
  <si>
    <t>RC1</t>
  </si>
  <si>
    <t>RC2</t>
  </si>
  <si>
    <t>RCAT</t>
  </si>
  <si>
    <t>RCH</t>
  </si>
  <si>
    <t>RCH2</t>
  </si>
  <si>
    <t>STATIONARY_POINT</t>
  </si>
  <si>
    <t>RES_DIR</t>
  </si>
  <si>
    <t>CALC_DIR</t>
  </si>
  <si>
    <t>INXYZ</t>
  </si>
  <si>
    <t>OUTXYZ</t>
  </si>
  <si>
    <t>RUNTIME</t>
  </si>
  <si>
    <t>STEP</t>
  </si>
  <si>
    <t>HASH</t>
  </si>
  <si>
    <t>Warning</t>
  </si>
  <si>
    <t>GO</t>
  </si>
  <si>
    <t>achiral_catalyst</t>
  </si>
  <si>
    <t>N/A</t>
  </si>
  <si>
    <t>AlF3</t>
  </si>
  <si>
    <t>cat</t>
  </si>
  <si>
    <t>00:07:41</t>
  </si>
  <si>
    <t>END</t>
  </si>
  <si>
    <t>328b3aee5fe2945f84c6d1a0e1182dc374c6c908446294d097f44080170700b4</t>
  </si>
  <si>
    <t>Queued</t>
  </si>
  <si>
    <t>H</t>
  </si>
  <si>
    <t>Ph</t>
  </si>
  <si>
    <t>P1_cat_complex</t>
  </si>
  <si>
    <t>00:00:00</t>
  </si>
  <si>
    <t>6829f081f13bbe987873d66eb6f082b99c8ce689fb32fdf46f9b3fdbf7157fdb</t>
  </si>
  <si>
    <t>Success</t>
  </si>
  <si>
    <t>P2_cat_complex</t>
  </si>
  <si>
    <t>41:52:27</t>
  </si>
  <si>
    <t>754d119eb5ee2a82074940fff18e49f5268afc3c01f27bb39610dd81af3ecd02</t>
  </si>
  <si>
    <t>sub_cat_complex</t>
  </si>
  <si>
    <t>19:31:02</t>
  </si>
  <si>
    <t>257d3c59c8e0f8f790f016297a6436eb4f4501e8fd0628ab4073be72e32ce4a3</t>
  </si>
  <si>
    <t>TSRC</t>
  </si>
  <si>
    <t>TS</t>
  </si>
  <si>
    <t>9a698a147e2e694a9d33bb693ab5fde89bc72b837e3491c4c1207940788ee03f</t>
  </si>
  <si>
    <t>BF3</t>
  </si>
  <si>
    <t>00:05:27</t>
  </si>
  <si>
    <t>b7cc530cf731e36701e044a23603784e93b4d28fb3593012f16766a464c0fb66</t>
  </si>
  <si>
    <t>89:28:10</t>
  </si>
  <si>
    <t>2f414d2518ea2b79a99255db5cc3a2d839b5d3d4b9b8404d86273e17d37128b6</t>
  </si>
  <si>
    <t>38:46:15</t>
  </si>
  <si>
    <t>efb168ad4de71ec73166d2098656e2481ae002bb6ec467d619eeb02fac33a75d</t>
  </si>
  <si>
    <t>19:07:07</t>
  </si>
  <si>
    <t>9284b1b156cb2d28047b17375cfd4f0e618975dc8deb3e1a3cb0719aed9bd8f3</t>
  </si>
  <si>
    <t>71:29:55</t>
  </si>
  <si>
    <t>b8d0903c7dc324a2bc9e0be630782cd32b214f83f8097e97aebdab6634aa66a1</t>
  </si>
  <si>
    <t>I2</t>
  </si>
  <si>
    <t>00:05:43</t>
  </si>
  <si>
    <t>685cd5c744ecc879bba9ff575403e1b3a614da9595eb369c9198a0380c36b2cc</t>
  </si>
  <si>
    <t>4cd9f7ec9c0e3dc73802e857448b11112388345e723ab6e5a692b1228e930aad</t>
  </si>
  <si>
    <t>92:05:01</t>
  </si>
  <si>
    <t>80e27450471b2f0d067789230846832ce58429485d51bf2332f39f378e26d69f</t>
  </si>
  <si>
    <t>P2</t>
  </si>
  <si>
    <t>00:47:57</t>
  </si>
  <si>
    <t>b29c572973b492965a634b8511b2fad860fcb471ef2012b1f48120c964b26da7</t>
  </si>
  <si>
    <t>38:31:31</t>
  </si>
  <si>
    <t>bf1efa27b1ba87fb08f0a4b6673b09e84a729e28b509a943f6d4095a7d41c566</t>
  </si>
  <si>
    <t>rad</t>
  </si>
  <si>
    <t>a75f6731723af880b7637aed21ded2dc99a78499ccf76627a25d71ca5b550f6d</t>
  </si>
  <si>
    <t>sub</t>
  </si>
  <si>
    <t>116831b2dd9ec8a7f254e230ae6d66ef701ac17250be44552359d0a365df32fb</t>
  </si>
  <si>
    <t>20:35:34</t>
  </si>
  <si>
    <t>28a41c34246306f2bb7363b5831890d5b6337600abf4749b1410d3f9577da955</t>
  </si>
  <si>
    <t>63:22:25</t>
  </si>
  <si>
    <t>701705575958dc8e94ed1d85e201ef26c59d108d058a8661d631772b1b29dd48</t>
  </si>
  <si>
    <t>SnCl4</t>
  </si>
  <si>
    <t>58e8b6fb6eb27988bc6d81991c428ff72defee4ebebdde9a4c72ea397a7a7240</t>
  </si>
  <si>
    <t>881beaf3d00726ee4fe4ba1bd9987fe2d7e154596adb0c6866c6c9e541469797</t>
  </si>
  <si>
    <t>74d5a06dcb26e122cdef63e272c599241b97f7792c0fdc0bdeeb26c53ea430eb</t>
  </si>
  <si>
    <t>0356ec624e358d005dd13c3f04516c3510fe734d2b94830552277475f1eda514</t>
  </si>
  <si>
    <t>90b3d7c0a8fd27a84cd1380990f71c100b5d7bad903d0a26d51ed0f47c7e26ab</t>
  </si>
  <si>
    <t>TiCl4</t>
  </si>
  <si>
    <t>00:23:07</t>
  </si>
  <si>
    <t>18ebad31111fee82b80866507bcde932590bfbd6ad355de99b892bad8b63e02b</t>
  </si>
  <si>
    <t>Running</t>
  </si>
  <si>
    <t>00:04:51</t>
  </si>
  <si>
    <t>PREOPT</t>
  </si>
  <si>
    <t>53a00effd6dd703b3ce8a8acf86ce4f0c66f3af559ae9777e70c343b0f64b985</t>
  </si>
  <si>
    <t>34:17:06</t>
  </si>
  <si>
    <t>df072aec162991ebed1ee9ec1bb988a13174010b85b2a556978557ec3d22b020</t>
  </si>
  <si>
    <t>26:23:16</t>
  </si>
  <si>
    <t>b2b92d242ccf013a68026dd2497e2b3317289c5937b2504c7b4bb3dd03d35a09</t>
  </si>
  <si>
    <t>6c62d3b05adfba62a74cc9d4331267939ae779b970503225f11c6895f282d345</t>
  </si>
  <si>
    <t>ZnCl2</t>
  </si>
  <si>
    <t>00:08:39</t>
  </si>
  <si>
    <t>a2c90288e0d4fddf4dc7de228b8c7b5827eb78aadf050bd9f76f8c3402c14931</t>
  </si>
  <si>
    <t>73:20:13</t>
  </si>
  <si>
    <t>386d917369739e16c3401eb81e25bb422d6293419597c243541464fbf6db55e7</t>
  </si>
  <si>
    <t>38:20:18</t>
  </si>
  <si>
    <t>399e61e0a1e299ac0e1d2e15899498781c3d003a54a78998255de3b99de870b3</t>
  </si>
  <si>
    <t>00:10:59</t>
  </si>
  <si>
    <t>08:59:09</t>
  </si>
  <si>
    <t>29:54:11</t>
  </si>
  <si>
    <t>175c50b33461bae4a1ba0804ad41afd3c112e5b76054049d3ef3c5d4507eadb9</t>
  </si>
  <si>
    <t>143:21:22</t>
  </si>
  <si>
    <t>766afbe7cc81c0c86f7c3bd2b906036b1996fa012304f05702529a4b538ff4ed</t>
  </si>
  <si>
    <t>tBu</t>
  </si>
  <si>
    <t>142:54:24</t>
  </si>
  <si>
    <t>48e786e3d8d306e74082e06935ff109598cabf18568401fb01ef872d45cf85b4</t>
  </si>
  <si>
    <t>50:02:04</t>
  </si>
  <si>
    <t>fd71a269f64be4f24d85a1ddccb83745bc707b3a059281892d3c3f9cc30ee715</t>
  </si>
  <si>
    <t>11:52:17</t>
  </si>
  <si>
    <t>ba988699fc5e5503f93d5fc63588374359a4bddac09edecd32b1a5232d21b898</t>
  </si>
  <si>
    <t>25:12:05</t>
  </si>
  <si>
    <t>fca0f7c60689b03c3eabfa9c1de9016b72189760bd6d36911acb4e61abc0cb99</t>
  </si>
  <si>
    <t>94:22:41</t>
  </si>
  <si>
    <t>c8a9a5646409dc92aabe81bdd78a1c89e8eb38b7e4e7bd319b93337078e37a94</t>
  </si>
  <si>
    <t>100:58:12</t>
  </si>
  <si>
    <t>00cd3639636ca32f395553a9f8adbf90308acd4bd9b5250590b168c5dc753845</t>
  </si>
  <si>
    <t>39:16:29</t>
  </si>
  <si>
    <t>72fcee28c5c2d16392a73978e65c1ce866e80bc424ea389cdace642b52413621</t>
  </si>
  <si>
    <t>24:51:21</t>
  </si>
  <si>
    <t>9c7caba3f64765eaac9c725be97ec1c59440c9ea651193a6bc3d0212edb709ab</t>
  </si>
  <si>
    <t>d7bf1f89c5561c1266dc14b308af270bb9855328f667492c228c043b35f89935</t>
  </si>
  <si>
    <t>00:00:07</t>
  </si>
  <si>
    <t>02:10:29</t>
  </si>
  <si>
    <t>c4decc5397674d6ffc001d16042925f5e47357ad4108c909bead71a0b43913e1</t>
  </si>
  <si>
    <t>00:50:19</t>
  </si>
  <si>
    <t>ad7c8efb7a000f299a7e027ad4c75d3095041369533a7502126f01eb14c7c037</t>
  </si>
  <si>
    <t>350482660c4400ce68739ab7b96e9ea88a5bf30e1bb3e984a3d6654747831c1e</t>
  </si>
  <si>
    <t>06:12:01</t>
  </si>
  <si>
    <t>6a117d9880bfe5bd56c680e824b584ad3cbc9388ce76d3516486188c6da3b435</t>
  </si>
  <si>
    <t>d397f6e54c4a130afccc5f6c0208c40c23d422df01eeaa87ec29a0dde4876a65</t>
  </si>
  <si>
    <t>Failed</t>
  </si>
  <si>
    <t>00:02:53</t>
  </si>
  <si>
    <t>00:56:48</t>
  </si>
  <si>
    <t>fe896fcfe03a003d1519c91614dad64b89761b38474b018ccab327670a3fe3e7</t>
  </si>
  <si>
    <t>01:20:52</t>
  </si>
  <si>
    <t>f307a6e8ca10ac3908e7bd36f21c5050e57726a6ebda5b3c6850d82f424744da</t>
  </si>
  <si>
    <t>02:00:54</t>
  </si>
  <si>
    <t>7e975d5859c92cea7bdc99f4441dd9280686f36fafd8a4132a500b87313bd9eb</t>
  </si>
  <si>
    <t>148:56:03</t>
  </si>
  <si>
    <t>7d64939ebfdd8468caa6b4d29c7172819aae53c7928ed513cf9325010a318f56</t>
  </si>
  <si>
    <t>05:03:05</t>
  </si>
  <si>
    <t>bd8336721547e45e1b41026ac1bbf2b2d284686a080a2a0c6e81645766b67232</t>
  </si>
  <si>
    <t>03:49:27</t>
  </si>
  <si>
    <t>3eb1a32a1c0bed470ed353f250f004d3eb9b2509b6be323b229cca77950e96f2</t>
  </si>
  <si>
    <t>02:18:04</t>
  </si>
  <si>
    <t>6a09895234b13025e42e47370c2883fc36b3607d91f73a875fbc67ba26d456dc</t>
  </si>
  <si>
    <t>e912fa64d0efc032c386bdb02b3b8953e1559a6850aafdf4579f0635894c0307</t>
  </si>
  <si>
    <t>93:43:01</t>
  </si>
  <si>
    <t>b960fe27f5efe96ac5bf4e7421d9f68aac5bc1d5dd737dd28c595cb355283f6b</t>
  </si>
  <si>
    <t>31:17:45</t>
  </si>
  <si>
    <t>ec8119d3fde115e050af531ac2e6ab4e4a9b5ffe87409e1c837c464d56f39985</t>
  </si>
  <si>
    <t>37:46:34</t>
  </si>
  <si>
    <t>af73ac829438be5e8ac0e916b8f3e1c4ca0ece8e88763f61f01a8c5b1760f119</t>
  </si>
  <si>
    <t>142:17:41</t>
  </si>
  <si>
    <t>e103e0ff9ff0bbd9f1d921e74e463ab8a9774d38e15e54db506ff2d279d25637</t>
  </si>
  <si>
    <t>no_catalyst</t>
  </si>
  <si>
    <t>00:00:06</t>
  </si>
  <si>
    <t>4e3fa31720be9a8d28047aafa24df6b41ca3607a74e9053271885b14318742cf</t>
  </si>
  <si>
    <t>P1</t>
  </si>
  <si>
    <t>00:12:23</t>
  </si>
  <si>
    <t>8b4b1294e9a7be3782cdfcb2fc7d8c05f6c1da2fb321d4a776b78cd404509297</t>
  </si>
  <si>
    <t>03:13:22</t>
  </si>
  <si>
    <t>4d0e9aa1b9dd349c1acc815c73b87e4ff291929ab9c4fb1671b9a94ed64977d9</t>
  </si>
  <si>
    <t>00:09:23</t>
  </si>
  <si>
    <t>ff1bf3b9f324a02022606563478c284de169d8c25e997fcd118bafc13ec30722</t>
  </si>
  <si>
    <t>01:43:43</t>
  </si>
  <si>
    <t>14400a85cd4fa3fba196246613f30a34f7f1af56ecc57dabe7b9b2bf4bb32af2</t>
  </si>
  <si>
    <t>00:00:49</t>
  </si>
  <si>
    <t>7b7b2a24a0e38ab4fb85594766c58def93462243c4ad869e6416f6463efe68d7</t>
  </si>
  <si>
    <t>Rsub</t>
  </si>
  <si>
    <t>00:04:00</t>
  </si>
  <si>
    <t>ddac071bf5085a782b9380d1fb15ecc2b7d4318c085c76457ec1e86fe56289dc</t>
  </si>
  <si>
    <t>00:42:15</t>
  </si>
  <si>
    <t>e1520eb6167a6f2bcb04845a43b549813d8cb5056e2967e033ee8e0d4f923d64</t>
  </si>
  <si>
    <t>00:21:39</t>
  </si>
  <si>
    <t>31d9d4d8184e1d0d4e82935e1435096683878167379776545e1b2dababf2309b</t>
  </si>
  <si>
    <t>01:14:48</t>
  </si>
  <si>
    <t>6941240d1566822c13eac2e8d550268c8be987a6623a544b67f7c9c2cd5a6185</t>
  </si>
  <si>
    <t>00:47:52</t>
  </si>
  <si>
    <t>6edde42b075a64d8636d8b00e2e11a6099b4ba5ee450aa349eb2abc317692b8a</t>
  </si>
  <si>
    <t>00:24:20</t>
  </si>
  <si>
    <t>e97ac686b5897dd8f40cea6c350d7bba92509c803dcbbe83b6d38450e1f23de5</t>
  </si>
  <si>
    <t>00:24:04</t>
  </si>
  <si>
    <t>45bd156ea0c8468966680fc409c4865f667c9c1cadd0e36c4f79c26968356bbb</t>
  </si>
  <si>
    <t>d50f0c314c3e3e9c741240c6dac806411e774572ca632ae45d7a2cd5604a0427</t>
  </si>
  <si>
    <t>01:13:49</t>
  </si>
  <si>
    <t>fee8e643d47f56a37cc4c5d20cee03049c6cbaa2890cf34fd430061eeffd0d83</t>
  </si>
  <si>
    <t>00:49:13</t>
  </si>
  <si>
    <t>5e93e1425e1f6d8ae1a4bb1aab07cda312cb860dbc2b4d6dd549d9274a1d4a30</t>
  </si>
  <si>
    <t>00:28:19</t>
  </si>
  <si>
    <t>7fb2fce45764692b549abde53ed4bdfce059140370905f41db008baf3343e9d8</t>
  </si>
  <si>
    <t>00:28:26</t>
  </si>
  <si>
    <t>3f4488ea3558b40c23a55d7427ec3a7bedef7c958a762a31f6aeae7e02359e75</t>
  </si>
  <si>
    <t>8459e7991eb5f28cd592e98a5ece79a79ae5af6d70f338113deb44d7cc538000</t>
  </si>
  <si>
    <t>squaramide</t>
  </si>
  <si>
    <t>O</t>
  </si>
  <si>
    <t>c18dfadd73ea8ec0ecea1b5268a2ad51bc179aa7ef060ea73a42295144ed9546</t>
  </si>
  <si>
    <t>ed873f95e4045e9ef12164dd1960b83a80be9b080cd82d9ac3d8d4035b5279da</t>
  </si>
  <si>
    <t>R</t>
  </si>
  <si>
    <t>P1R_cat_complex</t>
  </si>
  <si>
    <t>3453511663de7ab4bf321a3f1ddc84dd19ce4ec4afc407c4827b3160fb1e6d06</t>
  </si>
  <si>
    <t>S</t>
  </si>
  <si>
    <t>P1S_cat_complex</t>
  </si>
  <si>
    <t>3fa9a7e141c81e44809d74c97720c716385d134b2a444d5f33685b7208473999</t>
  </si>
  <si>
    <t>9f73d538cb73e336da6355c255b9087600014df2b1469cf457ad4a4b0698e733</t>
  </si>
  <si>
    <t>P2R_cat_complex</t>
  </si>
  <si>
    <t>f159ddd78c56a9421a33f92266343d897e0bbfd35ca44dcc85ce4a93e63f14fe</t>
  </si>
  <si>
    <t>P2S_cat_complex</t>
  </si>
  <si>
    <t>b7d16bdeca566ce5397f9540c935e8b4efd72ac35439fb77ce3fc4e6070ded81</t>
  </si>
  <si>
    <t>6a73e9445413704bcac2e175a2d32ab51c697dba6a2e591009af5099e79a527f</t>
  </si>
  <si>
    <t>71ea23f8a2fb146ee60969d36590994ba3fc26a8e10038eb2934e2735797a065</t>
  </si>
  <si>
    <t>6b0fbded6ea005d45f290c0773596db25ee754c54cde95d1e21b0f412962f82f</t>
  </si>
  <si>
    <t>TSR</t>
  </si>
  <si>
    <t>8a0e0428f18002f899f8c5678c9860065a6852d4264f19526ab6ebc60ede0582</t>
  </si>
  <si>
    <t>TSS</t>
  </si>
  <si>
    <t>9d18d5600dddb3a7d76d92e644e118accc5e6b78008be8244b00e8de6d2a5f53</t>
  </si>
  <si>
    <t>urea_tBu_Ph</t>
  </si>
  <si>
    <t>69:52:20</t>
  </si>
  <si>
    <t>b0693f9e631444c871412593fa38a05a3f3050d558f7fcd345cdb2eab5804325</t>
  </si>
  <si>
    <t>62:35:00</t>
  </si>
  <si>
    <t>1d05fa7c4170fed4d1e730d6a758699748b45993146d071df4316fb129a063db</t>
  </si>
  <si>
    <t>01:12:19</t>
  </si>
  <si>
    <t>f33894258c9f3a01f4d0f3379ad3f5caa65e7dc17262bc674c20cf9ae9820576</t>
  </si>
  <si>
    <t>65:10:23</t>
  </si>
  <si>
    <t>24b8aabce8f736356e1624f9901f8ca2bcc9d93c3063a32b9bea69b5f5445fa0</t>
  </si>
  <si>
    <t>36:56:28</t>
  </si>
  <si>
    <t>729943bcad94f65100b4595220267912b8f018b697c3b78d710d9f7e4af500a0</t>
  </si>
  <si>
    <t>00:38:38</t>
  </si>
  <si>
    <t>8e0bbd79aeb04fd96a9320a54ef7f4bfd7649e7c48c7cfc310460ea97618129d</t>
  </si>
  <si>
    <t>30:13:02</t>
  </si>
  <si>
    <t>34149c4d9f34bf84857c3659209f0d409157db958fce6e8cb44481504eff37a5</t>
  </si>
  <si>
    <t>75:10:33</t>
  </si>
  <si>
    <t>a6a67698b100f73fdf209512bf318ce3248429f6b6e9269ca7f356bf4eceac60</t>
  </si>
  <si>
    <t>71:35:20</t>
  </si>
  <si>
    <t>ae0494b902b29473ed0606c62b6871cd73bfc8d22c0af18a3ac88b934f0c67e2</t>
  </si>
  <si>
    <t>07:51:27</t>
  </si>
  <si>
    <t>57ccca94fe8bb7cdf735d40336813745f033d21a7348e94f5eb86885a3708506</t>
  </si>
  <si>
    <t>82:26:36</t>
  </si>
  <si>
    <t>FREQ</t>
  </si>
  <si>
    <t>492ae96baacb3e93414a96dd2f32f5ff69140b3162e3657f99c3fbaf2d9152a6</t>
  </si>
  <si>
    <t>68:04:37</t>
  </si>
  <si>
    <t>a967783774fda84fcccdb74a1f55f890ad78492b19313d397792225473555f49</t>
  </si>
  <si>
    <t>39:11:37</t>
  </si>
  <si>
    <t>e1070f32e76e579454b3ce8a27f1138961b6a04def6cf8e66c402f522a2f5a97</t>
  </si>
  <si>
    <t>34:48:11</t>
  </si>
  <si>
    <t>eb2f05b88bf2d0681a6b15bd33a365f2a70fb76545549991169a290107e5f8ea</t>
  </si>
  <si>
    <t>14:13:53</t>
  </si>
  <si>
    <t>ef06325ba32e73e6896b4bcd7135685f2c92fcbc20c8922f1474fd358f979e3e</t>
  </si>
  <si>
    <t>27:24:13</t>
  </si>
  <si>
    <t>a2aa3987fabf6cc9c7e22c5b42b4e7f4294edfc679fb5b475c73061cefafb95d</t>
  </si>
  <si>
    <t>13:41:13</t>
  </si>
  <si>
    <t>a52eb3c88282b5536dcf2d42ad9e0fd8e7b28ed95d097e31892b41306ed71f1d</t>
  </si>
  <si>
    <t>07:25:37</t>
  </si>
  <si>
    <t>e3d80f3b1a65ef2248335f6e14d2b540e79f3882cfea534d8bebfa7ec9ab8e80</t>
  </si>
  <si>
    <t>68084fb96e1d55515672a0a7d9f9e88261f01815b6b6566334c85b8c7afe25b8</t>
  </si>
  <si>
    <t>64:07:29</t>
  </si>
  <si>
    <t>866987efab919431232b933eceb7c714f097a87262498acab50ed9e1ef931fa4</t>
  </si>
  <si>
    <t>60:33:18</t>
  </si>
  <si>
    <t>711f58f8bd073be0a3ad18c26d1f94ea62e79faff83f82f13e681b8cbdbad4b2</t>
  </si>
  <si>
    <t>01:42:28</t>
  </si>
  <si>
    <t>09c16c2cea11ada970257b14275bd17b2415f1f5d88c8d0ba5c18d94ebfee162</t>
  </si>
  <si>
    <t>39:43:02</t>
  </si>
  <si>
    <t>233b7088370e290dff760ab2a0eda7a94fa5711644602e33236324972af825f2</t>
  </si>
  <si>
    <t>37:29:51</t>
  </si>
  <si>
    <t>4004637466a693ab01b82b43f533df53e7636e00dbc73963e11d1abd982e01a1</t>
  </si>
  <si>
    <t>00:03:16</t>
  </si>
  <si>
    <t>7e362655bd79dd4011a71f5f53316d92cb7d0d27257acb1fb9bc188efc85f4f5</t>
  </si>
  <si>
    <t>00:44:59</t>
  </si>
  <si>
    <t>178a71eb8aaa014318a096a3f978fe2aaaccc1b5f98b83ee03574a7425697aa4</t>
  </si>
  <si>
    <t>27:44:20</t>
  </si>
  <si>
    <t>795a7056323637ae37f7063645b8be804046616041138aa6b537d8ac2d15475b</t>
  </si>
  <si>
    <t>78:48:23</t>
  </si>
  <si>
    <t>f788c728429e1cfe5c4261ba72629fcdfb602c2225e4de93b74fe5aa20f8431c</t>
  </si>
  <si>
    <t>113:51:43</t>
  </si>
  <si>
    <t>d5bd7f7f3a8a4925ee56ac66041fea0e2ffa6a5001bcf18ecf535ed2ca6da602</t>
  </si>
  <si>
    <t>41:53:02</t>
  </si>
  <si>
    <t>becc4cb7472d397021b25aaee347277e250ee6bf7e7ce83c83b9b6c45e1c2a95</t>
  </si>
  <si>
    <t>37:13:57</t>
  </si>
  <si>
    <t>2b1cb754a339835083b6f519d073c7925e1d310ecf1da18556dd2d179ec06d65</t>
  </si>
  <si>
    <t>19:23:38</t>
  </si>
  <si>
    <t>44e1aaaedbd9eac2df45bf29ee28413abb3199d07d885ccaeaa4caf77e576253</t>
  </si>
  <si>
    <t>20:28:44</t>
  </si>
  <si>
    <t>b92627f30ed23e47fe79881c8cebab015cfaffe024ccefc1e9ef7cee5e05b1b9</t>
  </si>
  <si>
    <t>17:35:13</t>
  </si>
  <si>
    <t>f898cfcc9d6d68e46b00aabd8d8f2c811c1bb6030ac34f0217fc35b3b75afd5b</t>
  </si>
  <si>
    <t>40:40:05</t>
  </si>
  <si>
    <t>8013ecba2c3c289f23d3dca65fb6cda17df7e5d52eb5c32a11c2202ab266d83e</t>
  </si>
  <si>
    <t>28:22:14</t>
  </si>
  <si>
    <t>ee99e72211ceffa5bd0dd127911eb854de65652b16742783e6452987676ef53f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</si>
</sst>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80600B"/>
      <name val="Calibri"/>
    </font>
    <font>
      <sz val="12"/>
      <color theme="10"/>
      <name val="Calibri"/>
      <family val="2"/>
      <scheme val="minor"/>
    </font>
    <font>
      <b/>
      <sz val="11"/>
      <color rgb="FF222B35"/>
      <name val="Calibri"/>
    </font>
    <font>
      <b/>
      <sz val="11"/>
      <color rgb="FF375623"/>
      <name val="Calibri"/>
    </font>
    <font>
      <b/>
      <sz val="11"/>
      <color rgb="FF7030A2"/>
      <name val="Calibri"/>
    </font>
    <font>
      <b/>
      <sz val="11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E2EFDA"/>
        <bgColor rgb="FFE2EFDA"/>
      </patternFill>
    </fill>
    <fill>
      <patternFill patternType="solid">
        <fgColor rgb="FFE9C5FF"/>
        <bgColor rgb="FFE9C5FF"/>
      </patternFill>
    </fill>
    <fill>
      <patternFill patternType="solid">
        <fgColor rgb="FFFFD3D3"/>
        <bgColor rgb="FFFFD3D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  <xf numFmtId="0" fontId="7" fillId="6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14.7109375" bestFit="1" customWidth="1"/>
    <col min="4" max="4" width="15.5703125" bestFit="1" customWidth="1"/>
    <col min="5" max="6" width="5.42578125" bestFit="1" customWidth="1"/>
    <col min="7" max="8" width="6.5703125" bestFit="1" customWidth="1"/>
    <col min="9" max="9" width="7.85546875" bestFit="1" customWidth="1"/>
    <col min="10" max="10" width="6.85546875" bestFit="1" customWidth="1"/>
    <col min="11" max="11" width="7.85546875" bestFit="1" customWidth="1"/>
    <col min="12" max="12" width="21.42578125" bestFit="1" customWidth="1"/>
    <col min="13" max="13" width="10.42578125" bestFit="1" customWidth="1"/>
    <col min="14" max="14" width="11.7109375" bestFit="1" customWidth="1"/>
    <col min="16" max="16" width="10.42578125" bestFit="1" customWidth="1"/>
    <col min="17" max="17" width="11.7109375" bestFit="1" customWidth="1"/>
    <col min="18" max="18" width="7.85546875" bestFit="1" customWidth="1"/>
    <col min="19" max="19" width="69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x14ac:dyDescent="0.25">
      <c r="A2" s="2" t="s">
        <v>19</v>
      </c>
      <c r="B2" s="3" t="s">
        <v>20</v>
      </c>
      <c r="C2" s="3" t="s">
        <v>21</v>
      </c>
      <c r="D2" s="3" t="s">
        <v>22</v>
      </c>
      <c r="E2" s="3"/>
      <c r="F2" s="3"/>
      <c r="G2" s="3"/>
      <c r="H2" s="3"/>
      <c r="I2" s="3" t="s">
        <v>23</v>
      </c>
      <c r="J2" s="3"/>
      <c r="K2" s="3"/>
      <c r="L2" s="3" t="s">
        <v>24</v>
      </c>
      <c r="M2" s="4" t="str">
        <f>HYPERLINK("D:\Users\Yuman\Desktop\MasterProject\results\achiral_catalyst.H_Ph_AlF3.vacuum\cat", "Directory")</f>
        <v>Directory</v>
      </c>
      <c r="N2" s="4" t="str">
        <f>HYPERLINK("D:\Users\Yuman\Desktop\MasterProject\calculations_test\achiral_catalyst.H_Ph_AlF3.vacuum\cat", "Directory")</f>
        <v>Directory</v>
      </c>
      <c r="O2" s="3"/>
      <c r="P2" s="3"/>
      <c r="Q2" s="5" t="s">
        <v>25</v>
      </c>
      <c r="R2" s="3" t="s">
        <v>26</v>
      </c>
      <c r="S2" s="3" t="s">
        <v>27</v>
      </c>
    </row>
    <row r="3" spans="1:19" ht="15.75" x14ac:dyDescent="0.25">
      <c r="A3" s="6" t="s">
        <v>28</v>
      </c>
      <c r="B3" s="3" t="s">
        <v>20</v>
      </c>
      <c r="C3" s="3" t="s">
        <v>21</v>
      </c>
      <c r="D3" s="3" t="s">
        <v>22</v>
      </c>
      <c r="E3" s="3" t="s">
        <v>29</v>
      </c>
      <c r="F3" s="3" t="s">
        <v>30</v>
      </c>
      <c r="G3" s="3"/>
      <c r="H3" s="3"/>
      <c r="I3" s="3" t="s">
        <v>23</v>
      </c>
      <c r="J3" s="3"/>
      <c r="K3" s="3"/>
      <c r="L3" s="3" t="s">
        <v>31</v>
      </c>
      <c r="M3" s="4" t="str">
        <f>HYPERLINK("D:\Users\Yuman\Desktop\MasterProject\results\achiral_catalyst.H_Ph_AlF3.vacuum\P1_cat_complex", "Directory")</f>
        <v>Directory</v>
      </c>
      <c r="N3" s="4" t="str">
        <f>HYPERLINK("D:\Users\Yuman\Desktop\MasterProject\calculations_test\achiral_catalyst.H_Ph_AlF3.vacuum\P1_cat_complex", "Directory")</f>
        <v>Directory</v>
      </c>
      <c r="O3" s="4" t="str">
        <f>HYPERLINK("D:\Users\Yuman\Desktop\MasterProject\results\achiral_catalyst.H_Ph_AlF3.vacuum\P1_cat_complex/molview2_start_in.bat", "input.xyz")</f>
        <v>input.xyz</v>
      </c>
      <c r="P3" s="3"/>
      <c r="Q3" s="5" t="s">
        <v>32</v>
      </c>
      <c r="R3" s="3"/>
      <c r="S3" s="3" t="s">
        <v>33</v>
      </c>
    </row>
    <row r="4" spans="1:19" ht="15.75" x14ac:dyDescent="0.25">
      <c r="A4" s="7" t="s">
        <v>34</v>
      </c>
      <c r="B4" s="3" t="s">
        <v>20</v>
      </c>
      <c r="C4" s="3" t="s">
        <v>21</v>
      </c>
      <c r="D4" s="3" t="s">
        <v>22</v>
      </c>
      <c r="E4" s="3" t="s">
        <v>29</v>
      </c>
      <c r="F4" s="3" t="s">
        <v>30</v>
      </c>
      <c r="G4" s="3"/>
      <c r="H4" s="3"/>
      <c r="I4" s="3" t="s">
        <v>23</v>
      </c>
      <c r="J4" s="3"/>
      <c r="K4" s="3"/>
      <c r="L4" s="3" t="s">
        <v>35</v>
      </c>
      <c r="M4" s="4" t="str">
        <f>HYPERLINK("D:\Users\Yuman\Desktop\MasterProject\results\achiral_catalyst.H_Ph_AlF3.vacuum\P2_cat_complex", "Directory")</f>
        <v>Directory</v>
      </c>
      <c r="N4" s="4" t="str">
        <f>HYPERLINK("D:\Users\Yuman\Desktop\MasterProject\calculations_test\achiral_catalyst.H_Ph_AlF3.vacuum\P2_cat_complex", "Directory")</f>
        <v>Directory</v>
      </c>
      <c r="O4" s="3"/>
      <c r="P4" s="3"/>
      <c r="Q4" s="5" t="s">
        <v>36</v>
      </c>
      <c r="R4" s="3" t="s">
        <v>26</v>
      </c>
      <c r="S4" s="3" t="s">
        <v>37</v>
      </c>
    </row>
    <row r="5" spans="1:19" ht="15.75" x14ac:dyDescent="0.25">
      <c r="A5" s="2" t="s">
        <v>19</v>
      </c>
      <c r="B5" s="3" t="s">
        <v>20</v>
      </c>
      <c r="C5" s="3" t="s">
        <v>21</v>
      </c>
      <c r="D5" s="3" t="s">
        <v>22</v>
      </c>
      <c r="E5" s="3" t="s">
        <v>29</v>
      </c>
      <c r="F5" s="3" t="s">
        <v>30</v>
      </c>
      <c r="G5" s="3"/>
      <c r="H5" s="3"/>
      <c r="I5" s="3" t="s">
        <v>23</v>
      </c>
      <c r="J5" s="3"/>
      <c r="K5" s="3"/>
      <c r="L5" s="3" t="s">
        <v>38</v>
      </c>
      <c r="M5" s="4" t="str">
        <f>HYPERLINK("D:\Users\Yuman\Desktop\MasterProject\results\achiral_catalyst.H_Ph_AlF3.vacuum\sub_cat_complex", "Directory")</f>
        <v>Directory</v>
      </c>
      <c r="N5" s="4" t="str">
        <f>HYPERLINK("D:\Users\Yuman\Desktop\MasterProject\calculations_test\achiral_catalyst.H_Ph_AlF3.vacuum\sub_cat_complex", "Directory")</f>
        <v>Directory</v>
      </c>
      <c r="O5" s="3"/>
      <c r="P5" s="3"/>
      <c r="Q5" s="5" t="s">
        <v>39</v>
      </c>
      <c r="R5" s="3" t="s">
        <v>26</v>
      </c>
      <c r="S5" s="3" t="s">
        <v>40</v>
      </c>
    </row>
    <row r="6" spans="1:19" ht="15.75" x14ac:dyDescent="0.25">
      <c r="A6" s="6" t="s">
        <v>28</v>
      </c>
      <c r="B6" s="3" t="s">
        <v>41</v>
      </c>
      <c r="C6" s="3" t="s">
        <v>21</v>
      </c>
      <c r="D6" s="3" t="s">
        <v>22</v>
      </c>
      <c r="E6" s="3" t="s">
        <v>29</v>
      </c>
      <c r="F6" s="3" t="s">
        <v>30</v>
      </c>
      <c r="G6" s="3"/>
      <c r="H6" s="3"/>
      <c r="I6" s="3" t="s">
        <v>23</v>
      </c>
      <c r="J6" s="3"/>
      <c r="K6" s="3"/>
      <c r="L6" s="3" t="s">
        <v>42</v>
      </c>
      <c r="M6" s="4" t="str">
        <f>HYPERLINK("D:\Users\Yuman\Desktop\MasterProject\results\achiral_catalyst.H_Ph_AlF3.vacuum\TS", "Directory")</f>
        <v>Directory</v>
      </c>
      <c r="N6" s="4" t="str">
        <f>HYPERLINK("D:\Users\Yuman\Desktop\MasterProject\calculations_test\achiral_catalyst.H_Ph_AlF3.vacuum\TS", "Directory")</f>
        <v>Directory</v>
      </c>
      <c r="O6" s="4" t="str">
        <f>HYPERLINK("D:\Users\Yuman\Desktop\MasterProject\results\achiral_catalyst.H_Ph_AlF3.vacuum\TS/molview2_start_in.bat", "input.xyz")</f>
        <v>input.xyz</v>
      </c>
      <c r="P6" s="3"/>
      <c r="Q6" s="5" t="s">
        <v>32</v>
      </c>
      <c r="R6" s="3"/>
      <c r="S6" s="3" t="s">
        <v>43</v>
      </c>
    </row>
    <row r="7" spans="1:19" ht="15.75" x14ac:dyDescent="0.25">
      <c r="A7" s="2" t="s">
        <v>19</v>
      </c>
      <c r="B7" s="3" t="s">
        <v>20</v>
      </c>
      <c r="C7" s="3" t="s">
        <v>21</v>
      </c>
      <c r="D7" s="3" t="s">
        <v>22</v>
      </c>
      <c r="E7" s="3"/>
      <c r="F7" s="3"/>
      <c r="G7" s="3"/>
      <c r="H7" s="3"/>
      <c r="I7" s="3" t="s">
        <v>44</v>
      </c>
      <c r="J7" s="3"/>
      <c r="K7" s="3"/>
      <c r="L7" s="3" t="s">
        <v>24</v>
      </c>
      <c r="M7" s="4" t="str">
        <f>HYPERLINK("D:\Users\Yuman\Desktop\MasterProject\results\achiral_catalyst.H_Ph_BF3.vacuum\cat", "Directory")</f>
        <v>Directory</v>
      </c>
      <c r="N7" s="4" t="str">
        <f>HYPERLINK("D:\Users\Yuman\Desktop\MasterProject\calculations_test\achiral_catalyst.H_Ph_BF3.vacuum\cat", "Directory")</f>
        <v>Directory</v>
      </c>
      <c r="O7" s="3"/>
      <c r="P7" s="3"/>
      <c r="Q7" s="5" t="s">
        <v>45</v>
      </c>
      <c r="R7" s="3" t="s">
        <v>26</v>
      </c>
      <c r="S7" s="3" t="s">
        <v>46</v>
      </c>
    </row>
    <row r="8" spans="1:19" ht="15.75" x14ac:dyDescent="0.25">
      <c r="A8" s="2" t="s">
        <v>19</v>
      </c>
      <c r="B8" s="3" t="s">
        <v>20</v>
      </c>
      <c r="C8" s="3" t="s">
        <v>21</v>
      </c>
      <c r="D8" s="3" t="s">
        <v>22</v>
      </c>
      <c r="E8" s="3" t="s">
        <v>29</v>
      </c>
      <c r="F8" s="3" t="s">
        <v>30</v>
      </c>
      <c r="G8" s="3"/>
      <c r="H8" s="3"/>
      <c r="I8" s="3" t="s">
        <v>44</v>
      </c>
      <c r="J8" s="3"/>
      <c r="K8" s="3"/>
      <c r="L8" s="3" t="s">
        <v>31</v>
      </c>
      <c r="M8" s="4" t="str">
        <f>HYPERLINK("D:\Users\Yuman\Desktop\MasterProject\results\achiral_catalyst.H_Ph_BF3.vacuum\P1_cat_complex", "Directory")</f>
        <v>Directory</v>
      </c>
      <c r="N8" s="4" t="str">
        <f>HYPERLINK("D:\Users\Yuman\Desktop\MasterProject\calculations_test\achiral_catalyst.H_Ph_BF3.vacuum\P1_cat_complex", "Directory")</f>
        <v>Directory</v>
      </c>
      <c r="O8" s="3"/>
      <c r="P8" s="3"/>
      <c r="Q8" s="5" t="s">
        <v>47</v>
      </c>
      <c r="R8" s="3" t="s">
        <v>26</v>
      </c>
      <c r="S8" s="3" t="s">
        <v>48</v>
      </c>
    </row>
    <row r="9" spans="1:19" ht="15.75" x14ac:dyDescent="0.25">
      <c r="A9" s="7" t="s">
        <v>34</v>
      </c>
      <c r="B9" s="3" t="s">
        <v>20</v>
      </c>
      <c r="C9" s="3" t="s">
        <v>21</v>
      </c>
      <c r="D9" s="3" t="s">
        <v>22</v>
      </c>
      <c r="E9" s="3" t="s">
        <v>29</v>
      </c>
      <c r="F9" s="3" t="s">
        <v>30</v>
      </c>
      <c r="G9" s="3"/>
      <c r="H9" s="3"/>
      <c r="I9" s="3" t="s">
        <v>44</v>
      </c>
      <c r="J9" s="3"/>
      <c r="K9" s="3"/>
      <c r="L9" s="3" t="s">
        <v>35</v>
      </c>
      <c r="M9" s="4" t="str">
        <f>HYPERLINK("D:\Users\Yuman\Desktop\MasterProject\results\achiral_catalyst.H_Ph_BF3.vacuum\P2_cat_complex", "Directory")</f>
        <v>Directory</v>
      </c>
      <c r="N9" s="4" t="str">
        <f>HYPERLINK("D:\Users\Yuman\Desktop\MasterProject\calculations_test\achiral_catalyst.H_Ph_BF3.vacuum\P2_cat_complex", "Directory")</f>
        <v>Directory</v>
      </c>
      <c r="O9" s="3"/>
      <c r="P9" s="3"/>
      <c r="Q9" s="5" t="s">
        <v>49</v>
      </c>
      <c r="R9" s="3" t="s">
        <v>26</v>
      </c>
      <c r="S9" s="3" t="s">
        <v>50</v>
      </c>
    </row>
    <row r="10" spans="1:19" ht="15.75" x14ac:dyDescent="0.25">
      <c r="A10" s="2" t="s">
        <v>19</v>
      </c>
      <c r="B10" s="3" t="s">
        <v>20</v>
      </c>
      <c r="C10" s="3" t="s">
        <v>21</v>
      </c>
      <c r="D10" s="3" t="s">
        <v>22</v>
      </c>
      <c r="E10" s="3" t="s">
        <v>29</v>
      </c>
      <c r="F10" s="3" t="s">
        <v>30</v>
      </c>
      <c r="G10" s="3"/>
      <c r="H10" s="3"/>
      <c r="I10" s="3" t="s">
        <v>44</v>
      </c>
      <c r="J10" s="3"/>
      <c r="K10" s="3"/>
      <c r="L10" s="3" t="s">
        <v>38</v>
      </c>
      <c r="M10" s="4" t="str">
        <f>HYPERLINK("D:\Users\Yuman\Desktop\MasterProject\results\achiral_catalyst.H_Ph_BF3.vacuum\sub_cat_complex", "Directory")</f>
        <v>Directory</v>
      </c>
      <c r="N10" s="4" t="str">
        <f>HYPERLINK("D:\Users\Yuman\Desktop\MasterProject\calculations_test\achiral_catalyst.H_Ph_BF3.vacuum\sub_cat_complex", "Directory")</f>
        <v>Directory</v>
      </c>
      <c r="O10" s="3"/>
      <c r="P10" s="3"/>
      <c r="Q10" s="5" t="s">
        <v>51</v>
      </c>
      <c r="R10" s="3" t="s">
        <v>26</v>
      </c>
      <c r="S10" s="3" t="s">
        <v>52</v>
      </c>
    </row>
    <row r="11" spans="1:19" ht="15.75" x14ac:dyDescent="0.25">
      <c r="A11" s="2" t="s">
        <v>19</v>
      </c>
      <c r="B11" s="3" t="s">
        <v>41</v>
      </c>
      <c r="C11" s="3" t="s">
        <v>21</v>
      </c>
      <c r="D11" s="3" t="s">
        <v>22</v>
      </c>
      <c r="E11" s="3" t="s">
        <v>29</v>
      </c>
      <c r="F11" s="3" t="s">
        <v>30</v>
      </c>
      <c r="G11" s="3"/>
      <c r="H11" s="3"/>
      <c r="I11" s="3" t="s">
        <v>44</v>
      </c>
      <c r="J11" s="3"/>
      <c r="K11" s="3"/>
      <c r="L11" s="3" t="s">
        <v>42</v>
      </c>
      <c r="M11" s="4" t="str">
        <f>HYPERLINK("D:\Users\Yuman\Desktop\MasterProject\results\achiral_catalyst.H_Ph_BF3.vacuum\TS", "Directory")</f>
        <v>Directory</v>
      </c>
      <c r="N11" s="4" t="str">
        <f>HYPERLINK("D:\Users\Yuman\Desktop\MasterProject\calculations_test\achiral_catalyst.H_Ph_BF3.vacuum\TS", "Directory")</f>
        <v>Directory</v>
      </c>
      <c r="O11" s="3"/>
      <c r="P11" s="3"/>
      <c r="Q11" s="5" t="s">
        <v>53</v>
      </c>
      <c r="R11" s="3" t="s">
        <v>26</v>
      </c>
      <c r="S11" s="3" t="s">
        <v>54</v>
      </c>
    </row>
    <row r="12" spans="1:19" ht="15.75" x14ac:dyDescent="0.25">
      <c r="A12" s="2" t="s">
        <v>19</v>
      </c>
      <c r="B12" s="3" t="s">
        <v>20</v>
      </c>
      <c r="C12" s="3" t="s">
        <v>21</v>
      </c>
      <c r="D12" s="3" t="s">
        <v>22</v>
      </c>
      <c r="E12" s="3"/>
      <c r="F12" s="3"/>
      <c r="G12" s="3"/>
      <c r="H12" s="3"/>
      <c r="I12" s="3" t="s">
        <v>55</v>
      </c>
      <c r="J12" s="3"/>
      <c r="K12" s="3"/>
      <c r="L12" s="3" t="s">
        <v>24</v>
      </c>
      <c r="M12" s="4" t="str">
        <f>HYPERLINK("D:\Users\Yuman\Desktop\MasterProject\results\achiral_catalyst.H_Ph_I2.vacuum\cat", "Directory")</f>
        <v>Directory</v>
      </c>
      <c r="N12" s="4" t="str">
        <f>HYPERLINK("D:\Users\Yuman\Desktop\MasterProject\calculations_test\achiral_catalyst.H_Ph_I2.vacuum\cat", "Directory")</f>
        <v>Directory</v>
      </c>
      <c r="O12" s="3"/>
      <c r="P12" s="3"/>
      <c r="Q12" s="5" t="s">
        <v>56</v>
      </c>
      <c r="R12" s="3" t="s">
        <v>26</v>
      </c>
      <c r="S12" s="3" t="s">
        <v>57</v>
      </c>
    </row>
    <row r="13" spans="1:19" ht="15.75" x14ac:dyDescent="0.25">
      <c r="A13" s="6" t="s">
        <v>28</v>
      </c>
      <c r="B13" s="3" t="s">
        <v>20</v>
      </c>
      <c r="C13" s="3" t="s">
        <v>21</v>
      </c>
      <c r="D13" s="3" t="s">
        <v>22</v>
      </c>
      <c r="E13" s="3"/>
      <c r="F13" s="3"/>
      <c r="G13" s="3"/>
      <c r="H13" s="3"/>
      <c r="I13" s="3"/>
      <c r="J13" s="3"/>
      <c r="K13" s="3"/>
      <c r="L13" s="3" t="s">
        <v>29</v>
      </c>
      <c r="M13" s="4" t="str">
        <f>HYPERLINK("D:\Users\Yuman\Desktop\MasterProject\results\achiral_catalyst.H_Ph_I2.vacuum\H", "Directory")</f>
        <v>Directory</v>
      </c>
      <c r="N13" s="4" t="str">
        <f>HYPERLINK("D:\Users\Yuman\Desktop\MasterProject\calculations_test\achiral_catalyst.H_Ph_I2.vacuum\H", "Directory")</f>
        <v>Directory</v>
      </c>
      <c r="O13" s="4" t="str">
        <f>HYPERLINK("D:\Users\Yuman\Desktop\MasterProject\results\achiral_catalyst.H_Ph_I2.vacuum\H/molview2_start_in.bat", "input.xyz")</f>
        <v>input.xyz</v>
      </c>
      <c r="P13" s="3"/>
      <c r="Q13" s="5" t="s">
        <v>32</v>
      </c>
      <c r="R13" s="3"/>
      <c r="S13" s="3" t="s">
        <v>58</v>
      </c>
    </row>
    <row r="14" spans="1:19" ht="15.75" x14ac:dyDescent="0.25">
      <c r="A14" s="7" t="s">
        <v>34</v>
      </c>
      <c r="B14" s="3" t="s">
        <v>20</v>
      </c>
      <c r="C14" s="3" t="s">
        <v>21</v>
      </c>
      <c r="D14" s="3" t="s">
        <v>22</v>
      </c>
      <c r="E14" s="3" t="s">
        <v>29</v>
      </c>
      <c r="F14" s="3" t="s">
        <v>30</v>
      </c>
      <c r="G14" s="3"/>
      <c r="H14" s="3"/>
      <c r="I14" s="3" t="s">
        <v>55</v>
      </c>
      <c r="J14" s="3"/>
      <c r="K14" s="3"/>
      <c r="L14" s="3" t="s">
        <v>31</v>
      </c>
      <c r="M14" s="4" t="str">
        <f>HYPERLINK("D:\Users\Yuman\Desktop\MasterProject\results\achiral_catalyst.H_Ph_I2.vacuum\P1_cat_complex", "Directory")</f>
        <v>Directory</v>
      </c>
      <c r="N14" s="4" t="str">
        <f>HYPERLINK("D:\Users\Yuman\Desktop\MasterProject\calculations_test\achiral_catalyst.H_Ph_I2.vacuum\P1_cat_complex", "Directory")</f>
        <v>Directory</v>
      </c>
      <c r="O14" s="3"/>
      <c r="P14" s="3"/>
      <c r="Q14" s="5" t="s">
        <v>59</v>
      </c>
      <c r="R14" s="3" t="s">
        <v>26</v>
      </c>
      <c r="S14" s="3" t="s">
        <v>60</v>
      </c>
    </row>
    <row r="15" spans="1:19" ht="15.75" x14ac:dyDescent="0.25">
      <c r="A15" s="7" t="s">
        <v>34</v>
      </c>
      <c r="B15" s="3" t="s">
        <v>20</v>
      </c>
      <c r="C15" s="3" t="s">
        <v>21</v>
      </c>
      <c r="D15" s="3" t="s">
        <v>22</v>
      </c>
      <c r="E15" s="3" t="s">
        <v>29</v>
      </c>
      <c r="F15" s="3" t="s">
        <v>30</v>
      </c>
      <c r="G15" s="3"/>
      <c r="H15" s="3"/>
      <c r="I15" s="3"/>
      <c r="J15" s="3"/>
      <c r="K15" s="3"/>
      <c r="L15" s="3" t="s">
        <v>61</v>
      </c>
      <c r="M15" s="4" t="str">
        <f>HYPERLINK("D:\Users\Yuman\Desktop\MasterProject\results\achiral_catalyst.H_Ph_I2.vacuum\P2", "Directory")</f>
        <v>Directory</v>
      </c>
      <c r="N15" s="4" t="str">
        <f>HYPERLINK("D:\Users\Yuman\Desktop\MasterProject\calculations_test\achiral_catalyst.H_Ph_I2.vacuum\P2", "Directory")</f>
        <v>Directory</v>
      </c>
      <c r="O15" s="4" t="str">
        <f>HYPERLINK("D:\Users\Yuman\Desktop\MasterProject\results\achiral_catalyst.H_Ph_I2.vacuum\P2/molview2_start_in.bat", "input.xyz")</f>
        <v>input.xyz</v>
      </c>
      <c r="P15" s="3"/>
      <c r="Q15" s="5" t="s">
        <v>62</v>
      </c>
      <c r="R15" s="3" t="s">
        <v>26</v>
      </c>
      <c r="S15" s="3" t="s">
        <v>63</v>
      </c>
    </row>
    <row r="16" spans="1:19" ht="15.75" x14ac:dyDescent="0.25">
      <c r="A16" s="2" t="s">
        <v>19</v>
      </c>
      <c r="B16" s="3" t="s">
        <v>20</v>
      </c>
      <c r="C16" s="3" t="s">
        <v>21</v>
      </c>
      <c r="D16" s="3" t="s">
        <v>22</v>
      </c>
      <c r="E16" s="3" t="s">
        <v>29</v>
      </c>
      <c r="F16" s="3" t="s">
        <v>30</v>
      </c>
      <c r="G16" s="3"/>
      <c r="H16" s="3"/>
      <c r="I16" s="3" t="s">
        <v>55</v>
      </c>
      <c r="J16" s="3"/>
      <c r="K16" s="3"/>
      <c r="L16" s="3" t="s">
        <v>35</v>
      </c>
      <c r="M16" s="4" t="str">
        <f>HYPERLINK("D:\Users\Yuman\Desktop\MasterProject\results\achiral_catalyst.H_Ph_I2.vacuum\P2_cat_complex", "Directory")</f>
        <v>Directory</v>
      </c>
      <c r="N16" s="4" t="str">
        <f>HYPERLINK("D:\Users\Yuman\Desktop\MasterProject\calculations_test\achiral_catalyst.H_Ph_I2.vacuum\P2_cat_complex", "Directory")</f>
        <v>Directory</v>
      </c>
      <c r="O16" s="3"/>
      <c r="P16" s="3"/>
      <c r="Q16" s="5" t="s">
        <v>64</v>
      </c>
      <c r="R16" s="3" t="s">
        <v>26</v>
      </c>
      <c r="S16" s="3" t="s">
        <v>65</v>
      </c>
    </row>
    <row r="17" spans="1:19" ht="15.75" x14ac:dyDescent="0.25">
      <c r="A17" s="6" t="s">
        <v>28</v>
      </c>
      <c r="B17" s="3" t="s">
        <v>20</v>
      </c>
      <c r="C17" s="3" t="s">
        <v>21</v>
      </c>
      <c r="D17" s="3" t="s">
        <v>22</v>
      </c>
      <c r="E17" s="3"/>
      <c r="F17" s="3"/>
      <c r="G17" s="3"/>
      <c r="H17" s="3"/>
      <c r="I17" s="3"/>
      <c r="J17" s="3"/>
      <c r="K17" s="3"/>
      <c r="L17" s="3" t="s">
        <v>66</v>
      </c>
      <c r="M17" s="4" t="str">
        <f>HYPERLINK("D:\Users\Yuman\Desktop\MasterProject\results\achiral_catalyst.H_Ph_I2.vacuum\rad", "Directory")</f>
        <v>Directory</v>
      </c>
      <c r="N17" s="4" t="str">
        <f>HYPERLINK("D:\Users\Yuman\Desktop\MasterProject\calculations_test\achiral_catalyst.H_Ph_I2.vacuum\rad", "Directory")</f>
        <v>Directory</v>
      </c>
      <c r="O17" s="4" t="str">
        <f>HYPERLINK("D:\Users\Yuman\Desktop\MasterProject\results\achiral_catalyst.H_Ph_I2.vacuum\rad/molview2_start_in.bat", "input.xyz")</f>
        <v>input.xyz</v>
      </c>
      <c r="P17" s="3"/>
      <c r="Q17" s="5" t="s">
        <v>32</v>
      </c>
      <c r="R17" s="3"/>
      <c r="S17" s="3" t="s">
        <v>67</v>
      </c>
    </row>
    <row r="18" spans="1:19" ht="15.75" x14ac:dyDescent="0.25">
      <c r="A18" s="6" t="s">
        <v>28</v>
      </c>
      <c r="B18" s="3" t="s">
        <v>20</v>
      </c>
      <c r="C18" s="3" t="s">
        <v>21</v>
      </c>
      <c r="D18" s="3" t="s">
        <v>22</v>
      </c>
      <c r="E18" s="3" t="s">
        <v>29</v>
      </c>
      <c r="F18" s="3" t="s">
        <v>30</v>
      </c>
      <c r="G18" s="3"/>
      <c r="H18" s="3"/>
      <c r="I18" s="3"/>
      <c r="J18" s="3"/>
      <c r="K18" s="3"/>
      <c r="L18" s="3" t="s">
        <v>68</v>
      </c>
      <c r="M18" s="4" t="str">
        <f>HYPERLINK("D:\Users\Yuman\Desktop\MasterProject\results\achiral_catalyst.H_Ph_I2.vacuum\sub", "Directory")</f>
        <v>Directory</v>
      </c>
      <c r="N18" s="4" t="str">
        <f>HYPERLINK("D:\Users\Yuman\Desktop\MasterProject\calculations_test\achiral_catalyst.H_Ph_I2.vacuum\sub", "Directory")</f>
        <v>Directory</v>
      </c>
      <c r="O18" s="4" t="str">
        <f>HYPERLINK("D:\Users\Yuman\Desktop\MasterProject\results\achiral_catalyst.H_Ph_I2.vacuum\sub/molview2_start_in.bat", "input.xyz")</f>
        <v>input.xyz</v>
      </c>
      <c r="P18" s="3"/>
      <c r="Q18" s="5" t="s">
        <v>32</v>
      </c>
      <c r="R18" s="3"/>
      <c r="S18" s="3" t="s">
        <v>69</v>
      </c>
    </row>
    <row r="19" spans="1:19" ht="15.75" x14ac:dyDescent="0.25">
      <c r="A19" s="2" t="s">
        <v>19</v>
      </c>
      <c r="B19" s="3" t="s">
        <v>20</v>
      </c>
      <c r="C19" s="3" t="s">
        <v>21</v>
      </c>
      <c r="D19" s="3" t="s">
        <v>22</v>
      </c>
      <c r="E19" s="3" t="s">
        <v>29</v>
      </c>
      <c r="F19" s="3" t="s">
        <v>30</v>
      </c>
      <c r="G19" s="3"/>
      <c r="H19" s="3"/>
      <c r="I19" s="3" t="s">
        <v>55</v>
      </c>
      <c r="J19" s="3"/>
      <c r="K19" s="3"/>
      <c r="L19" s="3" t="s">
        <v>38</v>
      </c>
      <c r="M19" s="4" t="str">
        <f>HYPERLINK("D:\Users\Yuman\Desktop\MasterProject\results\achiral_catalyst.H_Ph_I2.vacuum\sub_cat_complex", "Directory")</f>
        <v>Directory</v>
      </c>
      <c r="N19" s="4" t="str">
        <f>HYPERLINK("D:\Users\Yuman\Desktop\MasterProject\calculations_test\achiral_catalyst.H_Ph_I2.vacuum\sub_cat_complex", "Directory")</f>
        <v>Directory</v>
      </c>
      <c r="O19" s="3"/>
      <c r="P19" s="3"/>
      <c r="Q19" s="5" t="s">
        <v>70</v>
      </c>
      <c r="R19" s="3" t="s">
        <v>26</v>
      </c>
      <c r="S19" s="3" t="s">
        <v>71</v>
      </c>
    </row>
    <row r="20" spans="1:19" ht="15.75" x14ac:dyDescent="0.25">
      <c r="A20" s="2" t="s">
        <v>19</v>
      </c>
      <c r="B20" s="3" t="s">
        <v>41</v>
      </c>
      <c r="C20" s="3" t="s">
        <v>21</v>
      </c>
      <c r="D20" s="3" t="s">
        <v>22</v>
      </c>
      <c r="E20" s="3" t="s">
        <v>29</v>
      </c>
      <c r="F20" s="3" t="s">
        <v>30</v>
      </c>
      <c r="G20" s="3"/>
      <c r="H20" s="3"/>
      <c r="I20" s="3" t="s">
        <v>55</v>
      </c>
      <c r="J20" s="3"/>
      <c r="K20" s="3"/>
      <c r="L20" s="3" t="s">
        <v>42</v>
      </c>
      <c r="M20" s="4" t="str">
        <f>HYPERLINK("D:\Users\Yuman\Desktop\MasterProject\results\achiral_catalyst.H_Ph_I2.vacuum\TS", "Directory")</f>
        <v>Directory</v>
      </c>
      <c r="N20" s="4" t="str">
        <f>HYPERLINK("D:\Users\Yuman\Desktop\MasterProject\calculations_test\achiral_catalyst.H_Ph_I2.vacuum\TS", "Directory")</f>
        <v>Directory</v>
      </c>
      <c r="O20" s="3"/>
      <c r="P20" s="3"/>
      <c r="Q20" s="5" t="s">
        <v>72</v>
      </c>
      <c r="R20" s="3" t="s">
        <v>26</v>
      </c>
      <c r="S20" s="3" t="s">
        <v>73</v>
      </c>
    </row>
    <row r="21" spans="1:19" ht="15.75" x14ac:dyDescent="0.25">
      <c r="A21" s="6" t="s">
        <v>28</v>
      </c>
      <c r="B21" s="3" t="s">
        <v>20</v>
      </c>
      <c r="C21" s="3" t="s">
        <v>21</v>
      </c>
      <c r="D21" s="3" t="s">
        <v>22</v>
      </c>
      <c r="E21" s="3"/>
      <c r="F21" s="3"/>
      <c r="G21" s="3"/>
      <c r="H21" s="3"/>
      <c r="I21" s="3" t="s">
        <v>74</v>
      </c>
      <c r="J21" s="3"/>
      <c r="K21" s="3"/>
      <c r="L21" s="3" t="s">
        <v>24</v>
      </c>
      <c r="M21" s="4" t="str">
        <f>HYPERLINK("D:\Users\Yuman\Desktop\MasterProject\results\achiral_catalyst.H_Ph_SnCl4.vacuum\cat", "Directory")</f>
        <v>Directory</v>
      </c>
      <c r="N21" s="4" t="str">
        <f>HYPERLINK("D:\Users\Yuman\Desktop\MasterProject\calculations_test\achiral_catalyst.H_Ph_SnCl4.vacuum\cat", "Directory")</f>
        <v>Directory</v>
      </c>
      <c r="O21" s="4" t="str">
        <f>HYPERLINK("D:\Users\Yuman\Desktop\MasterProject\results\achiral_catalyst.H_Ph_SnCl4.vacuum\cat/molview2_start_in.bat", "input.xyz")</f>
        <v>input.xyz</v>
      </c>
      <c r="P21" s="3"/>
      <c r="Q21" s="5" t="s">
        <v>32</v>
      </c>
      <c r="R21" s="3"/>
      <c r="S21" s="3" t="s">
        <v>75</v>
      </c>
    </row>
    <row r="22" spans="1:19" ht="15.75" x14ac:dyDescent="0.25">
      <c r="A22" s="6" t="s">
        <v>28</v>
      </c>
      <c r="B22" s="3" t="s">
        <v>20</v>
      </c>
      <c r="C22" s="3" t="s">
        <v>21</v>
      </c>
      <c r="D22" s="3" t="s">
        <v>22</v>
      </c>
      <c r="E22" s="3" t="s">
        <v>29</v>
      </c>
      <c r="F22" s="3" t="s">
        <v>30</v>
      </c>
      <c r="G22" s="3"/>
      <c r="H22" s="3"/>
      <c r="I22" s="3" t="s">
        <v>74</v>
      </c>
      <c r="J22" s="3"/>
      <c r="K22" s="3"/>
      <c r="L22" s="3" t="s">
        <v>31</v>
      </c>
      <c r="M22" s="4" t="str">
        <f>HYPERLINK("D:\Users\Yuman\Desktop\MasterProject\results\achiral_catalyst.H_Ph_SnCl4.vacuum\P1_cat_complex", "Directory")</f>
        <v>Directory</v>
      </c>
      <c r="N22" s="4" t="str">
        <f>HYPERLINK("D:\Users\Yuman\Desktop\MasterProject\calculations_test\achiral_catalyst.H_Ph_SnCl4.vacuum\P1_cat_complex", "Directory")</f>
        <v>Directory</v>
      </c>
      <c r="O22" s="4" t="str">
        <f>HYPERLINK("D:\Users\Yuman\Desktop\MasterProject\results\achiral_catalyst.H_Ph_SnCl4.vacuum\P1_cat_complex/molview2_start_in.bat", "input.xyz")</f>
        <v>input.xyz</v>
      </c>
      <c r="P22" s="3"/>
      <c r="Q22" s="5" t="s">
        <v>32</v>
      </c>
      <c r="R22" s="3"/>
      <c r="S22" s="3" t="s">
        <v>76</v>
      </c>
    </row>
    <row r="23" spans="1:19" ht="15.75" x14ac:dyDescent="0.25">
      <c r="A23" s="6" t="s">
        <v>28</v>
      </c>
      <c r="B23" s="3" t="s">
        <v>20</v>
      </c>
      <c r="C23" s="3" t="s">
        <v>21</v>
      </c>
      <c r="D23" s="3" t="s">
        <v>22</v>
      </c>
      <c r="E23" s="3" t="s">
        <v>29</v>
      </c>
      <c r="F23" s="3" t="s">
        <v>30</v>
      </c>
      <c r="G23" s="3"/>
      <c r="H23" s="3"/>
      <c r="I23" s="3" t="s">
        <v>74</v>
      </c>
      <c r="J23" s="3"/>
      <c r="K23" s="3"/>
      <c r="L23" s="3" t="s">
        <v>35</v>
      </c>
      <c r="M23" s="4" t="str">
        <f>HYPERLINK("D:\Users\Yuman\Desktop\MasterProject\results\achiral_catalyst.H_Ph_SnCl4.vacuum\P2_cat_complex", "Directory")</f>
        <v>Directory</v>
      </c>
      <c r="N23" s="4" t="str">
        <f>HYPERLINK("D:\Users\Yuman\Desktop\MasterProject\calculations_test\achiral_catalyst.H_Ph_SnCl4.vacuum\P2_cat_complex", "Directory")</f>
        <v>Directory</v>
      </c>
      <c r="O23" s="4" t="str">
        <f>HYPERLINK("D:\Users\Yuman\Desktop\MasterProject\results\achiral_catalyst.H_Ph_SnCl4.vacuum\P2_cat_complex/molview2_start_in.bat", "input.xyz")</f>
        <v>input.xyz</v>
      </c>
      <c r="P23" s="3"/>
      <c r="Q23" s="5" t="s">
        <v>32</v>
      </c>
      <c r="R23" s="3"/>
      <c r="S23" s="3" t="s">
        <v>77</v>
      </c>
    </row>
    <row r="24" spans="1:19" ht="15.75" x14ac:dyDescent="0.25">
      <c r="A24" s="6" t="s">
        <v>28</v>
      </c>
      <c r="B24" s="3" t="s">
        <v>20</v>
      </c>
      <c r="C24" s="3" t="s">
        <v>21</v>
      </c>
      <c r="D24" s="3" t="s">
        <v>22</v>
      </c>
      <c r="E24" s="3" t="s">
        <v>29</v>
      </c>
      <c r="F24" s="3" t="s">
        <v>30</v>
      </c>
      <c r="G24" s="3"/>
      <c r="H24" s="3"/>
      <c r="I24" s="3" t="s">
        <v>74</v>
      </c>
      <c r="J24" s="3"/>
      <c r="K24" s="3"/>
      <c r="L24" s="3" t="s">
        <v>38</v>
      </c>
      <c r="M24" s="4" t="str">
        <f>HYPERLINK("D:\Users\Yuman\Desktop\MasterProject\results\achiral_catalyst.H_Ph_SnCl4.vacuum\sub_cat_complex", "Directory")</f>
        <v>Directory</v>
      </c>
      <c r="N24" s="4" t="str">
        <f>HYPERLINK("D:\Users\Yuman\Desktop\MasterProject\calculations_test\achiral_catalyst.H_Ph_SnCl4.vacuum\sub_cat_complex", "Directory")</f>
        <v>Directory</v>
      </c>
      <c r="O24" s="4" t="str">
        <f>HYPERLINK("D:\Users\Yuman\Desktop\MasterProject\results\achiral_catalyst.H_Ph_SnCl4.vacuum\sub_cat_complex/molview2_start_in.bat", "input.xyz")</f>
        <v>input.xyz</v>
      </c>
      <c r="P24" s="3"/>
      <c r="Q24" s="5" t="s">
        <v>32</v>
      </c>
      <c r="R24" s="3"/>
      <c r="S24" s="3" t="s">
        <v>78</v>
      </c>
    </row>
    <row r="25" spans="1:19" ht="15.75" x14ac:dyDescent="0.25">
      <c r="A25" s="6" t="s">
        <v>28</v>
      </c>
      <c r="B25" s="3" t="s">
        <v>41</v>
      </c>
      <c r="C25" s="3" t="s">
        <v>21</v>
      </c>
      <c r="D25" s="3" t="s">
        <v>22</v>
      </c>
      <c r="E25" s="3" t="s">
        <v>29</v>
      </c>
      <c r="F25" s="3" t="s">
        <v>30</v>
      </c>
      <c r="G25" s="3"/>
      <c r="H25" s="3"/>
      <c r="I25" s="3" t="s">
        <v>74</v>
      </c>
      <c r="J25" s="3"/>
      <c r="K25" s="3"/>
      <c r="L25" s="3" t="s">
        <v>42</v>
      </c>
      <c r="M25" s="4" t="str">
        <f>HYPERLINK("D:\Users\Yuman\Desktop\MasterProject\results\achiral_catalyst.H_Ph_SnCl4.vacuum\TS", "Directory")</f>
        <v>Directory</v>
      </c>
      <c r="N25" s="4" t="str">
        <f>HYPERLINK("D:\Users\Yuman\Desktop\MasterProject\calculations_test\achiral_catalyst.H_Ph_SnCl4.vacuum\TS", "Directory")</f>
        <v>Directory</v>
      </c>
      <c r="O25" s="4" t="str">
        <f>HYPERLINK("D:\Users\Yuman\Desktop\MasterProject\results\achiral_catalyst.H_Ph_SnCl4.vacuum\TS/molview2_start_in.bat", "input.xyz")</f>
        <v>input.xyz</v>
      </c>
      <c r="P25" s="3"/>
      <c r="Q25" s="5" t="s">
        <v>32</v>
      </c>
      <c r="R25" s="3"/>
      <c r="S25" s="3" t="s">
        <v>79</v>
      </c>
    </row>
    <row r="26" spans="1:19" ht="15.75" x14ac:dyDescent="0.25">
      <c r="A26" s="2" t="s">
        <v>19</v>
      </c>
      <c r="B26" s="3" t="s">
        <v>20</v>
      </c>
      <c r="C26" s="3" t="s">
        <v>21</v>
      </c>
      <c r="D26" s="3" t="s">
        <v>22</v>
      </c>
      <c r="E26" s="3"/>
      <c r="F26" s="3"/>
      <c r="G26" s="3"/>
      <c r="H26" s="3"/>
      <c r="I26" s="3" t="s">
        <v>80</v>
      </c>
      <c r="J26" s="3"/>
      <c r="K26" s="3"/>
      <c r="L26" s="3" t="s">
        <v>24</v>
      </c>
      <c r="M26" s="4" t="str">
        <f>HYPERLINK("D:\Users\Yuman\Desktop\MasterProject\results\achiral_catalyst.H_Ph_TiCl4.vacuum\cat", "Directory")</f>
        <v>Directory</v>
      </c>
      <c r="N26" s="4" t="str">
        <f>HYPERLINK("D:\Users\Yuman\Desktop\MasterProject\calculations_test\achiral_catalyst.H_Ph_TiCl4.vacuum\cat", "Directory")</f>
        <v>Directory</v>
      </c>
      <c r="O26" s="3"/>
      <c r="P26" s="3"/>
      <c r="Q26" s="5" t="s">
        <v>81</v>
      </c>
      <c r="R26" s="3" t="s">
        <v>26</v>
      </c>
      <c r="S26" s="3" t="s">
        <v>82</v>
      </c>
    </row>
    <row r="27" spans="1:19" ht="15.75" x14ac:dyDescent="0.25">
      <c r="A27" s="8" t="s">
        <v>83</v>
      </c>
      <c r="B27" s="3" t="s">
        <v>20</v>
      </c>
      <c r="C27" s="3" t="s">
        <v>21</v>
      </c>
      <c r="D27" s="3" t="s">
        <v>22</v>
      </c>
      <c r="E27" s="3" t="s">
        <v>29</v>
      </c>
      <c r="F27" s="3" t="s">
        <v>30</v>
      </c>
      <c r="G27" s="3"/>
      <c r="H27" s="3"/>
      <c r="I27" s="3" t="s">
        <v>80</v>
      </c>
      <c r="J27" s="3"/>
      <c r="K27" s="3"/>
      <c r="L27" s="3" t="s">
        <v>31</v>
      </c>
      <c r="M27" s="4" t="str">
        <f>HYPERLINK("D:\Users\Yuman\Desktop\MasterProject\results\achiral_catalyst.H_Ph_TiCl4.vacuum\P1_cat_complex", "Directory")</f>
        <v>Directory</v>
      </c>
      <c r="N27" s="4" t="str">
        <f>HYPERLINK("D:\Users\Yuman\Desktop\MasterProject\calculations_test\achiral_catalyst.H_Ph_TiCl4.vacuum\P1_cat_complex", "Directory")</f>
        <v>Directory</v>
      </c>
      <c r="O27" s="4" t="str">
        <f>HYPERLINK("D:\Users\Yuman\Desktop\MasterProject\results\achiral_catalyst.H_Ph_TiCl4.vacuum\P1_cat_complex/molview2_start_in.bat", "input.xyz")</f>
        <v>input.xyz</v>
      </c>
      <c r="P27" s="3"/>
      <c r="Q27" s="5" t="s">
        <v>84</v>
      </c>
      <c r="R27" s="3" t="s">
        <v>85</v>
      </c>
      <c r="S27" s="3" t="s">
        <v>86</v>
      </c>
    </row>
    <row r="28" spans="1:19" ht="15.75" x14ac:dyDescent="0.25">
      <c r="A28" s="7" t="s">
        <v>34</v>
      </c>
      <c r="B28" s="3" t="s">
        <v>20</v>
      </c>
      <c r="C28" s="3" t="s">
        <v>21</v>
      </c>
      <c r="D28" s="3" t="s">
        <v>22</v>
      </c>
      <c r="E28" s="3" t="s">
        <v>29</v>
      </c>
      <c r="F28" s="3" t="s">
        <v>30</v>
      </c>
      <c r="G28" s="3"/>
      <c r="H28" s="3"/>
      <c r="I28" s="3" t="s">
        <v>80</v>
      </c>
      <c r="J28" s="3"/>
      <c r="K28" s="3"/>
      <c r="L28" s="3" t="s">
        <v>35</v>
      </c>
      <c r="M28" s="4" t="str">
        <f>HYPERLINK("D:\Users\Yuman\Desktop\MasterProject\results\achiral_catalyst.H_Ph_TiCl4.vacuum\P2_cat_complex", "Directory")</f>
        <v>Directory</v>
      </c>
      <c r="N28" s="4" t="str">
        <f>HYPERLINK("D:\Users\Yuman\Desktop\MasterProject\calculations_test\achiral_catalyst.H_Ph_TiCl4.vacuum\P2_cat_complex", "Directory")</f>
        <v>Directory</v>
      </c>
      <c r="O28" s="3"/>
      <c r="P28" s="3"/>
      <c r="Q28" s="5" t="s">
        <v>87</v>
      </c>
      <c r="R28" s="3" t="s">
        <v>26</v>
      </c>
      <c r="S28" s="3" t="s">
        <v>88</v>
      </c>
    </row>
    <row r="29" spans="1:19" ht="15.75" x14ac:dyDescent="0.25">
      <c r="A29" s="2" t="s">
        <v>19</v>
      </c>
      <c r="B29" s="3" t="s">
        <v>20</v>
      </c>
      <c r="C29" s="3" t="s">
        <v>21</v>
      </c>
      <c r="D29" s="3" t="s">
        <v>22</v>
      </c>
      <c r="E29" s="3" t="s">
        <v>29</v>
      </c>
      <c r="F29" s="3" t="s">
        <v>30</v>
      </c>
      <c r="G29" s="3"/>
      <c r="H29" s="3"/>
      <c r="I29" s="3" t="s">
        <v>80</v>
      </c>
      <c r="J29" s="3"/>
      <c r="K29" s="3"/>
      <c r="L29" s="3" t="s">
        <v>38</v>
      </c>
      <c r="M29" s="4" t="str">
        <f>HYPERLINK("D:\Users\Yuman\Desktop\MasterProject\results\achiral_catalyst.H_Ph_TiCl4.vacuum\sub_cat_complex", "Directory")</f>
        <v>Directory</v>
      </c>
      <c r="N29" s="4" t="str">
        <f>HYPERLINK("D:\Users\Yuman\Desktop\MasterProject\calculations_test\achiral_catalyst.H_Ph_TiCl4.vacuum\sub_cat_complex", "Directory")</f>
        <v>Directory</v>
      </c>
      <c r="O29" s="3"/>
      <c r="P29" s="3"/>
      <c r="Q29" s="5" t="s">
        <v>89</v>
      </c>
      <c r="R29" s="3" t="s">
        <v>26</v>
      </c>
      <c r="S29" s="3" t="s">
        <v>90</v>
      </c>
    </row>
    <row r="30" spans="1:19" ht="15.75" x14ac:dyDescent="0.25">
      <c r="A30" s="6" t="s">
        <v>28</v>
      </c>
      <c r="B30" s="3" t="s">
        <v>41</v>
      </c>
      <c r="C30" s="3" t="s">
        <v>21</v>
      </c>
      <c r="D30" s="3" t="s">
        <v>22</v>
      </c>
      <c r="E30" s="3" t="s">
        <v>29</v>
      </c>
      <c r="F30" s="3" t="s">
        <v>30</v>
      </c>
      <c r="G30" s="3"/>
      <c r="H30" s="3"/>
      <c r="I30" s="3" t="s">
        <v>80</v>
      </c>
      <c r="J30" s="3"/>
      <c r="K30" s="3"/>
      <c r="L30" s="3" t="s">
        <v>42</v>
      </c>
      <c r="M30" s="4" t="str">
        <f>HYPERLINK("D:\Users\Yuman\Desktop\MasterProject\results\achiral_catalyst.H_Ph_TiCl4.vacuum\TS", "Directory")</f>
        <v>Directory</v>
      </c>
      <c r="N30" s="4" t="str">
        <f>HYPERLINK("D:\Users\Yuman\Desktop\MasterProject\calculations_test\achiral_catalyst.H_Ph_TiCl4.vacuum\TS", "Directory")</f>
        <v>Directory</v>
      </c>
      <c r="O30" s="4" t="str">
        <f>HYPERLINK("D:\Users\Yuman\Desktop\MasterProject\results\achiral_catalyst.H_Ph_TiCl4.vacuum\TS/molview2_start_in.bat", "input.xyz")</f>
        <v>input.xyz</v>
      </c>
      <c r="P30" s="3"/>
      <c r="Q30" s="5" t="s">
        <v>32</v>
      </c>
      <c r="R30" s="3"/>
      <c r="S30" s="3" t="s">
        <v>91</v>
      </c>
    </row>
    <row r="31" spans="1:19" ht="15.75" x14ac:dyDescent="0.25">
      <c r="A31" s="2" t="s">
        <v>19</v>
      </c>
      <c r="B31" s="3" t="s">
        <v>20</v>
      </c>
      <c r="C31" s="3" t="s">
        <v>21</v>
      </c>
      <c r="D31" s="3" t="s">
        <v>22</v>
      </c>
      <c r="E31" s="3"/>
      <c r="F31" s="3"/>
      <c r="G31" s="3"/>
      <c r="H31" s="3"/>
      <c r="I31" s="3" t="s">
        <v>92</v>
      </c>
      <c r="J31" s="3"/>
      <c r="K31" s="3"/>
      <c r="L31" s="3" t="s">
        <v>24</v>
      </c>
      <c r="M31" s="4" t="str">
        <f>HYPERLINK("D:\Users\Yuman\Desktop\MasterProject\results\achiral_catalyst.H_Ph_ZnCl2.vacuum\cat", "Directory")</f>
        <v>Directory</v>
      </c>
      <c r="N31" s="4" t="str">
        <f>HYPERLINK("D:\Users\Yuman\Desktop\MasterProject\calculations_test\achiral_catalyst.H_Ph_ZnCl2.vacuum\cat", "Directory")</f>
        <v>Directory</v>
      </c>
      <c r="O31" s="3"/>
      <c r="P31" s="3"/>
      <c r="Q31" s="5" t="s">
        <v>93</v>
      </c>
      <c r="R31" s="3" t="s">
        <v>26</v>
      </c>
      <c r="S31" s="3" t="s">
        <v>94</v>
      </c>
    </row>
    <row r="32" spans="1:19" ht="15.75" x14ac:dyDescent="0.25">
      <c r="A32" s="2" t="s">
        <v>19</v>
      </c>
      <c r="B32" s="3" t="s">
        <v>20</v>
      </c>
      <c r="C32" s="3" t="s">
        <v>21</v>
      </c>
      <c r="D32" s="3" t="s">
        <v>22</v>
      </c>
      <c r="E32" s="3" t="s">
        <v>29</v>
      </c>
      <c r="F32" s="3" t="s">
        <v>30</v>
      </c>
      <c r="G32" s="3"/>
      <c r="H32" s="3"/>
      <c r="I32" s="3" t="s">
        <v>92</v>
      </c>
      <c r="J32" s="3"/>
      <c r="K32" s="3"/>
      <c r="L32" s="3" t="s">
        <v>31</v>
      </c>
      <c r="M32" s="4" t="str">
        <f>HYPERLINK("D:\Users\Yuman\Desktop\MasterProject\results\achiral_catalyst.H_Ph_ZnCl2.vacuum\P1_cat_complex", "Directory")</f>
        <v>Directory</v>
      </c>
      <c r="N32" s="4" t="str">
        <f>HYPERLINK("D:\Users\Yuman\Desktop\MasterProject\calculations_test\achiral_catalyst.H_Ph_ZnCl2.vacuum\P1_cat_complex", "Directory")</f>
        <v>Directory</v>
      </c>
      <c r="O32" s="3"/>
      <c r="P32" s="3"/>
      <c r="Q32" s="5" t="s">
        <v>95</v>
      </c>
      <c r="R32" s="3" t="s">
        <v>26</v>
      </c>
      <c r="S32" s="3" t="s">
        <v>96</v>
      </c>
    </row>
    <row r="33" spans="1:19" ht="15.75" x14ac:dyDescent="0.25">
      <c r="A33" s="2" t="s">
        <v>19</v>
      </c>
      <c r="B33" s="3" t="s">
        <v>20</v>
      </c>
      <c r="C33" s="3" t="s">
        <v>21</v>
      </c>
      <c r="D33" s="3" t="s">
        <v>22</v>
      </c>
      <c r="E33" s="3" t="s">
        <v>29</v>
      </c>
      <c r="F33" s="3" t="s">
        <v>30</v>
      </c>
      <c r="G33" s="3"/>
      <c r="H33" s="3"/>
      <c r="I33" s="3" t="s">
        <v>92</v>
      </c>
      <c r="J33" s="3"/>
      <c r="K33" s="3"/>
      <c r="L33" s="3" t="s">
        <v>35</v>
      </c>
      <c r="M33" s="4" t="str">
        <f>HYPERLINK("D:\Users\Yuman\Desktop\MasterProject\results\achiral_catalyst.H_Ph_ZnCl2.vacuum\P2_cat_complex", "Directory")</f>
        <v>Directory</v>
      </c>
      <c r="N33" s="4" t="str">
        <f>HYPERLINK("D:\Users\Yuman\Desktop\MasterProject\calculations_test\achiral_catalyst.H_Ph_ZnCl2.vacuum\P2_cat_complex", "Directory")</f>
        <v>Directory</v>
      </c>
      <c r="O33" s="3"/>
      <c r="P33" s="3"/>
      <c r="Q33" s="5" t="s">
        <v>97</v>
      </c>
      <c r="R33" s="3" t="s">
        <v>26</v>
      </c>
      <c r="S33" s="3" t="s">
        <v>98</v>
      </c>
    </row>
    <row r="34" spans="1:19" ht="15.75" x14ac:dyDescent="0.25">
      <c r="A34" s="2" t="s">
        <v>19</v>
      </c>
      <c r="B34" s="3" t="s">
        <v>20</v>
      </c>
      <c r="C34" s="3" t="s">
        <v>21</v>
      </c>
      <c r="D34" s="3" t="s">
        <v>22</v>
      </c>
      <c r="E34" s="3"/>
      <c r="F34" s="3"/>
      <c r="G34" s="3"/>
      <c r="H34" s="3"/>
      <c r="I34" s="3"/>
      <c r="J34" s="3"/>
      <c r="K34" s="3"/>
      <c r="L34" s="3" t="s">
        <v>66</v>
      </c>
      <c r="M34" s="4" t="str">
        <f>HYPERLINK("D:\Users\Yuman\Desktop\MasterProject\results\achiral_catalyst.H_Ph_ZnCl2.vacuum\rad", "Directory")</f>
        <v>Directory</v>
      </c>
      <c r="N34" s="4" t="str">
        <f>HYPERLINK("D:\Users\Yuman\Desktop\MasterProject\calculations_test\achiral_catalyst.H_Ph_ZnCl2.vacuum\rad", "Directory")</f>
        <v>Directory</v>
      </c>
      <c r="O34" s="3"/>
      <c r="P34" s="3"/>
      <c r="Q34" s="5" t="s">
        <v>99</v>
      </c>
      <c r="R34" s="3" t="s">
        <v>26</v>
      </c>
      <c r="S34" s="3" t="s">
        <v>67</v>
      </c>
    </row>
    <row r="35" spans="1:19" ht="15.75" x14ac:dyDescent="0.25">
      <c r="A35" s="2" t="s">
        <v>19</v>
      </c>
      <c r="B35" s="3" t="s">
        <v>20</v>
      </c>
      <c r="C35" s="3" t="s">
        <v>21</v>
      </c>
      <c r="D35" s="3" t="s">
        <v>22</v>
      </c>
      <c r="E35" s="3" t="s">
        <v>29</v>
      </c>
      <c r="F35" s="3" t="s">
        <v>30</v>
      </c>
      <c r="G35" s="3"/>
      <c r="H35" s="3"/>
      <c r="I35" s="3"/>
      <c r="J35" s="3"/>
      <c r="K35" s="3"/>
      <c r="L35" s="3" t="s">
        <v>68</v>
      </c>
      <c r="M35" s="4" t="str">
        <f>HYPERLINK("D:\Users\Yuman\Desktop\MasterProject\results\achiral_catalyst.H_Ph_ZnCl2.vacuum\sub", "Directory")</f>
        <v>Directory</v>
      </c>
      <c r="N35" s="4" t="str">
        <f>HYPERLINK("D:\Users\Yuman\Desktop\MasterProject\calculations_test\achiral_catalyst.H_Ph_ZnCl2.vacuum\sub", "Directory")</f>
        <v>Directory</v>
      </c>
      <c r="O35" s="3"/>
      <c r="P35" s="3"/>
      <c r="Q35" s="5" t="s">
        <v>100</v>
      </c>
      <c r="R35" s="3" t="s">
        <v>26</v>
      </c>
      <c r="S35" s="3" t="s">
        <v>69</v>
      </c>
    </row>
    <row r="36" spans="1:19" ht="15.75" x14ac:dyDescent="0.25">
      <c r="A36" s="2" t="s">
        <v>19</v>
      </c>
      <c r="B36" s="3" t="s">
        <v>20</v>
      </c>
      <c r="C36" s="3" t="s">
        <v>21</v>
      </c>
      <c r="D36" s="3" t="s">
        <v>22</v>
      </c>
      <c r="E36" s="3" t="s">
        <v>29</v>
      </c>
      <c r="F36" s="3" t="s">
        <v>30</v>
      </c>
      <c r="G36" s="3"/>
      <c r="H36" s="3"/>
      <c r="I36" s="3" t="s">
        <v>92</v>
      </c>
      <c r="J36" s="3"/>
      <c r="K36" s="3"/>
      <c r="L36" s="3" t="s">
        <v>38</v>
      </c>
      <c r="M36" s="4" t="str">
        <f>HYPERLINK("D:\Users\Yuman\Desktop\MasterProject\results\achiral_catalyst.H_Ph_ZnCl2.vacuum\sub_cat_complex", "Directory")</f>
        <v>Directory</v>
      </c>
      <c r="N36" s="4" t="str">
        <f>HYPERLINK("D:\Users\Yuman\Desktop\MasterProject\calculations_test\achiral_catalyst.H_Ph_ZnCl2.vacuum\sub_cat_complex", "Directory")</f>
        <v>Directory</v>
      </c>
      <c r="O36" s="3"/>
      <c r="P36" s="3"/>
      <c r="Q36" s="5" t="s">
        <v>101</v>
      </c>
      <c r="R36" s="3" t="s">
        <v>26</v>
      </c>
      <c r="S36" s="3" t="s">
        <v>102</v>
      </c>
    </row>
    <row r="37" spans="1:19" ht="15.75" x14ac:dyDescent="0.25">
      <c r="A37" s="7" t="s">
        <v>34</v>
      </c>
      <c r="B37" s="3" t="s">
        <v>41</v>
      </c>
      <c r="C37" s="3" t="s">
        <v>21</v>
      </c>
      <c r="D37" s="3" t="s">
        <v>22</v>
      </c>
      <c r="E37" s="3" t="s">
        <v>29</v>
      </c>
      <c r="F37" s="3" t="s">
        <v>30</v>
      </c>
      <c r="G37" s="3"/>
      <c r="H37" s="3"/>
      <c r="I37" s="3" t="s">
        <v>92</v>
      </c>
      <c r="J37" s="3"/>
      <c r="K37" s="3"/>
      <c r="L37" s="3" t="s">
        <v>42</v>
      </c>
      <c r="M37" s="4" t="str">
        <f>HYPERLINK("D:\Users\Yuman\Desktop\MasterProject\results\achiral_catalyst.H_Ph_ZnCl2.vacuum\TS", "Directory")</f>
        <v>Directory</v>
      </c>
      <c r="N37" s="4" t="str">
        <f>HYPERLINK("D:\Users\Yuman\Desktop\MasterProject\calculations_test\achiral_catalyst.H_Ph_ZnCl2.vacuum\TS", "Directory")</f>
        <v>Directory</v>
      </c>
      <c r="O37" s="3"/>
      <c r="P37" s="3"/>
      <c r="Q37" s="5" t="s">
        <v>103</v>
      </c>
      <c r="R37" s="3" t="s">
        <v>26</v>
      </c>
      <c r="S37" s="3" t="s">
        <v>104</v>
      </c>
    </row>
    <row r="38" spans="1:19" ht="15.75" x14ac:dyDescent="0.25">
      <c r="A38" s="7" t="s">
        <v>34</v>
      </c>
      <c r="B38" s="3" t="s">
        <v>20</v>
      </c>
      <c r="C38" s="3" t="s">
        <v>21</v>
      </c>
      <c r="D38" s="3" t="s">
        <v>22</v>
      </c>
      <c r="E38" s="3" t="s">
        <v>29</v>
      </c>
      <c r="F38" s="3" t="s">
        <v>105</v>
      </c>
      <c r="G38" s="3"/>
      <c r="H38" s="3"/>
      <c r="I38" s="3" t="s">
        <v>23</v>
      </c>
      <c r="J38" s="3"/>
      <c r="K38" s="3"/>
      <c r="L38" s="3" t="s">
        <v>31</v>
      </c>
      <c r="M38" s="4" t="str">
        <f>HYPERLINK("D:\Users\Yuman\Desktop\MasterProject\results\achiral_catalyst.H_tBu_AlF3.vacuum\P1_cat_complex", "Directory")</f>
        <v>Directory</v>
      </c>
      <c r="N38" s="4" t="str">
        <f>HYPERLINK("D:\Users\Yuman\Desktop\MasterProject\calculations_test\achiral_catalyst.H_tBu_AlF3.vacuum\P1_cat_complex", "Directory")</f>
        <v>Directory</v>
      </c>
      <c r="O38" s="3"/>
      <c r="P38" s="3"/>
      <c r="Q38" s="5" t="s">
        <v>106</v>
      </c>
      <c r="R38" s="3" t="s">
        <v>26</v>
      </c>
      <c r="S38" s="3" t="s">
        <v>107</v>
      </c>
    </row>
    <row r="39" spans="1:19" ht="15.75" x14ac:dyDescent="0.25">
      <c r="A39" s="2" t="s">
        <v>19</v>
      </c>
      <c r="B39" s="3" t="s">
        <v>20</v>
      </c>
      <c r="C39" s="3" t="s">
        <v>21</v>
      </c>
      <c r="D39" s="3" t="s">
        <v>22</v>
      </c>
      <c r="E39" s="3" t="s">
        <v>29</v>
      </c>
      <c r="F39" s="3" t="s">
        <v>105</v>
      </c>
      <c r="G39" s="3"/>
      <c r="H39" s="3"/>
      <c r="I39" s="3" t="s">
        <v>23</v>
      </c>
      <c r="J39" s="3"/>
      <c r="K39" s="3"/>
      <c r="L39" s="3" t="s">
        <v>35</v>
      </c>
      <c r="M39" s="4" t="str">
        <f>HYPERLINK("D:\Users\Yuman\Desktop\MasterProject\results\achiral_catalyst.H_tBu_AlF3.vacuum\P2_cat_complex", "Directory")</f>
        <v>Directory</v>
      </c>
      <c r="N39" s="4" t="str">
        <f>HYPERLINK("D:\Users\Yuman\Desktop\MasterProject\calculations_test\achiral_catalyst.H_tBu_AlF3.vacuum\P2_cat_complex", "Directory")</f>
        <v>Directory</v>
      </c>
      <c r="O39" s="3"/>
      <c r="P39" s="3"/>
      <c r="Q39" s="5" t="s">
        <v>108</v>
      </c>
      <c r="R39" s="3" t="s">
        <v>26</v>
      </c>
      <c r="S39" s="3" t="s">
        <v>109</v>
      </c>
    </row>
    <row r="40" spans="1:19" ht="15.75" x14ac:dyDescent="0.25">
      <c r="A40" s="2" t="s">
        <v>19</v>
      </c>
      <c r="B40" s="3" t="s">
        <v>20</v>
      </c>
      <c r="C40" s="3" t="s">
        <v>21</v>
      </c>
      <c r="D40" s="3" t="s">
        <v>22</v>
      </c>
      <c r="E40" s="3" t="s">
        <v>29</v>
      </c>
      <c r="F40" s="3" t="s">
        <v>105</v>
      </c>
      <c r="G40" s="3"/>
      <c r="H40" s="3"/>
      <c r="I40" s="3"/>
      <c r="J40" s="3"/>
      <c r="K40" s="3"/>
      <c r="L40" s="3" t="s">
        <v>68</v>
      </c>
      <c r="M40" s="4" t="str">
        <f>HYPERLINK("D:\Users\Yuman\Desktop\MasterProject\results\achiral_catalyst.H_tBu_AlF3.vacuum\sub", "Directory")</f>
        <v>Directory</v>
      </c>
      <c r="N40" s="4" t="str">
        <f>HYPERLINK("D:\Users\Yuman\Desktop\MasterProject\calculations_test\achiral_catalyst.H_tBu_AlF3.vacuum\sub", "Directory")</f>
        <v>Directory</v>
      </c>
      <c r="O40" s="3"/>
      <c r="P40" s="3"/>
      <c r="Q40" s="5" t="s">
        <v>110</v>
      </c>
      <c r="R40" s="3" t="s">
        <v>26</v>
      </c>
      <c r="S40" s="3" t="s">
        <v>111</v>
      </c>
    </row>
    <row r="41" spans="1:19" ht="15.75" x14ac:dyDescent="0.25">
      <c r="A41" s="2" t="s">
        <v>19</v>
      </c>
      <c r="B41" s="3" t="s">
        <v>20</v>
      </c>
      <c r="C41" s="3" t="s">
        <v>21</v>
      </c>
      <c r="D41" s="3" t="s">
        <v>22</v>
      </c>
      <c r="E41" s="3" t="s">
        <v>29</v>
      </c>
      <c r="F41" s="3" t="s">
        <v>105</v>
      </c>
      <c r="G41" s="3"/>
      <c r="H41" s="3"/>
      <c r="I41" s="3" t="s">
        <v>23</v>
      </c>
      <c r="J41" s="3"/>
      <c r="K41" s="3"/>
      <c r="L41" s="3" t="s">
        <v>38</v>
      </c>
      <c r="M41" s="4" t="str">
        <f>HYPERLINK("D:\Users\Yuman\Desktop\MasterProject\results\achiral_catalyst.H_tBu_AlF3.vacuum\sub_cat_complex", "Directory")</f>
        <v>Directory</v>
      </c>
      <c r="N41" s="4" t="str">
        <f>HYPERLINK("D:\Users\Yuman\Desktop\MasterProject\calculations_test\achiral_catalyst.H_tBu_AlF3.vacuum\sub_cat_complex", "Directory")</f>
        <v>Directory</v>
      </c>
      <c r="O41" s="3"/>
      <c r="P41" s="3"/>
      <c r="Q41" s="5" t="s">
        <v>112</v>
      </c>
      <c r="R41" s="3" t="s">
        <v>26</v>
      </c>
      <c r="S41" s="3" t="s">
        <v>113</v>
      </c>
    </row>
    <row r="42" spans="1:19" ht="15.75" x14ac:dyDescent="0.25">
      <c r="A42" s="2" t="s">
        <v>19</v>
      </c>
      <c r="B42" s="3" t="s">
        <v>41</v>
      </c>
      <c r="C42" s="3" t="s">
        <v>21</v>
      </c>
      <c r="D42" s="3" t="s">
        <v>22</v>
      </c>
      <c r="E42" s="3" t="s">
        <v>29</v>
      </c>
      <c r="F42" s="3" t="s">
        <v>105</v>
      </c>
      <c r="G42" s="3"/>
      <c r="H42" s="3"/>
      <c r="I42" s="3" t="s">
        <v>23</v>
      </c>
      <c r="J42" s="3"/>
      <c r="K42" s="3"/>
      <c r="L42" s="3" t="s">
        <v>42</v>
      </c>
      <c r="M42" s="4" t="str">
        <f>HYPERLINK("D:\Users\Yuman\Desktop\MasterProject\results\achiral_catalyst.H_tBu_AlF3.vacuum\TS", "Directory")</f>
        <v>Directory</v>
      </c>
      <c r="N42" s="4" t="str">
        <f>HYPERLINK("D:\Users\Yuman\Desktop\MasterProject\calculations_test\achiral_catalyst.H_tBu_AlF3.vacuum\TS", "Directory")</f>
        <v>Directory</v>
      </c>
      <c r="O42" s="3"/>
      <c r="P42" s="3"/>
      <c r="Q42" s="5" t="s">
        <v>114</v>
      </c>
      <c r="R42" s="3" t="s">
        <v>26</v>
      </c>
      <c r="S42" s="3" t="s">
        <v>115</v>
      </c>
    </row>
    <row r="43" spans="1:19" ht="15.75" x14ac:dyDescent="0.25">
      <c r="A43" s="7" t="s">
        <v>34</v>
      </c>
      <c r="B43" s="3" t="s">
        <v>20</v>
      </c>
      <c r="C43" s="3" t="s">
        <v>21</v>
      </c>
      <c r="D43" s="3" t="s">
        <v>22</v>
      </c>
      <c r="E43" s="3" t="s">
        <v>29</v>
      </c>
      <c r="F43" s="3" t="s">
        <v>105</v>
      </c>
      <c r="G43" s="3"/>
      <c r="H43" s="3"/>
      <c r="I43" s="3" t="s">
        <v>44</v>
      </c>
      <c r="J43" s="3"/>
      <c r="K43" s="3"/>
      <c r="L43" s="3" t="s">
        <v>31</v>
      </c>
      <c r="M43" s="4" t="str">
        <f>HYPERLINK("D:\Users\Yuman\Desktop\MasterProject\results\achiral_catalyst.H_tBu_BF3.vacuum\P1_cat_complex", "Directory")</f>
        <v>Directory</v>
      </c>
      <c r="N43" s="4" t="str">
        <f>HYPERLINK("D:\Users\Yuman\Desktop\MasterProject\calculations_test\achiral_catalyst.H_tBu_BF3.vacuum\P1_cat_complex", "Directory")</f>
        <v>Directory</v>
      </c>
      <c r="O43" s="3"/>
      <c r="P43" s="3"/>
      <c r="Q43" s="5" t="s">
        <v>116</v>
      </c>
      <c r="R43" s="3" t="s">
        <v>26</v>
      </c>
      <c r="S43" s="3" t="s">
        <v>117</v>
      </c>
    </row>
    <row r="44" spans="1:19" ht="15.75" x14ac:dyDescent="0.25">
      <c r="A44" s="7" t="s">
        <v>34</v>
      </c>
      <c r="B44" s="3" t="s">
        <v>20</v>
      </c>
      <c r="C44" s="3" t="s">
        <v>21</v>
      </c>
      <c r="D44" s="3" t="s">
        <v>22</v>
      </c>
      <c r="E44" s="3" t="s">
        <v>29</v>
      </c>
      <c r="F44" s="3" t="s">
        <v>105</v>
      </c>
      <c r="G44" s="3"/>
      <c r="H44" s="3"/>
      <c r="I44" s="3" t="s">
        <v>44</v>
      </c>
      <c r="J44" s="3"/>
      <c r="K44" s="3"/>
      <c r="L44" s="3" t="s">
        <v>35</v>
      </c>
      <c r="M44" s="4" t="str">
        <f>HYPERLINK("D:\Users\Yuman\Desktop\MasterProject\results\achiral_catalyst.H_tBu_BF3.vacuum\P2_cat_complex", "Directory")</f>
        <v>Directory</v>
      </c>
      <c r="N44" s="4" t="str">
        <f>HYPERLINK("D:\Users\Yuman\Desktop\MasterProject\calculations_test\achiral_catalyst.H_tBu_BF3.vacuum\P2_cat_complex", "Directory")</f>
        <v>Directory</v>
      </c>
      <c r="O44" s="3"/>
      <c r="P44" s="3"/>
      <c r="Q44" s="5" t="s">
        <v>118</v>
      </c>
      <c r="R44" s="3" t="s">
        <v>26</v>
      </c>
      <c r="S44" s="3" t="s">
        <v>119</v>
      </c>
    </row>
    <row r="45" spans="1:19" ht="15.75" x14ac:dyDescent="0.25">
      <c r="A45" s="2" t="s">
        <v>19</v>
      </c>
      <c r="B45" s="3" t="s">
        <v>20</v>
      </c>
      <c r="C45" s="3" t="s">
        <v>21</v>
      </c>
      <c r="D45" s="3" t="s">
        <v>22</v>
      </c>
      <c r="E45" s="3" t="s">
        <v>29</v>
      </c>
      <c r="F45" s="3" t="s">
        <v>105</v>
      </c>
      <c r="G45" s="3"/>
      <c r="H45" s="3"/>
      <c r="I45" s="3" t="s">
        <v>44</v>
      </c>
      <c r="J45" s="3"/>
      <c r="K45" s="3"/>
      <c r="L45" s="3" t="s">
        <v>38</v>
      </c>
      <c r="M45" s="4" t="str">
        <f>HYPERLINK("D:\Users\Yuman\Desktop\MasterProject\results\achiral_catalyst.H_tBu_BF3.vacuum\sub_cat_complex", "Directory")</f>
        <v>Directory</v>
      </c>
      <c r="N45" s="4" t="str">
        <f>HYPERLINK("D:\Users\Yuman\Desktop\MasterProject\calculations_test\achiral_catalyst.H_tBu_BF3.vacuum\sub_cat_complex", "Directory")</f>
        <v>Directory</v>
      </c>
      <c r="O45" s="3"/>
      <c r="P45" s="3"/>
      <c r="Q45" s="5" t="s">
        <v>120</v>
      </c>
      <c r="R45" s="3" t="s">
        <v>26</v>
      </c>
      <c r="S45" s="3" t="s">
        <v>121</v>
      </c>
    </row>
    <row r="46" spans="1:19" ht="15.75" x14ac:dyDescent="0.25">
      <c r="A46" s="6" t="s">
        <v>28</v>
      </c>
      <c r="B46" s="3" t="s">
        <v>41</v>
      </c>
      <c r="C46" s="3" t="s">
        <v>21</v>
      </c>
      <c r="D46" s="3" t="s">
        <v>22</v>
      </c>
      <c r="E46" s="3" t="s">
        <v>29</v>
      </c>
      <c r="F46" s="3" t="s">
        <v>105</v>
      </c>
      <c r="G46" s="3"/>
      <c r="H46" s="3"/>
      <c r="I46" s="3" t="s">
        <v>44</v>
      </c>
      <c r="J46" s="3"/>
      <c r="K46" s="3"/>
      <c r="L46" s="3" t="s">
        <v>42</v>
      </c>
      <c r="M46" s="4" t="str">
        <f>HYPERLINK("D:\Users\Yuman\Desktop\MasterProject\results\achiral_catalyst.H_tBu_BF3.vacuum\TS", "Directory")</f>
        <v>Directory</v>
      </c>
      <c r="N46" s="4" t="str">
        <f>HYPERLINK("D:\Users\Yuman\Desktop\MasterProject\calculations_test\achiral_catalyst.H_tBu_BF3.vacuum\TS", "Directory")</f>
        <v>Directory</v>
      </c>
      <c r="O46" s="4" t="str">
        <f>HYPERLINK("D:\Users\Yuman\Desktop\MasterProject\results\achiral_catalyst.H_tBu_BF3.vacuum\TS/molview2_start_in.bat", "input.xyz")</f>
        <v>input.xyz</v>
      </c>
      <c r="P46" s="3"/>
      <c r="Q46" s="5" t="s">
        <v>32</v>
      </c>
      <c r="R46" s="3"/>
      <c r="S46" s="3" t="s">
        <v>122</v>
      </c>
    </row>
    <row r="47" spans="1:19" ht="15.75" x14ac:dyDescent="0.25">
      <c r="A47" s="2" t="s">
        <v>19</v>
      </c>
      <c r="B47" s="3" t="s">
        <v>20</v>
      </c>
      <c r="C47" s="3" t="s">
        <v>21</v>
      </c>
      <c r="D47" s="3" t="s">
        <v>22</v>
      </c>
      <c r="E47" s="3"/>
      <c r="F47" s="3"/>
      <c r="G47" s="3"/>
      <c r="H47" s="3"/>
      <c r="I47" s="3"/>
      <c r="J47" s="3"/>
      <c r="K47" s="3"/>
      <c r="L47" s="3" t="s">
        <v>29</v>
      </c>
      <c r="M47" s="4" t="str">
        <f>HYPERLINK("D:\Users\Yuman\Desktop\MasterProject\results\achiral_catalyst.H_tBu_I2.vacuum\H", "Directory")</f>
        <v>Directory</v>
      </c>
      <c r="N47" s="4" t="str">
        <f>HYPERLINK("D:\Users\Yuman\Desktop\MasterProject\calculations_test\achiral_catalyst.H_tBu_I2.vacuum\H", "Directory")</f>
        <v>Directory</v>
      </c>
      <c r="O47" s="4" t="str">
        <f>HYPERLINK("D:\Users\Yuman\Desktop\MasterProject\results\achiral_catalyst.H_tBu_I2.vacuum\H/molview2_start_in.bat", "input.xyz")</f>
        <v>input.xyz</v>
      </c>
      <c r="P47" s="3"/>
      <c r="Q47" s="5" t="s">
        <v>123</v>
      </c>
      <c r="R47" s="3" t="s">
        <v>26</v>
      </c>
      <c r="S47" s="3" t="s">
        <v>58</v>
      </c>
    </row>
    <row r="48" spans="1:19" ht="15.75" x14ac:dyDescent="0.25">
      <c r="A48" s="7" t="s">
        <v>34</v>
      </c>
      <c r="B48" s="3" t="s">
        <v>20</v>
      </c>
      <c r="C48" s="3" t="s">
        <v>21</v>
      </c>
      <c r="D48" s="3" t="s">
        <v>22</v>
      </c>
      <c r="E48" s="3" t="s">
        <v>29</v>
      </c>
      <c r="F48" s="3" t="s">
        <v>105</v>
      </c>
      <c r="G48" s="3"/>
      <c r="H48" s="3"/>
      <c r="I48" s="3" t="s">
        <v>55</v>
      </c>
      <c r="J48" s="3"/>
      <c r="K48" s="3"/>
      <c r="L48" s="3" t="s">
        <v>31</v>
      </c>
      <c r="M48" s="4" t="str">
        <f>HYPERLINK("D:\Users\Yuman\Desktop\MasterProject\results\achiral_catalyst.H_tBu_I2.vacuum\P1_cat_complex", "Directory")</f>
        <v>Directory</v>
      </c>
      <c r="N48" s="4" t="str">
        <f>HYPERLINK("D:\Users\Yuman\Desktop\MasterProject\calculations_test\achiral_catalyst.H_tBu_I2.vacuum\P1_cat_complex", "Directory")</f>
        <v>Directory</v>
      </c>
      <c r="O48" s="4" t="str">
        <f>HYPERLINK("D:\Users\Yuman\Desktop\MasterProject\results\achiral_catalyst.H_tBu_I2.vacuum\P1_cat_complex/molview2_start_in.bat", "input.xyz")</f>
        <v>input.xyz</v>
      </c>
      <c r="P48" s="3"/>
      <c r="Q48" s="5" t="s">
        <v>124</v>
      </c>
      <c r="R48" s="3" t="s">
        <v>26</v>
      </c>
      <c r="S48" s="3" t="s">
        <v>125</v>
      </c>
    </row>
    <row r="49" spans="1:19" ht="15.75" x14ac:dyDescent="0.25">
      <c r="A49" s="7" t="s">
        <v>34</v>
      </c>
      <c r="B49" s="3" t="s">
        <v>20</v>
      </c>
      <c r="C49" s="3" t="s">
        <v>21</v>
      </c>
      <c r="D49" s="3" t="s">
        <v>22</v>
      </c>
      <c r="E49" s="3" t="s">
        <v>29</v>
      </c>
      <c r="F49" s="3" t="s">
        <v>105</v>
      </c>
      <c r="G49" s="3"/>
      <c r="H49" s="3"/>
      <c r="I49" s="3"/>
      <c r="J49" s="3"/>
      <c r="K49" s="3"/>
      <c r="L49" s="3" t="s">
        <v>61</v>
      </c>
      <c r="M49" s="4" t="str">
        <f>HYPERLINK("D:\Users\Yuman\Desktop\MasterProject\results\achiral_catalyst.H_tBu_I2.vacuum\P2", "Directory")</f>
        <v>Directory</v>
      </c>
      <c r="N49" s="4" t="str">
        <f>HYPERLINK("D:\Users\Yuman\Desktop\MasterProject\calculations_test\achiral_catalyst.H_tBu_I2.vacuum\P2", "Directory")</f>
        <v>Directory</v>
      </c>
      <c r="O49" s="4" t="str">
        <f>HYPERLINK("D:\Users\Yuman\Desktop\MasterProject\results\achiral_catalyst.H_tBu_I2.vacuum\P2/molview2_start_in.bat", "input.xyz")</f>
        <v>input.xyz</v>
      </c>
      <c r="P49" s="3"/>
      <c r="Q49" s="5" t="s">
        <v>126</v>
      </c>
      <c r="R49" s="3" t="s">
        <v>26</v>
      </c>
      <c r="S49" s="3" t="s">
        <v>127</v>
      </c>
    </row>
    <row r="50" spans="1:19" ht="15.75" x14ac:dyDescent="0.25">
      <c r="A50" s="6" t="s">
        <v>28</v>
      </c>
      <c r="B50" s="3" t="s">
        <v>20</v>
      </c>
      <c r="C50" s="3" t="s">
        <v>21</v>
      </c>
      <c r="D50" s="3" t="s">
        <v>22</v>
      </c>
      <c r="E50" s="3" t="s">
        <v>29</v>
      </c>
      <c r="F50" s="3" t="s">
        <v>105</v>
      </c>
      <c r="G50" s="3"/>
      <c r="H50" s="3"/>
      <c r="I50" s="3" t="s">
        <v>55</v>
      </c>
      <c r="J50" s="3"/>
      <c r="K50" s="3"/>
      <c r="L50" s="3" t="s">
        <v>35</v>
      </c>
      <c r="M50" s="4" t="str">
        <f>HYPERLINK("D:\Users\Yuman\Desktop\MasterProject\results\achiral_catalyst.H_tBu_I2.vacuum\P2_cat_complex", "Directory")</f>
        <v>Directory</v>
      </c>
      <c r="N50" s="4" t="str">
        <f>HYPERLINK("D:\Users\Yuman\Desktop\MasterProject\calculations_test\achiral_catalyst.H_tBu_I2.vacuum\P2_cat_complex", "Directory")</f>
        <v>Directory</v>
      </c>
      <c r="O50" s="3"/>
      <c r="P50" s="3"/>
      <c r="Q50" s="5" t="s">
        <v>32</v>
      </c>
      <c r="R50" s="3"/>
      <c r="S50" s="3" t="s">
        <v>128</v>
      </c>
    </row>
    <row r="51" spans="1:19" ht="15.75" x14ac:dyDescent="0.25">
      <c r="A51" s="6" t="s">
        <v>28</v>
      </c>
      <c r="B51" s="3" t="s">
        <v>20</v>
      </c>
      <c r="C51" s="3" t="s">
        <v>21</v>
      </c>
      <c r="D51" s="3" t="s">
        <v>22</v>
      </c>
      <c r="E51" s="3" t="s">
        <v>29</v>
      </c>
      <c r="F51" s="3" t="s">
        <v>105</v>
      </c>
      <c r="G51" s="3"/>
      <c r="H51" s="3"/>
      <c r="I51" s="3"/>
      <c r="J51" s="3"/>
      <c r="K51" s="3"/>
      <c r="L51" s="3" t="s">
        <v>68</v>
      </c>
      <c r="M51" s="4" t="str">
        <f>HYPERLINK("D:\Users\Yuman\Desktop\MasterProject\results\achiral_catalyst.H_tBu_I2.vacuum\sub", "Directory")</f>
        <v>Directory</v>
      </c>
      <c r="N51" s="4" t="str">
        <f>HYPERLINK("D:\Users\Yuman\Desktop\MasterProject\calculations_test\achiral_catalyst.H_tBu_I2.vacuum\sub", "Directory")</f>
        <v>Directory</v>
      </c>
      <c r="O51" s="4" t="str">
        <f>HYPERLINK("D:\Users\Yuman\Desktop\MasterProject\results\achiral_catalyst.H_tBu_I2.vacuum\sub/molview2_start_in.bat", "input.xyz")</f>
        <v>input.xyz</v>
      </c>
      <c r="P51" s="3"/>
      <c r="Q51" s="5" t="s">
        <v>32</v>
      </c>
      <c r="R51" s="3"/>
      <c r="S51" s="3" t="s">
        <v>111</v>
      </c>
    </row>
    <row r="52" spans="1:19" ht="15.75" x14ac:dyDescent="0.25">
      <c r="A52" s="2" t="s">
        <v>19</v>
      </c>
      <c r="B52" s="3" t="s">
        <v>20</v>
      </c>
      <c r="C52" s="3" t="s">
        <v>21</v>
      </c>
      <c r="D52" s="3" t="s">
        <v>22</v>
      </c>
      <c r="E52" s="3" t="s">
        <v>29</v>
      </c>
      <c r="F52" s="3" t="s">
        <v>105</v>
      </c>
      <c r="G52" s="3"/>
      <c r="H52" s="3"/>
      <c r="I52" s="3" t="s">
        <v>55</v>
      </c>
      <c r="J52" s="3"/>
      <c r="K52" s="3"/>
      <c r="L52" s="3" t="s">
        <v>38</v>
      </c>
      <c r="M52" s="4" t="str">
        <f>HYPERLINK("D:\Users\Yuman\Desktop\MasterProject\results\achiral_catalyst.H_tBu_I2.vacuum\sub_cat_complex", "Directory")</f>
        <v>Directory</v>
      </c>
      <c r="N52" s="4" t="str">
        <f>HYPERLINK("D:\Users\Yuman\Desktop\MasterProject\calculations_test\achiral_catalyst.H_tBu_I2.vacuum\sub_cat_complex", "Directory")</f>
        <v>Directory</v>
      </c>
      <c r="O52" s="3"/>
      <c r="P52" s="3"/>
      <c r="Q52" s="5" t="s">
        <v>129</v>
      </c>
      <c r="R52" s="3" t="s">
        <v>26</v>
      </c>
      <c r="S52" s="3" t="s">
        <v>130</v>
      </c>
    </row>
    <row r="53" spans="1:19" ht="15.75" x14ac:dyDescent="0.25">
      <c r="A53" s="6" t="s">
        <v>28</v>
      </c>
      <c r="B53" s="3" t="s">
        <v>41</v>
      </c>
      <c r="C53" s="3" t="s">
        <v>21</v>
      </c>
      <c r="D53" s="3" t="s">
        <v>22</v>
      </c>
      <c r="E53" s="3" t="s">
        <v>29</v>
      </c>
      <c r="F53" s="3" t="s">
        <v>105</v>
      </c>
      <c r="G53" s="3"/>
      <c r="H53" s="3"/>
      <c r="I53" s="3" t="s">
        <v>55</v>
      </c>
      <c r="J53" s="3"/>
      <c r="K53" s="3"/>
      <c r="L53" s="3" t="s">
        <v>42</v>
      </c>
      <c r="M53" s="4" t="str">
        <f>HYPERLINK("D:\Users\Yuman\Desktop\MasterProject\results\achiral_catalyst.H_tBu_I2.vacuum\TS", "Directory")</f>
        <v>Directory</v>
      </c>
      <c r="N53" s="4" t="str">
        <f>HYPERLINK("D:\Users\Yuman\Desktop\MasterProject\calculations_test\achiral_catalyst.H_tBu_I2.vacuum\TS", "Directory")</f>
        <v>Directory</v>
      </c>
      <c r="O53" s="4" t="str">
        <f>HYPERLINK("D:\Users\Yuman\Desktop\MasterProject\results\achiral_catalyst.H_tBu_I2.vacuum\TS/molview2_start_in.bat", "input.xyz")</f>
        <v>input.xyz</v>
      </c>
      <c r="P53" s="3"/>
      <c r="Q53" s="5" t="s">
        <v>32</v>
      </c>
      <c r="R53" s="3"/>
      <c r="S53" s="3" t="s">
        <v>131</v>
      </c>
    </row>
    <row r="54" spans="1:19" ht="15.75" x14ac:dyDescent="0.25">
      <c r="A54" s="9" t="s">
        <v>132</v>
      </c>
      <c r="B54" s="3" t="s">
        <v>20</v>
      </c>
      <c r="C54" s="3" t="s">
        <v>21</v>
      </c>
      <c r="D54" s="3" t="s">
        <v>22</v>
      </c>
      <c r="E54" s="3"/>
      <c r="F54" s="3"/>
      <c r="G54" s="3"/>
      <c r="H54" s="3"/>
      <c r="I54" s="3" t="s">
        <v>74</v>
      </c>
      <c r="J54" s="3"/>
      <c r="K54" s="3"/>
      <c r="L54" s="3" t="s">
        <v>24</v>
      </c>
      <c r="M54" s="4" t="str">
        <f>HYPERLINK("D:\Users\Yuman\Desktop\MasterProject\results\achiral_catalyst.H_tBu_SnCl4.vacuum\cat", "Directory")</f>
        <v>Directory</v>
      </c>
      <c r="N54" s="4" t="str">
        <f>HYPERLINK("D:\Users\Yuman\Desktop\MasterProject\calculations_test\achiral_catalyst.H_tBu_SnCl4.vacuum\cat", "Directory")</f>
        <v>Directory</v>
      </c>
      <c r="O54" s="4" t="str">
        <f>HYPERLINK("D:\Users\Yuman\Desktop\MasterProject\results\achiral_catalyst.H_tBu_SnCl4.vacuum\cat/molview2_start_in.bat", "input.xyz")</f>
        <v>input.xyz</v>
      </c>
      <c r="P54" s="3"/>
      <c r="Q54" s="5" t="s">
        <v>133</v>
      </c>
      <c r="R54" s="3" t="s">
        <v>26</v>
      </c>
      <c r="S54" s="3" t="s">
        <v>75</v>
      </c>
    </row>
    <row r="55" spans="1:19" ht="15.75" x14ac:dyDescent="0.25">
      <c r="A55" s="8" t="s">
        <v>83</v>
      </c>
      <c r="B55" s="3" t="s">
        <v>20</v>
      </c>
      <c r="C55" s="3" t="s">
        <v>21</v>
      </c>
      <c r="D55" s="3" t="s">
        <v>22</v>
      </c>
      <c r="E55" s="3" t="s">
        <v>29</v>
      </c>
      <c r="F55" s="3" t="s">
        <v>105</v>
      </c>
      <c r="G55" s="3"/>
      <c r="H55" s="3"/>
      <c r="I55" s="3" t="s">
        <v>74</v>
      </c>
      <c r="J55" s="3"/>
      <c r="K55" s="3"/>
      <c r="L55" s="3" t="s">
        <v>31</v>
      </c>
      <c r="M55" s="4" t="str">
        <f>HYPERLINK("D:\Users\Yuman\Desktop\MasterProject\results\achiral_catalyst.H_tBu_SnCl4.vacuum\P1_cat_complex", "Directory")</f>
        <v>Directory</v>
      </c>
      <c r="N55" s="4" t="str">
        <f>HYPERLINK("D:\Users\Yuman\Desktop\MasterProject\calculations_test\achiral_catalyst.H_tBu_SnCl4.vacuum\P1_cat_complex", "Directory")</f>
        <v>Directory</v>
      </c>
      <c r="O55" s="4" t="str">
        <f>HYPERLINK("D:\Users\Yuman\Desktop\MasterProject\results\achiral_catalyst.H_tBu_SnCl4.vacuum\P1_cat_complex/molview2_start_in.bat", "input.xyz")</f>
        <v>input.xyz</v>
      </c>
      <c r="P55" s="3"/>
      <c r="Q55" s="5" t="s">
        <v>134</v>
      </c>
      <c r="R55" s="3" t="s">
        <v>85</v>
      </c>
      <c r="S55" s="3" t="s">
        <v>135</v>
      </c>
    </row>
    <row r="56" spans="1:19" ht="15.75" x14ac:dyDescent="0.25">
      <c r="A56" s="8" t="s">
        <v>83</v>
      </c>
      <c r="B56" s="3" t="s">
        <v>20</v>
      </c>
      <c r="C56" s="3" t="s">
        <v>21</v>
      </c>
      <c r="D56" s="3" t="s">
        <v>22</v>
      </c>
      <c r="E56" s="3" t="s">
        <v>29</v>
      </c>
      <c r="F56" s="3" t="s">
        <v>105</v>
      </c>
      <c r="G56" s="3"/>
      <c r="H56" s="3"/>
      <c r="I56" s="3" t="s">
        <v>74</v>
      </c>
      <c r="J56" s="3"/>
      <c r="K56" s="3"/>
      <c r="L56" s="3" t="s">
        <v>35</v>
      </c>
      <c r="M56" s="4" t="str">
        <f>HYPERLINK("D:\Users\Yuman\Desktop\MasterProject\results\achiral_catalyst.H_tBu_SnCl4.vacuum\P2_cat_complex", "Directory")</f>
        <v>Directory</v>
      </c>
      <c r="N56" s="4" t="str">
        <f>HYPERLINK("D:\Users\Yuman\Desktop\MasterProject\calculations_test\achiral_catalyst.H_tBu_SnCl4.vacuum\P2_cat_complex", "Directory")</f>
        <v>Directory</v>
      </c>
      <c r="O56" s="4" t="str">
        <f>HYPERLINK("D:\Users\Yuman\Desktop\MasterProject\results\achiral_catalyst.H_tBu_SnCl4.vacuum\P2_cat_complex/molview2_start_in.bat", "input.xyz")</f>
        <v>input.xyz</v>
      </c>
      <c r="P56" s="3"/>
      <c r="Q56" s="5" t="s">
        <v>136</v>
      </c>
      <c r="R56" s="3" t="s">
        <v>20</v>
      </c>
      <c r="S56" s="3" t="s">
        <v>137</v>
      </c>
    </row>
    <row r="57" spans="1:19" ht="15.75" x14ac:dyDescent="0.25">
      <c r="A57" s="7" t="s">
        <v>34</v>
      </c>
      <c r="B57" s="3" t="s">
        <v>20</v>
      </c>
      <c r="C57" s="3" t="s">
        <v>21</v>
      </c>
      <c r="D57" s="3" t="s">
        <v>22</v>
      </c>
      <c r="E57" s="3" t="s">
        <v>29</v>
      </c>
      <c r="F57" s="3" t="s">
        <v>105</v>
      </c>
      <c r="G57" s="3"/>
      <c r="H57" s="3"/>
      <c r="I57" s="3" t="s">
        <v>74</v>
      </c>
      <c r="J57" s="3"/>
      <c r="K57" s="3"/>
      <c r="L57" s="3" t="s">
        <v>38</v>
      </c>
      <c r="M57" s="4" t="str">
        <f>HYPERLINK("D:\Users\Yuman\Desktop\MasterProject\results\achiral_catalyst.H_tBu_SnCl4.vacuum\sub_cat_complex", "Directory")</f>
        <v>Directory</v>
      </c>
      <c r="N57" s="4" t="str">
        <f>HYPERLINK("D:\Users\Yuman\Desktop\MasterProject\calculations_test\achiral_catalyst.H_tBu_SnCl4.vacuum\sub_cat_complex", "Directory")</f>
        <v>Directory</v>
      </c>
      <c r="O57" s="4" t="str">
        <f>HYPERLINK("D:\Users\Yuman\Desktop\MasterProject\results\achiral_catalyst.H_tBu_SnCl4.vacuum\sub_cat_complex/molview2_start_in.bat", "input.xyz")</f>
        <v>input.xyz</v>
      </c>
      <c r="P57" s="3"/>
      <c r="Q57" s="5" t="s">
        <v>138</v>
      </c>
      <c r="R57" s="3" t="s">
        <v>26</v>
      </c>
      <c r="S57" s="3" t="s">
        <v>139</v>
      </c>
    </row>
    <row r="58" spans="1:19" ht="15.75" x14ac:dyDescent="0.25">
      <c r="A58" s="2" t="s">
        <v>19</v>
      </c>
      <c r="B58" s="3" t="s">
        <v>41</v>
      </c>
      <c r="C58" s="3" t="s">
        <v>21</v>
      </c>
      <c r="D58" s="3" t="s">
        <v>22</v>
      </c>
      <c r="E58" s="3" t="s">
        <v>29</v>
      </c>
      <c r="F58" s="3" t="s">
        <v>105</v>
      </c>
      <c r="G58" s="3"/>
      <c r="H58" s="3"/>
      <c r="I58" s="3" t="s">
        <v>74</v>
      </c>
      <c r="J58" s="3"/>
      <c r="K58" s="3"/>
      <c r="L58" s="3" t="s">
        <v>42</v>
      </c>
      <c r="M58" s="4" t="str">
        <f>HYPERLINK("D:\Users\Yuman\Desktop\MasterProject\results\achiral_catalyst.H_tBu_SnCl4.vacuum\TS", "Directory")</f>
        <v>Directory</v>
      </c>
      <c r="N58" s="4" t="str">
        <f>HYPERLINK("D:\Users\Yuman\Desktop\MasterProject\calculations_test\achiral_catalyst.H_tBu_SnCl4.vacuum\TS", "Directory")</f>
        <v>Directory</v>
      </c>
      <c r="O58" s="3"/>
      <c r="P58" s="3"/>
      <c r="Q58" s="5" t="s">
        <v>140</v>
      </c>
      <c r="R58" s="3" t="s">
        <v>26</v>
      </c>
      <c r="S58" s="3" t="s">
        <v>141</v>
      </c>
    </row>
    <row r="59" spans="1:19" ht="15.75" x14ac:dyDescent="0.25">
      <c r="A59" s="7" t="s">
        <v>34</v>
      </c>
      <c r="B59" s="3" t="s">
        <v>20</v>
      </c>
      <c r="C59" s="3" t="s">
        <v>21</v>
      </c>
      <c r="D59" s="3" t="s">
        <v>22</v>
      </c>
      <c r="E59" s="3" t="s">
        <v>29</v>
      </c>
      <c r="F59" s="3" t="s">
        <v>105</v>
      </c>
      <c r="G59" s="3"/>
      <c r="H59" s="3"/>
      <c r="I59" s="3" t="s">
        <v>80</v>
      </c>
      <c r="J59" s="3"/>
      <c r="K59" s="3"/>
      <c r="L59" s="3" t="s">
        <v>31</v>
      </c>
      <c r="M59" s="4" t="str">
        <f>HYPERLINK("D:\Users\Yuman\Desktop\MasterProject\results\achiral_catalyst.H_tBu_TiCl4.vacuum\P1_cat_complex", "Directory")</f>
        <v>Directory</v>
      </c>
      <c r="N59" s="4" t="str">
        <f>HYPERLINK("D:\Users\Yuman\Desktop\MasterProject\calculations_test\achiral_catalyst.H_tBu_TiCl4.vacuum\P1_cat_complex", "Directory")</f>
        <v>Directory</v>
      </c>
      <c r="O59" s="4" t="str">
        <f>HYPERLINK("D:\Users\Yuman\Desktop\MasterProject\results\achiral_catalyst.H_tBu_TiCl4.vacuum\P1_cat_complex/molview2_start_in.bat", "input.xyz")</f>
        <v>input.xyz</v>
      </c>
      <c r="P59" s="3"/>
      <c r="Q59" s="5" t="s">
        <v>142</v>
      </c>
      <c r="R59" s="3" t="s">
        <v>26</v>
      </c>
      <c r="S59" s="3" t="s">
        <v>143</v>
      </c>
    </row>
    <row r="60" spans="1:19" ht="15.75" x14ac:dyDescent="0.25">
      <c r="A60" s="7" t="s">
        <v>34</v>
      </c>
      <c r="B60" s="3" t="s">
        <v>20</v>
      </c>
      <c r="C60" s="3" t="s">
        <v>21</v>
      </c>
      <c r="D60" s="3" t="s">
        <v>22</v>
      </c>
      <c r="E60" s="3" t="s">
        <v>29</v>
      </c>
      <c r="F60" s="3" t="s">
        <v>105</v>
      </c>
      <c r="G60" s="3"/>
      <c r="H60" s="3"/>
      <c r="I60" s="3" t="s">
        <v>80</v>
      </c>
      <c r="J60" s="3"/>
      <c r="K60" s="3"/>
      <c r="L60" s="3" t="s">
        <v>35</v>
      </c>
      <c r="M60" s="4" t="str">
        <f>HYPERLINK("D:\Users\Yuman\Desktop\MasterProject\results\achiral_catalyst.H_tBu_TiCl4.vacuum\P2_cat_complex", "Directory")</f>
        <v>Directory</v>
      </c>
      <c r="N60" s="4" t="str">
        <f>HYPERLINK("D:\Users\Yuman\Desktop\MasterProject\calculations_test\achiral_catalyst.H_tBu_TiCl4.vacuum\P2_cat_complex", "Directory")</f>
        <v>Directory</v>
      </c>
      <c r="O60" s="4" t="str">
        <f>HYPERLINK("D:\Users\Yuman\Desktop\MasterProject\results\achiral_catalyst.H_tBu_TiCl4.vacuum\P2_cat_complex/molview2_start_in.bat", "input.xyz")</f>
        <v>input.xyz</v>
      </c>
      <c r="P60" s="3"/>
      <c r="Q60" s="5" t="s">
        <v>144</v>
      </c>
      <c r="R60" s="3" t="s">
        <v>26</v>
      </c>
      <c r="S60" s="3" t="s">
        <v>145</v>
      </c>
    </row>
    <row r="61" spans="1:19" ht="15.75" x14ac:dyDescent="0.25">
      <c r="A61" s="7" t="s">
        <v>34</v>
      </c>
      <c r="B61" s="3" t="s">
        <v>20</v>
      </c>
      <c r="C61" s="3" t="s">
        <v>21</v>
      </c>
      <c r="D61" s="3" t="s">
        <v>22</v>
      </c>
      <c r="E61" s="3" t="s">
        <v>29</v>
      </c>
      <c r="F61" s="3" t="s">
        <v>105</v>
      </c>
      <c r="G61" s="3"/>
      <c r="H61" s="3"/>
      <c r="I61" s="3" t="s">
        <v>80</v>
      </c>
      <c r="J61" s="3"/>
      <c r="K61" s="3"/>
      <c r="L61" s="3" t="s">
        <v>38</v>
      </c>
      <c r="M61" s="4" t="str">
        <f>HYPERLINK("D:\Users\Yuman\Desktop\MasterProject\results\achiral_catalyst.H_tBu_TiCl4.vacuum\sub_cat_complex", "Directory")</f>
        <v>Directory</v>
      </c>
      <c r="N61" s="4" t="str">
        <f>HYPERLINK("D:\Users\Yuman\Desktop\MasterProject\calculations_test\achiral_catalyst.H_tBu_TiCl4.vacuum\sub_cat_complex", "Directory")</f>
        <v>Directory</v>
      </c>
      <c r="O61" s="4" t="str">
        <f>HYPERLINK("D:\Users\Yuman\Desktop\MasterProject\results\achiral_catalyst.H_tBu_TiCl4.vacuum\sub_cat_complex/molview2_start_in.bat", "input.xyz")</f>
        <v>input.xyz</v>
      </c>
      <c r="P61" s="3"/>
      <c r="Q61" s="5" t="s">
        <v>146</v>
      </c>
      <c r="R61" s="3" t="s">
        <v>26</v>
      </c>
      <c r="S61" s="3" t="s">
        <v>147</v>
      </c>
    </row>
    <row r="62" spans="1:19" ht="15.75" x14ac:dyDescent="0.25">
      <c r="A62" s="6" t="s">
        <v>28</v>
      </c>
      <c r="B62" s="3" t="s">
        <v>41</v>
      </c>
      <c r="C62" s="3" t="s">
        <v>21</v>
      </c>
      <c r="D62" s="3" t="s">
        <v>22</v>
      </c>
      <c r="E62" s="3" t="s">
        <v>29</v>
      </c>
      <c r="F62" s="3" t="s">
        <v>105</v>
      </c>
      <c r="G62" s="3"/>
      <c r="H62" s="3"/>
      <c r="I62" s="3" t="s">
        <v>80</v>
      </c>
      <c r="J62" s="3"/>
      <c r="K62" s="3"/>
      <c r="L62" s="3" t="s">
        <v>42</v>
      </c>
      <c r="M62" s="4" t="str">
        <f>HYPERLINK("D:\Users\Yuman\Desktop\MasterProject\results\achiral_catalyst.H_tBu_TiCl4.vacuum\TS", "Directory")</f>
        <v>Directory</v>
      </c>
      <c r="N62" s="4" t="str">
        <f>HYPERLINK("D:\Users\Yuman\Desktop\MasterProject\calculations_test\achiral_catalyst.H_tBu_TiCl4.vacuum\TS", "Directory")</f>
        <v>Directory</v>
      </c>
      <c r="O62" s="4" t="str">
        <f>HYPERLINK("D:\Users\Yuman\Desktop\MasterProject\results\achiral_catalyst.H_tBu_TiCl4.vacuum\TS/molview2_start_in.bat", "input.xyz")</f>
        <v>input.xyz</v>
      </c>
      <c r="P62" s="3"/>
      <c r="Q62" s="5" t="s">
        <v>32</v>
      </c>
      <c r="R62" s="3"/>
      <c r="S62" s="3" t="s">
        <v>148</v>
      </c>
    </row>
    <row r="63" spans="1:19" ht="15.75" x14ac:dyDescent="0.25">
      <c r="A63" s="2" t="s">
        <v>19</v>
      </c>
      <c r="B63" s="3" t="s">
        <v>20</v>
      </c>
      <c r="C63" s="3" t="s">
        <v>21</v>
      </c>
      <c r="D63" s="3" t="s">
        <v>22</v>
      </c>
      <c r="E63" s="3" t="s">
        <v>29</v>
      </c>
      <c r="F63" s="3" t="s">
        <v>105</v>
      </c>
      <c r="G63" s="3"/>
      <c r="H63" s="3"/>
      <c r="I63" s="3" t="s">
        <v>92</v>
      </c>
      <c r="J63" s="3"/>
      <c r="K63" s="3"/>
      <c r="L63" s="3" t="s">
        <v>31</v>
      </c>
      <c r="M63" s="4" t="str">
        <f>HYPERLINK("D:\Users\Yuman\Desktop\MasterProject\results\achiral_catalyst.H_tBu_ZnCl2.vacuum\P1_cat_complex", "Directory")</f>
        <v>Directory</v>
      </c>
      <c r="N63" s="4" t="str">
        <f>HYPERLINK("D:\Users\Yuman\Desktop\MasterProject\calculations_test\achiral_catalyst.H_tBu_ZnCl2.vacuum\P1_cat_complex", "Directory")</f>
        <v>Directory</v>
      </c>
      <c r="O63" s="3"/>
      <c r="P63" s="3"/>
      <c r="Q63" s="5" t="s">
        <v>149</v>
      </c>
      <c r="R63" s="3" t="s">
        <v>26</v>
      </c>
      <c r="S63" s="3" t="s">
        <v>150</v>
      </c>
    </row>
    <row r="64" spans="1:19" ht="15.75" x14ac:dyDescent="0.25">
      <c r="A64" s="7" t="s">
        <v>34</v>
      </c>
      <c r="B64" s="3" t="s">
        <v>20</v>
      </c>
      <c r="C64" s="3" t="s">
        <v>21</v>
      </c>
      <c r="D64" s="3" t="s">
        <v>22</v>
      </c>
      <c r="E64" s="3" t="s">
        <v>29</v>
      </c>
      <c r="F64" s="3" t="s">
        <v>105</v>
      </c>
      <c r="G64" s="3"/>
      <c r="H64" s="3"/>
      <c r="I64" s="3" t="s">
        <v>92</v>
      </c>
      <c r="J64" s="3"/>
      <c r="K64" s="3"/>
      <c r="L64" s="3" t="s">
        <v>35</v>
      </c>
      <c r="M64" s="4" t="str">
        <f>HYPERLINK("D:\Users\Yuman\Desktop\MasterProject\results\achiral_catalyst.H_tBu_ZnCl2.vacuum\P2_cat_complex", "Directory")</f>
        <v>Directory</v>
      </c>
      <c r="N64" s="4" t="str">
        <f>HYPERLINK("D:\Users\Yuman\Desktop\MasterProject\calculations_test\achiral_catalyst.H_tBu_ZnCl2.vacuum\P2_cat_complex", "Directory")</f>
        <v>Directory</v>
      </c>
      <c r="O64" s="3"/>
      <c r="P64" s="3"/>
      <c r="Q64" s="5" t="s">
        <v>151</v>
      </c>
      <c r="R64" s="3" t="s">
        <v>26</v>
      </c>
      <c r="S64" s="3" t="s">
        <v>152</v>
      </c>
    </row>
    <row r="65" spans="1:19" ht="15.75" x14ac:dyDescent="0.25">
      <c r="A65" s="2" t="s">
        <v>19</v>
      </c>
      <c r="B65" s="3" t="s">
        <v>20</v>
      </c>
      <c r="C65" s="3" t="s">
        <v>21</v>
      </c>
      <c r="D65" s="3" t="s">
        <v>22</v>
      </c>
      <c r="E65" s="3" t="s">
        <v>29</v>
      </c>
      <c r="F65" s="3" t="s">
        <v>105</v>
      </c>
      <c r="G65" s="3"/>
      <c r="H65" s="3"/>
      <c r="I65" s="3" t="s">
        <v>92</v>
      </c>
      <c r="J65" s="3"/>
      <c r="K65" s="3"/>
      <c r="L65" s="3" t="s">
        <v>38</v>
      </c>
      <c r="M65" s="4" t="str">
        <f>HYPERLINK("D:\Users\Yuman\Desktop\MasterProject\results\achiral_catalyst.H_tBu_ZnCl2.vacuum\sub_cat_complex", "Directory")</f>
        <v>Directory</v>
      </c>
      <c r="N65" s="4" t="str">
        <f>HYPERLINK("D:\Users\Yuman\Desktop\MasterProject\calculations_test\achiral_catalyst.H_tBu_ZnCl2.vacuum\sub_cat_complex", "Directory")</f>
        <v>Directory</v>
      </c>
      <c r="O65" s="3"/>
      <c r="P65" s="3"/>
      <c r="Q65" s="5" t="s">
        <v>153</v>
      </c>
      <c r="R65" s="3" t="s">
        <v>26</v>
      </c>
      <c r="S65" s="3" t="s">
        <v>154</v>
      </c>
    </row>
    <row r="66" spans="1:19" ht="15.75" x14ac:dyDescent="0.25">
      <c r="A66" s="2" t="s">
        <v>19</v>
      </c>
      <c r="B66" s="3" t="s">
        <v>41</v>
      </c>
      <c r="C66" s="3" t="s">
        <v>21</v>
      </c>
      <c r="D66" s="3" t="s">
        <v>22</v>
      </c>
      <c r="E66" s="3" t="s">
        <v>29</v>
      </c>
      <c r="F66" s="3" t="s">
        <v>105</v>
      </c>
      <c r="G66" s="3"/>
      <c r="H66" s="3"/>
      <c r="I66" s="3" t="s">
        <v>92</v>
      </c>
      <c r="J66" s="3"/>
      <c r="K66" s="3"/>
      <c r="L66" s="3" t="s">
        <v>42</v>
      </c>
      <c r="M66" s="4" t="str">
        <f>HYPERLINK("D:\Users\Yuman\Desktop\MasterProject\results\achiral_catalyst.H_tBu_ZnCl2.vacuum\TS", "Directory")</f>
        <v>Directory</v>
      </c>
      <c r="N66" s="4" t="str">
        <f>HYPERLINK("D:\Users\Yuman\Desktop\MasterProject\calculations_test\achiral_catalyst.H_tBu_ZnCl2.vacuum\TS", "Directory")</f>
        <v>Directory</v>
      </c>
      <c r="O66" s="3"/>
      <c r="P66" s="3"/>
      <c r="Q66" s="5" t="s">
        <v>155</v>
      </c>
      <c r="R66" s="3" t="s">
        <v>26</v>
      </c>
      <c r="S66" s="3" t="s">
        <v>156</v>
      </c>
    </row>
    <row r="67" spans="1:19" ht="15.75" x14ac:dyDescent="0.25">
      <c r="A67" s="2" t="s">
        <v>19</v>
      </c>
      <c r="B67" s="3" t="s">
        <v>20</v>
      </c>
      <c r="C67" s="3" t="s">
        <v>157</v>
      </c>
      <c r="D67" s="3" t="s">
        <v>22</v>
      </c>
      <c r="E67" s="3"/>
      <c r="F67" s="3"/>
      <c r="G67" s="3"/>
      <c r="H67" s="3"/>
      <c r="I67" s="3"/>
      <c r="J67" s="3"/>
      <c r="K67" s="3"/>
      <c r="L67" s="3" t="s">
        <v>29</v>
      </c>
      <c r="M67" s="4" t="str">
        <f>HYPERLINK("D:\Users\Yuman\Desktop\MasterProject\results\no_catalyst.H_H.vacuum\H", "Directory")</f>
        <v>Directory</v>
      </c>
      <c r="N67" s="4" t="str">
        <f>HYPERLINK("D:\Users\Yuman\Desktop\MasterProject\calculations_test\no_catalyst.H_H.vacuum\H", "Directory")</f>
        <v>Directory</v>
      </c>
      <c r="O67" s="4" t="str">
        <f>HYPERLINK("D:\Users\Yuman\Desktop\MasterProject\results\no_catalyst.H_H.vacuum\H/molview2_start_in.bat", "input.xyz")</f>
        <v>input.xyz</v>
      </c>
      <c r="P67" s="3"/>
      <c r="Q67" s="5" t="s">
        <v>158</v>
      </c>
      <c r="R67" s="3" t="s">
        <v>26</v>
      </c>
      <c r="S67" s="3" t="s">
        <v>159</v>
      </c>
    </row>
    <row r="68" spans="1:19" ht="15.75" x14ac:dyDescent="0.25">
      <c r="A68" s="7" t="s">
        <v>34</v>
      </c>
      <c r="B68" s="3" t="s">
        <v>20</v>
      </c>
      <c r="C68" s="3" t="s">
        <v>157</v>
      </c>
      <c r="D68" s="3" t="s">
        <v>22</v>
      </c>
      <c r="E68" s="3" t="s">
        <v>29</v>
      </c>
      <c r="F68" s="3" t="s">
        <v>29</v>
      </c>
      <c r="G68" s="3"/>
      <c r="H68" s="3"/>
      <c r="I68" s="3"/>
      <c r="J68" s="3"/>
      <c r="K68" s="3"/>
      <c r="L68" s="3" t="s">
        <v>160</v>
      </c>
      <c r="M68" s="4" t="str">
        <f>HYPERLINK("D:\Users\Yuman\Desktop\MasterProject\results\no_catalyst.H_H.vacuum\P1", "Directory")</f>
        <v>Directory</v>
      </c>
      <c r="N68" s="4" t="str">
        <f>HYPERLINK("D:\Users\Yuman\Desktop\MasterProject\calculations_test\no_catalyst.H_H.vacuum\P1", "Directory")</f>
        <v>Directory</v>
      </c>
      <c r="O68" s="4" t="str">
        <f>HYPERLINK("D:\Users\Yuman\Desktop\MasterProject\results\no_catalyst.H_H.vacuum\P1/molview2_start_in.bat", "input.xyz")</f>
        <v>input.xyz</v>
      </c>
      <c r="P68" s="3"/>
      <c r="Q68" s="5" t="s">
        <v>161</v>
      </c>
      <c r="R68" s="3" t="s">
        <v>26</v>
      </c>
      <c r="S68" s="3" t="s">
        <v>162</v>
      </c>
    </row>
    <row r="69" spans="1:19" ht="15.75" x14ac:dyDescent="0.25">
      <c r="A69" s="2" t="s">
        <v>19</v>
      </c>
      <c r="B69" s="3" t="s">
        <v>20</v>
      </c>
      <c r="C69" s="3" t="s">
        <v>157</v>
      </c>
      <c r="D69" s="3" t="s">
        <v>22</v>
      </c>
      <c r="E69" s="3" t="s">
        <v>29</v>
      </c>
      <c r="F69" s="3" t="s">
        <v>29</v>
      </c>
      <c r="G69" s="3"/>
      <c r="H69" s="3"/>
      <c r="I69" s="3"/>
      <c r="J69" s="3"/>
      <c r="K69" s="3"/>
      <c r="L69" s="3" t="s">
        <v>31</v>
      </c>
      <c r="M69" s="4" t="str">
        <f>HYPERLINK("D:\Users\Yuman\Desktop\MasterProject\results\no_catalyst.H_H.vacuum\P1_cat_complex", "Directory")</f>
        <v>Directory</v>
      </c>
      <c r="N69" s="4" t="str">
        <f>HYPERLINK("D:\Users\Yuman\Desktop\MasterProject\calculations_test\no_catalyst.H_H.vacuum\P1_cat_complex", "Directory")</f>
        <v>Directory</v>
      </c>
      <c r="O69" s="3"/>
      <c r="P69" s="3"/>
      <c r="Q69" s="5" t="s">
        <v>163</v>
      </c>
      <c r="R69" s="3" t="s">
        <v>26</v>
      </c>
      <c r="S69" s="3" t="s">
        <v>164</v>
      </c>
    </row>
    <row r="70" spans="1:19" ht="15.75" x14ac:dyDescent="0.25">
      <c r="A70" s="7" t="s">
        <v>34</v>
      </c>
      <c r="B70" s="3" t="s">
        <v>20</v>
      </c>
      <c r="C70" s="3" t="s">
        <v>157</v>
      </c>
      <c r="D70" s="3" t="s">
        <v>22</v>
      </c>
      <c r="E70" s="3" t="s">
        <v>29</v>
      </c>
      <c r="F70" s="3" t="s">
        <v>29</v>
      </c>
      <c r="G70" s="3"/>
      <c r="H70" s="3"/>
      <c r="I70" s="3"/>
      <c r="J70" s="3"/>
      <c r="K70" s="3"/>
      <c r="L70" s="3" t="s">
        <v>61</v>
      </c>
      <c r="M70" s="4" t="str">
        <f>HYPERLINK("D:\Users\Yuman\Desktop\MasterProject\results\no_catalyst.H_H.vacuum\P2", "Directory")</f>
        <v>Directory</v>
      </c>
      <c r="N70" s="4" t="str">
        <f>HYPERLINK("D:\Users\Yuman\Desktop\MasterProject\calculations_test\no_catalyst.H_H.vacuum\P2", "Directory")</f>
        <v>Directory</v>
      </c>
      <c r="O70" s="4" t="str">
        <f>HYPERLINK("D:\Users\Yuman\Desktop\MasterProject\results\no_catalyst.H_H.vacuum\P2/molview2_start_in.bat", "input.xyz")</f>
        <v>input.xyz</v>
      </c>
      <c r="P70" s="3"/>
      <c r="Q70" s="5" t="s">
        <v>165</v>
      </c>
      <c r="R70" s="3" t="s">
        <v>26</v>
      </c>
      <c r="S70" s="3" t="s">
        <v>166</v>
      </c>
    </row>
    <row r="71" spans="1:19" ht="15.75" x14ac:dyDescent="0.25">
      <c r="A71" s="7" t="s">
        <v>34</v>
      </c>
      <c r="B71" s="3" t="s">
        <v>20</v>
      </c>
      <c r="C71" s="3" t="s">
        <v>157</v>
      </c>
      <c r="D71" s="3" t="s">
        <v>22</v>
      </c>
      <c r="E71" s="3" t="s">
        <v>29</v>
      </c>
      <c r="F71" s="3" t="s">
        <v>29</v>
      </c>
      <c r="G71" s="3"/>
      <c r="H71" s="3"/>
      <c r="I71" s="3"/>
      <c r="J71" s="3"/>
      <c r="K71" s="3"/>
      <c r="L71" s="3" t="s">
        <v>35</v>
      </c>
      <c r="M71" s="4" t="str">
        <f>HYPERLINK("D:\Users\Yuman\Desktop\MasterProject\results\no_catalyst.H_H.vacuum\P2_cat_complex", "Directory")</f>
        <v>Directory</v>
      </c>
      <c r="N71" s="4" t="str">
        <f>HYPERLINK("D:\Users\Yuman\Desktop\MasterProject\calculations_test\no_catalyst.H_H.vacuum\P2_cat_complex", "Directory")</f>
        <v>Directory</v>
      </c>
      <c r="O71" s="3"/>
      <c r="P71" s="3"/>
      <c r="Q71" s="5" t="s">
        <v>167</v>
      </c>
      <c r="R71" s="3" t="s">
        <v>26</v>
      </c>
      <c r="S71" s="3" t="s">
        <v>168</v>
      </c>
    </row>
    <row r="72" spans="1:19" ht="15.75" x14ac:dyDescent="0.25">
      <c r="A72" s="7" t="s">
        <v>34</v>
      </c>
      <c r="B72" s="3" t="s">
        <v>20</v>
      </c>
      <c r="C72" s="3" t="s">
        <v>157</v>
      </c>
      <c r="D72" s="3" t="s">
        <v>22</v>
      </c>
      <c r="E72" s="3"/>
      <c r="F72" s="3"/>
      <c r="G72" s="3"/>
      <c r="H72" s="3"/>
      <c r="I72" s="3"/>
      <c r="J72" s="3"/>
      <c r="K72" s="3"/>
      <c r="L72" s="3" t="s">
        <v>66</v>
      </c>
      <c r="M72" s="4" t="str">
        <f>HYPERLINK("D:\Users\Yuman\Desktop\MasterProject\results\no_catalyst.H_H.vacuum\rad", "Directory")</f>
        <v>Directory</v>
      </c>
      <c r="N72" s="4" t="str">
        <f>HYPERLINK("D:\Users\Yuman\Desktop\MasterProject\calculations_test\no_catalyst.H_H.vacuum\rad", "Directory")</f>
        <v>Directory</v>
      </c>
      <c r="O72" s="4" t="str">
        <f>HYPERLINK("D:\Users\Yuman\Desktop\MasterProject\results\no_catalyst.H_H.vacuum\rad/molview2_start_in.bat", "input.xyz")</f>
        <v>input.xyz</v>
      </c>
      <c r="P72" s="3"/>
      <c r="Q72" s="5" t="s">
        <v>169</v>
      </c>
      <c r="R72" s="3" t="s">
        <v>26</v>
      </c>
      <c r="S72" s="3" t="s">
        <v>170</v>
      </c>
    </row>
    <row r="73" spans="1:19" ht="15.75" x14ac:dyDescent="0.25">
      <c r="A73" s="7" t="s">
        <v>34</v>
      </c>
      <c r="B73" s="3" t="s">
        <v>20</v>
      </c>
      <c r="C73" s="3" t="s">
        <v>157</v>
      </c>
      <c r="D73" s="3" t="s">
        <v>22</v>
      </c>
      <c r="E73" s="3" t="s">
        <v>29</v>
      </c>
      <c r="F73" s="3" t="s">
        <v>29</v>
      </c>
      <c r="G73" s="3"/>
      <c r="H73" s="3"/>
      <c r="I73" s="3"/>
      <c r="J73" s="3"/>
      <c r="K73" s="3"/>
      <c r="L73" s="3" t="s">
        <v>171</v>
      </c>
      <c r="M73" s="4" t="str">
        <f>HYPERLINK("D:\Users\Yuman\Desktop\MasterProject\results\no_catalyst.H_H.vacuum\Rsub", "Directory")</f>
        <v>Directory</v>
      </c>
      <c r="N73" s="4" t="str">
        <f>HYPERLINK("D:\Users\Yuman\Desktop\MasterProject\calculations_test\no_catalyst.H_H.vacuum\Rsub", "Directory")</f>
        <v>Directory</v>
      </c>
      <c r="O73" s="4" t="str">
        <f>HYPERLINK("D:\Users\Yuman\Desktop\MasterProject\results\no_catalyst.H_H.vacuum\Rsub/molview2_start_in.bat", "input.xyz")</f>
        <v>input.xyz</v>
      </c>
      <c r="P73" s="3"/>
      <c r="Q73" s="5" t="s">
        <v>172</v>
      </c>
      <c r="R73" s="3" t="s">
        <v>26</v>
      </c>
      <c r="S73" s="3" t="s">
        <v>173</v>
      </c>
    </row>
    <row r="74" spans="1:19" ht="15.75" x14ac:dyDescent="0.25">
      <c r="A74" s="2" t="s">
        <v>19</v>
      </c>
      <c r="B74" s="3" t="s">
        <v>20</v>
      </c>
      <c r="C74" s="3" t="s">
        <v>157</v>
      </c>
      <c r="D74" s="3" t="s">
        <v>22</v>
      </c>
      <c r="E74" s="3" t="s">
        <v>29</v>
      </c>
      <c r="F74" s="3" t="s">
        <v>29</v>
      </c>
      <c r="G74" s="3"/>
      <c r="H74" s="3"/>
      <c r="I74" s="3"/>
      <c r="J74" s="3"/>
      <c r="K74" s="3"/>
      <c r="L74" s="3" t="s">
        <v>68</v>
      </c>
      <c r="M74" s="4" t="str">
        <f>HYPERLINK("D:\Users\Yuman\Desktop\MasterProject\results\no_catalyst.H_H.vacuum\sub", "Directory")</f>
        <v>Directory</v>
      </c>
      <c r="N74" s="4" t="str">
        <f>HYPERLINK("D:\Users\Yuman\Desktop\MasterProject\calculations_test\no_catalyst.H_H.vacuum\sub", "Directory")</f>
        <v>Directory</v>
      </c>
      <c r="O74" s="3"/>
      <c r="P74" s="3"/>
      <c r="Q74" s="5" t="s">
        <v>174</v>
      </c>
      <c r="R74" s="3" t="s">
        <v>26</v>
      </c>
      <c r="S74" s="3" t="s">
        <v>175</v>
      </c>
    </row>
    <row r="75" spans="1:19" ht="15.75" x14ac:dyDescent="0.25">
      <c r="A75" s="7" t="s">
        <v>34</v>
      </c>
      <c r="B75" s="3" t="s">
        <v>41</v>
      </c>
      <c r="C75" s="3" t="s">
        <v>157</v>
      </c>
      <c r="D75" s="3" t="s">
        <v>22</v>
      </c>
      <c r="E75" s="3" t="s">
        <v>29</v>
      </c>
      <c r="F75" s="3" t="s">
        <v>29</v>
      </c>
      <c r="G75" s="3"/>
      <c r="H75" s="3"/>
      <c r="I75" s="3"/>
      <c r="J75" s="3"/>
      <c r="K75" s="3"/>
      <c r="L75" s="3" t="s">
        <v>42</v>
      </c>
      <c r="M75" s="4" t="str">
        <f>HYPERLINK("D:\Users\Yuman\Desktop\MasterProject\results\no_catalyst.H_H.vacuum\TS", "Directory")</f>
        <v>Directory</v>
      </c>
      <c r="N75" s="4" t="str">
        <f>HYPERLINK("D:\Users\Yuman\Desktop\MasterProject\calculations_test\no_catalyst.H_H.vacuum\TS", "Directory")</f>
        <v>Directory</v>
      </c>
      <c r="O75" s="4" t="str">
        <f>HYPERLINK("D:\Users\Yuman\Desktop\MasterProject\results\no_catalyst.H_H.vacuum\TS/molview2_start_in.bat", "input.xyz")</f>
        <v>input.xyz</v>
      </c>
      <c r="P75" s="3"/>
      <c r="Q75" s="5" t="s">
        <v>176</v>
      </c>
      <c r="R75" s="3" t="s">
        <v>26</v>
      </c>
      <c r="S75" s="3" t="s">
        <v>177</v>
      </c>
    </row>
    <row r="76" spans="1:19" ht="15.75" x14ac:dyDescent="0.25">
      <c r="A76" s="6" t="s">
        <v>28</v>
      </c>
      <c r="B76" s="3" t="s">
        <v>20</v>
      </c>
      <c r="C76" s="3" t="s">
        <v>157</v>
      </c>
      <c r="D76" s="3" t="s">
        <v>22</v>
      </c>
      <c r="E76" s="3"/>
      <c r="F76" s="3"/>
      <c r="G76" s="3"/>
      <c r="H76" s="3"/>
      <c r="I76" s="3"/>
      <c r="J76" s="3"/>
      <c r="K76" s="3"/>
      <c r="L76" s="3" t="s">
        <v>29</v>
      </c>
      <c r="M76" s="4" t="str">
        <f>HYPERLINK("D:\Users\Yuman\Desktop\MasterProject\results\no_catalyst.H_Ph.vacuum\H", "Directory")</f>
        <v>Directory</v>
      </c>
      <c r="N76" s="4" t="str">
        <f>HYPERLINK("D:\Users\Yuman\Desktop\MasterProject\calculations_test\no_catalyst.H_Ph.vacuum\H", "Directory")</f>
        <v>Directory</v>
      </c>
      <c r="O76" s="4" t="str">
        <f>HYPERLINK("D:\Users\Yuman\Desktop\MasterProject\results\no_catalyst.H_Ph.vacuum\H/molview2_start_in.bat", "input.xyz")</f>
        <v>input.xyz</v>
      </c>
      <c r="P76" s="3"/>
      <c r="Q76" s="5" t="s">
        <v>32</v>
      </c>
      <c r="R76" s="3"/>
      <c r="S76" s="3" t="s">
        <v>159</v>
      </c>
    </row>
    <row r="77" spans="1:19" ht="15.75" x14ac:dyDescent="0.25">
      <c r="A77" s="7" t="s">
        <v>34</v>
      </c>
      <c r="B77" s="3" t="s">
        <v>20</v>
      </c>
      <c r="C77" s="3" t="s">
        <v>157</v>
      </c>
      <c r="D77" s="3" t="s">
        <v>22</v>
      </c>
      <c r="E77" s="3" t="s">
        <v>29</v>
      </c>
      <c r="F77" s="3" t="s">
        <v>30</v>
      </c>
      <c r="G77" s="3"/>
      <c r="H77" s="3"/>
      <c r="I77" s="3"/>
      <c r="J77" s="3"/>
      <c r="K77" s="3"/>
      <c r="L77" s="3" t="s">
        <v>160</v>
      </c>
      <c r="M77" s="4" t="str">
        <f>HYPERLINK("D:\Users\Yuman\Desktop\MasterProject\results\no_catalyst.H_Ph.vacuum\P1", "Directory")</f>
        <v>Directory</v>
      </c>
      <c r="N77" s="4" t="str">
        <f>HYPERLINK("D:\Users\Yuman\Desktop\MasterProject\calculations_test\no_catalyst.H_Ph.vacuum\P1", "Directory")</f>
        <v>Directory</v>
      </c>
      <c r="O77" s="4" t="str">
        <f>HYPERLINK("D:\Users\Yuman\Desktop\MasterProject\results\no_catalyst.H_Ph.vacuum\P1/molview2_start_in.bat", "input.xyz")</f>
        <v>input.xyz</v>
      </c>
      <c r="P77" s="3"/>
      <c r="Q77" s="5" t="s">
        <v>178</v>
      </c>
      <c r="R77" s="3" t="s">
        <v>26</v>
      </c>
      <c r="S77" s="3" t="s">
        <v>179</v>
      </c>
    </row>
    <row r="78" spans="1:19" ht="15.75" x14ac:dyDescent="0.25">
      <c r="A78" s="7" t="s">
        <v>34</v>
      </c>
      <c r="B78" s="3" t="s">
        <v>20</v>
      </c>
      <c r="C78" s="3" t="s">
        <v>157</v>
      </c>
      <c r="D78" s="3" t="s">
        <v>22</v>
      </c>
      <c r="E78" s="3" t="s">
        <v>29</v>
      </c>
      <c r="F78" s="3" t="s">
        <v>30</v>
      </c>
      <c r="G78" s="3"/>
      <c r="H78" s="3"/>
      <c r="I78" s="3"/>
      <c r="J78" s="3"/>
      <c r="K78" s="3"/>
      <c r="L78" s="3" t="s">
        <v>61</v>
      </c>
      <c r="M78" s="4" t="str">
        <f>HYPERLINK("D:\Users\Yuman\Desktop\MasterProject\results\no_catalyst.H_Ph.vacuum\P2", "Directory")</f>
        <v>Directory</v>
      </c>
      <c r="N78" s="4" t="str">
        <f>HYPERLINK("D:\Users\Yuman\Desktop\MasterProject\calculations_test\no_catalyst.H_Ph.vacuum\P2", "Directory")</f>
        <v>Directory</v>
      </c>
      <c r="O78" s="4" t="str">
        <f>HYPERLINK("D:\Users\Yuman\Desktop\MasterProject\results\no_catalyst.H_Ph.vacuum\P2/molview2_start_in.bat", "input.xyz")</f>
        <v>input.xyz</v>
      </c>
      <c r="P78" s="3"/>
      <c r="Q78" s="5" t="s">
        <v>180</v>
      </c>
      <c r="R78" s="3" t="s">
        <v>26</v>
      </c>
      <c r="S78" s="3" t="s">
        <v>181</v>
      </c>
    </row>
    <row r="79" spans="1:19" ht="15.75" x14ac:dyDescent="0.25">
      <c r="A79" s="6" t="s">
        <v>28</v>
      </c>
      <c r="B79" s="3" t="s">
        <v>20</v>
      </c>
      <c r="C79" s="3" t="s">
        <v>157</v>
      </c>
      <c r="D79" s="3" t="s">
        <v>22</v>
      </c>
      <c r="E79" s="3"/>
      <c r="F79" s="3"/>
      <c r="G79" s="3"/>
      <c r="H79" s="3"/>
      <c r="I79" s="3"/>
      <c r="J79" s="3"/>
      <c r="K79" s="3"/>
      <c r="L79" s="3" t="s">
        <v>66</v>
      </c>
      <c r="M79" s="4" t="str">
        <f>HYPERLINK("D:\Users\Yuman\Desktop\MasterProject\results\no_catalyst.H_Ph.vacuum\rad", "Directory")</f>
        <v>Directory</v>
      </c>
      <c r="N79" s="4" t="str">
        <f>HYPERLINK("D:\Users\Yuman\Desktop\MasterProject\calculations_test\no_catalyst.H_Ph.vacuum\rad", "Directory")</f>
        <v>Directory</v>
      </c>
      <c r="O79" s="4" t="str">
        <f>HYPERLINK("D:\Users\Yuman\Desktop\MasterProject\results\no_catalyst.H_Ph.vacuum\rad/molview2_start_in.bat", "input.xyz")</f>
        <v>input.xyz</v>
      </c>
      <c r="P79" s="3"/>
      <c r="Q79" s="5" t="s">
        <v>32</v>
      </c>
      <c r="R79" s="3"/>
      <c r="S79" s="3" t="s">
        <v>170</v>
      </c>
    </row>
    <row r="80" spans="1:19" ht="15.75" x14ac:dyDescent="0.25">
      <c r="A80" s="7" t="s">
        <v>34</v>
      </c>
      <c r="B80" s="3" t="s">
        <v>20</v>
      </c>
      <c r="C80" s="3" t="s">
        <v>157</v>
      </c>
      <c r="D80" s="3" t="s">
        <v>22</v>
      </c>
      <c r="E80" s="3" t="s">
        <v>29</v>
      </c>
      <c r="F80" s="3" t="s">
        <v>30</v>
      </c>
      <c r="G80" s="3"/>
      <c r="H80" s="3"/>
      <c r="I80" s="3"/>
      <c r="J80" s="3"/>
      <c r="K80" s="3"/>
      <c r="L80" s="3" t="s">
        <v>171</v>
      </c>
      <c r="M80" s="4" t="str">
        <f>HYPERLINK("D:\Users\Yuman\Desktop\MasterProject\results\no_catalyst.H_Ph.vacuum\Rsub", "Directory")</f>
        <v>Directory</v>
      </c>
      <c r="N80" s="4" t="str">
        <f>HYPERLINK("D:\Users\Yuman\Desktop\MasterProject\calculations_test\no_catalyst.H_Ph.vacuum\Rsub", "Directory")</f>
        <v>Directory</v>
      </c>
      <c r="O80" s="4" t="str">
        <f>HYPERLINK("D:\Users\Yuman\Desktop\MasterProject\results\no_catalyst.H_Ph.vacuum\Rsub/molview2_start_in.bat", "input.xyz")</f>
        <v>input.xyz</v>
      </c>
      <c r="P80" s="3"/>
      <c r="Q80" s="5" t="s">
        <v>182</v>
      </c>
      <c r="R80" s="3" t="s">
        <v>26</v>
      </c>
      <c r="S80" s="3" t="s">
        <v>183</v>
      </c>
    </row>
    <row r="81" spans="1:19" ht="15.75" x14ac:dyDescent="0.25">
      <c r="A81" s="7" t="s">
        <v>34</v>
      </c>
      <c r="B81" s="3" t="s">
        <v>20</v>
      </c>
      <c r="C81" s="3" t="s">
        <v>157</v>
      </c>
      <c r="D81" s="3" t="s">
        <v>22</v>
      </c>
      <c r="E81" s="3" t="s">
        <v>29</v>
      </c>
      <c r="F81" s="3" t="s">
        <v>30</v>
      </c>
      <c r="G81" s="3"/>
      <c r="H81" s="3"/>
      <c r="I81" s="3"/>
      <c r="J81" s="3"/>
      <c r="K81" s="3"/>
      <c r="L81" s="3" t="s">
        <v>68</v>
      </c>
      <c r="M81" s="4" t="str">
        <f>HYPERLINK("D:\Users\Yuman\Desktop\MasterProject\results\no_catalyst.H_Ph.vacuum\sub", "Directory")</f>
        <v>Directory</v>
      </c>
      <c r="N81" s="4" t="str">
        <f>HYPERLINK("D:\Users\Yuman\Desktop\MasterProject\calculations_test\no_catalyst.H_Ph.vacuum\sub", "Directory")</f>
        <v>Directory</v>
      </c>
      <c r="O81" s="4" t="str">
        <f>HYPERLINK("D:\Users\Yuman\Desktop\MasterProject\results\no_catalyst.H_Ph.vacuum\sub/molview2_start_in.bat", "input.xyz")</f>
        <v>input.xyz</v>
      </c>
      <c r="P81" s="3"/>
      <c r="Q81" s="5" t="s">
        <v>184</v>
      </c>
      <c r="R81" s="3" t="s">
        <v>26</v>
      </c>
      <c r="S81" s="3" t="s">
        <v>185</v>
      </c>
    </row>
    <row r="82" spans="1:19" ht="15.75" x14ac:dyDescent="0.25">
      <c r="A82" s="6" t="s">
        <v>28</v>
      </c>
      <c r="B82" s="3" t="s">
        <v>41</v>
      </c>
      <c r="C82" s="3" t="s">
        <v>157</v>
      </c>
      <c r="D82" s="3" t="s">
        <v>22</v>
      </c>
      <c r="E82" s="3" t="s">
        <v>29</v>
      </c>
      <c r="F82" s="3" t="s">
        <v>30</v>
      </c>
      <c r="G82" s="3"/>
      <c r="H82" s="3"/>
      <c r="I82" s="3"/>
      <c r="J82" s="3"/>
      <c r="K82" s="3"/>
      <c r="L82" s="3" t="s">
        <v>42</v>
      </c>
      <c r="M82" s="4" t="str">
        <f>HYPERLINK("D:\Users\Yuman\Desktop\MasterProject\results\no_catalyst.H_Ph.vacuum\TS", "Directory")</f>
        <v>Directory</v>
      </c>
      <c r="N82" s="4" t="str">
        <f>HYPERLINK("D:\Users\Yuman\Desktop\MasterProject\calculations_test\no_catalyst.H_Ph.vacuum\TS", "Directory")</f>
        <v>Directory</v>
      </c>
      <c r="O82" s="4" t="str">
        <f>HYPERLINK("D:\Users\Yuman\Desktop\MasterProject\results\no_catalyst.H_Ph.vacuum\TS/molview2_start_in.bat", "input.xyz")</f>
        <v>input.xyz</v>
      </c>
      <c r="P82" s="3"/>
      <c r="Q82" s="5" t="s">
        <v>32</v>
      </c>
      <c r="R82" s="3"/>
      <c r="S82" s="3" t="s">
        <v>186</v>
      </c>
    </row>
    <row r="83" spans="1:19" ht="15.75" x14ac:dyDescent="0.25">
      <c r="A83" s="7" t="s">
        <v>34</v>
      </c>
      <c r="B83" s="3" t="s">
        <v>20</v>
      </c>
      <c r="C83" s="3" t="s">
        <v>157</v>
      </c>
      <c r="D83" s="3" t="s">
        <v>22</v>
      </c>
      <c r="E83" s="3" t="s">
        <v>29</v>
      </c>
      <c r="F83" s="3" t="s">
        <v>105</v>
      </c>
      <c r="G83" s="3"/>
      <c r="H83" s="3"/>
      <c r="I83" s="3"/>
      <c r="J83" s="3"/>
      <c r="K83" s="3"/>
      <c r="L83" s="3" t="s">
        <v>160</v>
      </c>
      <c r="M83" s="4" t="str">
        <f>HYPERLINK("D:\Users\Yuman\Desktop\MasterProject\results\no_catalyst.H_tBu.vacuum\P1", "Directory")</f>
        <v>Directory</v>
      </c>
      <c r="N83" s="4" t="str">
        <f>HYPERLINK("D:\Users\Yuman\Desktop\MasterProject\calculations_test\no_catalyst.H_tBu.vacuum\P1", "Directory")</f>
        <v>Directory</v>
      </c>
      <c r="O83" s="4" t="str">
        <f>HYPERLINK("D:\Users\Yuman\Desktop\MasterProject\results\no_catalyst.H_tBu.vacuum\P1/molview2_start_in.bat", "input.xyz")</f>
        <v>input.xyz</v>
      </c>
      <c r="P83" s="3"/>
      <c r="Q83" s="5" t="s">
        <v>187</v>
      </c>
      <c r="R83" s="3" t="s">
        <v>26</v>
      </c>
      <c r="S83" s="3" t="s">
        <v>188</v>
      </c>
    </row>
    <row r="84" spans="1:19" ht="15.75" x14ac:dyDescent="0.25">
      <c r="A84" s="7" t="s">
        <v>34</v>
      </c>
      <c r="B84" s="3" t="s">
        <v>20</v>
      </c>
      <c r="C84" s="3" t="s">
        <v>157</v>
      </c>
      <c r="D84" s="3" t="s">
        <v>22</v>
      </c>
      <c r="E84" s="3" t="s">
        <v>29</v>
      </c>
      <c r="F84" s="3" t="s">
        <v>105</v>
      </c>
      <c r="G84" s="3"/>
      <c r="H84" s="3"/>
      <c r="I84" s="3"/>
      <c r="J84" s="3"/>
      <c r="K84" s="3"/>
      <c r="L84" s="3" t="s">
        <v>61</v>
      </c>
      <c r="M84" s="4" t="str">
        <f>HYPERLINK("D:\Users\Yuman\Desktop\MasterProject\results\no_catalyst.H_tBu.vacuum\P2", "Directory")</f>
        <v>Directory</v>
      </c>
      <c r="N84" s="4" t="str">
        <f>HYPERLINK("D:\Users\Yuman\Desktop\MasterProject\calculations_test\no_catalyst.H_tBu.vacuum\P2", "Directory")</f>
        <v>Directory</v>
      </c>
      <c r="O84" s="4" t="str">
        <f>HYPERLINK("D:\Users\Yuman\Desktop\MasterProject\results\no_catalyst.H_tBu.vacuum\P2/molview2_start_in.bat", "input.xyz")</f>
        <v>input.xyz</v>
      </c>
      <c r="P84" s="3"/>
      <c r="Q84" s="5" t="s">
        <v>189</v>
      </c>
      <c r="R84" s="3" t="s">
        <v>26</v>
      </c>
      <c r="S84" s="3" t="s">
        <v>190</v>
      </c>
    </row>
    <row r="85" spans="1:19" ht="15.75" x14ac:dyDescent="0.25">
      <c r="A85" s="7" t="s">
        <v>34</v>
      </c>
      <c r="B85" s="3" t="s">
        <v>20</v>
      </c>
      <c r="C85" s="3" t="s">
        <v>157</v>
      </c>
      <c r="D85" s="3" t="s">
        <v>22</v>
      </c>
      <c r="E85" s="3" t="s">
        <v>29</v>
      </c>
      <c r="F85" s="3" t="s">
        <v>105</v>
      </c>
      <c r="G85" s="3"/>
      <c r="H85" s="3"/>
      <c r="I85" s="3"/>
      <c r="J85" s="3"/>
      <c r="K85" s="3"/>
      <c r="L85" s="3" t="s">
        <v>171</v>
      </c>
      <c r="M85" s="4" t="str">
        <f>HYPERLINK("D:\Users\Yuman\Desktop\MasterProject\results\no_catalyst.H_tBu.vacuum\Rsub", "Directory")</f>
        <v>Directory</v>
      </c>
      <c r="N85" s="4" t="str">
        <f>HYPERLINK("D:\Users\Yuman\Desktop\MasterProject\calculations_test\no_catalyst.H_tBu.vacuum\Rsub", "Directory")</f>
        <v>Directory</v>
      </c>
      <c r="O85" s="4" t="str">
        <f>HYPERLINK("D:\Users\Yuman\Desktop\MasterProject\results\no_catalyst.H_tBu.vacuum\Rsub/molview2_start_in.bat", "input.xyz")</f>
        <v>input.xyz</v>
      </c>
      <c r="P85" s="3"/>
      <c r="Q85" s="5" t="s">
        <v>191</v>
      </c>
      <c r="R85" s="3" t="s">
        <v>26</v>
      </c>
      <c r="S85" s="3" t="s">
        <v>192</v>
      </c>
    </row>
    <row r="86" spans="1:19" ht="15.75" x14ac:dyDescent="0.25">
      <c r="A86" s="7" t="s">
        <v>34</v>
      </c>
      <c r="B86" s="3" t="s">
        <v>20</v>
      </c>
      <c r="C86" s="3" t="s">
        <v>157</v>
      </c>
      <c r="D86" s="3" t="s">
        <v>22</v>
      </c>
      <c r="E86" s="3" t="s">
        <v>29</v>
      </c>
      <c r="F86" s="3" t="s">
        <v>105</v>
      </c>
      <c r="G86" s="3"/>
      <c r="H86" s="3"/>
      <c r="I86" s="3"/>
      <c r="J86" s="3"/>
      <c r="K86" s="3"/>
      <c r="L86" s="3" t="s">
        <v>68</v>
      </c>
      <c r="M86" s="4" t="str">
        <f>HYPERLINK("D:\Users\Yuman\Desktop\MasterProject\results\no_catalyst.H_tBu.vacuum\sub", "Directory")</f>
        <v>Directory</v>
      </c>
      <c r="N86" s="4" t="str">
        <f>HYPERLINK("D:\Users\Yuman\Desktop\MasterProject\calculations_test\no_catalyst.H_tBu.vacuum\sub", "Directory")</f>
        <v>Directory</v>
      </c>
      <c r="O86" s="4" t="str">
        <f>HYPERLINK("D:\Users\Yuman\Desktop\MasterProject\results\no_catalyst.H_tBu.vacuum\sub/molview2_start_in.bat", "input.xyz")</f>
        <v>input.xyz</v>
      </c>
      <c r="P86" s="3"/>
      <c r="Q86" s="5" t="s">
        <v>193</v>
      </c>
      <c r="R86" s="3" t="s">
        <v>26</v>
      </c>
      <c r="S86" s="3" t="s">
        <v>194</v>
      </c>
    </row>
    <row r="87" spans="1:19" ht="15.75" x14ac:dyDescent="0.25">
      <c r="A87" s="6" t="s">
        <v>28</v>
      </c>
      <c r="B87" s="3" t="s">
        <v>41</v>
      </c>
      <c r="C87" s="3" t="s">
        <v>157</v>
      </c>
      <c r="D87" s="3" t="s">
        <v>22</v>
      </c>
      <c r="E87" s="3" t="s">
        <v>29</v>
      </c>
      <c r="F87" s="3" t="s">
        <v>105</v>
      </c>
      <c r="G87" s="3"/>
      <c r="H87" s="3"/>
      <c r="I87" s="3"/>
      <c r="J87" s="3"/>
      <c r="K87" s="3"/>
      <c r="L87" s="3" t="s">
        <v>42</v>
      </c>
      <c r="M87" s="4" t="str">
        <f>HYPERLINK("D:\Users\Yuman\Desktop\MasterProject\results\no_catalyst.H_tBu.vacuum\TS", "Directory")</f>
        <v>Directory</v>
      </c>
      <c r="N87" s="4" t="str">
        <f>HYPERLINK("D:\Users\Yuman\Desktop\MasterProject\calculations_test\no_catalyst.H_tBu.vacuum\TS", "Directory")</f>
        <v>Directory</v>
      </c>
      <c r="O87" s="4" t="str">
        <f>HYPERLINK("D:\Users\Yuman\Desktop\MasterProject\results\no_catalyst.H_tBu.vacuum\TS/molview2_start_in.bat", "input.xyz")</f>
        <v>input.xyz</v>
      </c>
      <c r="P87" s="3"/>
      <c r="Q87" s="5" t="s">
        <v>32</v>
      </c>
      <c r="R87" s="3"/>
      <c r="S87" s="3" t="s">
        <v>195</v>
      </c>
    </row>
    <row r="88" spans="1:19" ht="15.75" x14ac:dyDescent="0.25">
      <c r="A88" s="6" t="s">
        <v>28</v>
      </c>
      <c r="B88" s="3" t="s">
        <v>20</v>
      </c>
      <c r="C88" s="3" t="s">
        <v>196</v>
      </c>
      <c r="D88" s="3" t="s">
        <v>22</v>
      </c>
      <c r="E88" s="3"/>
      <c r="F88" s="3"/>
      <c r="G88" s="3" t="s">
        <v>29</v>
      </c>
      <c r="H88" s="3" t="s">
        <v>30</v>
      </c>
      <c r="I88" s="3"/>
      <c r="J88" s="3" t="s">
        <v>197</v>
      </c>
      <c r="K88" s="3" t="s">
        <v>197</v>
      </c>
      <c r="L88" s="3" t="s">
        <v>24</v>
      </c>
      <c r="M88" s="4" t="str">
        <f>HYPERLINK("D:\Users\Yuman\Desktop\MasterProject\results\squaramide.H_Ph_H_Ph_O_O.vacuum\cat", "Directory")</f>
        <v>Directory</v>
      </c>
      <c r="N88" s="4" t="str">
        <f>HYPERLINK("D:\Users\Yuman\Desktop\MasterProject\calculations_test\squaramide.H_Ph_H_Ph_O_O.vacuum\cat", "Directory")</f>
        <v>Directory</v>
      </c>
      <c r="O88" s="4" t="str">
        <f>HYPERLINK("D:\Users\Yuman\Desktop\MasterProject\results\squaramide.H_Ph_H_Ph_O_O.vacuum\cat/molview2_start_in.bat", "input.xyz")</f>
        <v>input.xyz</v>
      </c>
      <c r="P88" s="3"/>
      <c r="Q88" s="5" t="s">
        <v>32</v>
      </c>
      <c r="R88" s="3"/>
      <c r="S88" s="3" t="s">
        <v>198</v>
      </c>
    </row>
    <row r="89" spans="1:19" ht="15.75" x14ac:dyDescent="0.25">
      <c r="A89" s="6" t="s">
        <v>28</v>
      </c>
      <c r="B89" s="3" t="s">
        <v>20</v>
      </c>
      <c r="C89" s="3" t="s">
        <v>196</v>
      </c>
      <c r="D89" s="3" t="s">
        <v>22</v>
      </c>
      <c r="E89" s="3"/>
      <c r="F89" s="3"/>
      <c r="G89" s="3"/>
      <c r="H89" s="3"/>
      <c r="I89" s="3"/>
      <c r="J89" s="3"/>
      <c r="K89" s="3"/>
      <c r="L89" s="3" t="s">
        <v>29</v>
      </c>
      <c r="M89" s="4" t="str">
        <f>HYPERLINK("D:\Users\Yuman\Desktop\MasterProject\results\squaramide.H_Ph_H_Ph_O_O.vacuum\H", "Directory")</f>
        <v>Directory</v>
      </c>
      <c r="N89" s="4" t="str">
        <f>HYPERLINK("D:\Users\Yuman\Desktop\MasterProject\calculations_test\squaramide.H_Ph_H_Ph_O_O.vacuum\H", "Directory")</f>
        <v>Directory</v>
      </c>
      <c r="O89" s="4" t="str">
        <f>HYPERLINK("D:\Users\Yuman\Desktop\MasterProject\results\squaramide.H_Ph_H_Ph_O_O.vacuum\H/molview2_start_in.bat", "input.xyz")</f>
        <v>input.xyz</v>
      </c>
      <c r="P89" s="3"/>
      <c r="Q89" s="5" t="s">
        <v>32</v>
      </c>
      <c r="R89" s="3"/>
      <c r="S89" s="3" t="s">
        <v>199</v>
      </c>
    </row>
    <row r="90" spans="1:19" ht="15.75" x14ac:dyDescent="0.25">
      <c r="A90" s="6" t="s">
        <v>28</v>
      </c>
      <c r="B90" s="3" t="s">
        <v>20</v>
      </c>
      <c r="C90" s="3" t="s">
        <v>196</v>
      </c>
      <c r="D90" s="3" t="s">
        <v>200</v>
      </c>
      <c r="E90" s="3" t="s">
        <v>29</v>
      </c>
      <c r="F90" s="3" t="s">
        <v>30</v>
      </c>
      <c r="G90" s="3" t="s">
        <v>29</v>
      </c>
      <c r="H90" s="3" t="s">
        <v>30</v>
      </c>
      <c r="I90" s="3"/>
      <c r="J90" s="3" t="s">
        <v>197</v>
      </c>
      <c r="K90" s="3" t="s">
        <v>197</v>
      </c>
      <c r="L90" s="3" t="s">
        <v>201</v>
      </c>
      <c r="M90" s="4" t="str">
        <f>HYPERLINK("D:\Users\Yuman\Desktop\MasterProject\results\squaramide.H_Ph_H_Ph_O_O.vacuum\P1R_cat_complex", "Directory")</f>
        <v>Directory</v>
      </c>
      <c r="N90" s="4" t="str">
        <f>HYPERLINK("D:\Users\Yuman\Desktop\MasterProject\calculations_test\squaramide.H_Ph_H_Ph_O_O.vacuum\P1R_cat_complex", "Directory")</f>
        <v>Directory</v>
      </c>
      <c r="O90" s="4" t="str">
        <f>HYPERLINK("D:\Users\Yuman\Desktop\MasterProject\results\squaramide.H_Ph_H_Ph_O_O.vacuum\P1R_cat_complex/molview2_start_in.bat", "input.xyz")</f>
        <v>input.xyz</v>
      </c>
      <c r="P90" s="3"/>
      <c r="Q90" s="5" t="s">
        <v>32</v>
      </c>
      <c r="R90" s="3"/>
      <c r="S90" s="3" t="s">
        <v>202</v>
      </c>
    </row>
    <row r="91" spans="1:19" ht="15.75" x14ac:dyDescent="0.25">
      <c r="A91" s="6" t="s">
        <v>28</v>
      </c>
      <c r="B91" s="3" t="s">
        <v>20</v>
      </c>
      <c r="C91" s="3" t="s">
        <v>196</v>
      </c>
      <c r="D91" s="3" t="s">
        <v>203</v>
      </c>
      <c r="E91" s="3" t="s">
        <v>29</v>
      </c>
      <c r="F91" s="3" t="s">
        <v>30</v>
      </c>
      <c r="G91" s="3" t="s">
        <v>29</v>
      </c>
      <c r="H91" s="3" t="s">
        <v>30</v>
      </c>
      <c r="I91" s="3"/>
      <c r="J91" s="3" t="s">
        <v>197</v>
      </c>
      <c r="K91" s="3" t="s">
        <v>197</v>
      </c>
      <c r="L91" s="3" t="s">
        <v>204</v>
      </c>
      <c r="M91" s="4" t="str">
        <f>HYPERLINK("D:\Users\Yuman\Desktop\MasterProject\results\squaramide.H_Ph_H_Ph_O_O.vacuum\P1S_cat_complex", "Directory")</f>
        <v>Directory</v>
      </c>
      <c r="N91" s="4" t="str">
        <f>HYPERLINK("D:\Users\Yuman\Desktop\MasterProject\calculations_test\squaramide.H_Ph_H_Ph_O_O.vacuum\P1S_cat_complex", "Directory")</f>
        <v>Directory</v>
      </c>
      <c r="O91" s="4" t="str">
        <f>HYPERLINK("D:\Users\Yuman\Desktop\MasterProject\results\squaramide.H_Ph_H_Ph_O_O.vacuum\P1S_cat_complex/molview2_start_in.bat", "input.xyz")</f>
        <v>input.xyz</v>
      </c>
      <c r="P91" s="3"/>
      <c r="Q91" s="5" t="s">
        <v>32</v>
      </c>
      <c r="R91" s="3"/>
      <c r="S91" s="3" t="s">
        <v>205</v>
      </c>
    </row>
    <row r="92" spans="1:19" ht="15.75" x14ac:dyDescent="0.25">
      <c r="A92" s="6" t="s">
        <v>28</v>
      </c>
      <c r="B92" s="3" t="s">
        <v>20</v>
      </c>
      <c r="C92" s="3" t="s">
        <v>196</v>
      </c>
      <c r="D92" s="3" t="s">
        <v>22</v>
      </c>
      <c r="E92" s="3" t="s">
        <v>29</v>
      </c>
      <c r="F92" s="3" t="s">
        <v>30</v>
      </c>
      <c r="G92" s="3"/>
      <c r="H92" s="3"/>
      <c r="I92" s="3"/>
      <c r="J92" s="3"/>
      <c r="K92" s="3"/>
      <c r="L92" s="3" t="s">
        <v>61</v>
      </c>
      <c r="M92" s="4" t="str">
        <f>HYPERLINK("D:\Users\Yuman\Desktop\MasterProject\results\squaramide.H_Ph_H_Ph_O_O.vacuum\P2", "Directory")</f>
        <v>Directory</v>
      </c>
      <c r="N92" s="4" t="str">
        <f>HYPERLINK("D:\Users\Yuman\Desktop\MasterProject\calculations_test\squaramide.H_Ph_H_Ph_O_O.vacuum\P2", "Directory")</f>
        <v>Directory</v>
      </c>
      <c r="O92" s="4" t="str">
        <f>HYPERLINK("D:\Users\Yuman\Desktop\MasterProject\results\squaramide.H_Ph_H_Ph_O_O.vacuum\P2/molview2_start_in.bat", "input.xyz")</f>
        <v>input.xyz</v>
      </c>
      <c r="P92" s="3"/>
      <c r="Q92" s="5" t="s">
        <v>32</v>
      </c>
      <c r="R92" s="3"/>
      <c r="S92" s="3" t="s">
        <v>206</v>
      </c>
    </row>
    <row r="93" spans="1:19" ht="15.75" x14ac:dyDescent="0.25">
      <c r="A93" s="6" t="s">
        <v>28</v>
      </c>
      <c r="B93" s="3" t="s">
        <v>20</v>
      </c>
      <c r="C93" s="3" t="s">
        <v>196</v>
      </c>
      <c r="D93" s="3" t="s">
        <v>200</v>
      </c>
      <c r="E93" s="3" t="s">
        <v>29</v>
      </c>
      <c r="F93" s="3" t="s">
        <v>30</v>
      </c>
      <c r="G93" s="3" t="s">
        <v>29</v>
      </c>
      <c r="H93" s="3" t="s">
        <v>30</v>
      </c>
      <c r="I93" s="3"/>
      <c r="J93" s="3" t="s">
        <v>197</v>
      </c>
      <c r="K93" s="3" t="s">
        <v>197</v>
      </c>
      <c r="L93" s="3" t="s">
        <v>207</v>
      </c>
      <c r="M93" s="4" t="str">
        <f>HYPERLINK("D:\Users\Yuman\Desktop\MasterProject\results\squaramide.H_Ph_H_Ph_O_O.vacuum\P2R_cat_complex", "Directory")</f>
        <v>Directory</v>
      </c>
      <c r="N93" s="4" t="str">
        <f>HYPERLINK("D:\Users\Yuman\Desktop\MasterProject\calculations_test\squaramide.H_Ph_H_Ph_O_O.vacuum\P2R_cat_complex", "Directory")</f>
        <v>Directory</v>
      </c>
      <c r="O93" s="4" t="str">
        <f>HYPERLINK("D:\Users\Yuman\Desktop\MasterProject\results\squaramide.H_Ph_H_Ph_O_O.vacuum\P2R_cat_complex/molview2_start_in.bat", "input.xyz")</f>
        <v>input.xyz</v>
      </c>
      <c r="P93" s="3"/>
      <c r="Q93" s="5" t="s">
        <v>32</v>
      </c>
      <c r="R93" s="3"/>
      <c r="S93" s="3" t="s">
        <v>208</v>
      </c>
    </row>
    <row r="94" spans="1:19" ht="15.75" x14ac:dyDescent="0.25">
      <c r="A94" s="6" t="s">
        <v>28</v>
      </c>
      <c r="B94" s="3" t="s">
        <v>20</v>
      </c>
      <c r="C94" s="3" t="s">
        <v>196</v>
      </c>
      <c r="D94" s="3" t="s">
        <v>203</v>
      </c>
      <c r="E94" s="3" t="s">
        <v>29</v>
      </c>
      <c r="F94" s="3" t="s">
        <v>30</v>
      </c>
      <c r="G94" s="3" t="s">
        <v>29</v>
      </c>
      <c r="H94" s="3" t="s">
        <v>30</v>
      </c>
      <c r="I94" s="3"/>
      <c r="J94" s="3" t="s">
        <v>197</v>
      </c>
      <c r="K94" s="3" t="s">
        <v>197</v>
      </c>
      <c r="L94" s="3" t="s">
        <v>209</v>
      </c>
      <c r="M94" s="4" t="str">
        <f>HYPERLINK("D:\Users\Yuman\Desktop\MasterProject\results\squaramide.H_Ph_H_Ph_O_O.vacuum\P2S_cat_complex", "Directory")</f>
        <v>Directory</v>
      </c>
      <c r="N94" s="4" t="str">
        <f>HYPERLINK("D:\Users\Yuman\Desktop\MasterProject\calculations_test\squaramide.H_Ph_H_Ph_O_O.vacuum\P2S_cat_complex", "Directory")</f>
        <v>Directory</v>
      </c>
      <c r="O94" s="4" t="str">
        <f>HYPERLINK("D:\Users\Yuman\Desktop\MasterProject\results\squaramide.H_Ph_H_Ph_O_O.vacuum\P2S_cat_complex/molview2_start_in.bat", "input.xyz")</f>
        <v>input.xyz</v>
      </c>
      <c r="P94" s="3"/>
      <c r="Q94" s="5" t="s">
        <v>32</v>
      </c>
      <c r="R94" s="3"/>
      <c r="S94" s="3" t="s">
        <v>210</v>
      </c>
    </row>
    <row r="95" spans="1:19" ht="15.75" x14ac:dyDescent="0.25">
      <c r="A95" s="6" t="s">
        <v>28</v>
      </c>
      <c r="B95" s="3" t="s">
        <v>20</v>
      </c>
      <c r="C95" s="3" t="s">
        <v>196</v>
      </c>
      <c r="D95" s="3" t="s">
        <v>22</v>
      </c>
      <c r="E95" s="3"/>
      <c r="F95" s="3"/>
      <c r="G95" s="3"/>
      <c r="H95" s="3"/>
      <c r="I95" s="3"/>
      <c r="J95" s="3"/>
      <c r="K95" s="3"/>
      <c r="L95" s="3" t="s">
        <v>66</v>
      </c>
      <c r="M95" s="4" t="str">
        <f>HYPERLINK("D:\Users\Yuman\Desktop\MasterProject\results\squaramide.H_Ph_H_Ph_O_O.vacuum\rad", "Directory")</f>
        <v>Directory</v>
      </c>
      <c r="N95" s="4" t="str">
        <f>HYPERLINK("D:\Users\Yuman\Desktop\MasterProject\calculations_test\squaramide.H_Ph_H_Ph_O_O.vacuum\rad", "Directory")</f>
        <v>Directory</v>
      </c>
      <c r="O95" s="4" t="str">
        <f>HYPERLINK("D:\Users\Yuman\Desktop\MasterProject\results\squaramide.H_Ph_H_Ph_O_O.vacuum\rad/molview2_start_in.bat", "input.xyz")</f>
        <v>input.xyz</v>
      </c>
      <c r="P95" s="3"/>
      <c r="Q95" s="5" t="s">
        <v>32</v>
      </c>
      <c r="R95" s="3"/>
      <c r="S95" s="3" t="s">
        <v>211</v>
      </c>
    </row>
    <row r="96" spans="1:19" ht="15.75" x14ac:dyDescent="0.25">
      <c r="A96" s="6" t="s">
        <v>28</v>
      </c>
      <c r="B96" s="3" t="s">
        <v>20</v>
      </c>
      <c r="C96" s="3" t="s">
        <v>196</v>
      </c>
      <c r="D96" s="3" t="s">
        <v>22</v>
      </c>
      <c r="E96" s="3" t="s">
        <v>29</v>
      </c>
      <c r="F96" s="3" t="s">
        <v>30</v>
      </c>
      <c r="G96" s="3"/>
      <c r="H96" s="3"/>
      <c r="I96" s="3"/>
      <c r="J96" s="3"/>
      <c r="K96" s="3"/>
      <c r="L96" s="3" t="s">
        <v>68</v>
      </c>
      <c r="M96" s="4" t="str">
        <f>HYPERLINK("D:\Users\Yuman\Desktop\MasterProject\results\squaramide.H_Ph_H_Ph_O_O.vacuum\sub", "Directory")</f>
        <v>Directory</v>
      </c>
      <c r="N96" s="4" t="str">
        <f>HYPERLINK("D:\Users\Yuman\Desktop\MasterProject\calculations_test\squaramide.H_Ph_H_Ph_O_O.vacuum\sub", "Directory")</f>
        <v>Directory</v>
      </c>
      <c r="O96" s="4" t="str">
        <f>HYPERLINK("D:\Users\Yuman\Desktop\MasterProject\results\squaramide.H_Ph_H_Ph_O_O.vacuum\sub/molview2_start_in.bat", "input.xyz")</f>
        <v>input.xyz</v>
      </c>
      <c r="P96" s="3"/>
      <c r="Q96" s="5" t="s">
        <v>32</v>
      </c>
      <c r="R96" s="3"/>
      <c r="S96" s="3" t="s">
        <v>212</v>
      </c>
    </row>
    <row r="97" spans="1:19" ht="15.75" x14ac:dyDescent="0.25">
      <c r="A97" s="6" t="s">
        <v>28</v>
      </c>
      <c r="B97" s="3" t="s">
        <v>20</v>
      </c>
      <c r="C97" s="3" t="s">
        <v>196</v>
      </c>
      <c r="D97" s="3" t="s">
        <v>22</v>
      </c>
      <c r="E97" s="3" t="s">
        <v>29</v>
      </c>
      <c r="F97" s="3" t="s">
        <v>30</v>
      </c>
      <c r="G97" s="3" t="s">
        <v>29</v>
      </c>
      <c r="H97" s="3" t="s">
        <v>30</v>
      </c>
      <c r="I97" s="3"/>
      <c r="J97" s="3" t="s">
        <v>197</v>
      </c>
      <c r="K97" s="3" t="s">
        <v>197</v>
      </c>
      <c r="L97" s="3" t="s">
        <v>38</v>
      </c>
      <c r="M97" s="4" t="str">
        <f>HYPERLINK("D:\Users\Yuman\Desktop\MasterProject\results\squaramide.H_Ph_H_Ph_O_O.vacuum\sub_cat_complex", "Directory")</f>
        <v>Directory</v>
      </c>
      <c r="N97" s="4" t="str">
        <f>HYPERLINK("D:\Users\Yuman\Desktop\MasterProject\calculations_test\squaramide.H_Ph_H_Ph_O_O.vacuum\sub_cat_complex", "Directory")</f>
        <v>Directory</v>
      </c>
      <c r="O97" s="4" t="str">
        <f>HYPERLINK("D:\Users\Yuman\Desktop\MasterProject\results\squaramide.H_Ph_H_Ph_O_O.vacuum\sub_cat_complex/molview2_start_in.bat", "input.xyz")</f>
        <v>input.xyz</v>
      </c>
      <c r="P97" s="3"/>
      <c r="Q97" s="5" t="s">
        <v>32</v>
      </c>
      <c r="R97" s="3"/>
      <c r="S97" s="3" t="s">
        <v>213</v>
      </c>
    </row>
    <row r="98" spans="1:19" ht="15.75" x14ac:dyDescent="0.25">
      <c r="A98" s="6" t="s">
        <v>28</v>
      </c>
      <c r="B98" s="3" t="s">
        <v>41</v>
      </c>
      <c r="C98" s="3" t="s">
        <v>196</v>
      </c>
      <c r="D98" s="3" t="s">
        <v>200</v>
      </c>
      <c r="E98" s="3" t="s">
        <v>29</v>
      </c>
      <c r="F98" s="3" t="s">
        <v>30</v>
      </c>
      <c r="G98" s="3" t="s">
        <v>29</v>
      </c>
      <c r="H98" s="3" t="s">
        <v>30</v>
      </c>
      <c r="I98" s="3"/>
      <c r="J98" s="3" t="s">
        <v>197</v>
      </c>
      <c r="K98" s="3" t="s">
        <v>197</v>
      </c>
      <c r="L98" s="3" t="s">
        <v>214</v>
      </c>
      <c r="M98" s="4" t="str">
        <f>HYPERLINK("D:\Users\Yuman\Desktop\MasterProject\results\squaramide.H_Ph_H_Ph_O_O.vacuum\TSR", "Directory")</f>
        <v>Directory</v>
      </c>
      <c r="N98" s="4" t="str">
        <f>HYPERLINK("D:\Users\Yuman\Desktop\MasterProject\calculations_test\squaramide.H_Ph_H_Ph_O_O.vacuum\TSR", "Directory")</f>
        <v>Directory</v>
      </c>
      <c r="O98" s="4" t="str">
        <f>HYPERLINK("D:\Users\Yuman\Desktop\MasterProject\results\squaramide.H_Ph_H_Ph_O_O.vacuum\TSR/molview2_start_in.bat", "input.xyz")</f>
        <v>input.xyz</v>
      </c>
      <c r="P98" s="3"/>
      <c r="Q98" s="5" t="s">
        <v>32</v>
      </c>
      <c r="R98" s="3"/>
      <c r="S98" s="3" t="s">
        <v>215</v>
      </c>
    </row>
    <row r="99" spans="1:19" ht="15.75" x14ac:dyDescent="0.25">
      <c r="A99" s="6" t="s">
        <v>28</v>
      </c>
      <c r="B99" s="3" t="s">
        <v>41</v>
      </c>
      <c r="C99" s="3" t="s">
        <v>196</v>
      </c>
      <c r="D99" s="3" t="s">
        <v>203</v>
      </c>
      <c r="E99" s="3" t="s">
        <v>29</v>
      </c>
      <c r="F99" s="3" t="s">
        <v>30</v>
      </c>
      <c r="G99" s="3" t="s">
        <v>29</v>
      </c>
      <c r="H99" s="3" t="s">
        <v>30</v>
      </c>
      <c r="I99" s="3"/>
      <c r="J99" s="3" t="s">
        <v>197</v>
      </c>
      <c r="K99" s="3" t="s">
        <v>197</v>
      </c>
      <c r="L99" s="3" t="s">
        <v>216</v>
      </c>
      <c r="M99" s="4" t="str">
        <f>HYPERLINK("D:\Users\Yuman\Desktop\MasterProject\results\squaramide.H_Ph_H_Ph_O_O.vacuum\TSS", "Directory")</f>
        <v>Directory</v>
      </c>
      <c r="N99" s="4" t="str">
        <f>HYPERLINK("D:\Users\Yuman\Desktop\MasterProject\calculations_test\squaramide.H_Ph_H_Ph_O_O.vacuum\TSS", "Directory")</f>
        <v>Directory</v>
      </c>
      <c r="O99" s="4" t="str">
        <f>HYPERLINK("D:\Users\Yuman\Desktop\MasterProject\results\squaramide.H_Ph_H_Ph_O_O.vacuum\TSS/molview2_start_in.bat", "input.xyz")</f>
        <v>input.xyz</v>
      </c>
      <c r="P99" s="3"/>
      <c r="Q99" s="5" t="s">
        <v>32</v>
      </c>
      <c r="R99" s="3"/>
      <c r="S99" s="3" t="s">
        <v>217</v>
      </c>
    </row>
    <row r="100" spans="1:19" ht="15.75" x14ac:dyDescent="0.25">
      <c r="A100" s="7" t="s">
        <v>34</v>
      </c>
      <c r="B100" s="3" t="s">
        <v>20</v>
      </c>
      <c r="C100" s="3" t="s">
        <v>218</v>
      </c>
      <c r="D100" s="3" t="s">
        <v>200</v>
      </c>
      <c r="E100" s="3" t="s">
        <v>29</v>
      </c>
      <c r="F100" s="3" t="s">
        <v>30</v>
      </c>
      <c r="G100" s="3"/>
      <c r="H100" s="3"/>
      <c r="I100" s="3"/>
      <c r="J100" s="3" t="s">
        <v>197</v>
      </c>
      <c r="K100" s="3"/>
      <c r="L100" s="3" t="s">
        <v>201</v>
      </c>
      <c r="M100" s="4" t="str">
        <f>HYPERLINK("D:\Users\Yuman\Desktop\MasterProject\results\urea_tBu_Ph.H_Ph_O.vacuum\P1R_cat_complex", "Directory")</f>
        <v>Directory</v>
      </c>
      <c r="N100" s="4" t="str">
        <f>HYPERLINK("D:\Users\Yuman\Desktop\MasterProject\calculations_test\urea_tBu_Ph.H_Ph_O.vacuum\P1R_cat_complex", "Directory")</f>
        <v>Directory</v>
      </c>
      <c r="O100" s="4" t="str">
        <f>HYPERLINK("D:\Users\Yuman\Desktop\MasterProject\results\urea_tBu_Ph.H_Ph_O.vacuum\P1R_cat_complex/molview2_start_in.bat", "input.xyz")</f>
        <v>input.xyz</v>
      </c>
      <c r="P100" s="3"/>
      <c r="Q100" s="5" t="s">
        <v>219</v>
      </c>
      <c r="R100" s="3" t="s">
        <v>26</v>
      </c>
      <c r="S100" s="3" t="s">
        <v>220</v>
      </c>
    </row>
    <row r="101" spans="1:19" ht="15.75" x14ac:dyDescent="0.25">
      <c r="A101" s="7" t="s">
        <v>34</v>
      </c>
      <c r="B101" s="3" t="s">
        <v>20</v>
      </c>
      <c r="C101" s="3" t="s">
        <v>218</v>
      </c>
      <c r="D101" s="3" t="s">
        <v>203</v>
      </c>
      <c r="E101" s="3" t="s">
        <v>29</v>
      </c>
      <c r="F101" s="3" t="s">
        <v>30</v>
      </c>
      <c r="G101" s="3"/>
      <c r="H101" s="3"/>
      <c r="I101" s="3"/>
      <c r="J101" s="3" t="s">
        <v>197</v>
      </c>
      <c r="K101" s="3"/>
      <c r="L101" s="3" t="s">
        <v>204</v>
      </c>
      <c r="M101" s="4" t="str">
        <f>HYPERLINK("D:\Users\Yuman\Desktop\MasterProject\results\urea_tBu_Ph.H_Ph_O.vacuum\P1S_cat_complex", "Directory")</f>
        <v>Directory</v>
      </c>
      <c r="N101" s="4" t="str">
        <f>HYPERLINK("D:\Users\Yuman\Desktop\MasterProject\calculations_test\urea_tBu_Ph.H_Ph_O.vacuum\P1S_cat_complex", "Directory")</f>
        <v>Directory</v>
      </c>
      <c r="O101" s="4" t="str">
        <f>HYPERLINK("D:\Users\Yuman\Desktop\MasterProject\results\urea_tBu_Ph.H_Ph_O.vacuum\P1S_cat_complex/molview2_start_in.bat", "input.xyz")</f>
        <v>input.xyz</v>
      </c>
      <c r="P101" s="3"/>
      <c r="Q101" s="5" t="s">
        <v>221</v>
      </c>
      <c r="R101" s="3" t="s">
        <v>26</v>
      </c>
      <c r="S101" s="3" t="s">
        <v>222</v>
      </c>
    </row>
    <row r="102" spans="1:19" ht="15.75" x14ac:dyDescent="0.25">
      <c r="A102" s="7" t="s">
        <v>34</v>
      </c>
      <c r="B102" s="3" t="s">
        <v>20</v>
      </c>
      <c r="C102" s="3" t="s">
        <v>218</v>
      </c>
      <c r="D102" s="3" t="s">
        <v>22</v>
      </c>
      <c r="E102" s="3" t="s">
        <v>29</v>
      </c>
      <c r="F102" s="3" t="s">
        <v>30</v>
      </c>
      <c r="G102" s="3"/>
      <c r="H102" s="3"/>
      <c r="I102" s="3"/>
      <c r="J102" s="3"/>
      <c r="K102" s="3"/>
      <c r="L102" s="3" t="s">
        <v>61</v>
      </c>
      <c r="M102" s="4" t="str">
        <f>HYPERLINK("D:\Users\Yuman\Desktop\MasterProject\results\urea_tBu_Ph.H_Ph_O.vacuum\P2", "Directory")</f>
        <v>Directory</v>
      </c>
      <c r="N102" s="4" t="str">
        <f>HYPERLINK("D:\Users\Yuman\Desktop\MasterProject\calculations_test\urea_tBu_Ph.H_Ph_O.vacuum\P2", "Directory")</f>
        <v>Directory</v>
      </c>
      <c r="O102" s="4" t="str">
        <f>HYPERLINK("D:\Users\Yuman\Desktop\MasterProject\results\urea_tBu_Ph.H_Ph_O.vacuum\P2/molview2_start_in.bat", "input.xyz")</f>
        <v>input.xyz</v>
      </c>
      <c r="P102" s="3"/>
      <c r="Q102" s="5" t="s">
        <v>223</v>
      </c>
      <c r="R102" s="3" t="s">
        <v>26</v>
      </c>
      <c r="S102" s="3" t="s">
        <v>224</v>
      </c>
    </row>
    <row r="103" spans="1:19" ht="15.75" x14ac:dyDescent="0.25">
      <c r="A103" s="7" t="s">
        <v>34</v>
      </c>
      <c r="B103" s="3" t="s">
        <v>20</v>
      </c>
      <c r="C103" s="3" t="s">
        <v>218</v>
      </c>
      <c r="D103" s="3" t="s">
        <v>200</v>
      </c>
      <c r="E103" s="3" t="s">
        <v>29</v>
      </c>
      <c r="F103" s="3" t="s">
        <v>30</v>
      </c>
      <c r="G103" s="3"/>
      <c r="H103" s="3"/>
      <c r="I103" s="3"/>
      <c r="J103" s="3" t="s">
        <v>197</v>
      </c>
      <c r="K103" s="3"/>
      <c r="L103" s="3" t="s">
        <v>207</v>
      </c>
      <c r="M103" s="4" t="str">
        <f>HYPERLINK("D:\Users\Yuman\Desktop\MasterProject\results\urea_tBu_Ph.H_Ph_O.vacuum\P2R_cat_complex", "Directory")</f>
        <v>Directory</v>
      </c>
      <c r="N103" s="4" t="str">
        <f>HYPERLINK("D:\Users\Yuman\Desktop\MasterProject\calculations_test\urea_tBu_Ph.H_Ph_O.vacuum\P2R_cat_complex", "Directory")</f>
        <v>Directory</v>
      </c>
      <c r="O103" s="4" t="str">
        <f>HYPERLINK("D:\Users\Yuman\Desktop\MasterProject\results\urea_tBu_Ph.H_Ph_O.vacuum\P2R_cat_complex/molview2_start_in.bat", "input.xyz")</f>
        <v>input.xyz</v>
      </c>
      <c r="P103" s="3"/>
      <c r="Q103" s="5" t="s">
        <v>225</v>
      </c>
      <c r="R103" s="3" t="s">
        <v>26</v>
      </c>
      <c r="S103" s="3" t="s">
        <v>226</v>
      </c>
    </row>
    <row r="104" spans="1:19" ht="15.75" x14ac:dyDescent="0.25">
      <c r="A104" s="7" t="s">
        <v>34</v>
      </c>
      <c r="B104" s="3" t="s">
        <v>20</v>
      </c>
      <c r="C104" s="3" t="s">
        <v>218</v>
      </c>
      <c r="D104" s="3" t="s">
        <v>203</v>
      </c>
      <c r="E104" s="3" t="s">
        <v>29</v>
      </c>
      <c r="F104" s="3" t="s">
        <v>30</v>
      </c>
      <c r="G104" s="3"/>
      <c r="H104" s="3"/>
      <c r="I104" s="3"/>
      <c r="J104" s="3" t="s">
        <v>197</v>
      </c>
      <c r="K104" s="3"/>
      <c r="L104" s="3" t="s">
        <v>209</v>
      </c>
      <c r="M104" s="4" t="str">
        <f>HYPERLINK("D:\Users\Yuman\Desktop\MasterProject\results\urea_tBu_Ph.H_Ph_O.vacuum\P2S_cat_complex", "Directory")</f>
        <v>Directory</v>
      </c>
      <c r="N104" s="4" t="str">
        <f>HYPERLINK("D:\Users\Yuman\Desktop\MasterProject\calculations_test\urea_tBu_Ph.H_Ph_O.vacuum\P2S_cat_complex", "Directory")</f>
        <v>Directory</v>
      </c>
      <c r="O104" s="4" t="str">
        <f>HYPERLINK("D:\Users\Yuman\Desktop\MasterProject\results\urea_tBu_Ph.H_Ph_O.vacuum\P2S_cat_complex/molview2_start_in.bat", "input.xyz")</f>
        <v>input.xyz</v>
      </c>
      <c r="P104" s="3"/>
      <c r="Q104" s="5" t="s">
        <v>227</v>
      </c>
      <c r="R104" s="3" t="s">
        <v>26</v>
      </c>
      <c r="S104" s="3" t="s">
        <v>228</v>
      </c>
    </row>
    <row r="105" spans="1:19" ht="15.75" x14ac:dyDescent="0.25">
      <c r="A105" s="7" t="s">
        <v>34</v>
      </c>
      <c r="B105" s="3" t="s">
        <v>20</v>
      </c>
      <c r="C105" s="3" t="s">
        <v>218</v>
      </c>
      <c r="D105" s="3" t="s">
        <v>22</v>
      </c>
      <c r="E105" s="3" t="s">
        <v>29</v>
      </c>
      <c r="F105" s="3" t="s">
        <v>30</v>
      </c>
      <c r="G105" s="3"/>
      <c r="H105" s="3"/>
      <c r="I105" s="3"/>
      <c r="J105" s="3"/>
      <c r="K105" s="3"/>
      <c r="L105" s="3" t="s">
        <v>68</v>
      </c>
      <c r="M105" s="4" t="str">
        <f>HYPERLINK("D:\Users\Yuman\Desktop\MasterProject\results\urea_tBu_Ph.H_Ph_O.vacuum\sub", "Directory")</f>
        <v>Directory</v>
      </c>
      <c r="N105" s="4" t="str">
        <f>HYPERLINK("D:\Users\Yuman\Desktop\MasterProject\calculations_test\urea_tBu_Ph.H_Ph_O.vacuum\sub", "Directory")</f>
        <v>Directory</v>
      </c>
      <c r="O105" s="4" t="str">
        <f>HYPERLINK("D:\Users\Yuman\Desktop\MasterProject\results\urea_tBu_Ph.H_Ph_O.vacuum\sub/molview2_start_in.bat", "input.xyz")</f>
        <v>input.xyz</v>
      </c>
      <c r="P105" s="3"/>
      <c r="Q105" s="5" t="s">
        <v>229</v>
      </c>
      <c r="R105" s="3" t="s">
        <v>26</v>
      </c>
      <c r="S105" s="3" t="s">
        <v>230</v>
      </c>
    </row>
    <row r="106" spans="1:19" ht="15.75" x14ac:dyDescent="0.25">
      <c r="A106" s="7" t="s">
        <v>34</v>
      </c>
      <c r="B106" s="3" t="s">
        <v>20</v>
      </c>
      <c r="C106" s="3" t="s">
        <v>218</v>
      </c>
      <c r="D106" s="3" t="s">
        <v>22</v>
      </c>
      <c r="E106" s="3" t="s">
        <v>29</v>
      </c>
      <c r="F106" s="3" t="s">
        <v>30</v>
      </c>
      <c r="G106" s="3"/>
      <c r="H106" s="3"/>
      <c r="I106" s="3"/>
      <c r="J106" s="3" t="s">
        <v>197</v>
      </c>
      <c r="K106" s="3"/>
      <c r="L106" s="3" t="s">
        <v>38</v>
      </c>
      <c r="M106" s="4" t="str">
        <f>HYPERLINK("D:\Users\Yuman\Desktop\MasterProject\results\urea_tBu_Ph.H_Ph_O.vacuum\sub_cat_complex", "Directory")</f>
        <v>Directory</v>
      </c>
      <c r="N106" s="4" t="str">
        <f>HYPERLINK("D:\Users\Yuman\Desktop\MasterProject\calculations_test\urea_tBu_Ph.H_Ph_O.vacuum\sub_cat_complex", "Directory")</f>
        <v>Directory</v>
      </c>
      <c r="O106" s="4" t="str">
        <f>HYPERLINK("D:\Users\Yuman\Desktop\MasterProject\results\urea_tBu_Ph.H_Ph_O.vacuum\sub_cat_complex/molview2_start_in.bat", "input.xyz")</f>
        <v>input.xyz</v>
      </c>
      <c r="P106" s="3"/>
      <c r="Q106" s="5" t="s">
        <v>231</v>
      </c>
      <c r="R106" s="3" t="s">
        <v>26</v>
      </c>
      <c r="S106" s="3" t="s">
        <v>232</v>
      </c>
    </row>
    <row r="107" spans="1:19" ht="15.75" x14ac:dyDescent="0.25">
      <c r="A107" s="7" t="s">
        <v>34</v>
      </c>
      <c r="B107" s="3" t="s">
        <v>41</v>
      </c>
      <c r="C107" s="3" t="s">
        <v>218</v>
      </c>
      <c r="D107" s="3" t="s">
        <v>200</v>
      </c>
      <c r="E107" s="3" t="s">
        <v>29</v>
      </c>
      <c r="F107" s="3" t="s">
        <v>30</v>
      </c>
      <c r="G107" s="3"/>
      <c r="H107" s="3"/>
      <c r="I107" s="3"/>
      <c r="J107" s="3" t="s">
        <v>197</v>
      </c>
      <c r="K107" s="3"/>
      <c r="L107" s="3" t="s">
        <v>214</v>
      </c>
      <c r="M107" s="4" t="str">
        <f>HYPERLINK("D:\Users\Yuman\Desktop\MasterProject\results\urea_tBu_Ph.H_Ph_O.vacuum\TSR", "Directory")</f>
        <v>Directory</v>
      </c>
      <c r="N107" s="4" t="str">
        <f>HYPERLINK("D:\Users\Yuman\Desktop\MasterProject\calculations_test\urea_tBu_Ph.H_Ph_O.vacuum\TSR", "Directory")</f>
        <v>Directory</v>
      </c>
      <c r="O107" s="4" t="str">
        <f>HYPERLINK("D:\Users\Yuman\Desktop\MasterProject\results\urea_tBu_Ph.H_Ph_O.vacuum\TSR/molview2_start_in.bat", "input.xyz")</f>
        <v>input.xyz</v>
      </c>
      <c r="P107" s="3"/>
      <c r="Q107" s="5" t="s">
        <v>233</v>
      </c>
      <c r="R107" s="3" t="s">
        <v>26</v>
      </c>
      <c r="S107" s="3" t="s">
        <v>234</v>
      </c>
    </row>
    <row r="108" spans="1:19" ht="15.75" x14ac:dyDescent="0.25">
      <c r="A108" s="7" t="s">
        <v>34</v>
      </c>
      <c r="B108" s="3" t="s">
        <v>41</v>
      </c>
      <c r="C108" s="3" t="s">
        <v>218</v>
      </c>
      <c r="D108" s="3" t="s">
        <v>203</v>
      </c>
      <c r="E108" s="3" t="s">
        <v>29</v>
      </c>
      <c r="F108" s="3" t="s">
        <v>30</v>
      </c>
      <c r="G108" s="3"/>
      <c r="H108" s="3"/>
      <c r="I108" s="3"/>
      <c r="J108" s="3" t="s">
        <v>197</v>
      </c>
      <c r="K108" s="3"/>
      <c r="L108" s="3" t="s">
        <v>216</v>
      </c>
      <c r="M108" s="4" t="str">
        <f>HYPERLINK("D:\Users\Yuman\Desktop\MasterProject\results\urea_tBu_Ph.H_Ph_O.vacuum\TSS", "Directory")</f>
        <v>Directory</v>
      </c>
      <c r="N108" s="4" t="str">
        <f>HYPERLINK("D:\Users\Yuman\Desktop\MasterProject\calculations_test\urea_tBu_Ph.H_Ph_O.vacuum\TSS", "Directory")</f>
        <v>Directory</v>
      </c>
      <c r="O108" s="4" t="str">
        <f>HYPERLINK("D:\Users\Yuman\Desktop\MasterProject\results\urea_tBu_Ph.H_Ph_O.vacuum\TSS/molview2_start_in.bat", "input.xyz")</f>
        <v>input.xyz</v>
      </c>
      <c r="P108" s="3"/>
      <c r="Q108" s="5" t="s">
        <v>235</v>
      </c>
      <c r="R108" s="3" t="s">
        <v>26</v>
      </c>
      <c r="S108" s="3" t="s">
        <v>236</v>
      </c>
    </row>
    <row r="109" spans="1:19" ht="15.75" x14ac:dyDescent="0.25">
      <c r="A109" s="7" t="s">
        <v>34</v>
      </c>
      <c r="B109" s="3" t="s">
        <v>20</v>
      </c>
      <c r="C109" s="3" t="s">
        <v>218</v>
      </c>
      <c r="D109" s="3" t="s">
        <v>22</v>
      </c>
      <c r="E109" s="3"/>
      <c r="F109" s="3"/>
      <c r="G109" s="3"/>
      <c r="H109" s="3"/>
      <c r="I109" s="3"/>
      <c r="J109" s="3" t="s">
        <v>203</v>
      </c>
      <c r="K109" s="3"/>
      <c r="L109" s="3" t="s">
        <v>24</v>
      </c>
      <c r="M109" s="4" t="str">
        <f>HYPERLINK("D:\Users\Yuman\Desktop\MasterProject\results\urea_tBu_Ph.H_Ph_S.vacuum\cat", "Directory")</f>
        <v>Directory</v>
      </c>
      <c r="N109" s="4" t="str">
        <f>HYPERLINK("D:\Users\Yuman\Desktop\MasterProject\calculations_test\urea_tBu_Ph.H_Ph_S.vacuum\cat", "Directory")</f>
        <v>Directory</v>
      </c>
      <c r="O109" s="4" t="str">
        <f>HYPERLINK("D:\Users\Yuman\Desktop\MasterProject\results\urea_tBu_Ph.H_Ph_S.vacuum\cat/molview2_start_in.bat", "input.xyz")</f>
        <v>input.xyz</v>
      </c>
      <c r="P109" s="3"/>
      <c r="Q109" s="5" t="s">
        <v>237</v>
      </c>
      <c r="R109" s="3" t="s">
        <v>26</v>
      </c>
      <c r="S109" s="3" t="s">
        <v>238</v>
      </c>
    </row>
    <row r="110" spans="1:19" ht="15.75" x14ac:dyDescent="0.25">
      <c r="A110" s="8" t="s">
        <v>83</v>
      </c>
      <c r="B110" s="3" t="s">
        <v>20</v>
      </c>
      <c r="C110" s="3" t="s">
        <v>218</v>
      </c>
      <c r="D110" s="3" t="s">
        <v>200</v>
      </c>
      <c r="E110" s="3" t="s">
        <v>29</v>
      </c>
      <c r="F110" s="3" t="s">
        <v>30</v>
      </c>
      <c r="G110" s="3"/>
      <c r="H110" s="3"/>
      <c r="I110" s="3"/>
      <c r="J110" s="3" t="s">
        <v>203</v>
      </c>
      <c r="K110" s="3"/>
      <c r="L110" s="3" t="s">
        <v>201</v>
      </c>
      <c r="M110" s="4" t="str">
        <f>HYPERLINK("D:\Users\Yuman\Desktop\MasterProject\results\urea_tBu_Ph.H_Ph_S.vacuum\P1R_cat_complex", "Directory")</f>
        <v>Directory</v>
      </c>
      <c r="N110" s="4" t="str">
        <f>HYPERLINK("D:\Users\Yuman\Desktop\MasterProject\calculations_test\urea_tBu_Ph.H_Ph_S.vacuum\P1R_cat_complex", "Directory")</f>
        <v>Directory</v>
      </c>
      <c r="O110" s="4" t="str">
        <f>HYPERLINK("D:\Users\Yuman\Desktop\MasterProject\results\urea_tBu_Ph.H_Ph_S.vacuum\P1R_cat_complex/molview2_start_in.bat", "input.xyz")</f>
        <v>input.xyz</v>
      </c>
      <c r="P110" s="3"/>
      <c r="Q110" s="5" t="s">
        <v>239</v>
      </c>
      <c r="R110" s="3" t="s">
        <v>240</v>
      </c>
      <c r="S110" s="3" t="s">
        <v>241</v>
      </c>
    </row>
    <row r="111" spans="1:19" ht="15.75" x14ac:dyDescent="0.25">
      <c r="A111" s="7" t="s">
        <v>34</v>
      </c>
      <c r="B111" s="3" t="s">
        <v>20</v>
      </c>
      <c r="C111" s="3" t="s">
        <v>218</v>
      </c>
      <c r="D111" s="3" t="s">
        <v>203</v>
      </c>
      <c r="E111" s="3" t="s">
        <v>29</v>
      </c>
      <c r="F111" s="3" t="s">
        <v>30</v>
      </c>
      <c r="G111" s="3"/>
      <c r="H111" s="3"/>
      <c r="I111" s="3"/>
      <c r="J111" s="3" t="s">
        <v>203</v>
      </c>
      <c r="K111" s="3"/>
      <c r="L111" s="3" t="s">
        <v>204</v>
      </c>
      <c r="M111" s="4" t="str">
        <f>HYPERLINK("D:\Users\Yuman\Desktop\MasterProject\results\urea_tBu_Ph.H_Ph_S.vacuum\P1S_cat_complex", "Directory")</f>
        <v>Directory</v>
      </c>
      <c r="N111" s="4" t="str">
        <f>HYPERLINK("D:\Users\Yuman\Desktop\MasterProject\calculations_test\urea_tBu_Ph.H_Ph_S.vacuum\P1S_cat_complex", "Directory")</f>
        <v>Directory</v>
      </c>
      <c r="O111" s="4" t="str">
        <f>HYPERLINK("D:\Users\Yuman\Desktop\MasterProject\results\urea_tBu_Ph.H_Ph_S.vacuum\P1S_cat_complex/molview2_start_in.bat", "input.xyz")</f>
        <v>input.xyz</v>
      </c>
      <c r="P111" s="3"/>
      <c r="Q111" s="5" t="s">
        <v>242</v>
      </c>
      <c r="R111" s="3" t="s">
        <v>26</v>
      </c>
      <c r="S111" s="3" t="s">
        <v>243</v>
      </c>
    </row>
    <row r="112" spans="1:19" ht="15.75" x14ac:dyDescent="0.25">
      <c r="A112" s="7" t="s">
        <v>34</v>
      </c>
      <c r="B112" s="3" t="s">
        <v>20</v>
      </c>
      <c r="C112" s="3" t="s">
        <v>218</v>
      </c>
      <c r="D112" s="3" t="s">
        <v>200</v>
      </c>
      <c r="E112" s="3" t="s">
        <v>29</v>
      </c>
      <c r="F112" s="3" t="s">
        <v>30</v>
      </c>
      <c r="G112" s="3"/>
      <c r="H112" s="3"/>
      <c r="I112" s="3"/>
      <c r="J112" s="3" t="s">
        <v>203</v>
      </c>
      <c r="K112" s="3"/>
      <c r="L112" s="3" t="s">
        <v>207</v>
      </c>
      <c r="M112" s="4" t="str">
        <f>HYPERLINK("D:\Users\Yuman\Desktop\MasterProject\results\urea_tBu_Ph.H_Ph_S.vacuum\P2R_cat_complex", "Directory")</f>
        <v>Directory</v>
      </c>
      <c r="N112" s="4" t="str">
        <f>HYPERLINK("D:\Users\Yuman\Desktop\MasterProject\calculations_test\urea_tBu_Ph.H_Ph_S.vacuum\P2R_cat_complex", "Directory")</f>
        <v>Directory</v>
      </c>
      <c r="O112" s="4" t="str">
        <f>HYPERLINK("D:\Users\Yuman\Desktop\MasterProject\results\urea_tBu_Ph.H_Ph_S.vacuum\P2R_cat_complex/molview2_start_in.bat", "input.xyz")</f>
        <v>input.xyz</v>
      </c>
      <c r="P112" s="3"/>
      <c r="Q112" s="5" t="s">
        <v>244</v>
      </c>
      <c r="R112" s="3" t="s">
        <v>26</v>
      </c>
      <c r="S112" s="3" t="s">
        <v>245</v>
      </c>
    </row>
    <row r="113" spans="1:19" ht="15.75" x14ac:dyDescent="0.25">
      <c r="A113" s="7" t="s">
        <v>34</v>
      </c>
      <c r="B113" s="3" t="s">
        <v>20</v>
      </c>
      <c r="C113" s="3" t="s">
        <v>218</v>
      </c>
      <c r="D113" s="3" t="s">
        <v>203</v>
      </c>
      <c r="E113" s="3" t="s">
        <v>29</v>
      </c>
      <c r="F113" s="3" t="s">
        <v>30</v>
      </c>
      <c r="G113" s="3"/>
      <c r="H113" s="3"/>
      <c r="I113" s="3"/>
      <c r="J113" s="3" t="s">
        <v>203</v>
      </c>
      <c r="K113" s="3"/>
      <c r="L113" s="3" t="s">
        <v>209</v>
      </c>
      <c r="M113" s="4" t="str">
        <f>HYPERLINK("D:\Users\Yuman\Desktop\MasterProject\results\urea_tBu_Ph.H_Ph_S.vacuum\P2S_cat_complex", "Directory")</f>
        <v>Directory</v>
      </c>
      <c r="N113" s="4" t="str">
        <f>HYPERLINK("D:\Users\Yuman\Desktop\MasterProject\calculations_test\urea_tBu_Ph.H_Ph_S.vacuum\P2S_cat_complex", "Directory")</f>
        <v>Directory</v>
      </c>
      <c r="O113" s="4" t="str">
        <f>HYPERLINK("D:\Users\Yuman\Desktop\MasterProject\results\urea_tBu_Ph.H_Ph_S.vacuum\P2S_cat_complex/molview2_start_in.bat", "input.xyz")</f>
        <v>input.xyz</v>
      </c>
      <c r="P113" s="3"/>
      <c r="Q113" s="5" t="s">
        <v>246</v>
      </c>
      <c r="R113" s="3" t="s">
        <v>26</v>
      </c>
      <c r="S113" s="3" t="s">
        <v>247</v>
      </c>
    </row>
    <row r="114" spans="1:19" ht="15.75" x14ac:dyDescent="0.25">
      <c r="A114" s="7" t="s">
        <v>34</v>
      </c>
      <c r="B114" s="3" t="s">
        <v>20</v>
      </c>
      <c r="C114" s="3" t="s">
        <v>218</v>
      </c>
      <c r="D114" s="3" t="s">
        <v>22</v>
      </c>
      <c r="E114" s="3" t="s">
        <v>29</v>
      </c>
      <c r="F114" s="3" t="s">
        <v>30</v>
      </c>
      <c r="G114" s="3"/>
      <c r="H114" s="3"/>
      <c r="I114" s="3"/>
      <c r="J114" s="3" t="s">
        <v>203</v>
      </c>
      <c r="K114" s="3"/>
      <c r="L114" s="3" t="s">
        <v>38</v>
      </c>
      <c r="M114" s="4" t="str">
        <f>HYPERLINK("D:\Users\Yuman\Desktop\MasterProject\results\urea_tBu_Ph.H_Ph_S.vacuum\sub_cat_complex", "Directory")</f>
        <v>Directory</v>
      </c>
      <c r="N114" s="4" t="str">
        <f>HYPERLINK("D:\Users\Yuman\Desktop\MasterProject\calculations_test\urea_tBu_Ph.H_Ph_S.vacuum\sub_cat_complex", "Directory")</f>
        <v>Directory</v>
      </c>
      <c r="O114" s="4" t="str">
        <f>HYPERLINK("D:\Users\Yuman\Desktop\MasterProject\results\urea_tBu_Ph.H_Ph_S.vacuum\sub_cat_complex/molview2_start_in.bat", "input.xyz")</f>
        <v>input.xyz</v>
      </c>
      <c r="P114" s="3"/>
      <c r="Q114" s="5" t="s">
        <v>248</v>
      </c>
      <c r="R114" s="3" t="s">
        <v>26</v>
      </c>
      <c r="S114" s="3" t="s">
        <v>249</v>
      </c>
    </row>
    <row r="115" spans="1:19" ht="15.75" x14ac:dyDescent="0.25">
      <c r="A115" s="8" t="s">
        <v>83</v>
      </c>
      <c r="B115" s="3" t="s">
        <v>41</v>
      </c>
      <c r="C115" s="3" t="s">
        <v>218</v>
      </c>
      <c r="D115" s="3" t="s">
        <v>200</v>
      </c>
      <c r="E115" s="3" t="s">
        <v>29</v>
      </c>
      <c r="F115" s="3" t="s">
        <v>30</v>
      </c>
      <c r="G115" s="3"/>
      <c r="H115" s="3"/>
      <c r="I115" s="3"/>
      <c r="J115" s="3" t="s">
        <v>203</v>
      </c>
      <c r="K115" s="3"/>
      <c r="L115" s="3" t="s">
        <v>214</v>
      </c>
      <c r="M115" s="4" t="str">
        <f>HYPERLINK("D:\Users\Yuman\Desktop\MasterProject\results\urea_tBu_Ph.H_Ph_S.vacuum\TSR", "Directory")</f>
        <v>Directory</v>
      </c>
      <c r="N115" s="4" t="str">
        <f>HYPERLINK("D:\Users\Yuman\Desktop\MasterProject\calculations_test\urea_tBu_Ph.H_Ph_S.vacuum\TSR", "Directory")</f>
        <v>Directory</v>
      </c>
      <c r="O115" s="4" t="str">
        <f>HYPERLINK("D:\Users\Yuman\Desktop\MasterProject\results\urea_tBu_Ph.H_Ph_S.vacuum\TSR/molview2_start_in.bat", "input.xyz")</f>
        <v>input.xyz</v>
      </c>
      <c r="P115" s="3"/>
      <c r="Q115" s="5" t="s">
        <v>250</v>
      </c>
      <c r="R115" s="3" t="s">
        <v>240</v>
      </c>
      <c r="S115" s="3" t="s">
        <v>251</v>
      </c>
    </row>
    <row r="116" spans="1:19" ht="15.75" x14ac:dyDescent="0.25">
      <c r="A116" s="8" t="s">
        <v>83</v>
      </c>
      <c r="B116" s="3" t="s">
        <v>41</v>
      </c>
      <c r="C116" s="3" t="s">
        <v>218</v>
      </c>
      <c r="D116" s="3" t="s">
        <v>203</v>
      </c>
      <c r="E116" s="3" t="s">
        <v>29</v>
      </c>
      <c r="F116" s="3" t="s">
        <v>30</v>
      </c>
      <c r="G116" s="3"/>
      <c r="H116" s="3"/>
      <c r="I116" s="3"/>
      <c r="J116" s="3" t="s">
        <v>203</v>
      </c>
      <c r="K116" s="3"/>
      <c r="L116" s="3" t="s">
        <v>216</v>
      </c>
      <c r="M116" s="4" t="str">
        <f>HYPERLINK("D:\Users\Yuman\Desktop\MasterProject\results\urea_tBu_Ph.H_Ph_S.vacuum\TSS", "Directory")</f>
        <v>Directory</v>
      </c>
      <c r="N116" s="4" t="str">
        <f>HYPERLINK("D:\Users\Yuman\Desktop\MasterProject\calculations_test\urea_tBu_Ph.H_Ph_S.vacuum\TSS", "Directory")</f>
        <v>Directory</v>
      </c>
      <c r="O116" s="4" t="str">
        <f>HYPERLINK("D:\Users\Yuman\Desktop\MasterProject\results\urea_tBu_Ph.H_Ph_S.vacuum\TSS/molview2_start_in.bat", "input.xyz")</f>
        <v>input.xyz</v>
      </c>
      <c r="P116" s="3"/>
      <c r="Q116" s="5" t="s">
        <v>252</v>
      </c>
      <c r="R116" s="3" t="s">
        <v>240</v>
      </c>
      <c r="S116" s="3" t="s">
        <v>253</v>
      </c>
    </row>
    <row r="117" spans="1:19" ht="15.75" x14ac:dyDescent="0.25">
      <c r="A117" s="7" t="s">
        <v>34</v>
      </c>
      <c r="B117" s="3" t="s">
        <v>20</v>
      </c>
      <c r="C117" s="3" t="s">
        <v>218</v>
      </c>
      <c r="D117" s="3" t="s">
        <v>22</v>
      </c>
      <c r="E117" s="3"/>
      <c r="F117" s="3"/>
      <c r="G117" s="3"/>
      <c r="H117" s="3"/>
      <c r="I117" s="3"/>
      <c r="J117" s="3" t="s">
        <v>197</v>
      </c>
      <c r="K117" s="3"/>
      <c r="L117" s="3" t="s">
        <v>24</v>
      </c>
      <c r="M117" s="4" t="str">
        <f>HYPERLINK("D:\Users\Yuman\Desktop\MasterProject\results\urea_tBu_Ph.H_tBu_O.vacuum\cat", "Directory")</f>
        <v>Directory</v>
      </c>
      <c r="N117" s="4" t="str">
        <f>HYPERLINK("D:\Users\Yuman\Desktop\MasterProject\calculations_test\urea_tBu_Ph.H_tBu_O.vacuum\cat", "Directory")</f>
        <v>Directory</v>
      </c>
      <c r="O117" s="4" t="str">
        <f>HYPERLINK("D:\Users\Yuman\Desktop\MasterProject\results\urea_tBu_Ph.H_tBu_O.vacuum\cat/molview2_start_in.bat", "input.xyz")</f>
        <v>input.xyz</v>
      </c>
      <c r="P117" s="3"/>
      <c r="Q117" s="5" t="s">
        <v>254</v>
      </c>
      <c r="R117" s="3" t="s">
        <v>26</v>
      </c>
      <c r="S117" s="3" t="s">
        <v>255</v>
      </c>
    </row>
    <row r="118" spans="1:19" ht="15.75" x14ac:dyDescent="0.25">
      <c r="A118" s="2" t="s">
        <v>19</v>
      </c>
      <c r="B118" s="3" t="s">
        <v>20</v>
      </c>
      <c r="C118" s="3" t="s">
        <v>218</v>
      </c>
      <c r="D118" s="3" t="s">
        <v>22</v>
      </c>
      <c r="E118" s="3"/>
      <c r="F118" s="3"/>
      <c r="G118" s="3"/>
      <c r="H118" s="3"/>
      <c r="I118" s="3"/>
      <c r="J118" s="3"/>
      <c r="K118" s="3"/>
      <c r="L118" s="3" t="s">
        <v>29</v>
      </c>
      <c r="M118" s="4" t="str">
        <f>HYPERLINK("D:\Users\Yuman\Desktop\MasterProject\results\urea_tBu_Ph.H_tBu_O.vacuum\H", "Directory")</f>
        <v>Directory</v>
      </c>
      <c r="N118" s="4" t="str">
        <f>HYPERLINK("D:\Users\Yuman\Desktop\MasterProject\calculations_test\urea_tBu_Ph.H_tBu_O.vacuum\H", "Directory")</f>
        <v>Directory</v>
      </c>
      <c r="O118" s="4" t="str">
        <f>HYPERLINK("D:\Users\Yuman\Desktop\MasterProject\results\urea_tBu_Ph.H_tBu_O.vacuum\H/molview2_start_in.bat", "input.xyz")</f>
        <v>input.xyz</v>
      </c>
      <c r="P118" s="3"/>
      <c r="Q118" s="5" t="s">
        <v>123</v>
      </c>
      <c r="R118" s="3" t="s">
        <v>26</v>
      </c>
      <c r="S118" s="3" t="s">
        <v>256</v>
      </c>
    </row>
    <row r="119" spans="1:19" ht="15.75" x14ac:dyDescent="0.25">
      <c r="A119" s="7" t="s">
        <v>34</v>
      </c>
      <c r="B119" s="3" t="s">
        <v>20</v>
      </c>
      <c r="C119" s="3" t="s">
        <v>218</v>
      </c>
      <c r="D119" s="3" t="s">
        <v>200</v>
      </c>
      <c r="E119" s="3" t="s">
        <v>29</v>
      </c>
      <c r="F119" s="3" t="s">
        <v>105</v>
      </c>
      <c r="G119" s="3"/>
      <c r="H119" s="3"/>
      <c r="I119" s="3"/>
      <c r="J119" s="3" t="s">
        <v>197</v>
      </c>
      <c r="K119" s="3"/>
      <c r="L119" s="3" t="s">
        <v>201</v>
      </c>
      <c r="M119" s="4" t="str">
        <f>HYPERLINK("D:\Users\Yuman\Desktop\MasterProject\results\urea_tBu_Ph.H_tBu_O.vacuum\P1R_cat_complex", "Directory")</f>
        <v>Directory</v>
      </c>
      <c r="N119" s="4" t="str">
        <f>HYPERLINK("D:\Users\Yuman\Desktop\MasterProject\calculations_test\urea_tBu_Ph.H_tBu_O.vacuum\P1R_cat_complex", "Directory")</f>
        <v>Directory</v>
      </c>
      <c r="O119" s="4" t="str">
        <f>HYPERLINK("D:\Users\Yuman\Desktop\MasterProject\results\urea_tBu_Ph.H_tBu_O.vacuum\P1R_cat_complex/molview2_start_in.bat", "input.xyz")</f>
        <v>input.xyz</v>
      </c>
      <c r="P119" s="3"/>
      <c r="Q119" s="5" t="s">
        <v>257</v>
      </c>
      <c r="R119" s="3" t="s">
        <v>26</v>
      </c>
      <c r="S119" s="3" t="s">
        <v>258</v>
      </c>
    </row>
    <row r="120" spans="1:19" ht="15.75" x14ac:dyDescent="0.25">
      <c r="A120" s="7" t="s">
        <v>34</v>
      </c>
      <c r="B120" s="3" t="s">
        <v>20</v>
      </c>
      <c r="C120" s="3" t="s">
        <v>218</v>
      </c>
      <c r="D120" s="3" t="s">
        <v>203</v>
      </c>
      <c r="E120" s="3" t="s">
        <v>29</v>
      </c>
      <c r="F120" s="3" t="s">
        <v>105</v>
      </c>
      <c r="G120" s="3"/>
      <c r="H120" s="3"/>
      <c r="I120" s="3"/>
      <c r="J120" s="3" t="s">
        <v>197</v>
      </c>
      <c r="K120" s="3"/>
      <c r="L120" s="3" t="s">
        <v>204</v>
      </c>
      <c r="M120" s="4" t="str">
        <f>HYPERLINK("D:\Users\Yuman\Desktop\MasterProject\results\urea_tBu_Ph.H_tBu_O.vacuum\P1S_cat_complex", "Directory")</f>
        <v>Directory</v>
      </c>
      <c r="N120" s="4" t="str">
        <f>HYPERLINK("D:\Users\Yuman\Desktop\MasterProject\calculations_test\urea_tBu_Ph.H_tBu_O.vacuum\P1S_cat_complex", "Directory")</f>
        <v>Directory</v>
      </c>
      <c r="O120" s="4" t="str">
        <f>HYPERLINK("D:\Users\Yuman\Desktop\MasterProject\results\urea_tBu_Ph.H_tBu_O.vacuum\P1S_cat_complex/molview2_start_in.bat", "input.xyz")</f>
        <v>input.xyz</v>
      </c>
      <c r="P120" s="3"/>
      <c r="Q120" s="5" t="s">
        <v>259</v>
      </c>
      <c r="R120" s="3" t="s">
        <v>26</v>
      </c>
      <c r="S120" s="3" t="s">
        <v>260</v>
      </c>
    </row>
    <row r="121" spans="1:19" ht="15.75" x14ac:dyDescent="0.25">
      <c r="A121" s="7" t="s">
        <v>34</v>
      </c>
      <c r="B121" s="3" t="s">
        <v>20</v>
      </c>
      <c r="C121" s="3" t="s">
        <v>218</v>
      </c>
      <c r="D121" s="3" t="s">
        <v>22</v>
      </c>
      <c r="E121" s="3" t="s">
        <v>29</v>
      </c>
      <c r="F121" s="3" t="s">
        <v>105</v>
      </c>
      <c r="G121" s="3"/>
      <c r="H121" s="3"/>
      <c r="I121" s="3"/>
      <c r="J121" s="3"/>
      <c r="K121" s="3"/>
      <c r="L121" s="3" t="s">
        <v>61</v>
      </c>
      <c r="M121" s="4" t="str">
        <f>HYPERLINK("D:\Users\Yuman\Desktop\MasterProject\results\urea_tBu_Ph.H_tBu_O.vacuum\P2", "Directory")</f>
        <v>Directory</v>
      </c>
      <c r="N121" s="4" t="str">
        <f>HYPERLINK("D:\Users\Yuman\Desktop\MasterProject\calculations_test\urea_tBu_Ph.H_tBu_O.vacuum\P2", "Directory")</f>
        <v>Directory</v>
      </c>
      <c r="O121" s="4" t="str">
        <f>HYPERLINK("D:\Users\Yuman\Desktop\MasterProject\results\urea_tBu_Ph.H_tBu_O.vacuum\P2/molview2_start_in.bat", "input.xyz")</f>
        <v>input.xyz</v>
      </c>
      <c r="P121" s="3"/>
      <c r="Q121" s="5" t="s">
        <v>261</v>
      </c>
      <c r="R121" s="3" t="s">
        <v>26</v>
      </c>
      <c r="S121" s="3" t="s">
        <v>262</v>
      </c>
    </row>
    <row r="122" spans="1:19" ht="15.75" x14ac:dyDescent="0.25">
      <c r="A122" s="7" t="s">
        <v>34</v>
      </c>
      <c r="B122" s="3" t="s">
        <v>20</v>
      </c>
      <c r="C122" s="3" t="s">
        <v>218</v>
      </c>
      <c r="D122" s="3" t="s">
        <v>200</v>
      </c>
      <c r="E122" s="3" t="s">
        <v>29</v>
      </c>
      <c r="F122" s="3" t="s">
        <v>105</v>
      </c>
      <c r="G122" s="3"/>
      <c r="H122" s="3"/>
      <c r="I122" s="3"/>
      <c r="J122" s="3" t="s">
        <v>197</v>
      </c>
      <c r="K122" s="3"/>
      <c r="L122" s="3" t="s">
        <v>207</v>
      </c>
      <c r="M122" s="4" t="str">
        <f>HYPERLINK("D:\Users\Yuman\Desktop\MasterProject\results\urea_tBu_Ph.H_tBu_O.vacuum\P2R_cat_complex", "Directory")</f>
        <v>Directory</v>
      </c>
      <c r="N122" s="4" t="str">
        <f>HYPERLINK("D:\Users\Yuman\Desktop\MasterProject\calculations_test\urea_tBu_Ph.H_tBu_O.vacuum\P2R_cat_complex", "Directory")</f>
        <v>Directory</v>
      </c>
      <c r="O122" s="4" t="str">
        <f>HYPERLINK("D:\Users\Yuman\Desktop\MasterProject\results\urea_tBu_Ph.H_tBu_O.vacuum\P2R_cat_complex/molview2_start_in.bat", "input.xyz")</f>
        <v>input.xyz</v>
      </c>
      <c r="P122" s="3"/>
      <c r="Q122" s="5" t="s">
        <v>263</v>
      </c>
      <c r="R122" s="3" t="s">
        <v>26</v>
      </c>
      <c r="S122" s="3" t="s">
        <v>264</v>
      </c>
    </row>
    <row r="123" spans="1:19" ht="15.75" x14ac:dyDescent="0.25">
      <c r="A123" s="7" t="s">
        <v>34</v>
      </c>
      <c r="B123" s="3" t="s">
        <v>20</v>
      </c>
      <c r="C123" s="3" t="s">
        <v>218</v>
      </c>
      <c r="D123" s="3" t="s">
        <v>203</v>
      </c>
      <c r="E123" s="3" t="s">
        <v>29</v>
      </c>
      <c r="F123" s="3" t="s">
        <v>105</v>
      </c>
      <c r="G123" s="3"/>
      <c r="H123" s="3"/>
      <c r="I123" s="3"/>
      <c r="J123" s="3" t="s">
        <v>197</v>
      </c>
      <c r="K123" s="3"/>
      <c r="L123" s="3" t="s">
        <v>209</v>
      </c>
      <c r="M123" s="4" t="str">
        <f>HYPERLINK("D:\Users\Yuman\Desktop\MasterProject\results\urea_tBu_Ph.H_tBu_O.vacuum\P2S_cat_complex", "Directory")</f>
        <v>Directory</v>
      </c>
      <c r="N123" s="4" t="str">
        <f>HYPERLINK("D:\Users\Yuman\Desktop\MasterProject\calculations_test\urea_tBu_Ph.H_tBu_O.vacuum\P2S_cat_complex", "Directory")</f>
        <v>Directory</v>
      </c>
      <c r="O123" s="4" t="str">
        <f>HYPERLINK("D:\Users\Yuman\Desktop\MasterProject\results\urea_tBu_Ph.H_tBu_O.vacuum\P2S_cat_complex/molview2_start_in.bat", "input.xyz")</f>
        <v>input.xyz</v>
      </c>
      <c r="P123" s="3"/>
      <c r="Q123" s="5" t="s">
        <v>265</v>
      </c>
      <c r="R123" s="3" t="s">
        <v>26</v>
      </c>
      <c r="S123" s="3" t="s">
        <v>266</v>
      </c>
    </row>
    <row r="124" spans="1:19" ht="15.75" x14ac:dyDescent="0.25">
      <c r="A124" s="7" t="s">
        <v>34</v>
      </c>
      <c r="B124" s="3" t="s">
        <v>20</v>
      </c>
      <c r="C124" s="3" t="s">
        <v>218</v>
      </c>
      <c r="D124" s="3" t="s">
        <v>22</v>
      </c>
      <c r="E124" s="3"/>
      <c r="F124" s="3"/>
      <c r="G124" s="3"/>
      <c r="H124" s="3"/>
      <c r="I124" s="3"/>
      <c r="J124" s="3"/>
      <c r="K124" s="3"/>
      <c r="L124" s="3" t="s">
        <v>66</v>
      </c>
      <c r="M124" s="4" t="str">
        <f>HYPERLINK("D:\Users\Yuman\Desktop\MasterProject\results\urea_tBu_Ph.H_tBu_O.vacuum\rad", "Directory")</f>
        <v>Directory</v>
      </c>
      <c r="N124" s="4" t="str">
        <f>HYPERLINK("D:\Users\Yuman\Desktop\MasterProject\calculations_test\urea_tBu_Ph.H_tBu_O.vacuum\rad", "Directory")</f>
        <v>Directory</v>
      </c>
      <c r="O124" s="3"/>
      <c r="P124" s="3"/>
      <c r="Q124" s="5" t="s">
        <v>267</v>
      </c>
      <c r="R124" s="3" t="s">
        <v>26</v>
      </c>
      <c r="S124" s="3" t="s">
        <v>268</v>
      </c>
    </row>
    <row r="125" spans="1:19" ht="15.75" x14ac:dyDescent="0.25">
      <c r="A125" s="7" t="s">
        <v>34</v>
      </c>
      <c r="B125" s="3" t="s">
        <v>20</v>
      </c>
      <c r="C125" s="3" t="s">
        <v>218</v>
      </c>
      <c r="D125" s="3" t="s">
        <v>22</v>
      </c>
      <c r="E125" s="3" t="s">
        <v>29</v>
      </c>
      <c r="F125" s="3" t="s">
        <v>105</v>
      </c>
      <c r="G125" s="3"/>
      <c r="H125" s="3"/>
      <c r="I125" s="3"/>
      <c r="J125" s="3"/>
      <c r="K125" s="3"/>
      <c r="L125" s="3" t="s">
        <v>68</v>
      </c>
      <c r="M125" s="4" t="str">
        <f>HYPERLINK("D:\Users\Yuman\Desktop\MasterProject\results\urea_tBu_Ph.H_tBu_O.vacuum\sub", "Directory")</f>
        <v>Directory</v>
      </c>
      <c r="N125" s="4" t="str">
        <f>HYPERLINK("D:\Users\Yuman\Desktop\MasterProject\calculations_test\urea_tBu_Ph.H_tBu_O.vacuum\sub", "Directory")</f>
        <v>Directory</v>
      </c>
      <c r="O125" s="4" t="str">
        <f>HYPERLINK("D:\Users\Yuman\Desktop\MasterProject\results\urea_tBu_Ph.H_tBu_O.vacuum\sub/molview2_start_in.bat", "input.xyz")</f>
        <v>input.xyz</v>
      </c>
      <c r="P125" s="3"/>
      <c r="Q125" s="5" t="s">
        <v>269</v>
      </c>
      <c r="R125" s="3" t="s">
        <v>26</v>
      </c>
      <c r="S125" s="3" t="s">
        <v>270</v>
      </c>
    </row>
    <row r="126" spans="1:19" ht="15.75" x14ac:dyDescent="0.25">
      <c r="A126" s="7" t="s">
        <v>34</v>
      </c>
      <c r="B126" s="3" t="s">
        <v>20</v>
      </c>
      <c r="C126" s="3" t="s">
        <v>218</v>
      </c>
      <c r="D126" s="3" t="s">
        <v>22</v>
      </c>
      <c r="E126" s="3" t="s">
        <v>29</v>
      </c>
      <c r="F126" s="3" t="s">
        <v>105</v>
      </c>
      <c r="G126" s="3"/>
      <c r="H126" s="3"/>
      <c r="I126" s="3"/>
      <c r="J126" s="3" t="s">
        <v>197</v>
      </c>
      <c r="K126" s="3"/>
      <c r="L126" s="3" t="s">
        <v>38</v>
      </c>
      <c r="M126" s="4" t="str">
        <f>HYPERLINK("D:\Users\Yuman\Desktop\MasterProject\results\urea_tBu_Ph.H_tBu_O.vacuum\sub_cat_complex", "Directory")</f>
        <v>Directory</v>
      </c>
      <c r="N126" s="4" t="str">
        <f>HYPERLINK("D:\Users\Yuman\Desktop\MasterProject\calculations_test\urea_tBu_Ph.H_tBu_O.vacuum\sub_cat_complex", "Directory")</f>
        <v>Directory</v>
      </c>
      <c r="O126" s="4" t="str">
        <f>HYPERLINK("D:\Users\Yuman\Desktop\MasterProject\results\urea_tBu_Ph.H_tBu_O.vacuum\sub_cat_complex/molview2_start_in.bat", "input.xyz")</f>
        <v>input.xyz</v>
      </c>
      <c r="P126" s="3"/>
      <c r="Q126" s="5" t="s">
        <v>271</v>
      </c>
      <c r="R126" s="3" t="s">
        <v>26</v>
      </c>
      <c r="S126" s="3" t="s">
        <v>272</v>
      </c>
    </row>
    <row r="127" spans="1:19" ht="15.75" x14ac:dyDescent="0.25">
      <c r="A127" s="7" t="s">
        <v>34</v>
      </c>
      <c r="B127" s="3" t="s">
        <v>41</v>
      </c>
      <c r="C127" s="3" t="s">
        <v>218</v>
      </c>
      <c r="D127" s="3" t="s">
        <v>200</v>
      </c>
      <c r="E127" s="3" t="s">
        <v>29</v>
      </c>
      <c r="F127" s="3" t="s">
        <v>105</v>
      </c>
      <c r="G127" s="3"/>
      <c r="H127" s="3"/>
      <c r="I127" s="3"/>
      <c r="J127" s="3" t="s">
        <v>197</v>
      </c>
      <c r="K127" s="3"/>
      <c r="L127" s="3" t="s">
        <v>214</v>
      </c>
      <c r="M127" s="4" t="str">
        <f>HYPERLINK("D:\Users\Yuman\Desktop\MasterProject\results\urea_tBu_Ph.H_tBu_O.vacuum\TSR", "Directory")</f>
        <v>Directory</v>
      </c>
      <c r="N127" s="4" t="str">
        <f>HYPERLINK("D:\Users\Yuman\Desktop\MasterProject\calculations_test\urea_tBu_Ph.H_tBu_O.vacuum\TSR", "Directory")</f>
        <v>Directory</v>
      </c>
      <c r="O127" s="4" t="str">
        <f>HYPERLINK("D:\Users\Yuman\Desktop\MasterProject\results\urea_tBu_Ph.H_tBu_O.vacuum\TSR/molview2_start_in.bat", "input.xyz")</f>
        <v>input.xyz</v>
      </c>
      <c r="P127" s="3"/>
      <c r="Q127" s="5" t="s">
        <v>273</v>
      </c>
      <c r="R127" s="3" t="s">
        <v>26</v>
      </c>
      <c r="S127" s="3" t="s">
        <v>274</v>
      </c>
    </row>
    <row r="128" spans="1:19" ht="15.75" x14ac:dyDescent="0.25">
      <c r="A128" s="7" t="s">
        <v>34</v>
      </c>
      <c r="B128" s="3" t="s">
        <v>41</v>
      </c>
      <c r="C128" s="3" t="s">
        <v>218</v>
      </c>
      <c r="D128" s="3" t="s">
        <v>203</v>
      </c>
      <c r="E128" s="3" t="s">
        <v>29</v>
      </c>
      <c r="F128" s="3" t="s">
        <v>105</v>
      </c>
      <c r="G128" s="3"/>
      <c r="H128" s="3"/>
      <c r="I128" s="3"/>
      <c r="J128" s="3" t="s">
        <v>197</v>
      </c>
      <c r="K128" s="3"/>
      <c r="L128" s="3" t="s">
        <v>216</v>
      </c>
      <c r="M128" s="4" t="str">
        <f>HYPERLINK("D:\Users\Yuman\Desktop\MasterProject\results\urea_tBu_Ph.H_tBu_O.vacuum\TSS", "Directory")</f>
        <v>Directory</v>
      </c>
      <c r="N128" s="4" t="str">
        <f>HYPERLINK("D:\Users\Yuman\Desktop\MasterProject\calculations_test\urea_tBu_Ph.H_tBu_O.vacuum\TSS", "Directory")</f>
        <v>Directory</v>
      </c>
      <c r="O128" s="4" t="str">
        <f>HYPERLINK("D:\Users\Yuman\Desktop\MasterProject\results\urea_tBu_Ph.H_tBu_O.vacuum\TSS/molview2_start_in.bat", "input.xyz")</f>
        <v>input.xyz</v>
      </c>
      <c r="P128" s="3"/>
      <c r="Q128" s="5" t="s">
        <v>275</v>
      </c>
      <c r="R128" s="3" t="s">
        <v>26</v>
      </c>
      <c r="S128" s="3" t="s">
        <v>276</v>
      </c>
    </row>
    <row r="129" spans="1:19" ht="15.75" x14ac:dyDescent="0.25">
      <c r="A129" s="6" t="s">
        <v>28</v>
      </c>
      <c r="B129" s="3" t="s">
        <v>20</v>
      </c>
      <c r="C129" s="3" t="s">
        <v>218</v>
      </c>
      <c r="D129" s="3" t="s">
        <v>22</v>
      </c>
      <c r="E129" s="3"/>
      <c r="F129" s="3"/>
      <c r="G129" s="3"/>
      <c r="H129" s="3"/>
      <c r="I129" s="3"/>
      <c r="J129" s="3" t="s">
        <v>203</v>
      </c>
      <c r="K129" s="3"/>
      <c r="L129" s="3" t="s">
        <v>24</v>
      </c>
      <c r="M129" s="4" t="str">
        <f>HYPERLINK("D:\Users\Yuman\Desktop\MasterProject\results\urea_tBu_Ph.H_tBu_S.vacuum\cat", "Directory")</f>
        <v>Directory</v>
      </c>
      <c r="N129" s="4" t="str">
        <f>HYPERLINK("D:\Users\Yuman\Desktop\MasterProject\calculations_test\urea_tBu_Ph.H_tBu_S.vacuum\cat", "Directory")</f>
        <v>Directory</v>
      </c>
      <c r="O129" s="4" t="str">
        <f>HYPERLINK("D:\Users\Yuman\Desktop\MasterProject\results\urea_tBu_Ph.H_tBu_S.vacuum\cat/molview2_start_in.bat", "input.xyz")</f>
        <v>input.xyz</v>
      </c>
      <c r="P129" s="3"/>
      <c r="Q129" s="5" t="s">
        <v>32</v>
      </c>
      <c r="R129" s="3"/>
      <c r="S129" s="3" t="s">
        <v>238</v>
      </c>
    </row>
    <row r="130" spans="1:19" ht="15.75" x14ac:dyDescent="0.25">
      <c r="A130" s="7" t="s">
        <v>34</v>
      </c>
      <c r="B130" s="3" t="s">
        <v>20</v>
      </c>
      <c r="C130" s="3" t="s">
        <v>218</v>
      </c>
      <c r="D130" s="3" t="s">
        <v>200</v>
      </c>
      <c r="E130" s="3" t="s">
        <v>29</v>
      </c>
      <c r="F130" s="3" t="s">
        <v>105</v>
      </c>
      <c r="G130" s="3"/>
      <c r="H130" s="3"/>
      <c r="I130" s="3"/>
      <c r="J130" s="3" t="s">
        <v>203</v>
      </c>
      <c r="K130" s="3"/>
      <c r="L130" s="3" t="s">
        <v>201</v>
      </c>
      <c r="M130" s="4" t="str">
        <f>HYPERLINK("D:\Users\Yuman\Desktop\MasterProject\results\urea_tBu_Ph.H_tBu_S.vacuum\P1R_cat_complex", "Directory")</f>
        <v>Directory</v>
      </c>
      <c r="N130" s="4" t="str">
        <f>HYPERLINK("D:\Users\Yuman\Desktop\MasterProject\calculations_test\urea_tBu_Ph.H_tBu_S.vacuum\P1R_cat_complex", "Directory")</f>
        <v>Directory</v>
      </c>
      <c r="O130" s="4" t="str">
        <f>HYPERLINK("D:\Users\Yuman\Desktop\MasterProject\results\urea_tBu_Ph.H_tBu_S.vacuum\P1R_cat_complex/molview2_start_in.bat", "input.xyz")</f>
        <v>input.xyz</v>
      </c>
      <c r="P130" s="3"/>
      <c r="Q130" s="5" t="s">
        <v>277</v>
      </c>
      <c r="R130" s="3" t="s">
        <v>26</v>
      </c>
      <c r="S130" s="3" t="s">
        <v>278</v>
      </c>
    </row>
    <row r="131" spans="1:19" ht="15.75" x14ac:dyDescent="0.25">
      <c r="A131" s="7" t="s">
        <v>34</v>
      </c>
      <c r="B131" s="3" t="s">
        <v>20</v>
      </c>
      <c r="C131" s="3" t="s">
        <v>218</v>
      </c>
      <c r="D131" s="3" t="s">
        <v>203</v>
      </c>
      <c r="E131" s="3" t="s">
        <v>29</v>
      </c>
      <c r="F131" s="3" t="s">
        <v>105</v>
      </c>
      <c r="G131" s="3"/>
      <c r="H131" s="3"/>
      <c r="I131" s="3"/>
      <c r="J131" s="3" t="s">
        <v>203</v>
      </c>
      <c r="K131" s="3"/>
      <c r="L131" s="3" t="s">
        <v>204</v>
      </c>
      <c r="M131" s="4" t="str">
        <f>HYPERLINK("D:\Users\Yuman\Desktop\MasterProject\results\urea_tBu_Ph.H_tBu_S.vacuum\P1S_cat_complex", "Directory")</f>
        <v>Directory</v>
      </c>
      <c r="N131" s="4" t="str">
        <f>HYPERLINK("D:\Users\Yuman\Desktop\MasterProject\calculations_test\urea_tBu_Ph.H_tBu_S.vacuum\P1S_cat_complex", "Directory")</f>
        <v>Directory</v>
      </c>
      <c r="O131" s="4" t="str">
        <f>HYPERLINK("D:\Users\Yuman\Desktop\MasterProject\results\urea_tBu_Ph.H_tBu_S.vacuum\P1S_cat_complex/molview2_start_in.bat", "input.xyz")</f>
        <v>input.xyz</v>
      </c>
      <c r="P131" s="3"/>
      <c r="Q131" s="5" t="s">
        <v>279</v>
      </c>
      <c r="R131" s="3" t="s">
        <v>26</v>
      </c>
      <c r="S131" s="3" t="s">
        <v>280</v>
      </c>
    </row>
    <row r="132" spans="1:19" ht="15.75" x14ac:dyDescent="0.25">
      <c r="A132" s="6" t="s">
        <v>28</v>
      </c>
      <c r="B132" s="3" t="s">
        <v>20</v>
      </c>
      <c r="C132" s="3" t="s">
        <v>218</v>
      </c>
      <c r="D132" s="3" t="s">
        <v>22</v>
      </c>
      <c r="E132" s="3" t="s">
        <v>29</v>
      </c>
      <c r="F132" s="3" t="s">
        <v>105</v>
      </c>
      <c r="G132" s="3"/>
      <c r="H132" s="3"/>
      <c r="I132" s="3"/>
      <c r="J132" s="3"/>
      <c r="K132" s="3"/>
      <c r="L132" s="3" t="s">
        <v>61</v>
      </c>
      <c r="M132" s="4" t="str">
        <f>HYPERLINK("D:\Users\Yuman\Desktop\MasterProject\results\urea_tBu_Ph.H_tBu_S.vacuum\P2", "Directory")</f>
        <v>Directory</v>
      </c>
      <c r="N132" s="4" t="str">
        <f>HYPERLINK("D:\Users\Yuman\Desktop\MasterProject\calculations_test\urea_tBu_Ph.H_tBu_S.vacuum\P2", "Directory")</f>
        <v>Directory</v>
      </c>
      <c r="O132" s="4" t="str">
        <f>HYPERLINK("D:\Users\Yuman\Desktop\MasterProject\results\urea_tBu_Ph.H_tBu_S.vacuum\P2/molview2_start_in.bat", "input.xyz")</f>
        <v>input.xyz</v>
      </c>
      <c r="P132" s="3"/>
      <c r="Q132" s="5" t="s">
        <v>32</v>
      </c>
      <c r="R132" s="3"/>
      <c r="S132" s="3" t="s">
        <v>262</v>
      </c>
    </row>
    <row r="133" spans="1:19" ht="15.75" x14ac:dyDescent="0.25">
      <c r="A133" s="7" t="s">
        <v>34</v>
      </c>
      <c r="B133" s="3" t="s">
        <v>20</v>
      </c>
      <c r="C133" s="3" t="s">
        <v>218</v>
      </c>
      <c r="D133" s="3" t="s">
        <v>200</v>
      </c>
      <c r="E133" s="3" t="s">
        <v>29</v>
      </c>
      <c r="F133" s="3" t="s">
        <v>105</v>
      </c>
      <c r="G133" s="3"/>
      <c r="H133" s="3"/>
      <c r="I133" s="3"/>
      <c r="J133" s="3" t="s">
        <v>203</v>
      </c>
      <c r="K133" s="3"/>
      <c r="L133" s="3" t="s">
        <v>207</v>
      </c>
      <c r="M133" s="4" t="str">
        <f>HYPERLINK("D:\Users\Yuman\Desktop\MasterProject\results\urea_tBu_Ph.H_tBu_S.vacuum\P2R_cat_complex", "Directory")</f>
        <v>Directory</v>
      </c>
      <c r="N133" s="4" t="str">
        <f>HYPERLINK("D:\Users\Yuman\Desktop\MasterProject\calculations_test\urea_tBu_Ph.H_tBu_S.vacuum\P2R_cat_complex", "Directory")</f>
        <v>Directory</v>
      </c>
      <c r="O133" s="4" t="str">
        <f>HYPERLINK("D:\Users\Yuman\Desktop\MasterProject\results\urea_tBu_Ph.H_tBu_S.vacuum\P2R_cat_complex/molview2_start_in.bat", "input.xyz")</f>
        <v>input.xyz</v>
      </c>
      <c r="P133" s="3"/>
      <c r="Q133" s="5" t="s">
        <v>281</v>
      </c>
      <c r="R133" s="3" t="s">
        <v>26</v>
      </c>
      <c r="S133" s="3" t="s">
        <v>282</v>
      </c>
    </row>
    <row r="134" spans="1:19" ht="15.75" x14ac:dyDescent="0.25">
      <c r="A134" s="7" t="s">
        <v>34</v>
      </c>
      <c r="B134" s="3" t="s">
        <v>20</v>
      </c>
      <c r="C134" s="3" t="s">
        <v>218</v>
      </c>
      <c r="D134" s="3" t="s">
        <v>203</v>
      </c>
      <c r="E134" s="3" t="s">
        <v>29</v>
      </c>
      <c r="F134" s="3" t="s">
        <v>105</v>
      </c>
      <c r="G134" s="3"/>
      <c r="H134" s="3"/>
      <c r="I134" s="3"/>
      <c r="J134" s="3" t="s">
        <v>203</v>
      </c>
      <c r="K134" s="3"/>
      <c r="L134" s="3" t="s">
        <v>209</v>
      </c>
      <c r="M134" s="4" t="str">
        <f>HYPERLINK("D:\Users\Yuman\Desktop\MasterProject\results\urea_tBu_Ph.H_tBu_S.vacuum\P2S_cat_complex", "Directory")</f>
        <v>Directory</v>
      </c>
      <c r="N134" s="4" t="str">
        <f>HYPERLINK("D:\Users\Yuman\Desktop\MasterProject\calculations_test\urea_tBu_Ph.H_tBu_S.vacuum\P2S_cat_complex", "Directory")</f>
        <v>Directory</v>
      </c>
      <c r="O134" s="4" t="str">
        <f>HYPERLINK("D:\Users\Yuman\Desktop\MasterProject\results\urea_tBu_Ph.H_tBu_S.vacuum\P2S_cat_complex/molview2_start_in.bat", "input.xyz")</f>
        <v>input.xyz</v>
      </c>
      <c r="P134" s="3"/>
      <c r="Q134" s="5" t="s">
        <v>283</v>
      </c>
      <c r="R134" s="3" t="s">
        <v>26</v>
      </c>
      <c r="S134" s="3" t="s">
        <v>284</v>
      </c>
    </row>
    <row r="135" spans="1:19" ht="15.75" x14ac:dyDescent="0.25">
      <c r="A135" s="6" t="s">
        <v>28</v>
      </c>
      <c r="B135" s="3" t="s">
        <v>20</v>
      </c>
      <c r="C135" s="3" t="s">
        <v>218</v>
      </c>
      <c r="D135" s="3" t="s">
        <v>22</v>
      </c>
      <c r="E135" s="3" t="s">
        <v>29</v>
      </c>
      <c r="F135" s="3" t="s">
        <v>105</v>
      </c>
      <c r="G135" s="3"/>
      <c r="H135" s="3"/>
      <c r="I135" s="3"/>
      <c r="J135" s="3"/>
      <c r="K135" s="3"/>
      <c r="L135" s="3" t="s">
        <v>68</v>
      </c>
      <c r="M135" s="4" t="str">
        <f>HYPERLINK("D:\Users\Yuman\Desktop\MasterProject\results\urea_tBu_Ph.H_tBu_S.vacuum\sub", "Directory")</f>
        <v>Directory</v>
      </c>
      <c r="N135" s="4" t="str">
        <f>HYPERLINK("D:\Users\Yuman\Desktop\MasterProject\calculations_test\urea_tBu_Ph.H_tBu_S.vacuum\sub", "Directory")</f>
        <v>Directory</v>
      </c>
      <c r="O135" s="4" t="str">
        <f>HYPERLINK("D:\Users\Yuman\Desktop\MasterProject\results\urea_tBu_Ph.H_tBu_S.vacuum\sub/molview2_start_in.bat", "input.xyz")</f>
        <v>input.xyz</v>
      </c>
      <c r="P135" s="3"/>
      <c r="Q135" s="5" t="s">
        <v>32</v>
      </c>
      <c r="R135" s="3"/>
      <c r="S135" s="3" t="s">
        <v>270</v>
      </c>
    </row>
    <row r="136" spans="1:19" ht="15.75" x14ac:dyDescent="0.25">
      <c r="A136" s="7" t="s">
        <v>34</v>
      </c>
      <c r="B136" s="3" t="s">
        <v>20</v>
      </c>
      <c r="C136" s="3" t="s">
        <v>218</v>
      </c>
      <c r="D136" s="3" t="s">
        <v>22</v>
      </c>
      <c r="E136" s="3" t="s">
        <v>29</v>
      </c>
      <c r="F136" s="3" t="s">
        <v>105</v>
      </c>
      <c r="G136" s="3"/>
      <c r="H136" s="3"/>
      <c r="I136" s="3"/>
      <c r="J136" s="3" t="s">
        <v>203</v>
      </c>
      <c r="K136" s="3"/>
      <c r="L136" s="3" t="s">
        <v>38</v>
      </c>
      <c r="M136" s="4" t="str">
        <f>HYPERLINK("D:\Users\Yuman\Desktop\MasterProject\results\urea_tBu_Ph.H_tBu_S.vacuum\sub_cat_complex", "Directory")</f>
        <v>Directory</v>
      </c>
      <c r="N136" s="4" t="str">
        <f>HYPERLINK("D:\Users\Yuman\Desktop\MasterProject\calculations_test\urea_tBu_Ph.H_tBu_S.vacuum\sub_cat_complex", "Directory")</f>
        <v>Directory</v>
      </c>
      <c r="O136" s="4" t="str">
        <f>HYPERLINK("D:\Users\Yuman\Desktop\MasterProject\results\urea_tBu_Ph.H_tBu_S.vacuum\sub_cat_complex/molview2_start_in.bat", "input.xyz")</f>
        <v>input.xyz</v>
      </c>
      <c r="P136" s="3"/>
      <c r="Q136" s="5" t="s">
        <v>285</v>
      </c>
      <c r="R136" s="3" t="s">
        <v>26</v>
      </c>
      <c r="S136" s="3" t="s">
        <v>286</v>
      </c>
    </row>
    <row r="137" spans="1:19" ht="15.75" x14ac:dyDescent="0.25">
      <c r="A137" s="8" t="s">
        <v>83</v>
      </c>
      <c r="B137" s="3" t="s">
        <v>41</v>
      </c>
      <c r="C137" s="3" t="s">
        <v>218</v>
      </c>
      <c r="D137" s="3" t="s">
        <v>200</v>
      </c>
      <c r="E137" s="3" t="s">
        <v>29</v>
      </c>
      <c r="F137" s="3" t="s">
        <v>105</v>
      </c>
      <c r="G137" s="3"/>
      <c r="H137" s="3"/>
      <c r="I137" s="3"/>
      <c r="J137" s="3" t="s">
        <v>203</v>
      </c>
      <c r="K137" s="3"/>
      <c r="L137" s="3" t="s">
        <v>214</v>
      </c>
      <c r="M137" s="4" t="str">
        <f>HYPERLINK("D:\Users\Yuman\Desktop\MasterProject\results\urea_tBu_Ph.H_tBu_S.vacuum\TSR", "Directory")</f>
        <v>Directory</v>
      </c>
      <c r="N137" s="4" t="str">
        <f>HYPERLINK("D:\Users\Yuman\Desktop\MasterProject\calculations_test\urea_tBu_Ph.H_tBu_S.vacuum\TSR", "Directory")</f>
        <v>Directory</v>
      </c>
      <c r="O137" s="4" t="str">
        <f>HYPERLINK("D:\Users\Yuman\Desktop\MasterProject\results\urea_tBu_Ph.H_tBu_S.vacuum\TSR/molview2_start_in.bat", "input.xyz")</f>
        <v>input.xyz</v>
      </c>
      <c r="P137" s="3"/>
      <c r="Q137" s="5" t="s">
        <v>287</v>
      </c>
      <c r="R137" s="3" t="s">
        <v>240</v>
      </c>
      <c r="S137" s="3" t="s">
        <v>288</v>
      </c>
    </row>
    <row r="138" spans="1:19" ht="15.75" x14ac:dyDescent="0.25">
      <c r="A138" s="8" t="s">
        <v>83</v>
      </c>
      <c r="B138" s="3" t="s">
        <v>41</v>
      </c>
      <c r="C138" s="3" t="s">
        <v>218</v>
      </c>
      <c r="D138" s="3" t="s">
        <v>203</v>
      </c>
      <c r="E138" s="3" t="s">
        <v>29</v>
      </c>
      <c r="F138" s="3" t="s">
        <v>105</v>
      </c>
      <c r="G138" s="3"/>
      <c r="H138" s="3"/>
      <c r="I138" s="3"/>
      <c r="J138" s="3" t="s">
        <v>203</v>
      </c>
      <c r="K138" s="3"/>
      <c r="L138" s="3" t="s">
        <v>216</v>
      </c>
      <c r="M138" s="4" t="str">
        <f>HYPERLINK("D:\Users\Yuman\Desktop\MasterProject\results\urea_tBu_Ph.H_tBu_S.vacuum\TSS", "Directory")</f>
        <v>Directory</v>
      </c>
      <c r="N138" s="4" t="str">
        <f>HYPERLINK("D:\Users\Yuman\Desktop\MasterProject\calculations_test\urea_tBu_Ph.H_tBu_S.vacuum\TSS", "Directory")</f>
        <v>Directory</v>
      </c>
      <c r="O138" s="4" t="str">
        <f>HYPERLINK("D:\Users\Yuman\Desktop\MasterProject\results\urea_tBu_Ph.H_tBu_S.vacuum\TSS/molview2_start_in.bat", "input.xyz")</f>
        <v>input.xyz</v>
      </c>
      <c r="P138" s="3"/>
      <c r="Q138" s="5" t="s">
        <v>289</v>
      </c>
      <c r="R138" s="3" t="s">
        <v>240</v>
      </c>
      <c r="S138" s="3" t="s">
        <v>290</v>
      </c>
    </row>
  </sheetData>
  <autoFilter ref="A1:S13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2022-02-14T09:51:03Z</dcterms:created>
  <dcterms:modified xsi:type="dcterms:W3CDTF">2022-02-14T09:51:04Z</dcterms:modified>
</cp:coreProperties>
</file>