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1" sheetId="1" r:id="rId4"/>
    <sheet state="visible" name="102" sheetId="2" r:id="rId5"/>
    <sheet state="visible" name="102(1)" sheetId="3" r:id="rId6"/>
    <sheet state="visible" name="103" sheetId="4" r:id="rId7"/>
  </sheets>
  <definedNames>
    <definedName name="IMDB">'103'!$A$2:$G$11</definedName>
    <definedName name="TRANSECTIONS">'102(1)'!$A$3:$E$22</definedName>
    <definedName name="PRODUCTS">'102(1)'!$A$26:$C$31</definedName>
    <definedName name="PRICE_BANDS">'102(1)'!$A$35:$B$37</definedName>
  </definedNames>
  <calcPr/>
</workbook>
</file>

<file path=xl/sharedStrings.xml><?xml version="1.0" encoding="utf-8"?>
<sst xmlns="http://schemas.openxmlformats.org/spreadsheetml/2006/main" count="204" uniqueCount="150">
  <si>
    <t>David</t>
  </si>
  <si>
    <t>NAME</t>
  </si>
  <si>
    <t>DEPARTMENT</t>
  </si>
  <si>
    <t>POSITION</t>
  </si>
  <si>
    <t>DOB</t>
  </si>
  <si>
    <t>SALARY</t>
  </si>
  <si>
    <t>FLAG</t>
  </si>
  <si>
    <t>N(=Uniq)</t>
  </si>
  <si>
    <t>AVG_SAL</t>
  </si>
  <si>
    <t>SUM_SAL</t>
  </si>
  <si>
    <t>John</t>
  </si>
  <si>
    <t>CEO</t>
  </si>
  <si>
    <t>1980-05-31</t>
  </si>
  <si>
    <t>Anna</t>
  </si>
  <si>
    <t>Marketing</t>
  </si>
  <si>
    <t>VP</t>
  </si>
  <si>
    <t>1985-03-15</t>
  </si>
  <si>
    <t>Mary</t>
  </si>
  <si>
    <t>Marry</t>
  </si>
  <si>
    <t>Manager</t>
  </si>
  <si>
    <t>1990-02-28</t>
  </si>
  <si>
    <t>Johny</t>
  </si>
  <si>
    <t>Sales</t>
  </si>
  <si>
    <t>1986-12-25</t>
  </si>
  <si>
    <t>Henry</t>
  </si>
  <si>
    <t>1988-09-09</t>
  </si>
  <si>
    <t>Yim</t>
  </si>
  <si>
    <t>IT</t>
  </si>
  <si>
    <t>Truth Table</t>
  </si>
  <si>
    <t>Prawe</t>
  </si>
  <si>
    <t>p</t>
  </si>
  <si>
    <t>q</t>
  </si>
  <si>
    <t>p AND q</t>
  </si>
  <si>
    <t>p OR q</t>
  </si>
  <si>
    <t>NOT p</t>
  </si>
  <si>
    <t>Office</t>
  </si>
  <si>
    <t>Location
(IFS)</t>
  </si>
  <si>
    <t>Location
(Switch)</t>
  </si>
  <si>
    <t>Panther</t>
  </si>
  <si>
    <t>London</t>
  </si>
  <si>
    <t>Madrid</t>
  </si>
  <si>
    <t>Tokyo</t>
  </si>
  <si>
    <t>SUM</t>
  </si>
  <si>
    <t>SORT</t>
  </si>
  <si>
    <t>AVG</t>
  </si>
  <si>
    <t>MIN</t>
  </si>
  <si>
    <t>MAX</t>
  </si>
  <si>
    <t>COUNTA</t>
  </si>
  <si>
    <t>COUNT</t>
  </si>
  <si>
    <t>MEDIAN</t>
  </si>
  <si>
    <t>Example 1</t>
  </si>
  <si>
    <t>https://people.sc.fsu.edu/~jburkardt/data/csv/csv.html</t>
  </si>
  <si>
    <t>Example 2</t>
  </si>
  <si>
    <t>https://www.w3schools.com/html/html_tables.asp</t>
  </si>
  <si>
    <t>https://people.sc.fsu.edu/~jburkardt/data/csv/addresses.csv</t>
  </si>
  <si>
    <t>transection</t>
  </si>
  <si>
    <t>DATE</t>
  </si>
  <si>
    <t>Brand</t>
  </si>
  <si>
    <t>Model</t>
  </si>
  <si>
    <t>Quantity</t>
  </si>
  <si>
    <t>Syntax</t>
  </si>
  <si>
    <t>Intel</t>
  </si>
  <si>
    <t>CountIFS</t>
  </si>
  <si>
    <t xml:space="preserve"> =COUNTIFS(colum,"...",colum,"...")</t>
  </si>
  <si>
    <t>SUMIFS</t>
  </si>
  <si>
    <t xml:space="preserve"> =SUMIFS(colum,"...",colum,"...")</t>
  </si>
  <si>
    <t>ก็อปหัวtableไป
วางใหม่เพื่อ
ใส่ข้อมูลSyntax</t>
  </si>
  <si>
    <t>FLITERIFS</t>
  </si>
  <si>
    <t xml:space="preserve"> =FLITERIFS(tablecolum,colum,"...",colum,"...")</t>
  </si>
  <si>
    <t>AMD</t>
  </si>
  <si>
    <t>FLITERIFS***</t>
  </si>
  <si>
    <t>And=,  Or=+</t>
  </si>
  <si>
    <t xml:space="preserve"> =SORTIFS(tablecolum,columIndex(ลำดับคอลัม),"True or False",columIndex(ลำดับคอลัม),"True or False")</t>
  </si>
  <si>
    <t>SORT***</t>
  </si>
  <si>
    <t>TRUE = น้อยไปมาก</t>
  </si>
  <si>
    <t>FALSE = มากไปน้อย</t>
  </si>
  <si>
    <t>สร้างtableเพื่อ
เทียบข้อมูล</t>
  </si>
  <si>
    <t>VLOOKUP</t>
  </si>
  <si>
    <t xml:space="preserve"> =VLOOKUP(key,ranges,colum,FALSE)</t>
  </si>
  <si>
    <t>VLOOKUP(2)</t>
  </si>
  <si>
    <t>VLOOKUP(1)</t>
  </si>
  <si>
    <t>FLASE = Exact math(FIX)</t>
  </si>
  <si>
    <t>TRUE = Approximatemath(FLEX)</t>
  </si>
  <si>
    <t>Model Name</t>
  </si>
  <si>
    <t>Price</t>
  </si>
  <si>
    <t>Price Band</t>
  </si>
  <si>
    <t>Product</t>
  </si>
  <si>
    <t>Core i3</t>
  </si>
  <si>
    <t>Core i5</t>
  </si>
  <si>
    <t>Core i7</t>
  </si>
  <si>
    <t>Ryzen 3</t>
  </si>
  <si>
    <t>Ryzen 5</t>
  </si>
  <si>
    <t>Ryzen 7</t>
  </si>
  <si>
    <t>&lt;250 USD</t>
  </si>
  <si>
    <t>250-399 USD</t>
  </si>
  <si>
    <t>&gt;=400 USD</t>
  </si>
  <si>
    <t>COUNTIFS</t>
  </si>
  <si>
    <t>Index Match</t>
  </si>
  <si>
    <t>Index</t>
  </si>
  <si>
    <t>Get Data</t>
  </si>
  <si>
    <t>Match</t>
  </si>
  <si>
    <t>ID</t>
  </si>
  <si>
    <t>Data Validation = เลือกดรอปดาว</t>
  </si>
  <si>
    <t>Month</t>
  </si>
  <si>
    <t>Day</t>
  </si>
  <si>
    <t>Colum</t>
  </si>
  <si>
    <t>Value</t>
  </si>
  <si>
    <t>Index&amp;Match</t>
  </si>
  <si>
    <t>DATEDIF</t>
  </si>
  <si>
    <t>Today</t>
  </si>
  <si>
    <t>Diff Day</t>
  </si>
  <si>
    <t>Diff Month</t>
  </si>
  <si>
    <t>Diff Year</t>
  </si>
  <si>
    <t>MOVIE_NAME</t>
  </si>
  <si>
    <t>YEAR</t>
  </si>
  <si>
    <t>RATING</t>
  </si>
  <si>
    <t>Lenth</t>
  </si>
  <si>
    <t>GENRE</t>
  </si>
  <si>
    <t>SCORE</t>
  </si>
  <si>
    <t>QUERY</t>
  </si>
  <si>
    <t>The Shawahank Redemption</t>
  </si>
  <si>
    <t>Drama</t>
  </si>
  <si>
    <t>Select Columns</t>
  </si>
  <si>
    <t>The Godfather</t>
  </si>
  <si>
    <t>R</t>
  </si>
  <si>
    <t>Crime,Drama</t>
  </si>
  <si>
    <t>The Dark Knight</t>
  </si>
  <si>
    <t>PG-13</t>
  </si>
  <si>
    <t>Action,Crime,Drama</t>
  </si>
  <si>
    <t>The Godfather : Part II</t>
  </si>
  <si>
    <t>The Lord Of the Ring : The Re</t>
  </si>
  <si>
    <t>Action,Adventure,Drama</t>
  </si>
  <si>
    <t>Plup Fiction</t>
  </si>
  <si>
    <t>Schindler's List</t>
  </si>
  <si>
    <t>Biography,Drama,History</t>
  </si>
  <si>
    <t>12 Angry Men</t>
  </si>
  <si>
    <t>Approved</t>
  </si>
  <si>
    <t>Filter data</t>
  </si>
  <si>
    <t>Inception</t>
  </si>
  <si>
    <t>Action,Adventure,Sci-Fi</t>
  </si>
  <si>
    <t>Fight Club</t>
  </si>
  <si>
    <t>And OR</t>
  </si>
  <si>
    <t>Like</t>
  </si>
  <si>
    <t>Aggregate data(summary stats)</t>
  </si>
  <si>
    <t>Label = change colum names</t>
  </si>
  <si>
    <t>AVG not null (Average Score)</t>
  </si>
  <si>
    <t>Pivot Table</t>
  </si>
  <si>
    <t>Sort/Order data</t>
  </si>
  <si>
    <t>Dynamic Query</t>
  </si>
  <si>
    <t>Crime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</si>
</sst>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&quot;-&quot;mmm&quot;-&quot;dd"/>
    <numFmt numFmtId="165" formatCode="M/d/yyyy"/>
    <numFmt numFmtId="166" formatCode="&quot;$&quot;#,##0"/>
    <numFmt numFmtId="167" formatCode="yyyy-mm-dd"/>
    <numFmt numFmtId="168" formatCode="yyyy&quot;-&quot;mm&quot;-&quot;dd"/>
    <numFmt numFmtId="169" formatCode="&quot;$&quot;#,##0.00"/>
  </numFmts>
  <fonts count="10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&quot;Work Sans&quot;"/>
    </font>
    <font>
      <u/>
      <color rgb="FF1155CC"/>
      <name val="&quot;Work Sans&quot;"/>
    </font>
    <font>
      <b/>
      <u/>
      <color rgb="FF1155CC"/>
      <name val="&quot;Work Sans&quot;"/>
    </font>
    <font>
      <b/>
      <color theme="0"/>
      <name val="Arial"/>
      <scheme val="minor"/>
    </font>
    <font>
      <color rgb="FF000000"/>
      <name val="Arial"/>
    </font>
    <font>
      <b/>
      <color rgb="FFFFFFFF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  <xf borderId="0" fillId="0" fontId="2" numFmtId="0" xfId="0" applyFont="1"/>
    <xf borderId="0" fillId="3" fontId="2" numFmtId="0" xfId="0" applyAlignment="1" applyFill="1" applyFont="1">
      <alignment readingOrder="0"/>
    </xf>
    <xf borderId="0" fillId="4" fontId="1" numFmtId="0" xfId="0" applyFill="1" applyFont="1"/>
    <xf borderId="0" fillId="4" fontId="2" numFmtId="0" xfId="0" applyAlignment="1" applyFont="1">
      <alignment horizontal="center" readingOrder="0"/>
    </xf>
    <xf borderId="0" fillId="2" fontId="1" numFmtId="0" xfId="0" applyAlignment="1" applyFont="1">
      <alignment horizontal="left"/>
    </xf>
    <xf borderId="0" fillId="2" fontId="1" numFmtId="0" xfId="0" applyFont="1"/>
    <xf borderId="0" fillId="2" fontId="1" numFmtId="165" xfId="0" applyFont="1" applyNumberFormat="1"/>
    <xf borderId="0" fillId="2" fontId="1" numFmtId="166" xfId="0" applyAlignment="1" applyFont="1" applyNumberFormat="1">
      <alignment horizontal="center" readingOrder="0"/>
    </xf>
    <xf borderId="0" fillId="3" fontId="1" numFmtId="0" xfId="0" applyFont="1"/>
    <xf borderId="0" fillId="5" fontId="1" numFmtId="9" xfId="0" applyAlignment="1" applyFill="1" applyFont="1" applyNumberFormat="1">
      <alignment readingOrder="0"/>
    </xf>
    <xf borderId="0" fillId="4" fontId="3" numFmtId="0" xfId="0" applyAlignment="1" applyFont="1">
      <alignment vertical="bottom"/>
    </xf>
    <xf borderId="0" fillId="4" fontId="1" numFmtId="0" xfId="0" applyAlignment="1" applyFont="1">
      <alignment horizontal="center"/>
    </xf>
    <xf borderId="0" fillId="4" fontId="1" numFmtId="166" xfId="0" applyAlignment="1" applyFont="1" applyNumberFormat="1">
      <alignment horizontal="center"/>
    </xf>
    <xf borderId="0" fillId="2" fontId="1" numFmtId="166" xfId="0" applyAlignment="1" applyFont="1" applyNumberFormat="1">
      <alignment horizontal="center"/>
    </xf>
    <xf borderId="0" fillId="0" fontId="1" numFmtId="0" xfId="0" applyFont="1"/>
    <xf borderId="0" fillId="2" fontId="1" numFmtId="0" xfId="0" applyAlignment="1" applyFont="1">
      <alignment horizontal="left" readingOrder="0"/>
    </xf>
    <xf borderId="0" fillId="2" fontId="1" numFmtId="167" xfId="0" applyAlignment="1" applyFont="1" applyNumberFormat="1">
      <alignment horizontal="left" readingOrder="0"/>
    </xf>
    <xf borderId="0" fillId="6" fontId="1" numFmtId="0" xfId="0" applyFill="1" applyFont="1"/>
    <xf borderId="0" fillId="6" fontId="2" numFmtId="0" xfId="0" applyAlignment="1" applyFont="1">
      <alignment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ill="1" applyFont="1">
      <alignment readingOrder="0"/>
    </xf>
    <xf borderId="0" fillId="6" fontId="1" numFmtId="0" xfId="0" applyAlignment="1" applyFont="1">
      <alignment horizontal="center" readingOrder="0"/>
    </xf>
    <xf borderId="0" fillId="7" fontId="1" numFmtId="0" xfId="0" applyAlignment="1" applyFont="1">
      <alignment horizontal="center"/>
    </xf>
    <xf borderId="0" fillId="7" fontId="1" numFmtId="0" xfId="0" applyFont="1"/>
    <xf borderId="0" fillId="8" fontId="2" numFmtId="0" xfId="0" applyFill="1" applyFont="1"/>
    <xf borderId="0" fillId="8" fontId="1" numFmtId="0" xfId="0" applyAlignment="1" applyFont="1">
      <alignment horizontal="left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166" xfId="0" applyFont="1" applyNumberFormat="1"/>
    <xf borderId="0" fillId="9" fontId="1" numFmtId="0" xfId="0" applyFont="1"/>
    <xf borderId="0" fillId="0" fontId="1" numFmtId="0" xfId="0" applyAlignment="1" applyFont="1">
      <alignment readingOrder="0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164" xfId="0" applyAlignment="1" applyBorder="1" applyFont="1" applyNumberFormat="1">
      <alignment vertical="bottom"/>
    </xf>
    <xf borderId="0" fillId="0" fontId="3" numFmtId="0" xfId="0" applyAlignment="1" applyFont="1">
      <alignment vertical="bottom"/>
    </xf>
    <xf borderId="0" fillId="5" fontId="3" numFmtId="0" xfId="0" applyAlignment="1" applyFont="1">
      <alignment vertical="bottom"/>
    </xf>
    <xf borderId="1" fillId="5" fontId="3" numFmtId="0" xfId="0" applyAlignment="1" applyBorder="1" applyFont="1">
      <alignment vertical="bottom"/>
    </xf>
    <xf borderId="1" fillId="5" fontId="3" numFmtId="164" xfId="0" applyAlignment="1" applyBorder="1" applyFont="1" applyNumberFormat="1">
      <alignment vertical="bottom"/>
    </xf>
    <xf borderId="1" fillId="0" fontId="6" numFmtId="0" xfId="0" applyAlignment="1" applyBorder="1" applyFont="1">
      <alignment shrinkToFit="0" vertical="bottom" wrapText="0"/>
    </xf>
    <xf borderId="0" fillId="5" fontId="3" numFmtId="0" xfId="0" applyAlignment="1" applyFont="1">
      <alignment horizontal="right" vertical="bottom"/>
    </xf>
    <xf borderId="0" fillId="10" fontId="7" numFmtId="0" xfId="0" applyAlignment="1" applyFill="1" applyFont="1">
      <alignment readingOrder="0"/>
    </xf>
    <xf borderId="0" fillId="11" fontId="2" numFmtId="0" xfId="0" applyAlignment="1" applyFill="1" applyFont="1">
      <alignment horizontal="center"/>
    </xf>
    <xf borderId="0" fillId="11" fontId="2" numFmtId="0" xfId="0" applyAlignment="1" applyFont="1">
      <alignment horizontal="center" readingOrder="0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horizontal="center"/>
    </xf>
    <xf borderId="0" fillId="5" fontId="8" numFmtId="0" xfId="0" applyAlignment="1" applyFont="1">
      <alignment horizontal="left" readingOrder="0"/>
    </xf>
    <xf borderId="0" fillId="5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69" xfId="0" applyAlignment="1" applyFont="1" applyNumberFormat="1">
      <alignment horizontal="center"/>
    </xf>
    <xf borderId="0" fillId="0" fontId="1" numFmtId="169" xfId="0" applyFont="1" applyNumberFormat="1"/>
    <xf borderId="0" fillId="0" fontId="1" numFmtId="167" xfId="0" applyAlignment="1" applyFont="1" applyNumberFormat="1">
      <alignment readingOrder="0"/>
    </xf>
    <xf borderId="0" fillId="12" fontId="7" numFmtId="0" xfId="0" applyAlignment="1" applyFill="1" applyFont="1">
      <alignment horizontal="center" readingOrder="0"/>
    </xf>
    <xf borderId="0" fillId="0" fontId="1" numFmtId="169" xfId="0" applyAlignment="1" applyFont="1" applyNumberFormat="1">
      <alignment readingOrder="0"/>
    </xf>
    <xf borderId="0" fillId="12" fontId="9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11" fontId="2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1" fontId="2" numFmtId="0" xfId="0" applyFont="1"/>
    <xf borderId="0" fillId="0" fontId="2" numFmtId="0" xfId="0" applyAlignment="1" applyFont="1">
      <alignment readingOrder="0"/>
    </xf>
    <xf borderId="0" fillId="0" fontId="1" numFmtId="168" xfId="0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1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ople.sc.fsu.edu/~jburkardt/data/csv/csv.html" TargetMode="External"/><Relationship Id="rId2" Type="http://schemas.openxmlformats.org/officeDocument/2006/relationships/hyperlink" Target="https://www.w3schools.com/html/html_tables.asp" TargetMode="External"/><Relationship Id="rId3" Type="http://schemas.openxmlformats.org/officeDocument/2006/relationships/hyperlink" Target="https://people.sc.fsu.edu/~jburkardt/data/csv/addresses.csv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100.0</v>
      </c>
      <c r="C1" s="1" t="s">
        <v>0</v>
      </c>
      <c r="D1" s="2">
        <v>44805.0</v>
      </c>
      <c r="G1" s="3" t="str">
        <f t="array" ref="G1:L1">{"EMP_ID","NAME","DEPARTMENT","POSITION","DOB","SALARY"}</f>
        <v>EMP_ID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4"/>
      <c r="N1" s="5" t="s">
        <v>6</v>
      </c>
      <c r="P1" s="6"/>
      <c r="Q1" s="7" t="s">
        <v>7</v>
      </c>
      <c r="R1" s="7" t="s">
        <v>8</v>
      </c>
      <c r="S1" s="7" t="s">
        <v>9</v>
      </c>
    </row>
    <row r="2">
      <c r="A2" s="1">
        <v>2.0</v>
      </c>
      <c r="B2" s="1">
        <v>200.0</v>
      </c>
      <c r="C2" s="1" t="s">
        <v>10</v>
      </c>
      <c r="D2" s="2">
        <v>32144.0</v>
      </c>
      <c r="G2" s="8">
        <f t="array" ref="G2:G6">{1;2;3;4;5}</f>
        <v>1</v>
      </c>
      <c r="H2" s="9" t="str">
        <f t="array" ref="H2:H6">{"David";"John";"Marry";"Anna";"Henry"}</f>
        <v>David</v>
      </c>
      <c r="I2" s="9" t="str">
        <f t="array" ref="I2:K6">{"CEO","CEO","1980-05-31";"Marketing","VP","1985-03-15";"Marketing","Manager","1990-02-28";"Sales","VP","1986-12-25";"Sales","Manager","1988-09-09"}</f>
        <v>CEO</v>
      </c>
      <c r="J2" s="9" t="s">
        <v>11</v>
      </c>
      <c r="K2" s="10" t="s">
        <v>12</v>
      </c>
      <c r="L2" s="11">
        <f t="array" ref="L2:L6">{100000;85000;55000;90000;45000}</f>
        <v>100000</v>
      </c>
      <c r="N2" s="12" t="str">
        <f t="shared" ref="N2:N6" si="1">IF( AND(I2="Marketing",J2="Manager"),
"He/She is a marketing manager","NA")</f>
        <v>NA</v>
      </c>
      <c r="O2" s="13"/>
      <c r="P2" s="14" t="str">
        <f>IFERROR(__xludf.DUMMYFUNCTION("UNIQUE(I2:I7)"),"CEO")</f>
        <v>CEO</v>
      </c>
      <c r="Q2" s="15">
        <f t="shared" ref="Q2:Q5" si="2">COUNTIF($I$2:$I$7,P2)</f>
        <v>1</v>
      </c>
      <c r="R2" s="16">
        <f t="shared" ref="R2:R5" si="3">AVERAGEIF($I$2:$I$7,P2,$L$2:$L$7)</f>
        <v>100000</v>
      </c>
      <c r="S2" s="16">
        <f t="shared" ref="S2:S5" si="4">SUMIF($I$2:$I$7,P2,$L$2:$L$7)</f>
        <v>100000</v>
      </c>
    </row>
    <row r="3">
      <c r="A3" s="1">
        <v>3.0</v>
      </c>
      <c r="B3" s="1">
        <v>300.0</v>
      </c>
      <c r="C3" s="1" t="s">
        <v>13</v>
      </c>
      <c r="D3" s="2">
        <v>27759.0</v>
      </c>
      <c r="G3" s="8">
        <v>2.0</v>
      </c>
      <c r="H3" s="9" t="s">
        <v>10</v>
      </c>
      <c r="I3" s="9" t="s">
        <v>14</v>
      </c>
      <c r="J3" s="9" t="s">
        <v>15</v>
      </c>
      <c r="K3" s="10" t="s">
        <v>16</v>
      </c>
      <c r="L3" s="17">
        <v>85000.0</v>
      </c>
      <c r="N3" s="12" t="str">
        <f t="shared" si="1"/>
        <v>NA</v>
      </c>
      <c r="P3" s="14" t="str">
        <f>IFERROR(__xludf.DUMMYFUNCTION("""COMPUTED_VALUE"""),"Marketing")</f>
        <v>Marketing</v>
      </c>
      <c r="Q3" s="15">
        <f t="shared" si="2"/>
        <v>2</v>
      </c>
      <c r="R3" s="16">
        <f t="shared" si="3"/>
        <v>70000</v>
      </c>
      <c r="S3" s="16">
        <f t="shared" si="4"/>
        <v>140000</v>
      </c>
    </row>
    <row r="4">
      <c r="A4" s="1">
        <v>4.0</v>
      </c>
      <c r="B4" s="1">
        <v>400.0</v>
      </c>
      <c r="C4" s="1" t="s">
        <v>17</v>
      </c>
      <c r="D4" s="2">
        <v>22225.0</v>
      </c>
      <c r="G4" s="8">
        <v>3.0</v>
      </c>
      <c r="H4" s="9" t="s">
        <v>18</v>
      </c>
      <c r="I4" s="9" t="s">
        <v>14</v>
      </c>
      <c r="J4" s="9" t="s">
        <v>19</v>
      </c>
      <c r="K4" s="10" t="s">
        <v>20</v>
      </c>
      <c r="L4" s="17">
        <v>55000.0</v>
      </c>
      <c r="N4" s="12" t="str">
        <f t="shared" si="1"/>
        <v>He/She is a marketing manager</v>
      </c>
      <c r="P4" s="14" t="str">
        <f>IFERROR(__xludf.DUMMYFUNCTION("""COMPUTED_VALUE"""),"Sales")</f>
        <v>Sales</v>
      </c>
      <c r="Q4" s="15">
        <f t="shared" si="2"/>
        <v>2</v>
      </c>
      <c r="R4" s="16">
        <f t="shared" si="3"/>
        <v>67500</v>
      </c>
      <c r="S4" s="16">
        <f t="shared" si="4"/>
        <v>135000</v>
      </c>
    </row>
    <row r="5">
      <c r="A5" s="1">
        <v>5.0</v>
      </c>
      <c r="B5" s="1">
        <v>500.0</v>
      </c>
      <c r="C5" s="1" t="s">
        <v>21</v>
      </c>
      <c r="D5" s="2">
        <v>41002.0</v>
      </c>
      <c r="G5" s="8">
        <v>4.0</v>
      </c>
      <c r="H5" s="9" t="s">
        <v>13</v>
      </c>
      <c r="I5" s="9" t="s">
        <v>22</v>
      </c>
      <c r="J5" s="9" t="s">
        <v>15</v>
      </c>
      <c r="K5" s="10" t="s">
        <v>23</v>
      </c>
      <c r="L5" s="17">
        <v>90000.0</v>
      </c>
      <c r="N5" s="12" t="str">
        <f t="shared" si="1"/>
        <v>NA</v>
      </c>
      <c r="P5" s="6" t="str">
        <f>IFERROR(__xludf.DUMMYFUNCTION("""COMPUTED_VALUE"""),"IT")</f>
        <v>IT</v>
      </c>
      <c r="Q5" s="15">
        <f t="shared" si="2"/>
        <v>1</v>
      </c>
      <c r="R5" s="16">
        <f t="shared" si="3"/>
        <v>70000</v>
      </c>
      <c r="S5" s="16">
        <f t="shared" si="4"/>
        <v>70000</v>
      </c>
    </row>
    <row r="6">
      <c r="G6" s="8">
        <v>5.0</v>
      </c>
      <c r="H6" s="9" t="s">
        <v>24</v>
      </c>
      <c r="I6" s="9" t="s">
        <v>22</v>
      </c>
      <c r="J6" s="9" t="s">
        <v>19</v>
      </c>
      <c r="K6" s="10" t="s">
        <v>25</v>
      </c>
      <c r="L6" s="17">
        <v>45000.0</v>
      </c>
      <c r="N6" s="12" t="str">
        <f t="shared" si="1"/>
        <v>NA</v>
      </c>
      <c r="P6" s="6"/>
      <c r="Q6" s="6"/>
      <c r="R6" s="6"/>
      <c r="S6" s="6"/>
    </row>
    <row r="7">
      <c r="A7" s="18">
        <f t="array" ref="A7:E7">{1,2,3,4,5}</f>
        <v>1</v>
      </c>
      <c r="B7" s="18">
        <v>2.0</v>
      </c>
      <c r="C7" s="18">
        <v>3.0</v>
      </c>
      <c r="D7" s="18">
        <v>4.0</v>
      </c>
      <c r="E7" s="18">
        <v>5.0</v>
      </c>
      <c r="G7" s="19">
        <v>6.0</v>
      </c>
      <c r="H7" s="19" t="s">
        <v>26</v>
      </c>
      <c r="I7" s="19" t="s">
        <v>27</v>
      </c>
      <c r="J7" s="19" t="s">
        <v>19</v>
      </c>
      <c r="K7" s="20">
        <v>35817.0</v>
      </c>
      <c r="L7" s="11">
        <v>70000.0</v>
      </c>
    </row>
    <row r="8">
      <c r="A8" s="18" t="str">
        <f t="array" ref="A8:A10">{"Yim";"Prawe";"Panther"}</f>
        <v>Yim</v>
      </c>
      <c r="G8" s="21"/>
      <c r="H8" s="21"/>
      <c r="I8" s="22" t="s">
        <v>28</v>
      </c>
      <c r="J8" s="21"/>
      <c r="K8" s="21"/>
    </row>
    <row r="9">
      <c r="A9" s="18" t="s">
        <v>29</v>
      </c>
      <c r="C9" s="18">
        <f t="array" ref="C9:D11">{100,200;300,400;500,600}</f>
        <v>100</v>
      </c>
      <c r="D9" s="18">
        <v>200.0</v>
      </c>
      <c r="G9" s="23" t="s">
        <v>30</v>
      </c>
      <c r="H9" s="23" t="s">
        <v>31</v>
      </c>
      <c r="I9" s="23" t="s">
        <v>32</v>
      </c>
      <c r="J9" s="23" t="s">
        <v>33</v>
      </c>
      <c r="K9" s="23" t="s">
        <v>34</v>
      </c>
      <c r="L9" s="4"/>
      <c r="M9" s="24" t="s">
        <v>35</v>
      </c>
      <c r="N9" s="24" t="s">
        <v>36</v>
      </c>
      <c r="O9" s="24" t="s">
        <v>37</v>
      </c>
    </row>
    <row r="10">
      <c r="A10" s="18" t="s">
        <v>38</v>
      </c>
      <c r="C10" s="18">
        <v>300.0</v>
      </c>
      <c r="D10" s="18">
        <v>400.0</v>
      </c>
      <c r="G10" s="25" t="b">
        <v>1</v>
      </c>
      <c r="H10" s="25" t="b">
        <v>1</v>
      </c>
      <c r="I10" s="21" t="b">
        <f t="shared" ref="I10:I13" si="5">AND(G10,H10)</f>
        <v>1</v>
      </c>
      <c r="J10" s="21" t="b">
        <f t="shared" ref="J10:J13" si="6">OR(G10,H10)</f>
        <v>1</v>
      </c>
      <c r="K10" s="21" t="b">
        <f t="shared" ref="K10:K13" si="7">NOT(G10)</f>
        <v>0</v>
      </c>
      <c r="M10" s="26">
        <f t="array" ref="M10:M14">{1;1;2;3;2}</f>
        <v>1</v>
      </c>
      <c r="N10" s="27" t="str">
        <f t="array" ref="N10:N14">IFS(M10:M14=1,"London",M10:M14=2,"Madrid",M10:M14=3,"Tokyo")</f>
        <v>London</v>
      </c>
      <c r="O10" s="27" t="str">
        <f t="array" ref="O10:O14">SWITCH(M10:M14,
1,"London",2,"Madrid",3,"Tokyo")</f>
        <v>London</v>
      </c>
    </row>
    <row r="11">
      <c r="C11" s="18">
        <v>500.0</v>
      </c>
      <c r="D11" s="18">
        <v>600.0</v>
      </c>
      <c r="G11" s="25" t="b">
        <v>1</v>
      </c>
      <c r="H11" s="25" t="b">
        <v>0</v>
      </c>
      <c r="I11" s="21" t="b">
        <f t="shared" si="5"/>
        <v>0</v>
      </c>
      <c r="J11" s="21" t="b">
        <f t="shared" si="6"/>
        <v>1</v>
      </c>
      <c r="K11" s="21" t="b">
        <f t="shared" si="7"/>
        <v>0</v>
      </c>
      <c r="M11" s="26">
        <v>1.0</v>
      </c>
      <c r="N11" s="27" t="s">
        <v>39</v>
      </c>
      <c r="O11" s="27" t="s">
        <v>39</v>
      </c>
    </row>
    <row r="12">
      <c r="G12" s="25" t="b">
        <v>0</v>
      </c>
      <c r="H12" s="25" t="b">
        <v>1</v>
      </c>
      <c r="I12" s="21" t="b">
        <f t="shared" si="5"/>
        <v>0</v>
      </c>
      <c r="J12" s="21" t="b">
        <f t="shared" si="6"/>
        <v>1</v>
      </c>
      <c r="K12" s="21" t="b">
        <f t="shared" si="7"/>
        <v>1</v>
      </c>
      <c r="M12" s="26">
        <v>2.0</v>
      </c>
      <c r="N12" s="27" t="s">
        <v>40</v>
      </c>
      <c r="O12" s="27" t="s">
        <v>40</v>
      </c>
    </row>
    <row r="13">
      <c r="G13" s="25" t="b">
        <v>0</v>
      </c>
      <c r="H13" s="25" t="b">
        <v>0</v>
      </c>
      <c r="I13" s="21" t="b">
        <f t="shared" si="5"/>
        <v>0</v>
      </c>
      <c r="J13" s="21" t="b">
        <f t="shared" si="6"/>
        <v>0</v>
      </c>
      <c r="K13" s="21" t="b">
        <f t="shared" si="7"/>
        <v>1</v>
      </c>
      <c r="M13" s="26">
        <v>3.0</v>
      </c>
      <c r="N13" s="27" t="s">
        <v>41</v>
      </c>
      <c r="O13" s="27" t="s">
        <v>41</v>
      </c>
    </row>
    <row r="14">
      <c r="M14" s="26">
        <v>2.0</v>
      </c>
      <c r="N14" s="27" t="s">
        <v>40</v>
      </c>
      <c r="O14" s="27" t="s">
        <v>40</v>
      </c>
    </row>
    <row r="15">
      <c r="G15" s="28" t="str">
        <f t="array" ref="G15:H18">{"Code","Office";1,"London";2,"Madrid";3,"Tokyo"}</f>
        <v>Code</v>
      </c>
      <c r="H15" s="28" t="s">
        <v>35</v>
      </c>
    </row>
    <row r="16">
      <c r="G16" s="29">
        <v>1.0</v>
      </c>
      <c r="H16" s="30" t="s">
        <v>39</v>
      </c>
      <c r="L16" s="31" t="s">
        <v>42</v>
      </c>
      <c r="M16" s="32">
        <f>SUM(L2:L6)</f>
        <v>375000</v>
      </c>
      <c r="N16" s="33"/>
      <c r="O16" s="31" t="s">
        <v>43</v>
      </c>
    </row>
    <row r="17">
      <c r="G17" s="29">
        <v>2.0</v>
      </c>
      <c r="H17" s="30" t="s">
        <v>40</v>
      </c>
      <c r="L17" s="31" t="s">
        <v>44</v>
      </c>
      <c r="M17" s="32">
        <f>AVERAGE(L2:L6)</f>
        <v>75000</v>
      </c>
      <c r="N17" s="33"/>
      <c r="O17" s="32">
        <f t="array" ref="O17:O21">SORT(L2:L6)</f>
        <v>45000</v>
      </c>
    </row>
    <row r="18">
      <c r="G18" s="29">
        <v>3.0</v>
      </c>
      <c r="H18" s="30" t="s">
        <v>41</v>
      </c>
      <c r="L18" s="31" t="s">
        <v>45</v>
      </c>
      <c r="M18" s="32">
        <f>MIN(L2:L6)</f>
        <v>45000</v>
      </c>
      <c r="N18" s="33"/>
      <c r="O18" s="32">
        <v>55000.0</v>
      </c>
    </row>
    <row r="19">
      <c r="L19" s="31" t="s">
        <v>46</v>
      </c>
      <c r="M19" s="32">
        <f>MAX(L2:L6)</f>
        <v>100000</v>
      </c>
      <c r="N19" s="33"/>
      <c r="O19" s="32">
        <v>85000.0</v>
      </c>
    </row>
    <row r="20">
      <c r="I20" s="34"/>
      <c r="L20" s="31" t="s">
        <v>47</v>
      </c>
      <c r="M20" s="33">
        <f>COUNTA(L1:L6)</f>
        <v>6</v>
      </c>
      <c r="N20" s="33"/>
      <c r="O20" s="32">
        <v>90000.0</v>
      </c>
    </row>
    <row r="21">
      <c r="L21" s="31" t="s">
        <v>48</v>
      </c>
      <c r="M21" s="33">
        <f>COUNT(L2:L6)</f>
        <v>5</v>
      </c>
      <c r="N21" s="33"/>
      <c r="O21" s="32">
        <v>100000.0</v>
      </c>
    </row>
    <row r="22">
      <c r="L22" s="33"/>
      <c r="M22" s="33"/>
      <c r="N22" s="33"/>
      <c r="O22" s="33"/>
    </row>
    <row r="23">
      <c r="L23" s="31" t="s">
        <v>49</v>
      </c>
      <c r="M23" s="32">
        <f>MEDIAN(L2:L6)</f>
        <v>85000</v>
      </c>
      <c r="N23" s="33"/>
      <c r="O23" s="3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5" t="s">
        <v>50</v>
      </c>
      <c r="B1" s="36" t="s">
        <v>51</v>
      </c>
      <c r="C1" s="37"/>
      <c r="D1" s="38"/>
      <c r="E1" s="39"/>
      <c r="F1" s="40"/>
      <c r="G1" s="40"/>
    </row>
    <row r="2">
      <c r="A2" s="35" t="s">
        <v>52</v>
      </c>
      <c r="B2" s="36" t="s">
        <v>53</v>
      </c>
      <c r="C2" s="37"/>
      <c r="D2" s="38"/>
      <c r="E2" s="39"/>
      <c r="F2" s="40"/>
      <c r="G2" s="40"/>
    </row>
    <row r="3">
      <c r="A3" s="40"/>
      <c r="B3" s="41"/>
      <c r="C3" s="41"/>
      <c r="D3" s="42"/>
      <c r="E3" s="40"/>
      <c r="F3" s="40"/>
      <c r="G3" s="40"/>
    </row>
    <row r="4">
      <c r="A4" s="43" t="s">
        <v>54</v>
      </c>
      <c r="B4" s="36"/>
      <c r="C4" s="37"/>
      <c r="D4" s="38"/>
      <c r="E4" s="39"/>
      <c r="F4" s="40"/>
      <c r="G4" s="40"/>
    </row>
    <row r="5">
      <c r="A5" s="35"/>
      <c r="B5" s="36"/>
      <c r="C5" s="37"/>
      <c r="D5" s="38"/>
      <c r="E5" s="39"/>
      <c r="F5" s="40"/>
      <c r="G5" s="40"/>
    </row>
    <row r="6">
      <c r="A6" s="40" t="str">
        <f>IFERROR(__xludf.DUMMYFUNCTION("IMPORTDATA(A4)"),"John")</f>
        <v>John</v>
      </c>
      <c r="B6" s="40" t="str">
        <f>IFERROR(__xludf.DUMMYFUNCTION("""COMPUTED_VALUE"""),"Doe")</f>
        <v>Doe</v>
      </c>
      <c r="C6" s="40" t="str">
        <f>IFERROR(__xludf.DUMMYFUNCTION("""COMPUTED_VALUE"""),"120 jefferson st.")</f>
        <v>120 jefferson st.</v>
      </c>
      <c r="D6" s="40" t="str">
        <f>IFERROR(__xludf.DUMMYFUNCTION("""COMPUTED_VALUE"""),"Riverside")</f>
        <v>Riverside</v>
      </c>
      <c r="E6" s="40" t="str">
        <f>IFERROR(__xludf.DUMMYFUNCTION("""COMPUTED_VALUE"""),"NJ")</f>
        <v>NJ</v>
      </c>
      <c r="F6" s="44">
        <f>IFERROR(__xludf.DUMMYFUNCTION("""COMPUTED_VALUE"""),8075.0)</f>
        <v>8075</v>
      </c>
      <c r="G6" s="40"/>
    </row>
    <row r="7">
      <c r="A7" s="40" t="str">
        <f>IFERROR(__xludf.DUMMYFUNCTION("""COMPUTED_VALUE"""),"Jack")</f>
        <v>Jack</v>
      </c>
      <c r="B7" s="40" t="str">
        <f>IFERROR(__xludf.DUMMYFUNCTION("""COMPUTED_VALUE"""),"McGinnis")</f>
        <v>McGinnis</v>
      </c>
      <c r="C7" s="40" t="str">
        <f>IFERROR(__xludf.DUMMYFUNCTION("""COMPUTED_VALUE"""),"220 hobo Av.")</f>
        <v>220 hobo Av.</v>
      </c>
      <c r="D7" s="40" t="str">
        <f>IFERROR(__xludf.DUMMYFUNCTION("""COMPUTED_VALUE"""),"Phila")</f>
        <v>Phila</v>
      </c>
      <c r="E7" s="40" t="str">
        <f>IFERROR(__xludf.DUMMYFUNCTION("""COMPUTED_VALUE"""),"PA")</f>
        <v>PA</v>
      </c>
      <c r="F7" s="44">
        <f>IFERROR(__xludf.DUMMYFUNCTION("""COMPUTED_VALUE"""),9119.0)</f>
        <v>9119</v>
      </c>
      <c r="G7" s="40"/>
    </row>
    <row r="8">
      <c r="A8" s="40" t="str">
        <f>IFERROR(__xludf.DUMMYFUNCTION("""COMPUTED_VALUE"""),"John ""Da Man""")</f>
        <v>John "Da Man"</v>
      </c>
      <c r="B8" s="40" t="str">
        <f>IFERROR(__xludf.DUMMYFUNCTION("""COMPUTED_VALUE"""),"Repici")</f>
        <v>Repici</v>
      </c>
      <c r="C8" s="40" t="str">
        <f>IFERROR(__xludf.DUMMYFUNCTION("""COMPUTED_VALUE"""),"120 Jefferson St.")</f>
        <v>120 Jefferson St.</v>
      </c>
      <c r="D8" s="40" t="str">
        <f>IFERROR(__xludf.DUMMYFUNCTION("""COMPUTED_VALUE"""),"Riverside")</f>
        <v>Riverside</v>
      </c>
      <c r="E8" s="40" t="str">
        <f>IFERROR(__xludf.DUMMYFUNCTION("""COMPUTED_VALUE"""),"NJ")</f>
        <v>NJ</v>
      </c>
      <c r="F8" s="44">
        <f>IFERROR(__xludf.DUMMYFUNCTION("""COMPUTED_VALUE"""),8075.0)</f>
        <v>8075</v>
      </c>
      <c r="G8" s="40"/>
    </row>
    <row r="9">
      <c r="A9" s="40" t="str">
        <f>IFERROR(__xludf.DUMMYFUNCTION("""COMPUTED_VALUE"""),"Stephen")</f>
        <v>Stephen</v>
      </c>
      <c r="B9" s="40" t="str">
        <f>IFERROR(__xludf.DUMMYFUNCTION("""COMPUTED_VALUE"""),"Tyler")</f>
        <v>Tyler</v>
      </c>
      <c r="C9" s="40" t="str">
        <f>IFERROR(__xludf.DUMMYFUNCTION("""COMPUTED_VALUE"""),"7452 Terrace ""At the Plaza"" road")</f>
        <v>7452 Terrace "At the Plaza" road</v>
      </c>
      <c r="D9" s="40" t="str">
        <f>IFERROR(__xludf.DUMMYFUNCTION("""COMPUTED_VALUE"""),"SomeTown")</f>
        <v>SomeTown</v>
      </c>
      <c r="E9" s="40" t="str">
        <f>IFERROR(__xludf.DUMMYFUNCTION("""COMPUTED_VALUE"""),"SD")</f>
        <v>SD</v>
      </c>
      <c r="F9" s="44">
        <f>IFERROR(__xludf.DUMMYFUNCTION("""COMPUTED_VALUE"""),91234.0)</f>
        <v>91234</v>
      </c>
      <c r="G9" s="40"/>
    </row>
    <row r="10">
      <c r="A10" s="40"/>
      <c r="B10" s="40" t="str">
        <f>IFERROR(__xludf.DUMMYFUNCTION("""COMPUTED_VALUE"""),"Blankman")</f>
        <v>Blankman</v>
      </c>
      <c r="C10" s="40"/>
      <c r="D10" s="40" t="str">
        <f>IFERROR(__xludf.DUMMYFUNCTION("""COMPUTED_VALUE"""),"SomeTown")</f>
        <v>SomeTown</v>
      </c>
      <c r="E10" s="40" t="str">
        <f>IFERROR(__xludf.DUMMYFUNCTION("""COMPUTED_VALUE"""),"SD")</f>
        <v>SD</v>
      </c>
      <c r="F10" s="44">
        <f>IFERROR(__xludf.DUMMYFUNCTION("""COMPUTED_VALUE"""),298.0)</f>
        <v>298</v>
      </c>
      <c r="G10" s="40"/>
    </row>
    <row r="11">
      <c r="A11" s="40" t="str">
        <f>IFERROR(__xludf.DUMMYFUNCTION("""COMPUTED_VALUE"""),"Joan ""the bone"", Anne")</f>
        <v>Joan "the bone", Anne</v>
      </c>
      <c r="B11" s="40" t="str">
        <f>IFERROR(__xludf.DUMMYFUNCTION("""COMPUTED_VALUE"""),"Jet")</f>
        <v>Jet</v>
      </c>
      <c r="C11" s="40" t="str">
        <f>IFERROR(__xludf.DUMMYFUNCTION("""COMPUTED_VALUE"""),"9th, at Terrace plc")</f>
        <v>9th, at Terrace plc</v>
      </c>
      <c r="D11" s="40" t="str">
        <f>IFERROR(__xludf.DUMMYFUNCTION("""COMPUTED_VALUE"""),"Desert City")</f>
        <v>Desert City</v>
      </c>
      <c r="E11" s="40" t="str">
        <f>IFERROR(__xludf.DUMMYFUNCTION("""COMPUTED_VALUE"""),"CO")</f>
        <v>CO</v>
      </c>
      <c r="F11" s="44">
        <f>IFERROR(__xludf.DUMMYFUNCTION("""COMPUTED_VALUE"""),123.0)</f>
        <v>123</v>
      </c>
      <c r="G11" s="40"/>
    </row>
    <row r="12">
      <c r="A12" s="40"/>
      <c r="B12" s="40"/>
      <c r="C12" s="40"/>
      <c r="D12" s="40"/>
      <c r="E12" s="40"/>
      <c r="F12" s="40"/>
      <c r="G12" s="40"/>
    </row>
    <row r="13">
      <c r="A13" s="40"/>
      <c r="B13" s="40"/>
      <c r="C13" s="40"/>
      <c r="D13" s="40"/>
      <c r="E13" s="40"/>
      <c r="F13" s="40"/>
      <c r="G13" s="40"/>
    </row>
    <row r="14">
      <c r="A14" s="40" t="str">
        <f>IFERROR(__xludf.DUMMYFUNCTION("IMPORTHTML(B2,""table"",1)"),"Company")</f>
        <v>Company</v>
      </c>
      <c r="B14" s="40" t="str">
        <f>IFERROR(__xludf.DUMMYFUNCTION("""COMPUTED_VALUE"""),"Contact")</f>
        <v>Contact</v>
      </c>
      <c r="C14" s="40" t="str">
        <f>IFERROR(__xludf.DUMMYFUNCTION("""COMPUTED_VALUE"""),"Country")</f>
        <v>Country</v>
      </c>
      <c r="D14" s="40"/>
      <c r="E14" s="40"/>
      <c r="F14" s="40"/>
      <c r="G14" s="40"/>
    </row>
    <row r="15">
      <c r="A15" s="40" t="str">
        <f>IFERROR(__xludf.DUMMYFUNCTION("""COMPUTED_VALUE"""),"Alfreds Futterkiste")</f>
        <v>Alfreds Futterkiste</v>
      </c>
      <c r="B15" s="40" t="str">
        <f>IFERROR(__xludf.DUMMYFUNCTION("""COMPUTED_VALUE"""),"Maria Anders")</f>
        <v>Maria Anders</v>
      </c>
      <c r="C15" s="40" t="str">
        <f>IFERROR(__xludf.DUMMYFUNCTION("""COMPUTED_VALUE"""),"Germany")</f>
        <v>Germany</v>
      </c>
      <c r="D15" s="40"/>
      <c r="E15" s="40"/>
      <c r="F15" s="40"/>
      <c r="G15" s="40"/>
    </row>
    <row r="16">
      <c r="A16" s="40" t="str">
        <f>IFERROR(__xludf.DUMMYFUNCTION("""COMPUTED_VALUE"""),"Centro comercial Moctezuma")</f>
        <v>Centro comercial Moctezuma</v>
      </c>
      <c r="B16" s="40" t="str">
        <f>IFERROR(__xludf.DUMMYFUNCTION("""COMPUTED_VALUE"""),"Francisco Chang")</f>
        <v>Francisco Chang</v>
      </c>
      <c r="C16" s="40" t="str">
        <f>IFERROR(__xludf.DUMMYFUNCTION("""COMPUTED_VALUE"""),"Mexico")</f>
        <v>Mexico</v>
      </c>
      <c r="D16" s="40"/>
      <c r="E16" s="40"/>
      <c r="F16" s="40"/>
      <c r="G16" s="40"/>
    </row>
    <row r="17">
      <c r="A17" s="40" t="str">
        <f>IFERROR(__xludf.DUMMYFUNCTION("""COMPUTED_VALUE"""),"Ernst Handel")</f>
        <v>Ernst Handel</v>
      </c>
      <c r="B17" s="40" t="str">
        <f>IFERROR(__xludf.DUMMYFUNCTION("""COMPUTED_VALUE"""),"Roland Mendel")</f>
        <v>Roland Mendel</v>
      </c>
      <c r="C17" s="40" t="str">
        <f>IFERROR(__xludf.DUMMYFUNCTION("""COMPUTED_VALUE"""),"Austria")</f>
        <v>Austria</v>
      </c>
      <c r="D17" s="40"/>
      <c r="E17" s="40"/>
      <c r="F17" s="40"/>
      <c r="G17" s="40"/>
    </row>
    <row r="18">
      <c r="A18" s="40" t="str">
        <f>IFERROR(__xludf.DUMMYFUNCTION("""COMPUTED_VALUE"""),"Island Trading")</f>
        <v>Island Trading</v>
      </c>
      <c r="B18" s="40" t="str">
        <f>IFERROR(__xludf.DUMMYFUNCTION("""COMPUTED_VALUE"""),"Helen Bennett")</f>
        <v>Helen Bennett</v>
      </c>
      <c r="C18" s="40" t="str">
        <f>IFERROR(__xludf.DUMMYFUNCTION("""COMPUTED_VALUE"""),"UK")</f>
        <v>UK</v>
      </c>
      <c r="D18" s="40"/>
      <c r="E18" s="40"/>
      <c r="F18" s="40"/>
      <c r="G18" s="40"/>
    </row>
    <row r="19">
      <c r="A19" s="40" t="str">
        <f>IFERROR(__xludf.DUMMYFUNCTION("""COMPUTED_VALUE"""),"Laughing Bacchus Winecellars")</f>
        <v>Laughing Bacchus Winecellars</v>
      </c>
      <c r="B19" s="40" t="str">
        <f>IFERROR(__xludf.DUMMYFUNCTION("""COMPUTED_VALUE"""),"Yoshi Tannamuri")</f>
        <v>Yoshi Tannamuri</v>
      </c>
      <c r="C19" s="40" t="str">
        <f>IFERROR(__xludf.DUMMYFUNCTION("""COMPUTED_VALUE"""),"Canada")</f>
        <v>Canada</v>
      </c>
      <c r="D19" s="40"/>
      <c r="E19" s="40"/>
      <c r="F19" s="40"/>
      <c r="G19" s="40"/>
    </row>
    <row r="20">
      <c r="A20" s="40" t="str">
        <f>IFERROR(__xludf.DUMMYFUNCTION("""COMPUTED_VALUE"""),"Magazzini Alimentari Riuniti")</f>
        <v>Magazzini Alimentari Riuniti</v>
      </c>
      <c r="B20" s="40" t="str">
        <f>IFERROR(__xludf.DUMMYFUNCTION("""COMPUTED_VALUE"""),"Giovanni Rovelli")</f>
        <v>Giovanni Rovelli</v>
      </c>
      <c r="C20" s="40" t="str">
        <f>IFERROR(__xludf.DUMMYFUNCTION("""COMPUTED_VALUE"""),"Italy")</f>
        <v>Italy</v>
      </c>
      <c r="D20" s="40"/>
      <c r="E20" s="40"/>
      <c r="F20" s="40"/>
      <c r="G20" s="40"/>
    </row>
    <row r="21">
      <c r="A21" s="40"/>
      <c r="B21" s="40"/>
      <c r="C21" s="40"/>
      <c r="D21" s="40"/>
      <c r="E21" s="40"/>
      <c r="F21" s="40"/>
      <c r="G21" s="40"/>
    </row>
  </sheetData>
  <hyperlinks>
    <hyperlink r:id="rId1" ref="B1"/>
    <hyperlink r:id="rId2" ref="B2"/>
    <hyperlink r:id="rId3" ref="A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  <col customWidth="1" min="9" max="9" width="25.38"/>
    <col customWidth="1" min="10" max="10" width="19.13"/>
    <col customWidth="1" min="14" max="14" width="21.75"/>
    <col customWidth="1" min="15" max="15" width="18.25"/>
  </cols>
  <sheetData>
    <row r="1">
      <c r="A1" s="45" t="s">
        <v>55</v>
      </c>
    </row>
    <row r="2">
      <c r="A2" s="46" t="str">
        <f t="array" ref="A2:E2">{"ID","DATE","Brand","Model","Quantity"}</f>
        <v>ID</v>
      </c>
      <c r="B2" s="46" t="s">
        <v>56</v>
      </c>
      <c r="C2" s="46" t="s">
        <v>57</v>
      </c>
      <c r="D2" s="46" t="s">
        <v>58</v>
      </c>
      <c r="E2" s="46" t="s">
        <v>59</v>
      </c>
      <c r="H2" s="47" t="s">
        <v>60</v>
      </c>
    </row>
    <row r="3">
      <c r="A3" s="1">
        <v>1.0</v>
      </c>
      <c r="B3" s="48">
        <v>44348.0</v>
      </c>
      <c r="C3" s="34" t="s">
        <v>61</v>
      </c>
      <c r="D3" s="1">
        <v>1.0</v>
      </c>
      <c r="E3" s="34">
        <v>200.0</v>
      </c>
      <c r="H3" s="34" t="s">
        <v>62</v>
      </c>
      <c r="I3" s="34" t="s">
        <v>63</v>
      </c>
    </row>
    <row r="4">
      <c r="A4" s="1">
        <v>2.0</v>
      </c>
      <c r="B4" s="48">
        <v>44348.0</v>
      </c>
      <c r="C4" s="34" t="s">
        <v>61</v>
      </c>
      <c r="D4" s="49">
        <v>2.0</v>
      </c>
      <c r="E4" s="34">
        <v>250.0</v>
      </c>
      <c r="H4" s="34" t="s">
        <v>64</v>
      </c>
      <c r="I4" s="34" t="s">
        <v>65</v>
      </c>
    </row>
    <row r="5">
      <c r="A5" s="1">
        <v>3.0</v>
      </c>
      <c r="B5" s="48">
        <v>44348.0</v>
      </c>
      <c r="C5" s="34" t="s">
        <v>61</v>
      </c>
      <c r="D5" s="49">
        <v>3.0</v>
      </c>
      <c r="E5" s="34">
        <v>150.0</v>
      </c>
      <c r="G5" s="1" t="s">
        <v>66</v>
      </c>
      <c r="H5" s="34" t="s">
        <v>67</v>
      </c>
      <c r="I5" s="34" t="s">
        <v>68</v>
      </c>
    </row>
    <row r="6">
      <c r="A6" s="1">
        <v>4.0</v>
      </c>
      <c r="B6" s="48">
        <v>44348.0</v>
      </c>
      <c r="C6" s="34" t="s">
        <v>69</v>
      </c>
      <c r="D6" s="49">
        <v>4.0</v>
      </c>
      <c r="E6" s="34">
        <v>1000.0</v>
      </c>
      <c r="H6" s="34" t="s">
        <v>70</v>
      </c>
      <c r="I6" s="34" t="s">
        <v>71</v>
      </c>
    </row>
    <row r="7">
      <c r="A7" s="1">
        <v>5.0</v>
      </c>
      <c r="B7" s="48">
        <v>44349.0</v>
      </c>
      <c r="C7" s="34" t="s">
        <v>69</v>
      </c>
      <c r="D7" s="49">
        <v>4.0</v>
      </c>
      <c r="E7" s="34">
        <v>500.0</v>
      </c>
      <c r="H7" s="34" t="s">
        <v>43</v>
      </c>
      <c r="I7" s="34" t="s">
        <v>72</v>
      </c>
    </row>
    <row r="8">
      <c r="A8" s="1">
        <v>6.0</v>
      </c>
      <c r="B8" s="48">
        <v>44350.0</v>
      </c>
      <c r="C8" s="34" t="s">
        <v>69</v>
      </c>
      <c r="D8" s="49">
        <v>5.0</v>
      </c>
      <c r="E8" s="34">
        <v>200.0</v>
      </c>
      <c r="H8" s="34" t="s">
        <v>73</v>
      </c>
      <c r="I8" s="34" t="s">
        <v>74</v>
      </c>
    </row>
    <row r="9">
      <c r="A9" s="1">
        <v>7.0</v>
      </c>
      <c r="B9" s="48">
        <v>44350.0</v>
      </c>
      <c r="C9" s="34" t="s">
        <v>69</v>
      </c>
      <c r="D9" s="49">
        <v>5.0</v>
      </c>
      <c r="E9" s="34">
        <v>300.0</v>
      </c>
      <c r="I9" s="50" t="s">
        <v>75</v>
      </c>
    </row>
    <row r="10">
      <c r="A10" s="1">
        <v>8.0</v>
      </c>
      <c r="B10" s="48">
        <v>44351.0</v>
      </c>
      <c r="C10" s="34" t="s">
        <v>69</v>
      </c>
      <c r="D10" s="49">
        <v>5.0</v>
      </c>
      <c r="E10" s="34">
        <v>250.0</v>
      </c>
      <c r="G10" s="34" t="s">
        <v>76</v>
      </c>
      <c r="H10" s="34" t="s">
        <v>77</v>
      </c>
      <c r="I10" s="34" t="s">
        <v>78</v>
      </c>
    </row>
    <row r="11">
      <c r="A11" s="1">
        <v>9.0</v>
      </c>
      <c r="B11" s="48">
        <v>44351.0</v>
      </c>
      <c r="C11" s="34" t="s">
        <v>69</v>
      </c>
      <c r="D11" s="49">
        <v>6.0</v>
      </c>
      <c r="E11" s="34">
        <v>200.0</v>
      </c>
    </row>
    <row r="12">
      <c r="A12" s="1">
        <v>10.0</v>
      </c>
      <c r="B12" s="48">
        <v>44351.0</v>
      </c>
      <c r="C12" s="34" t="s">
        <v>61</v>
      </c>
      <c r="D12" s="49">
        <v>2.0</v>
      </c>
      <c r="E12" s="34">
        <v>800.0</v>
      </c>
    </row>
    <row r="13">
      <c r="A13" s="1">
        <v>11.0</v>
      </c>
      <c r="B13" s="48">
        <v>44352.0</v>
      </c>
      <c r="C13" s="34" t="s">
        <v>61</v>
      </c>
      <c r="D13" s="49">
        <v>2.0</v>
      </c>
      <c r="E13" s="34">
        <v>150.0</v>
      </c>
    </row>
    <row r="14">
      <c r="A14" s="1">
        <v>12.0</v>
      </c>
      <c r="B14" s="48">
        <v>44352.0</v>
      </c>
      <c r="C14" s="34" t="s">
        <v>61</v>
      </c>
      <c r="D14" s="49">
        <v>2.0</v>
      </c>
      <c r="E14" s="34">
        <v>200.0</v>
      </c>
      <c r="N14" s="34" t="s">
        <v>79</v>
      </c>
    </row>
    <row r="15">
      <c r="A15" s="1">
        <v>13.0</v>
      </c>
      <c r="B15" s="48">
        <v>44352.0</v>
      </c>
      <c r="C15" s="34" t="s">
        <v>61</v>
      </c>
      <c r="D15" s="49">
        <v>2.0</v>
      </c>
      <c r="E15" s="34">
        <v>300.0</v>
      </c>
      <c r="H15" s="34" t="s">
        <v>80</v>
      </c>
      <c r="N15" s="34" t="s">
        <v>81</v>
      </c>
      <c r="O15" s="34" t="s">
        <v>82</v>
      </c>
    </row>
    <row r="16">
      <c r="A16" s="1">
        <v>14.0</v>
      </c>
      <c r="B16" s="48">
        <v>44352.0</v>
      </c>
      <c r="C16" s="34" t="s">
        <v>69</v>
      </c>
      <c r="D16" s="49">
        <v>5.0</v>
      </c>
      <c r="E16" s="34">
        <v>500.0</v>
      </c>
      <c r="H16" s="47" t="s">
        <v>83</v>
      </c>
      <c r="I16" s="47" t="s">
        <v>84</v>
      </c>
      <c r="J16" s="47" t="s">
        <v>22</v>
      </c>
      <c r="K16" s="51"/>
      <c r="L16" s="51"/>
      <c r="N16" s="46" t="str">
        <f t="array" ref="N16:O16">{"Price","Price Band"}</f>
        <v>Price</v>
      </c>
      <c r="O16" s="46" t="s">
        <v>85</v>
      </c>
    </row>
    <row r="17">
      <c r="A17" s="1">
        <v>15.0</v>
      </c>
      <c r="B17" s="48">
        <v>44352.0</v>
      </c>
      <c r="C17" s="34" t="s">
        <v>69</v>
      </c>
      <c r="D17" s="49">
        <v>5.0</v>
      </c>
      <c r="E17" s="34">
        <v>400.0</v>
      </c>
      <c r="H17" s="52" t="str">
        <f>VLOOKUP(D3,PRODUCTS,2,FALSE)</f>
        <v>Core i3</v>
      </c>
      <c r="I17" s="53">
        <f>VLOOKUP(D3,PRODUCTS,3,FALSE)</f>
        <v>200</v>
      </c>
      <c r="J17" s="54">
        <f t="shared" ref="J17:J36" si="1">E3*I17</f>
        <v>40000</v>
      </c>
      <c r="N17" s="54">
        <f t="array" ref="N17:N36">VLOOKUP(D3:D22,PRODUCTS,3,FALSE)</f>
        <v>200</v>
      </c>
      <c r="O17" s="54" t="str">
        <f>VLOOKUP(N17,PRICE_BANDS,2,TRUE)</f>
        <v>&lt;250 USD</v>
      </c>
    </row>
    <row r="18">
      <c r="A18" s="1">
        <v>16.0</v>
      </c>
      <c r="B18" s="48">
        <v>44353.0</v>
      </c>
      <c r="C18" s="34" t="s">
        <v>69</v>
      </c>
      <c r="D18" s="49">
        <v>5.0</v>
      </c>
      <c r="E18" s="34">
        <v>1000.0</v>
      </c>
      <c r="H18" s="52" t="str">
        <f>VLOOKUP(D4,PRODUCTS,2,FALSE)</f>
        <v>Core i5</v>
      </c>
      <c r="I18" s="53">
        <f>VLOOKUP(D4,PRODUCTS,3,FALSE)</f>
        <v>300</v>
      </c>
      <c r="J18" s="54">
        <f t="shared" si="1"/>
        <v>75000</v>
      </c>
      <c r="N18" s="54">
        <v>300.0</v>
      </c>
      <c r="O18" s="54" t="str">
        <f>VLOOKUP(N18,PRICE_BANDS,2,TRUE)</f>
        <v>250-399 USD</v>
      </c>
    </row>
    <row r="19">
      <c r="A19" s="1">
        <v>17.0</v>
      </c>
      <c r="B19" s="48">
        <v>44353.0</v>
      </c>
      <c r="C19" s="34" t="s">
        <v>69</v>
      </c>
      <c r="D19" s="49">
        <v>5.0</v>
      </c>
      <c r="E19" s="34">
        <v>200.0</v>
      </c>
      <c r="H19" s="52" t="str">
        <f>VLOOKUP(D5,PRODUCTS,2,FALSE)</f>
        <v>Core i7</v>
      </c>
      <c r="I19" s="53">
        <f>VLOOKUP(D5,PRODUCTS,3,FALSE)</f>
        <v>550</v>
      </c>
      <c r="J19" s="54">
        <f t="shared" si="1"/>
        <v>82500</v>
      </c>
      <c r="N19" s="54">
        <v>550.0</v>
      </c>
      <c r="O19" s="54" t="str">
        <f>VLOOKUP(N19,PRICE_BANDS,2,TRUE)</f>
        <v>&gt;=400 USD</v>
      </c>
    </row>
    <row r="20">
      <c r="A20" s="1">
        <v>18.0</v>
      </c>
      <c r="B20" s="48">
        <v>44353.0</v>
      </c>
      <c r="C20" s="34" t="s">
        <v>69</v>
      </c>
      <c r="D20" s="49">
        <v>6.0</v>
      </c>
      <c r="E20" s="34">
        <v>250.0</v>
      </c>
      <c r="H20" s="52" t="str">
        <f>VLOOKUP(D6,PRODUCTS,2,FALSE)</f>
        <v>Ryzen 3</v>
      </c>
      <c r="I20" s="53">
        <f>VLOOKUP(D6,PRODUCTS,3,FALSE)</f>
        <v>150</v>
      </c>
      <c r="J20" s="54">
        <f t="shared" si="1"/>
        <v>150000</v>
      </c>
      <c r="N20" s="54">
        <v>150.0</v>
      </c>
      <c r="O20" s="54" t="str">
        <f>VLOOKUP(N20,PRICE_BANDS,2,TRUE)</f>
        <v>&lt;250 USD</v>
      </c>
    </row>
    <row r="21">
      <c r="A21" s="1">
        <v>19.0</v>
      </c>
      <c r="B21" s="48">
        <v>44354.0</v>
      </c>
      <c r="C21" s="34" t="s">
        <v>69</v>
      </c>
      <c r="D21" s="49">
        <v>6.0</v>
      </c>
      <c r="E21" s="34">
        <v>300.0</v>
      </c>
      <c r="H21" s="52" t="str">
        <f>VLOOKUP(D7,PRODUCTS,2,FALSE)</f>
        <v>Ryzen 3</v>
      </c>
      <c r="I21" s="53">
        <f>VLOOKUP(D7,PRODUCTS,3,FALSE)</f>
        <v>150</v>
      </c>
      <c r="J21" s="54">
        <f t="shared" si="1"/>
        <v>75000</v>
      </c>
      <c r="N21" s="54">
        <v>150.0</v>
      </c>
      <c r="O21" s="54" t="str">
        <f>VLOOKUP(N21,PRICE_BANDS,2,TRUE)</f>
        <v>&lt;250 USD</v>
      </c>
    </row>
    <row r="22">
      <c r="A22" s="1">
        <v>20.0</v>
      </c>
      <c r="B22" s="48">
        <v>44354.0</v>
      </c>
      <c r="C22" s="34" t="s">
        <v>61</v>
      </c>
      <c r="D22" s="49">
        <v>1.0</v>
      </c>
      <c r="E22" s="34">
        <v>1500.0</v>
      </c>
      <c r="H22" s="52" t="str">
        <f>VLOOKUP(D8,PRODUCTS,2,FALSE)</f>
        <v>Ryzen 5</v>
      </c>
      <c r="I22" s="53">
        <f>VLOOKUP(D8,PRODUCTS,3,FALSE)</f>
        <v>220</v>
      </c>
      <c r="J22" s="54">
        <f t="shared" si="1"/>
        <v>44000</v>
      </c>
      <c r="N22" s="54">
        <v>220.0</v>
      </c>
      <c r="O22" s="54" t="str">
        <f>VLOOKUP(N22,PRICE_BANDS,2,TRUE)</f>
        <v>&lt;250 USD</v>
      </c>
    </row>
    <row r="23">
      <c r="B23" s="55"/>
      <c r="D23" s="52"/>
      <c r="H23" s="52" t="str">
        <f>VLOOKUP(D9,PRODUCTS,2,FALSE)</f>
        <v>Ryzen 5</v>
      </c>
      <c r="I23" s="53">
        <f>VLOOKUP(D9,PRODUCTS,3,FALSE)</f>
        <v>220</v>
      </c>
      <c r="J23" s="54">
        <f t="shared" si="1"/>
        <v>66000</v>
      </c>
      <c r="N23" s="54">
        <v>220.0</v>
      </c>
      <c r="O23" s="54" t="str">
        <f>VLOOKUP(N23,PRICE_BANDS,2,TRUE)</f>
        <v>&lt;250 USD</v>
      </c>
    </row>
    <row r="24">
      <c r="A24" s="56" t="s">
        <v>86</v>
      </c>
      <c r="B24" s="55"/>
      <c r="H24" s="52" t="str">
        <f>VLOOKUP(D10,PRODUCTS,2,FALSE)</f>
        <v>Ryzen 5</v>
      </c>
      <c r="I24" s="53">
        <f>VLOOKUP(D10,PRODUCTS,3,FALSE)</f>
        <v>220</v>
      </c>
      <c r="J24" s="54">
        <f t="shared" si="1"/>
        <v>55000</v>
      </c>
      <c r="N24" s="54">
        <v>220.0</v>
      </c>
      <c r="O24" s="54" t="str">
        <f>VLOOKUP(N24,PRICE_BANDS,2,TRUE)</f>
        <v>&lt;250 USD</v>
      </c>
    </row>
    <row r="25">
      <c r="A25" s="46" t="str">
        <f t="array" ref="A25:C25">{"ID","Model","Price"}</f>
        <v>ID</v>
      </c>
      <c r="B25" s="46" t="s">
        <v>58</v>
      </c>
      <c r="C25" s="46" t="s">
        <v>84</v>
      </c>
      <c r="H25" s="52" t="str">
        <f>VLOOKUP(D11,PRODUCTS,2,FALSE)</f>
        <v>Ryzen 7</v>
      </c>
      <c r="I25" s="53">
        <f>VLOOKUP(D11,PRODUCTS,3,FALSE)</f>
        <v>480</v>
      </c>
      <c r="J25" s="54">
        <f t="shared" si="1"/>
        <v>96000</v>
      </c>
      <c r="N25" s="54">
        <v>480.0</v>
      </c>
      <c r="O25" s="54" t="str">
        <f>VLOOKUP(N25,PRICE_BANDS,2,TRUE)</f>
        <v>&gt;=400 USD</v>
      </c>
    </row>
    <row r="26">
      <c r="A26" s="1">
        <v>1.0</v>
      </c>
      <c r="B26" s="1" t="s">
        <v>87</v>
      </c>
      <c r="C26" s="57">
        <v>200.0</v>
      </c>
      <c r="H26" s="52" t="str">
        <f>VLOOKUP(D12,PRODUCTS,2,FALSE)</f>
        <v>Core i5</v>
      </c>
      <c r="I26" s="53">
        <f>VLOOKUP(D12,PRODUCTS,3,FALSE)</f>
        <v>300</v>
      </c>
      <c r="J26" s="54">
        <f t="shared" si="1"/>
        <v>240000</v>
      </c>
      <c r="N26" s="54">
        <v>300.0</v>
      </c>
      <c r="O26" s="54" t="str">
        <f>VLOOKUP(N26,PRICE_BANDS,2,TRUE)</f>
        <v>250-399 USD</v>
      </c>
    </row>
    <row r="27">
      <c r="A27" s="1">
        <v>2.0</v>
      </c>
      <c r="B27" s="1" t="s">
        <v>88</v>
      </c>
      <c r="C27" s="57">
        <v>300.0</v>
      </c>
      <c r="H27" s="52" t="str">
        <f>VLOOKUP(D13,PRODUCTS,2,FALSE)</f>
        <v>Core i5</v>
      </c>
      <c r="I27" s="53">
        <f>VLOOKUP(D13,PRODUCTS,3,FALSE)</f>
        <v>300</v>
      </c>
      <c r="J27" s="54">
        <f t="shared" si="1"/>
        <v>45000</v>
      </c>
      <c r="N27" s="54">
        <v>300.0</v>
      </c>
      <c r="O27" s="54" t="str">
        <f>VLOOKUP(N27,PRICE_BANDS,2,TRUE)</f>
        <v>250-399 USD</v>
      </c>
    </row>
    <row r="28">
      <c r="A28" s="1">
        <v>3.0</v>
      </c>
      <c r="B28" s="1" t="s">
        <v>89</v>
      </c>
      <c r="C28" s="57">
        <v>550.0</v>
      </c>
      <c r="H28" s="52" t="str">
        <f>VLOOKUP(D14,PRODUCTS,2,FALSE)</f>
        <v>Core i5</v>
      </c>
      <c r="I28" s="53">
        <f>VLOOKUP(D14,PRODUCTS,3,FALSE)</f>
        <v>300</v>
      </c>
      <c r="J28" s="54">
        <f t="shared" si="1"/>
        <v>60000</v>
      </c>
      <c r="N28" s="54">
        <v>300.0</v>
      </c>
      <c r="O28" s="54" t="str">
        <f>VLOOKUP(N28,PRICE_BANDS,2,TRUE)</f>
        <v>250-399 USD</v>
      </c>
    </row>
    <row r="29">
      <c r="A29" s="1">
        <v>4.0</v>
      </c>
      <c r="B29" s="1" t="s">
        <v>90</v>
      </c>
      <c r="C29" s="57">
        <v>150.0</v>
      </c>
      <c r="H29" s="52" t="str">
        <f>VLOOKUP(D15,PRODUCTS,2,FALSE)</f>
        <v>Core i5</v>
      </c>
      <c r="I29" s="53">
        <f>VLOOKUP(D15,PRODUCTS,3,FALSE)</f>
        <v>300</v>
      </c>
      <c r="J29" s="54">
        <f t="shared" si="1"/>
        <v>90000</v>
      </c>
      <c r="N29" s="54">
        <v>300.0</v>
      </c>
      <c r="O29" s="54" t="str">
        <f>VLOOKUP(N29,PRICE_BANDS,2,TRUE)</f>
        <v>250-399 USD</v>
      </c>
    </row>
    <row r="30">
      <c r="A30" s="1">
        <v>5.0</v>
      </c>
      <c r="B30" s="1" t="s">
        <v>91</v>
      </c>
      <c r="C30" s="57">
        <v>220.0</v>
      </c>
      <c r="H30" s="52" t="str">
        <f>VLOOKUP(D16,PRODUCTS,2,FALSE)</f>
        <v>Ryzen 5</v>
      </c>
      <c r="I30" s="53">
        <f>VLOOKUP(D16,PRODUCTS,3,FALSE)</f>
        <v>220</v>
      </c>
      <c r="J30" s="54">
        <f t="shared" si="1"/>
        <v>110000</v>
      </c>
      <c r="N30" s="54">
        <v>220.0</v>
      </c>
      <c r="O30" s="54" t="str">
        <f>VLOOKUP(N30,PRICE_BANDS,2,TRUE)</f>
        <v>&lt;250 USD</v>
      </c>
    </row>
    <row r="31">
      <c r="A31" s="1">
        <v>6.0</v>
      </c>
      <c r="B31" s="1" t="s">
        <v>92</v>
      </c>
      <c r="C31" s="57">
        <v>480.0</v>
      </c>
      <c r="H31" s="52" t="str">
        <f>VLOOKUP(D17,PRODUCTS,2,FALSE)</f>
        <v>Ryzen 5</v>
      </c>
      <c r="I31" s="53">
        <f>VLOOKUP(D17,PRODUCTS,3,FALSE)</f>
        <v>220</v>
      </c>
      <c r="J31" s="54">
        <f t="shared" si="1"/>
        <v>88000</v>
      </c>
      <c r="N31" s="54">
        <v>220.0</v>
      </c>
      <c r="O31" s="54" t="str">
        <f>VLOOKUP(N31,PRICE_BANDS,2,TRUE)</f>
        <v>&lt;250 USD</v>
      </c>
    </row>
    <row r="32">
      <c r="H32" s="52" t="str">
        <f>VLOOKUP(D18,PRODUCTS,2,FALSE)</f>
        <v>Ryzen 5</v>
      </c>
      <c r="I32" s="53">
        <f>VLOOKUP(D18,PRODUCTS,3,FALSE)</f>
        <v>220</v>
      </c>
      <c r="J32" s="54">
        <f t="shared" si="1"/>
        <v>220000</v>
      </c>
      <c r="N32" s="54">
        <v>220.0</v>
      </c>
      <c r="O32" s="54" t="str">
        <f>VLOOKUP(N32,PRICE_BANDS,2,TRUE)</f>
        <v>&lt;250 USD</v>
      </c>
    </row>
    <row r="33">
      <c r="A33" s="58" t="s">
        <v>85</v>
      </c>
      <c r="H33" s="52" t="str">
        <f>VLOOKUP(D19,PRODUCTS,2,FALSE)</f>
        <v>Ryzen 5</v>
      </c>
      <c r="I33" s="53">
        <f>VLOOKUP(D19,PRODUCTS,3,FALSE)</f>
        <v>220</v>
      </c>
      <c r="J33" s="54">
        <f t="shared" si="1"/>
        <v>44000</v>
      </c>
      <c r="N33" s="54">
        <v>220.0</v>
      </c>
      <c r="O33" s="54" t="str">
        <f>VLOOKUP(N33,PRICE_BANDS,2,TRUE)</f>
        <v>&lt;250 USD</v>
      </c>
    </row>
    <row r="34">
      <c r="A34" s="59" t="str">
        <f t="array" ref="A34:B34">{"Price","Price Band"}</f>
        <v>Price</v>
      </c>
      <c r="B34" s="59" t="s">
        <v>85</v>
      </c>
      <c r="H34" s="52" t="str">
        <f>VLOOKUP(D20,PRODUCTS,2,FALSE)</f>
        <v>Ryzen 7</v>
      </c>
      <c r="I34" s="53">
        <f>VLOOKUP(D20,PRODUCTS,3,FALSE)</f>
        <v>480</v>
      </c>
      <c r="J34" s="54">
        <f t="shared" si="1"/>
        <v>120000</v>
      </c>
      <c r="N34" s="54">
        <v>480.0</v>
      </c>
      <c r="O34" s="54" t="str">
        <f>VLOOKUP(N34,PRICE_BANDS,2,TRUE)</f>
        <v>&gt;=400 USD</v>
      </c>
    </row>
    <row r="35">
      <c r="A35" s="1">
        <v>0.0</v>
      </c>
      <c r="B35" s="1" t="s">
        <v>93</v>
      </c>
      <c r="H35" s="52" t="str">
        <f>VLOOKUP(D21,PRODUCTS,2,FALSE)</f>
        <v>Ryzen 7</v>
      </c>
      <c r="I35" s="53">
        <f>VLOOKUP(D21,PRODUCTS,3,FALSE)</f>
        <v>480</v>
      </c>
      <c r="J35" s="54">
        <f t="shared" si="1"/>
        <v>144000</v>
      </c>
      <c r="N35" s="54">
        <v>480.0</v>
      </c>
      <c r="O35" s="54" t="str">
        <f>VLOOKUP(N35,PRICE_BANDS,2,TRUE)</f>
        <v>&gt;=400 USD</v>
      </c>
    </row>
    <row r="36">
      <c r="A36" s="1">
        <v>250.0</v>
      </c>
      <c r="B36" s="1" t="s">
        <v>94</v>
      </c>
      <c r="H36" s="52" t="str">
        <f>VLOOKUP(D22,PRODUCTS,2,FALSE)</f>
        <v>Core i3</v>
      </c>
      <c r="I36" s="53">
        <f>VLOOKUP(D22,PRODUCTS,3,FALSE)</f>
        <v>200</v>
      </c>
      <c r="J36" s="54">
        <f t="shared" si="1"/>
        <v>300000</v>
      </c>
      <c r="N36" s="54">
        <v>200.0</v>
      </c>
      <c r="O36" s="54" t="str">
        <f>VLOOKUP(N36,PRICE_BANDS,2,TRUE)</f>
        <v>&lt;250 USD</v>
      </c>
    </row>
    <row r="37">
      <c r="A37" s="1">
        <v>400.0</v>
      </c>
      <c r="B37" s="1" t="s">
        <v>95</v>
      </c>
      <c r="H37" s="52"/>
      <c r="J37" s="54">
        <f>SUM(J17:J36)</f>
        <v>2144500</v>
      </c>
    </row>
    <row r="38">
      <c r="E38" s="47" t="s">
        <v>96</v>
      </c>
      <c r="F38" s="47" t="s">
        <v>64</v>
      </c>
      <c r="H38" s="60" t="s">
        <v>97</v>
      </c>
      <c r="I38" s="18">
        <f t="array" ref="I38">INDEX(A3:E22,7,4)</f>
        <v>5</v>
      </c>
      <c r="J38" s="34" t="s">
        <v>98</v>
      </c>
    </row>
    <row r="39">
      <c r="E39" s="18">
        <f>COUNTIFS(C3:C22,"AMD",E3:E22,200)</f>
        <v>3</v>
      </c>
      <c r="F39" s="18">
        <f>SUMIFS(E3:E22,C3:C22,"AMD",H17:H36,"Ryzen 5")</f>
        <v>2850</v>
      </c>
      <c r="H39" s="61" t="s">
        <v>99</v>
      </c>
      <c r="I39" s="18">
        <f>MATCH("Model",A2:E2,FALSE)</f>
        <v>4</v>
      </c>
      <c r="J39" s="34" t="s">
        <v>100</v>
      </c>
    </row>
    <row r="40">
      <c r="B40" s="45" t="s">
        <v>56</v>
      </c>
      <c r="H40" s="34" t="s">
        <v>101</v>
      </c>
      <c r="I40" s="34">
        <v>10.0</v>
      </c>
      <c r="J40" s="34" t="s">
        <v>102</v>
      </c>
    </row>
    <row r="41">
      <c r="B41" s="62" t="str">
        <f t="array" ref="B41:D41">{"YEAR","Month","Day"}</f>
        <v>YEAR</v>
      </c>
      <c r="C41" s="62" t="s">
        <v>103</v>
      </c>
      <c r="D41" s="62" t="s">
        <v>104</v>
      </c>
      <c r="E41" s="45" t="s">
        <v>56</v>
      </c>
      <c r="H41" s="34" t="s">
        <v>105</v>
      </c>
      <c r="I41" s="34" t="s">
        <v>57</v>
      </c>
    </row>
    <row r="42">
      <c r="B42" s="18">
        <f t="array" ref="B42:B61">YEAR(B3:B22)</f>
        <v>2021</v>
      </c>
      <c r="C42" s="18">
        <f t="array" ref="C42:C61">MONTH(B3:B22)</f>
        <v>6</v>
      </c>
      <c r="D42" s="18">
        <f t="array" ref="D42:D61">DAY(B3:B22)</f>
        <v>1</v>
      </c>
      <c r="E42" s="48">
        <f t="shared" ref="E42:E61" si="2">DATE(B42,C42,D42)</f>
        <v>44348</v>
      </c>
      <c r="H42" s="63" t="s">
        <v>106</v>
      </c>
      <c r="I42" s="18" t="str">
        <f t="array" ref="I42">INDEX(TRANSECTIONS,I40,MATCH(I41,A2:E2,FALSE))</f>
        <v>Intel</v>
      </c>
      <c r="J42" s="34" t="s">
        <v>107</v>
      </c>
    </row>
    <row r="43">
      <c r="B43" s="18">
        <v>2021.0</v>
      </c>
      <c r="C43" s="18">
        <v>6.0</v>
      </c>
      <c r="D43" s="18">
        <v>1.0</v>
      </c>
      <c r="E43" s="48">
        <f t="shared" si="2"/>
        <v>44348</v>
      </c>
    </row>
    <row r="44">
      <c r="B44" s="18">
        <v>2021.0</v>
      </c>
      <c r="C44" s="18">
        <v>6.0</v>
      </c>
      <c r="D44" s="18">
        <v>1.0</v>
      </c>
      <c r="E44" s="48">
        <f t="shared" si="2"/>
        <v>44348</v>
      </c>
      <c r="H44" s="61" t="s">
        <v>108</v>
      </c>
    </row>
    <row r="45">
      <c r="B45" s="18">
        <v>2021.0</v>
      </c>
      <c r="C45" s="18">
        <v>6.0</v>
      </c>
      <c r="D45" s="18">
        <v>1.0</v>
      </c>
      <c r="E45" s="48">
        <f t="shared" si="2"/>
        <v>44348</v>
      </c>
      <c r="H45" s="62" t="str">
        <f t="array" ref="H45:L45">{"Last Year","Today","Diff Day","Diff Month","Diff Year"}</f>
        <v>Last Year</v>
      </c>
      <c r="I45" s="62" t="s">
        <v>109</v>
      </c>
      <c r="J45" s="62" t="s">
        <v>110</v>
      </c>
      <c r="K45" s="62" t="s">
        <v>111</v>
      </c>
      <c r="L45" s="62" t="s">
        <v>112</v>
      </c>
    </row>
    <row r="46">
      <c r="B46" s="18">
        <v>2021.0</v>
      </c>
      <c r="C46" s="18">
        <v>6.0</v>
      </c>
      <c r="D46" s="18">
        <v>2.0</v>
      </c>
      <c r="E46" s="48">
        <f t="shared" si="2"/>
        <v>44349</v>
      </c>
      <c r="H46" s="48">
        <v>43886.0</v>
      </c>
      <c r="I46" s="64">
        <f>TODAY()</f>
        <v>44979</v>
      </c>
      <c r="J46" s="18">
        <f>DATEDIF(H46,I46,"D")</f>
        <v>1093</v>
      </c>
      <c r="K46" s="18">
        <f>DATEDIF(H46,I46,"M")</f>
        <v>35</v>
      </c>
      <c r="L46" s="18">
        <f>DATEDIF(H46,I46,"Y")</f>
        <v>2</v>
      </c>
    </row>
    <row r="47">
      <c r="B47" s="18">
        <v>2021.0</v>
      </c>
      <c r="C47" s="18">
        <v>6.0</v>
      </c>
      <c r="D47" s="18">
        <v>3.0</v>
      </c>
      <c r="E47" s="48">
        <f t="shared" si="2"/>
        <v>44350</v>
      </c>
      <c r="L47" s="18">
        <f>DATEDIF(H46,I46,"YM")</f>
        <v>11</v>
      </c>
    </row>
    <row r="48">
      <c r="B48" s="18">
        <v>2021.0</v>
      </c>
      <c r="C48" s="18">
        <v>6.0</v>
      </c>
      <c r="D48" s="18">
        <v>3.0</v>
      </c>
      <c r="E48" s="48">
        <f t="shared" si="2"/>
        <v>44350</v>
      </c>
    </row>
    <row r="49">
      <c r="B49" s="18">
        <v>2021.0</v>
      </c>
      <c r="C49" s="18">
        <v>6.0</v>
      </c>
      <c r="D49" s="18">
        <v>4.0</v>
      </c>
      <c r="E49" s="48">
        <f t="shared" si="2"/>
        <v>44351</v>
      </c>
    </row>
    <row r="50">
      <c r="B50" s="18">
        <v>2021.0</v>
      </c>
      <c r="C50" s="18">
        <v>6.0</v>
      </c>
      <c r="D50" s="18">
        <v>4.0</v>
      </c>
      <c r="E50" s="48">
        <f t="shared" si="2"/>
        <v>44351</v>
      </c>
    </row>
    <row r="51">
      <c r="B51" s="18">
        <v>2021.0</v>
      </c>
      <c r="C51" s="18">
        <v>6.0</v>
      </c>
      <c r="D51" s="18">
        <v>4.0</v>
      </c>
      <c r="E51" s="48">
        <f t="shared" si="2"/>
        <v>44351</v>
      </c>
    </row>
    <row r="52">
      <c r="B52" s="18">
        <v>2021.0</v>
      </c>
      <c r="C52" s="18">
        <v>6.0</v>
      </c>
      <c r="D52" s="18">
        <v>5.0</v>
      </c>
      <c r="E52" s="48">
        <f t="shared" si="2"/>
        <v>44352</v>
      </c>
    </row>
    <row r="53">
      <c r="B53" s="18">
        <v>2021.0</v>
      </c>
      <c r="C53" s="18">
        <v>6.0</v>
      </c>
      <c r="D53" s="18">
        <v>5.0</v>
      </c>
      <c r="E53" s="48">
        <f t="shared" si="2"/>
        <v>44352</v>
      </c>
    </row>
    <row r="54">
      <c r="B54" s="18">
        <v>2021.0</v>
      </c>
      <c r="C54" s="18">
        <v>6.0</v>
      </c>
      <c r="D54" s="18">
        <v>5.0</v>
      </c>
      <c r="E54" s="48">
        <f t="shared" si="2"/>
        <v>44352</v>
      </c>
    </row>
    <row r="55">
      <c r="B55" s="18">
        <v>2021.0</v>
      </c>
      <c r="C55" s="18">
        <v>6.0</v>
      </c>
      <c r="D55" s="18">
        <v>5.0</v>
      </c>
      <c r="E55" s="48">
        <f t="shared" si="2"/>
        <v>44352</v>
      </c>
    </row>
    <row r="56">
      <c r="B56" s="18">
        <v>2021.0</v>
      </c>
      <c r="C56" s="18">
        <v>6.0</v>
      </c>
      <c r="D56" s="18">
        <v>5.0</v>
      </c>
      <c r="E56" s="48">
        <f t="shared" si="2"/>
        <v>44352</v>
      </c>
    </row>
    <row r="57">
      <c r="B57" s="18">
        <v>2021.0</v>
      </c>
      <c r="C57" s="18">
        <v>6.0</v>
      </c>
      <c r="D57" s="18">
        <v>6.0</v>
      </c>
      <c r="E57" s="48">
        <f t="shared" si="2"/>
        <v>44353</v>
      </c>
    </row>
    <row r="58">
      <c r="B58" s="18">
        <v>2021.0</v>
      </c>
      <c r="C58" s="18">
        <v>6.0</v>
      </c>
      <c r="D58" s="18">
        <v>6.0</v>
      </c>
      <c r="E58" s="48">
        <f t="shared" si="2"/>
        <v>44353</v>
      </c>
    </row>
    <row r="59">
      <c r="B59" s="18">
        <v>2021.0</v>
      </c>
      <c r="C59" s="18">
        <v>6.0</v>
      </c>
      <c r="D59" s="18">
        <v>6.0</v>
      </c>
      <c r="E59" s="48">
        <f t="shared" si="2"/>
        <v>44353</v>
      </c>
    </row>
    <row r="60">
      <c r="B60" s="18">
        <v>2021.0</v>
      </c>
      <c r="C60" s="18">
        <v>6.0</v>
      </c>
      <c r="D60" s="18">
        <v>7.0</v>
      </c>
      <c r="E60" s="48">
        <f t="shared" si="2"/>
        <v>44354</v>
      </c>
    </row>
    <row r="61">
      <c r="B61" s="18">
        <v>2021.0</v>
      </c>
      <c r="C61" s="18">
        <v>6.0</v>
      </c>
      <c r="D61" s="18">
        <v>7.0</v>
      </c>
      <c r="E61" s="48">
        <f t="shared" si="2"/>
        <v>44354</v>
      </c>
    </row>
  </sheetData>
  <mergeCells count="3">
    <mergeCell ref="G5:G8"/>
    <mergeCell ref="H8:H9"/>
    <mergeCell ref="G10:G11"/>
  </mergeCells>
  <dataValidations>
    <dataValidation type="list" allowBlank="1" sqref="I41">
      <formula1>$B$2:$E$2</formula1>
    </dataValidation>
    <dataValidation type="list" allowBlank="1" sqref="I40">
      <formula1>$A$3:$A$22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  <col customWidth="1" min="6" max="6" width="25.63"/>
  </cols>
  <sheetData>
    <row r="1">
      <c r="A1" s="4" t="str">
        <f t="array" ref="A1:G1">{"NO","MOVIE_NAME","YEAR","RATING","Lenth","GENRE","SCORE"}</f>
        <v>NO</v>
      </c>
      <c r="B1" s="4" t="s">
        <v>113</v>
      </c>
      <c r="C1" s="4" t="s">
        <v>114</v>
      </c>
      <c r="D1" s="4" t="s">
        <v>115</v>
      </c>
      <c r="E1" s="4" t="s">
        <v>116</v>
      </c>
      <c r="F1" s="4" t="s">
        <v>117</v>
      </c>
      <c r="G1" s="4" t="s">
        <v>118</v>
      </c>
      <c r="I1" s="61" t="s">
        <v>119</v>
      </c>
    </row>
    <row r="2">
      <c r="A2" s="65">
        <v>1.0</v>
      </c>
      <c r="B2" s="34" t="s">
        <v>120</v>
      </c>
      <c r="C2" s="66">
        <f t="array" ref="C2:C11">{1994;1972;2008;1974;2003;1994;1993;1957;2010;1999}</f>
        <v>1994</v>
      </c>
      <c r="D2" s="18" t="str">
        <f t="array" ref="D2:D11">{"R";"R";"PG-13";"R";"PG-13";"R";"R";"Approved";"PG-13";"R"}</f>
        <v>R</v>
      </c>
      <c r="E2" s="34">
        <v>142.0</v>
      </c>
      <c r="F2" s="34" t="s">
        <v>121</v>
      </c>
      <c r="G2" s="34">
        <v>9.3</v>
      </c>
      <c r="I2" s="67" t="s">
        <v>122</v>
      </c>
    </row>
    <row r="3">
      <c r="A3" s="65">
        <v>2.0</v>
      </c>
      <c r="B3" s="34" t="s">
        <v>123</v>
      </c>
      <c r="C3" s="66">
        <v>1972.0</v>
      </c>
      <c r="D3" s="18" t="s">
        <v>124</v>
      </c>
      <c r="E3" s="34">
        <v>175.0</v>
      </c>
      <c r="F3" s="34" t="s">
        <v>125</v>
      </c>
      <c r="G3" s="34">
        <v>9.2</v>
      </c>
      <c r="I3" s="18" t="str">
        <f>IFERROR(__xludf.DUMMYFUNCTION("QUERY(IMDB,""select B limit 5"")"),"The Shawahank Redemption")</f>
        <v>The Shawahank Redemption</v>
      </c>
    </row>
    <row r="4">
      <c r="A4" s="65">
        <v>3.0</v>
      </c>
      <c r="B4" s="34" t="s">
        <v>126</v>
      </c>
      <c r="C4" s="66">
        <v>2008.0</v>
      </c>
      <c r="D4" s="18" t="s">
        <v>127</v>
      </c>
      <c r="E4" s="34">
        <v>152.0</v>
      </c>
      <c r="F4" s="34" t="s">
        <v>128</v>
      </c>
      <c r="G4" s="34">
        <v>9.0</v>
      </c>
      <c r="I4" s="18" t="str">
        <f>IFERROR(__xludf.DUMMYFUNCTION("""COMPUTED_VALUE"""),"The Godfather")</f>
        <v>The Godfather</v>
      </c>
    </row>
    <row r="5">
      <c r="A5" s="65">
        <v>4.0</v>
      </c>
      <c r="B5" s="34" t="s">
        <v>129</v>
      </c>
      <c r="C5" s="66">
        <v>1974.0</v>
      </c>
      <c r="D5" s="18" t="s">
        <v>124</v>
      </c>
      <c r="E5" s="34">
        <v>202.0</v>
      </c>
      <c r="F5" s="34" t="s">
        <v>125</v>
      </c>
      <c r="G5" s="34">
        <v>9.0</v>
      </c>
      <c r="I5" s="18" t="str">
        <f>IFERROR(__xludf.DUMMYFUNCTION("""COMPUTED_VALUE"""),"The Dark Knight")</f>
        <v>The Dark Knight</v>
      </c>
    </row>
    <row r="6">
      <c r="A6" s="65">
        <v>5.0</v>
      </c>
      <c r="B6" s="34" t="s">
        <v>130</v>
      </c>
      <c r="C6" s="66">
        <v>2003.0</v>
      </c>
      <c r="D6" s="18" t="s">
        <v>127</v>
      </c>
      <c r="E6" s="34">
        <v>201.0</v>
      </c>
      <c r="F6" s="34" t="s">
        <v>131</v>
      </c>
      <c r="G6" s="34">
        <v>8.9</v>
      </c>
      <c r="I6" s="18" t="str">
        <f>IFERROR(__xludf.DUMMYFUNCTION("""COMPUTED_VALUE"""),"The Godfather : Part II")</f>
        <v>The Godfather : Part II</v>
      </c>
    </row>
    <row r="7">
      <c r="A7" s="65">
        <v>6.0</v>
      </c>
      <c r="B7" s="34" t="s">
        <v>132</v>
      </c>
      <c r="C7" s="66">
        <v>1994.0</v>
      </c>
      <c r="D7" s="18" t="s">
        <v>124</v>
      </c>
      <c r="E7" s="34">
        <v>154.0</v>
      </c>
      <c r="F7" s="34" t="s">
        <v>125</v>
      </c>
      <c r="G7" s="34">
        <v>8.9</v>
      </c>
      <c r="I7" s="18" t="str">
        <f>IFERROR(__xludf.DUMMYFUNCTION("""COMPUTED_VALUE"""),"The Lord Of the Ring : The Re")</f>
        <v>The Lord Of the Ring : The Re</v>
      </c>
    </row>
    <row r="8">
      <c r="A8" s="65">
        <v>7.0</v>
      </c>
      <c r="B8" s="34" t="s">
        <v>133</v>
      </c>
      <c r="C8" s="66">
        <v>1993.0</v>
      </c>
      <c r="D8" s="18" t="s">
        <v>124</v>
      </c>
      <c r="E8" s="34">
        <v>195.0</v>
      </c>
      <c r="F8" s="34" t="s">
        <v>134</v>
      </c>
      <c r="G8" s="34">
        <v>8.9</v>
      </c>
    </row>
    <row r="9">
      <c r="A9" s="65">
        <v>8.0</v>
      </c>
      <c r="B9" s="34" t="s">
        <v>135</v>
      </c>
      <c r="C9" s="66">
        <v>1957.0</v>
      </c>
      <c r="D9" s="18" t="s">
        <v>136</v>
      </c>
      <c r="E9" s="34">
        <v>96.0</v>
      </c>
      <c r="F9" s="34" t="s">
        <v>125</v>
      </c>
      <c r="G9" s="34">
        <v>8.9</v>
      </c>
      <c r="I9" s="63" t="s">
        <v>137</v>
      </c>
    </row>
    <row r="10">
      <c r="A10" s="65">
        <v>9.0</v>
      </c>
      <c r="B10" s="34" t="s">
        <v>138</v>
      </c>
      <c r="C10" s="66">
        <v>2010.0</v>
      </c>
      <c r="D10" s="18" t="s">
        <v>127</v>
      </c>
      <c r="E10" s="34">
        <v>148.0</v>
      </c>
      <c r="F10" s="34" t="s">
        <v>139</v>
      </c>
      <c r="G10" s="34">
        <v>8.8</v>
      </c>
      <c r="I10" s="18">
        <f>IFERROR(__xludf.DUMMYFUNCTION("QUERY(IMDB,""select * where D ='R' or D = 'PG-13'"")"),1.0)</f>
        <v>1</v>
      </c>
      <c r="J10" s="18" t="str">
        <f>IFERROR(__xludf.DUMMYFUNCTION("""COMPUTED_VALUE"""),"The Shawahank Redemption")</f>
        <v>The Shawahank Redemption</v>
      </c>
      <c r="K10" s="18">
        <f>IFERROR(__xludf.DUMMYFUNCTION("""COMPUTED_VALUE"""),1994.0)</f>
        <v>1994</v>
      </c>
      <c r="L10" s="18" t="str">
        <f>IFERROR(__xludf.DUMMYFUNCTION("""COMPUTED_VALUE"""),"R")</f>
        <v>R</v>
      </c>
      <c r="M10" s="18">
        <f>IFERROR(__xludf.DUMMYFUNCTION("""COMPUTED_VALUE"""),142.0)</f>
        <v>142</v>
      </c>
      <c r="N10" s="18" t="str">
        <f>IFERROR(__xludf.DUMMYFUNCTION("""COMPUTED_VALUE"""),"Drama")</f>
        <v>Drama</v>
      </c>
      <c r="O10" s="18">
        <f>IFERROR(__xludf.DUMMYFUNCTION("""COMPUTED_VALUE"""),9.3)</f>
        <v>9.3</v>
      </c>
    </row>
    <row r="11">
      <c r="A11" s="65">
        <v>10.0</v>
      </c>
      <c r="B11" s="34" t="s">
        <v>140</v>
      </c>
      <c r="C11" s="66">
        <v>1999.0</v>
      </c>
      <c r="D11" s="18" t="s">
        <v>124</v>
      </c>
      <c r="E11" s="34">
        <v>139.0</v>
      </c>
      <c r="F11" s="34" t="s">
        <v>121</v>
      </c>
      <c r="G11" s="34">
        <v>8.8</v>
      </c>
      <c r="I11" s="18">
        <f>IFERROR(__xludf.DUMMYFUNCTION("""COMPUTED_VALUE"""),2.0)</f>
        <v>2</v>
      </c>
      <c r="J11" s="18" t="str">
        <f>IFERROR(__xludf.DUMMYFUNCTION("""COMPUTED_VALUE"""),"The Godfather")</f>
        <v>The Godfather</v>
      </c>
      <c r="K11" s="18">
        <f>IFERROR(__xludf.DUMMYFUNCTION("""COMPUTED_VALUE"""),1972.0)</f>
        <v>1972</v>
      </c>
      <c r="L11" s="18" t="str">
        <f>IFERROR(__xludf.DUMMYFUNCTION("""COMPUTED_VALUE"""),"R")</f>
        <v>R</v>
      </c>
      <c r="M11" s="18">
        <f>IFERROR(__xludf.DUMMYFUNCTION("""COMPUTED_VALUE"""),175.0)</f>
        <v>175</v>
      </c>
      <c r="N11" s="18" t="str">
        <f>IFERROR(__xludf.DUMMYFUNCTION("""COMPUTED_VALUE"""),"Crime,Drama")</f>
        <v>Crime,Drama</v>
      </c>
      <c r="O11" s="18">
        <f>IFERROR(__xludf.DUMMYFUNCTION("""COMPUTED_VALUE"""),9.2)</f>
        <v>9.2</v>
      </c>
    </row>
    <row r="12">
      <c r="A12" s="65">
        <v>11.0</v>
      </c>
      <c r="I12" s="18">
        <f>IFERROR(__xludf.DUMMYFUNCTION("""COMPUTED_VALUE"""),3.0)</f>
        <v>3</v>
      </c>
      <c r="J12" s="18" t="str">
        <f>IFERROR(__xludf.DUMMYFUNCTION("""COMPUTED_VALUE"""),"The Dark Knight")</f>
        <v>The Dark Knight</v>
      </c>
      <c r="K12" s="18">
        <f>IFERROR(__xludf.DUMMYFUNCTION("""COMPUTED_VALUE"""),2008.0)</f>
        <v>2008</v>
      </c>
      <c r="L12" s="18" t="str">
        <f>IFERROR(__xludf.DUMMYFUNCTION("""COMPUTED_VALUE"""),"PG-13")</f>
        <v>PG-13</v>
      </c>
      <c r="M12" s="18">
        <f>IFERROR(__xludf.DUMMYFUNCTION("""COMPUTED_VALUE"""),152.0)</f>
        <v>152</v>
      </c>
      <c r="N12" s="18" t="str">
        <f>IFERROR(__xludf.DUMMYFUNCTION("""COMPUTED_VALUE"""),"Action,Crime,Drama")</f>
        <v>Action,Crime,Drama</v>
      </c>
      <c r="O12" s="18">
        <f>IFERROR(__xludf.DUMMYFUNCTION("""COMPUTED_VALUE"""),9.0)</f>
        <v>9</v>
      </c>
    </row>
    <row r="13">
      <c r="A13" s="65">
        <v>12.0</v>
      </c>
      <c r="I13" s="18">
        <f>IFERROR(__xludf.DUMMYFUNCTION("""COMPUTED_VALUE"""),4.0)</f>
        <v>4</v>
      </c>
      <c r="J13" s="18" t="str">
        <f>IFERROR(__xludf.DUMMYFUNCTION("""COMPUTED_VALUE"""),"The Godfather : Part II")</f>
        <v>The Godfather : Part II</v>
      </c>
      <c r="K13" s="18">
        <f>IFERROR(__xludf.DUMMYFUNCTION("""COMPUTED_VALUE"""),1974.0)</f>
        <v>1974</v>
      </c>
      <c r="L13" s="18" t="str">
        <f>IFERROR(__xludf.DUMMYFUNCTION("""COMPUTED_VALUE"""),"R")</f>
        <v>R</v>
      </c>
      <c r="M13" s="18">
        <f>IFERROR(__xludf.DUMMYFUNCTION("""COMPUTED_VALUE"""),202.0)</f>
        <v>202</v>
      </c>
      <c r="N13" s="18" t="str">
        <f>IFERROR(__xludf.DUMMYFUNCTION("""COMPUTED_VALUE"""),"Crime,Drama")</f>
        <v>Crime,Drama</v>
      </c>
      <c r="O13" s="18">
        <f>IFERROR(__xludf.DUMMYFUNCTION("""COMPUTED_VALUE"""),9.0)</f>
        <v>9</v>
      </c>
    </row>
    <row r="14">
      <c r="A14" s="65">
        <v>13.0</v>
      </c>
      <c r="I14" s="18">
        <f>IFERROR(__xludf.DUMMYFUNCTION("""COMPUTED_VALUE"""),5.0)</f>
        <v>5</v>
      </c>
      <c r="J14" s="18" t="str">
        <f>IFERROR(__xludf.DUMMYFUNCTION("""COMPUTED_VALUE"""),"The Lord Of the Ring : The Re")</f>
        <v>The Lord Of the Ring : The Re</v>
      </c>
      <c r="K14" s="18">
        <f>IFERROR(__xludf.DUMMYFUNCTION("""COMPUTED_VALUE"""),2003.0)</f>
        <v>2003</v>
      </c>
      <c r="L14" s="18" t="str">
        <f>IFERROR(__xludf.DUMMYFUNCTION("""COMPUTED_VALUE"""),"PG-13")</f>
        <v>PG-13</v>
      </c>
      <c r="M14" s="18">
        <f>IFERROR(__xludf.DUMMYFUNCTION("""COMPUTED_VALUE"""),201.0)</f>
        <v>201</v>
      </c>
      <c r="N14" s="18" t="str">
        <f>IFERROR(__xludf.DUMMYFUNCTION("""COMPUTED_VALUE"""),"Action,Adventure,Drama")</f>
        <v>Action,Adventure,Drama</v>
      </c>
      <c r="O14" s="18">
        <f>IFERROR(__xludf.DUMMYFUNCTION("""COMPUTED_VALUE"""),8.9)</f>
        <v>8.9</v>
      </c>
    </row>
    <row r="15">
      <c r="A15" s="65">
        <v>14.0</v>
      </c>
      <c r="I15" s="18">
        <f>IFERROR(__xludf.DUMMYFUNCTION("""COMPUTED_VALUE"""),6.0)</f>
        <v>6</v>
      </c>
      <c r="J15" s="18" t="str">
        <f>IFERROR(__xludf.DUMMYFUNCTION("""COMPUTED_VALUE"""),"Plup Fiction")</f>
        <v>Plup Fiction</v>
      </c>
      <c r="K15" s="18">
        <f>IFERROR(__xludf.DUMMYFUNCTION("""COMPUTED_VALUE"""),1994.0)</f>
        <v>1994</v>
      </c>
      <c r="L15" s="18" t="str">
        <f>IFERROR(__xludf.DUMMYFUNCTION("""COMPUTED_VALUE"""),"R")</f>
        <v>R</v>
      </c>
      <c r="M15" s="18">
        <f>IFERROR(__xludf.DUMMYFUNCTION("""COMPUTED_VALUE"""),154.0)</f>
        <v>154</v>
      </c>
      <c r="N15" s="18" t="str">
        <f>IFERROR(__xludf.DUMMYFUNCTION("""COMPUTED_VALUE"""),"Crime,Drama")</f>
        <v>Crime,Drama</v>
      </c>
      <c r="O15" s="18">
        <f>IFERROR(__xludf.DUMMYFUNCTION("""COMPUTED_VALUE"""),8.9)</f>
        <v>8.9</v>
      </c>
    </row>
    <row r="16">
      <c r="A16" s="65">
        <v>15.0</v>
      </c>
      <c r="I16" s="18">
        <f>IFERROR(__xludf.DUMMYFUNCTION("""COMPUTED_VALUE"""),7.0)</f>
        <v>7</v>
      </c>
      <c r="J16" s="18" t="str">
        <f>IFERROR(__xludf.DUMMYFUNCTION("""COMPUTED_VALUE"""),"Schindler's List")</f>
        <v>Schindler's List</v>
      </c>
      <c r="K16" s="18">
        <f>IFERROR(__xludf.DUMMYFUNCTION("""COMPUTED_VALUE"""),1993.0)</f>
        <v>1993</v>
      </c>
      <c r="L16" s="18" t="str">
        <f>IFERROR(__xludf.DUMMYFUNCTION("""COMPUTED_VALUE"""),"R")</f>
        <v>R</v>
      </c>
      <c r="M16" s="18">
        <f>IFERROR(__xludf.DUMMYFUNCTION("""COMPUTED_VALUE"""),195.0)</f>
        <v>195</v>
      </c>
      <c r="N16" s="18" t="str">
        <f>IFERROR(__xludf.DUMMYFUNCTION("""COMPUTED_VALUE"""),"Biography,Drama,History")</f>
        <v>Biography,Drama,History</v>
      </c>
      <c r="O16" s="18">
        <f>IFERROR(__xludf.DUMMYFUNCTION("""COMPUTED_VALUE"""),8.9)</f>
        <v>8.9</v>
      </c>
    </row>
    <row r="17">
      <c r="A17" s="65">
        <v>16.0</v>
      </c>
      <c r="I17" s="18">
        <f>IFERROR(__xludf.DUMMYFUNCTION("""COMPUTED_VALUE"""),9.0)</f>
        <v>9</v>
      </c>
      <c r="J17" s="18" t="str">
        <f>IFERROR(__xludf.DUMMYFUNCTION("""COMPUTED_VALUE"""),"Inception")</f>
        <v>Inception</v>
      </c>
      <c r="K17" s="18">
        <f>IFERROR(__xludf.DUMMYFUNCTION("""COMPUTED_VALUE"""),2010.0)</f>
        <v>2010</v>
      </c>
      <c r="L17" s="18" t="str">
        <f>IFERROR(__xludf.DUMMYFUNCTION("""COMPUTED_VALUE"""),"PG-13")</f>
        <v>PG-13</v>
      </c>
      <c r="M17" s="18">
        <f>IFERROR(__xludf.DUMMYFUNCTION("""COMPUTED_VALUE"""),148.0)</f>
        <v>148</v>
      </c>
      <c r="N17" s="18" t="str">
        <f>IFERROR(__xludf.DUMMYFUNCTION("""COMPUTED_VALUE"""),"Action,Adventure,Sci-Fi")</f>
        <v>Action,Adventure,Sci-Fi</v>
      </c>
      <c r="O17" s="18">
        <f>IFERROR(__xludf.DUMMYFUNCTION("""COMPUTED_VALUE"""),8.8)</f>
        <v>8.8</v>
      </c>
    </row>
    <row r="18">
      <c r="A18" s="65">
        <v>17.0</v>
      </c>
      <c r="I18" s="18">
        <f>IFERROR(__xludf.DUMMYFUNCTION("""COMPUTED_VALUE"""),10.0)</f>
        <v>10</v>
      </c>
      <c r="J18" s="18" t="str">
        <f>IFERROR(__xludf.DUMMYFUNCTION("""COMPUTED_VALUE"""),"Fight Club")</f>
        <v>Fight Club</v>
      </c>
      <c r="K18" s="18">
        <f>IFERROR(__xludf.DUMMYFUNCTION("""COMPUTED_VALUE"""),1999.0)</f>
        <v>1999</v>
      </c>
      <c r="L18" s="18" t="str">
        <f>IFERROR(__xludf.DUMMYFUNCTION("""COMPUTED_VALUE"""),"R")</f>
        <v>R</v>
      </c>
      <c r="M18" s="18">
        <f>IFERROR(__xludf.DUMMYFUNCTION("""COMPUTED_VALUE"""),139.0)</f>
        <v>139</v>
      </c>
      <c r="N18" s="18" t="str">
        <f>IFERROR(__xludf.DUMMYFUNCTION("""COMPUTED_VALUE"""),"Drama")</f>
        <v>Drama</v>
      </c>
      <c r="O18" s="18">
        <f>IFERROR(__xludf.DUMMYFUNCTION("""COMPUTED_VALUE"""),8.8)</f>
        <v>8.8</v>
      </c>
    </row>
    <row r="19">
      <c r="A19" s="65">
        <v>18.0</v>
      </c>
      <c r="H19" s="63" t="s">
        <v>141</v>
      </c>
      <c r="I19" s="18">
        <f>IFERROR(__xludf.DUMMYFUNCTION("QUERY(IMDB,""select * where G &gt;=9 and D = 'R'"")"),1.0)</f>
        <v>1</v>
      </c>
      <c r="J19" s="18" t="str">
        <f>IFERROR(__xludf.DUMMYFUNCTION("""COMPUTED_VALUE"""),"The Shawahank Redemption")</f>
        <v>The Shawahank Redemption</v>
      </c>
      <c r="K19" s="18">
        <f>IFERROR(__xludf.DUMMYFUNCTION("""COMPUTED_VALUE"""),1994.0)</f>
        <v>1994</v>
      </c>
      <c r="L19" s="18" t="str">
        <f>IFERROR(__xludf.DUMMYFUNCTION("""COMPUTED_VALUE"""),"R")</f>
        <v>R</v>
      </c>
      <c r="M19" s="18">
        <f>IFERROR(__xludf.DUMMYFUNCTION("""COMPUTED_VALUE"""),142.0)</f>
        <v>142</v>
      </c>
      <c r="N19" s="18" t="str">
        <f>IFERROR(__xludf.DUMMYFUNCTION("""COMPUTED_VALUE"""),"Drama")</f>
        <v>Drama</v>
      </c>
      <c r="O19" s="18">
        <f>IFERROR(__xludf.DUMMYFUNCTION("""COMPUTED_VALUE"""),9.3)</f>
        <v>9.3</v>
      </c>
    </row>
    <row r="20">
      <c r="A20" s="65">
        <v>19.0</v>
      </c>
      <c r="I20" s="18">
        <f>IFERROR(__xludf.DUMMYFUNCTION("""COMPUTED_VALUE"""),2.0)</f>
        <v>2</v>
      </c>
      <c r="J20" s="18" t="str">
        <f>IFERROR(__xludf.DUMMYFUNCTION("""COMPUTED_VALUE"""),"The Godfather")</f>
        <v>The Godfather</v>
      </c>
      <c r="K20" s="18">
        <f>IFERROR(__xludf.DUMMYFUNCTION("""COMPUTED_VALUE"""),1972.0)</f>
        <v>1972</v>
      </c>
      <c r="L20" s="18" t="str">
        <f>IFERROR(__xludf.DUMMYFUNCTION("""COMPUTED_VALUE"""),"R")</f>
        <v>R</v>
      </c>
      <c r="M20" s="18">
        <f>IFERROR(__xludf.DUMMYFUNCTION("""COMPUTED_VALUE"""),175.0)</f>
        <v>175</v>
      </c>
      <c r="N20" s="18" t="str">
        <f>IFERROR(__xludf.DUMMYFUNCTION("""COMPUTED_VALUE"""),"Crime,Drama")</f>
        <v>Crime,Drama</v>
      </c>
      <c r="O20" s="18">
        <f>IFERROR(__xludf.DUMMYFUNCTION("""COMPUTED_VALUE"""),9.2)</f>
        <v>9.2</v>
      </c>
    </row>
    <row r="21">
      <c r="A21" s="65">
        <v>20.0</v>
      </c>
      <c r="I21" s="18">
        <f>IFERROR(__xludf.DUMMYFUNCTION("""COMPUTED_VALUE"""),4.0)</f>
        <v>4</v>
      </c>
      <c r="J21" s="18" t="str">
        <f>IFERROR(__xludf.DUMMYFUNCTION("""COMPUTED_VALUE"""),"The Godfather : Part II")</f>
        <v>The Godfather : Part II</v>
      </c>
      <c r="K21" s="18">
        <f>IFERROR(__xludf.DUMMYFUNCTION("""COMPUTED_VALUE"""),1974.0)</f>
        <v>1974</v>
      </c>
      <c r="L21" s="18" t="str">
        <f>IFERROR(__xludf.DUMMYFUNCTION("""COMPUTED_VALUE"""),"R")</f>
        <v>R</v>
      </c>
      <c r="M21" s="18">
        <f>IFERROR(__xludf.DUMMYFUNCTION("""COMPUTED_VALUE"""),202.0)</f>
        <v>202</v>
      </c>
      <c r="N21" s="18" t="str">
        <f>IFERROR(__xludf.DUMMYFUNCTION("""COMPUTED_VALUE"""),"Crime,Drama")</f>
        <v>Crime,Drama</v>
      </c>
      <c r="O21" s="18">
        <f>IFERROR(__xludf.DUMMYFUNCTION("""COMPUTED_VALUE"""),9.0)</f>
        <v>9</v>
      </c>
    </row>
    <row r="22">
      <c r="A22" s="65">
        <v>21.0</v>
      </c>
      <c r="H22" s="63" t="s">
        <v>142</v>
      </c>
      <c r="I22" s="18" t="str">
        <f>IFERROR(__xludf.DUMMYFUNCTION("QUERY(IMDB,""select B,F where F like '%Drama%' "")"),"The Shawahank Redemption")</f>
        <v>The Shawahank Redemption</v>
      </c>
      <c r="J22" s="18" t="str">
        <f>IFERROR(__xludf.DUMMYFUNCTION("""COMPUTED_VALUE"""),"Drama")</f>
        <v>Drama</v>
      </c>
    </row>
    <row r="23">
      <c r="A23" s="65">
        <v>22.0</v>
      </c>
      <c r="I23" s="18" t="str">
        <f>IFERROR(__xludf.DUMMYFUNCTION("""COMPUTED_VALUE"""),"The Godfather")</f>
        <v>The Godfather</v>
      </c>
      <c r="J23" s="18" t="str">
        <f>IFERROR(__xludf.DUMMYFUNCTION("""COMPUTED_VALUE"""),"Crime,Drama")</f>
        <v>Crime,Drama</v>
      </c>
    </row>
    <row r="24">
      <c r="A24" s="65">
        <v>23.0</v>
      </c>
      <c r="I24" s="18" t="str">
        <f>IFERROR(__xludf.DUMMYFUNCTION("""COMPUTED_VALUE"""),"The Dark Knight")</f>
        <v>The Dark Knight</v>
      </c>
      <c r="J24" s="18" t="str">
        <f>IFERROR(__xludf.DUMMYFUNCTION("""COMPUTED_VALUE"""),"Action,Crime,Drama")</f>
        <v>Action,Crime,Drama</v>
      </c>
    </row>
    <row r="25">
      <c r="A25" s="65">
        <v>24.0</v>
      </c>
      <c r="I25" s="18" t="str">
        <f>IFERROR(__xludf.DUMMYFUNCTION("""COMPUTED_VALUE"""),"The Godfather : Part II")</f>
        <v>The Godfather : Part II</v>
      </c>
      <c r="J25" s="18" t="str">
        <f>IFERROR(__xludf.DUMMYFUNCTION("""COMPUTED_VALUE"""),"Crime,Drama")</f>
        <v>Crime,Drama</v>
      </c>
    </row>
    <row r="26">
      <c r="A26" s="65">
        <v>25.0</v>
      </c>
      <c r="I26" s="18" t="str">
        <f>IFERROR(__xludf.DUMMYFUNCTION("""COMPUTED_VALUE"""),"The Lord Of the Ring : The Re")</f>
        <v>The Lord Of the Ring : The Re</v>
      </c>
      <c r="J26" s="18" t="str">
        <f>IFERROR(__xludf.DUMMYFUNCTION("""COMPUTED_VALUE"""),"Action,Adventure,Drama")</f>
        <v>Action,Adventure,Drama</v>
      </c>
    </row>
    <row r="27">
      <c r="A27" s="65">
        <v>26.0</v>
      </c>
      <c r="I27" s="18" t="str">
        <f>IFERROR(__xludf.DUMMYFUNCTION("""COMPUTED_VALUE"""),"Plup Fiction")</f>
        <v>Plup Fiction</v>
      </c>
      <c r="J27" s="18" t="str">
        <f>IFERROR(__xludf.DUMMYFUNCTION("""COMPUTED_VALUE"""),"Crime,Drama")</f>
        <v>Crime,Drama</v>
      </c>
    </row>
    <row r="28">
      <c r="A28" s="65">
        <v>27.0</v>
      </c>
      <c r="I28" s="18" t="str">
        <f>IFERROR(__xludf.DUMMYFUNCTION("""COMPUTED_VALUE"""),"Schindler's List")</f>
        <v>Schindler's List</v>
      </c>
      <c r="J28" s="18" t="str">
        <f>IFERROR(__xludf.DUMMYFUNCTION("""COMPUTED_VALUE"""),"Biography,Drama,History")</f>
        <v>Biography,Drama,History</v>
      </c>
    </row>
    <row r="29">
      <c r="A29" s="65">
        <v>28.0</v>
      </c>
      <c r="I29" s="18" t="str">
        <f>IFERROR(__xludf.DUMMYFUNCTION("""COMPUTED_VALUE"""),"12 Angry Men")</f>
        <v>12 Angry Men</v>
      </c>
      <c r="J29" s="18" t="str">
        <f>IFERROR(__xludf.DUMMYFUNCTION("""COMPUTED_VALUE"""),"Crime,Drama")</f>
        <v>Crime,Drama</v>
      </c>
    </row>
    <row r="30">
      <c r="A30" s="65">
        <v>29.0</v>
      </c>
      <c r="I30" s="18" t="str">
        <f>IFERROR(__xludf.DUMMYFUNCTION("""COMPUTED_VALUE"""),"Fight Club")</f>
        <v>Fight Club</v>
      </c>
      <c r="J30" s="18" t="str">
        <f>IFERROR(__xludf.DUMMYFUNCTION("""COMPUTED_VALUE"""),"Drama")</f>
        <v>Drama</v>
      </c>
    </row>
    <row r="31">
      <c r="A31" s="65">
        <v>30.0</v>
      </c>
    </row>
    <row r="32">
      <c r="A32" s="65">
        <v>31.0</v>
      </c>
      <c r="H32" s="63" t="s">
        <v>143</v>
      </c>
    </row>
    <row r="33">
      <c r="A33" s="65">
        <v>32.0</v>
      </c>
      <c r="H33" s="18" t="str">
        <f>IFERROR(__xludf.DUMMYFUNCTION("QUERY(IMDB,""select avg(E),sum(E),min(E),max(E),count(E)"")"),"avg ")</f>
        <v>avg </v>
      </c>
      <c r="I33" s="18" t="str">
        <f>IFERROR(__xludf.DUMMYFUNCTION("""COMPUTED_VALUE"""),"sum ")</f>
        <v>sum </v>
      </c>
      <c r="J33" s="18" t="str">
        <f>IFERROR(__xludf.DUMMYFUNCTION("""COMPUTED_VALUE"""),"min ")</f>
        <v>min </v>
      </c>
      <c r="K33" s="18" t="str">
        <f>IFERROR(__xludf.DUMMYFUNCTION("""COMPUTED_VALUE"""),"max ")</f>
        <v>max </v>
      </c>
      <c r="L33" s="18" t="str">
        <f>IFERROR(__xludf.DUMMYFUNCTION("""COMPUTED_VALUE"""),"count ")</f>
        <v>count </v>
      </c>
    </row>
    <row r="34">
      <c r="A34" s="65">
        <v>33.0</v>
      </c>
      <c r="H34" s="18">
        <f>IFERROR(__xludf.DUMMYFUNCTION("""COMPUTED_VALUE"""),160.4)</f>
        <v>160.4</v>
      </c>
      <c r="I34" s="18">
        <f>IFERROR(__xludf.DUMMYFUNCTION("""COMPUTED_VALUE"""),1604.0)</f>
        <v>1604</v>
      </c>
      <c r="J34" s="18">
        <f>IFERROR(__xludf.DUMMYFUNCTION("""COMPUTED_VALUE"""),96.0)</f>
        <v>96</v>
      </c>
      <c r="K34" s="18">
        <f>IFERROR(__xludf.DUMMYFUNCTION("""COMPUTED_VALUE"""),202.0)</f>
        <v>202</v>
      </c>
      <c r="L34" s="18">
        <f>IFERROR(__xludf.DUMMYFUNCTION("""COMPUTED_VALUE"""),10.0)</f>
        <v>10</v>
      </c>
    </row>
    <row r="35">
      <c r="A35" s="65">
        <v>34.0</v>
      </c>
    </row>
    <row r="36">
      <c r="A36" s="65">
        <v>35.0</v>
      </c>
      <c r="H36" s="34" t="str">
        <f>IFERROR(__xludf.DUMMYFUNCTION("QUERY(IMDB,""select D,AVG(E),sum(E),count(E) group by D"")"),"")</f>
        <v/>
      </c>
      <c r="I36" s="18" t="str">
        <f>IFERROR(__xludf.DUMMYFUNCTION("""COMPUTED_VALUE"""),"avg ")</f>
        <v>avg </v>
      </c>
      <c r="J36" s="18" t="str">
        <f>IFERROR(__xludf.DUMMYFUNCTION("""COMPUTED_VALUE"""),"sum ")</f>
        <v>sum </v>
      </c>
      <c r="K36" s="18" t="str">
        <f>IFERROR(__xludf.DUMMYFUNCTION("""COMPUTED_VALUE"""),"count ")</f>
        <v>count </v>
      </c>
    </row>
    <row r="37">
      <c r="A37" s="65">
        <v>36.0</v>
      </c>
      <c r="H37" s="18" t="str">
        <f>IFERROR(__xludf.DUMMYFUNCTION("""COMPUTED_VALUE"""),"Approved")</f>
        <v>Approved</v>
      </c>
      <c r="I37" s="18">
        <f>IFERROR(__xludf.DUMMYFUNCTION("""COMPUTED_VALUE"""),96.0)</f>
        <v>96</v>
      </c>
      <c r="J37" s="18">
        <f>IFERROR(__xludf.DUMMYFUNCTION("""COMPUTED_VALUE"""),96.0)</f>
        <v>96</v>
      </c>
      <c r="K37" s="18">
        <f>IFERROR(__xludf.DUMMYFUNCTION("""COMPUTED_VALUE"""),1.0)</f>
        <v>1</v>
      </c>
    </row>
    <row r="38">
      <c r="A38" s="65">
        <v>37.0</v>
      </c>
      <c r="H38" s="18" t="str">
        <f>IFERROR(__xludf.DUMMYFUNCTION("""COMPUTED_VALUE"""),"PG-13")</f>
        <v>PG-13</v>
      </c>
      <c r="I38" s="18">
        <f>IFERROR(__xludf.DUMMYFUNCTION("""COMPUTED_VALUE"""),167.0)</f>
        <v>167</v>
      </c>
      <c r="J38" s="18">
        <f>IFERROR(__xludf.DUMMYFUNCTION("""COMPUTED_VALUE"""),501.0)</f>
        <v>501</v>
      </c>
      <c r="K38" s="18">
        <f>IFERROR(__xludf.DUMMYFUNCTION("""COMPUTED_VALUE"""),3.0)</f>
        <v>3</v>
      </c>
    </row>
    <row r="39">
      <c r="A39" s="65">
        <v>38.0</v>
      </c>
      <c r="H39" s="18" t="str">
        <f>IFERROR(__xludf.DUMMYFUNCTION("""COMPUTED_VALUE"""),"R")</f>
        <v>R</v>
      </c>
      <c r="I39" s="18">
        <f>IFERROR(__xludf.DUMMYFUNCTION("""COMPUTED_VALUE"""),167.83333333333334)</f>
        <v>167.8333333</v>
      </c>
      <c r="J39" s="18">
        <f>IFERROR(__xludf.DUMMYFUNCTION("""COMPUTED_VALUE"""),1007.0)</f>
        <v>1007</v>
      </c>
      <c r="K39" s="18">
        <f>IFERROR(__xludf.DUMMYFUNCTION("""COMPUTED_VALUE"""),6.0)</f>
        <v>6</v>
      </c>
    </row>
    <row r="40">
      <c r="A40" s="65">
        <v>39.0</v>
      </c>
    </row>
    <row r="41">
      <c r="A41" s="65">
        <v>40.0</v>
      </c>
      <c r="H41" s="63" t="s">
        <v>144</v>
      </c>
      <c r="K41" s="63" t="s">
        <v>145</v>
      </c>
    </row>
    <row r="42">
      <c r="A42" s="65">
        <v>41.0</v>
      </c>
      <c r="H42" s="18" t="str">
        <f>IFERROR(__xludf.DUMMYFUNCTION("QUERY(IMDB,""select A,B,C limit 5 label A'MOVIE_ID',B'MOVIE_TITLE',C'RELEASED_YEAR'"")"),"MOVIE_ID")</f>
        <v>MOVIE_ID</v>
      </c>
      <c r="I42" s="18" t="str">
        <f>IFERROR(__xludf.DUMMYFUNCTION("""COMPUTED_VALUE"""),"MOVIE_TITLE")</f>
        <v>MOVIE_TITLE</v>
      </c>
      <c r="J42" s="18" t="str">
        <f>IFERROR(__xludf.DUMMYFUNCTION("""COMPUTED_VALUE"""),"RELEASED_YEAR")</f>
        <v>RELEASED_YEAR</v>
      </c>
      <c r="K42" s="18" t="str">
        <f>IFERROR(__xludf.DUMMYFUNCTION("QUERY(IMDB,""select D, AVG(G) where D is not null group by D
"")"),"")</f>
        <v/>
      </c>
      <c r="L42" s="18" t="str">
        <f>IFERROR(__xludf.DUMMYFUNCTION("""COMPUTED_VALUE"""),"avg ")</f>
        <v>avg </v>
      </c>
    </row>
    <row r="43">
      <c r="A43" s="65">
        <v>42.0</v>
      </c>
      <c r="H43" s="18">
        <f>IFERROR(__xludf.DUMMYFUNCTION("""COMPUTED_VALUE"""),1.0)</f>
        <v>1</v>
      </c>
      <c r="I43" s="18" t="str">
        <f>IFERROR(__xludf.DUMMYFUNCTION("""COMPUTED_VALUE"""),"The Shawahank Redemption")</f>
        <v>The Shawahank Redemption</v>
      </c>
      <c r="J43" s="18">
        <f>IFERROR(__xludf.DUMMYFUNCTION("""COMPUTED_VALUE"""),1994.0)</f>
        <v>1994</v>
      </c>
      <c r="K43" s="18" t="str">
        <f>IFERROR(__xludf.DUMMYFUNCTION("""COMPUTED_VALUE"""),"Approved")</f>
        <v>Approved</v>
      </c>
      <c r="L43" s="18">
        <f>IFERROR(__xludf.DUMMYFUNCTION("""COMPUTED_VALUE"""),8.9)</f>
        <v>8.9</v>
      </c>
    </row>
    <row r="44">
      <c r="A44" s="65">
        <v>43.0</v>
      </c>
      <c r="H44" s="18">
        <f>IFERROR(__xludf.DUMMYFUNCTION("""COMPUTED_VALUE"""),2.0)</f>
        <v>2</v>
      </c>
      <c r="I44" s="18" t="str">
        <f>IFERROR(__xludf.DUMMYFUNCTION("""COMPUTED_VALUE"""),"The Godfather")</f>
        <v>The Godfather</v>
      </c>
      <c r="J44" s="18">
        <f>IFERROR(__xludf.DUMMYFUNCTION("""COMPUTED_VALUE"""),1972.0)</f>
        <v>1972</v>
      </c>
      <c r="K44" s="18" t="str">
        <f>IFERROR(__xludf.DUMMYFUNCTION("""COMPUTED_VALUE"""),"PG-13")</f>
        <v>PG-13</v>
      </c>
      <c r="L44" s="18">
        <f>IFERROR(__xludf.DUMMYFUNCTION("""COMPUTED_VALUE"""),8.9)</f>
        <v>8.9</v>
      </c>
    </row>
    <row r="45">
      <c r="A45" s="65">
        <v>44.0</v>
      </c>
      <c r="H45" s="18">
        <f>IFERROR(__xludf.DUMMYFUNCTION("""COMPUTED_VALUE"""),3.0)</f>
        <v>3</v>
      </c>
      <c r="I45" s="18" t="str">
        <f>IFERROR(__xludf.DUMMYFUNCTION("""COMPUTED_VALUE"""),"The Dark Knight")</f>
        <v>The Dark Knight</v>
      </c>
      <c r="J45" s="18">
        <f>IFERROR(__xludf.DUMMYFUNCTION("""COMPUTED_VALUE"""),2008.0)</f>
        <v>2008</v>
      </c>
      <c r="K45" s="18" t="str">
        <f>IFERROR(__xludf.DUMMYFUNCTION("""COMPUTED_VALUE"""),"R")</f>
        <v>R</v>
      </c>
      <c r="L45" s="18">
        <f>IFERROR(__xludf.DUMMYFUNCTION("""COMPUTED_VALUE"""),9.016666666666666)</f>
        <v>9.016666667</v>
      </c>
    </row>
    <row r="46">
      <c r="A46" s="65">
        <v>45.0</v>
      </c>
      <c r="H46" s="18">
        <f>IFERROR(__xludf.DUMMYFUNCTION("""COMPUTED_VALUE"""),4.0)</f>
        <v>4</v>
      </c>
      <c r="I46" s="18" t="str">
        <f>IFERROR(__xludf.DUMMYFUNCTION("""COMPUTED_VALUE"""),"The Godfather : Part II")</f>
        <v>The Godfather : Part II</v>
      </c>
      <c r="J46" s="18">
        <f>IFERROR(__xludf.DUMMYFUNCTION("""COMPUTED_VALUE"""),1974.0)</f>
        <v>1974</v>
      </c>
    </row>
    <row r="47">
      <c r="A47" s="65">
        <v>46.0</v>
      </c>
      <c r="H47" s="18">
        <f>IFERROR(__xludf.DUMMYFUNCTION("""COMPUTED_VALUE"""),5.0)</f>
        <v>5</v>
      </c>
      <c r="I47" s="18" t="str">
        <f>IFERROR(__xludf.DUMMYFUNCTION("""COMPUTED_VALUE"""),"The Lord Of the Ring : The Re")</f>
        <v>The Lord Of the Ring : The Re</v>
      </c>
      <c r="J47" s="18">
        <f>IFERROR(__xludf.DUMMYFUNCTION("""COMPUTED_VALUE"""),2003.0)</f>
        <v>2003</v>
      </c>
    </row>
    <row r="48">
      <c r="A48" s="65">
        <v>47.0</v>
      </c>
    </row>
    <row r="49">
      <c r="A49" s="65">
        <v>48.0</v>
      </c>
      <c r="H49" s="63" t="s">
        <v>146</v>
      </c>
      <c r="J49" s="63" t="s">
        <v>147</v>
      </c>
    </row>
    <row r="50">
      <c r="A50" s="65">
        <v>49.0</v>
      </c>
      <c r="H50" s="18" t="str">
        <f>IFERROR(__xludf.DUMMYFUNCTION("TRANSPOSE(QUERY(IMDB,""select AVG(G) where D is not null pivot D""))"),"Approved")</f>
        <v>Approved</v>
      </c>
      <c r="I50" s="18">
        <f>IFERROR(__xludf.DUMMYFUNCTION("""COMPUTED_VALUE"""),8.9)</f>
        <v>8.9</v>
      </c>
      <c r="J50" s="18" t="str">
        <f>IFERROR(__xludf.DUMMYFUNCTION("QUERY(IMDB,""select B,D,E,G where D is not null order by D,E desc"")"),"12 Angry Men")</f>
        <v>12 Angry Men</v>
      </c>
      <c r="K50" s="18" t="str">
        <f>IFERROR(__xludf.DUMMYFUNCTION("""COMPUTED_VALUE"""),"Approved")</f>
        <v>Approved</v>
      </c>
      <c r="L50" s="18">
        <f>IFERROR(__xludf.DUMMYFUNCTION("""COMPUTED_VALUE"""),96.0)</f>
        <v>96</v>
      </c>
      <c r="M50" s="18">
        <f>IFERROR(__xludf.DUMMYFUNCTION("""COMPUTED_VALUE"""),8.9)</f>
        <v>8.9</v>
      </c>
    </row>
    <row r="51">
      <c r="A51" s="65">
        <v>50.0</v>
      </c>
      <c r="H51" s="18" t="str">
        <f>IFERROR(__xludf.DUMMYFUNCTION("""COMPUTED_VALUE"""),"PG-13")</f>
        <v>PG-13</v>
      </c>
      <c r="I51" s="18">
        <f>IFERROR(__xludf.DUMMYFUNCTION("""COMPUTED_VALUE"""),8.9)</f>
        <v>8.9</v>
      </c>
      <c r="J51" s="18" t="str">
        <f>IFERROR(__xludf.DUMMYFUNCTION("""COMPUTED_VALUE"""),"The Lord Of the Ring : The Re")</f>
        <v>The Lord Of the Ring : The Re</v>
      </c>
      <c r="K51" s="18" t="str">
        <f>IFERROR(__xludf.DUMMYFUNCTION("""COMPUTED_VALUE"""),"PG-13")</f>
        <v>PG-13</v>
      </c>
      <c r="L51" s="18">
        <f>IFERROR(__xludf.DUMMYFUNCTION("""COMPUTED_VALUE"""),201.0)</f>
        <v>201</v>
      </c>
      <c r="M51" s="18">
        <f>IFERROR(__xludf.DUMMYFUNCTION("""COMPUTED_VALUE"""),8.9)</f>
        <v>8.9</v>
      </c>
    </row>
    <row r="52">
      <c r="A52" s="65">
        <v>51.0</v>
      </c>
      <c r="H52" s="18" t="str">
        <f>IFERROR(__xludf.DUMMYFUNCTION("""COMPUTED_VALUE"""),"R")</f>
        <v>R</v>
      </c>
      <c r="I52" s="18">
        <f>IFERROR(__xludf.DUMMYFUNCTION("""COMPUTED_VALUE"""),9.016666666666666)</f>
        <v>9.016666667</v>
      </c>
      <c r="J52" s="18" t="str">
        <f>IFERROR(__xludf.DUMMYFUNCTION("""COMPUTED_VALUE"""),"The Dark Knight")</f>
        <v>The Dark Knight</v>
      </c>
      <c r="K52" s="18" t="str">
        <f>IFERROR(__xludf.DUMMYFUNCTION("""COMPUTED_VALUE"""),"PG-13")</f>
        <v>PG-13</v>
      </c>
      <c r="L52" s="18">
        <f>IFERROR(__xludf.DUMMYFUNCTION("""COMPUTED_VALUE"""),152.0)</f>
        <v>152</v>
      </c>
      <c r="M52" s="18">
        <f>IFERROR(__xludf.DUMMYFUNCTION("""COMPUTED_VALUE"""),9.0)</f>
        <v>9</v>
      </c>
    </row>
    <row r="53">
      <c r="A53" s="65">
        <v>52.0</v>
      </c>
      <c r="J53" s="18" t="str">
        <f>IFERROR(__xludf.DUMMYFUNCTION("""COMPUTED_VALUE"""),"Inception")</f>
        <v>Inception</v>
      </c>
      <c r="K53" s="18" t="str">
        <f>IFERROR(__xludf.DUMMYFUNCTION("""COMPUTED_VALUE"""),"PG-13")</f>
        <v>PG-13</v>
      </c>
      <c r="L53" s="18">
        <f>IFERROR(__xludf.DUMMYFUNCTION("""COMPUTED_VALUE"""),148.0)</f>
        <v>148</v>
      </c>
      <c r="M53" s="18">
        <f>IFERROR(__xludf.DUMMYFUNCTION("""COMPUTED_VALUE"""),8.8)</f>
        <v>8.8</v>
      </c>
    </row>
    <row r="54">
      <c r="A54" s="65">
        <v>53.0</v>
      </c>
      <c r="J54" s="18" t="str">
        <f>IFERROR(__xludf.DUMMYFUNCTION("""COMPUTED_VALUE"""),"The Godfather : Part II")</f>
        <v>The Godfather : Part II</v>
      </c>
      <c r="K54" s="18" t="str">
        <f>IFERROR(__xludf.DUMMYFUNCTION("""COMPUTED_VALUE"""),"R")</f>
        <v>R</v>
      </c>
      <c r="L54" s="18">
        <f>IFERROR(__xludf.DUMMYFUNCTION("""COMPUTED_VALUE"""),202.0)</f>
        <v>202</v>
      </c>
      <c r="M54" s="18">
        <f>IFERROR(__xludf.DUMMYFUNCTION("""COMPUTED_VALUE"""),9.0)</f>
        <v>9</v>
      </c>
    </row>
    <row r="55">
      <c r="A55" s="65">
        <v>54.0</v>
      </c>
      <c r="J55" s="18" t="str">
        <f>IFERROR(__xludf.DUMMYFUNCTION("""COMPUTED_VALUE"""),"Schindler's List")</f>
        <v>Schindler's List</v>
      </c>
      <c r="K55" s="18" t="str">
        <f>IFERROR(__xludf.DUMMYFUNCTION("""COMPUTED_VALUE"""),"R")</f>
        <v>R</v>
      </c>
      <c r="L55" s="18">
        <f>IFERROR(__xludf.DUMMYFUNCTION("""COMPUTED_VALUE"""),195.0)</f>
        <v>195</v>
      </c>
      <c r="M55" s="18">
        <f>IFERROR(__xludf.DUMMYFUNCTION("""COMPUTED_VALUE"""),8.9)</f>
        <v>8.9</v>
      </c>
    </row>
    <row r="56">
      <c r="A56" s="65">
        <v>55.0</v>
      </c>
      <c r="J56" s="18" t="str">
        <f>IFERROR(__xludf.DUMMYFUNCTION("""COMPUTED_VALUE"""),"The Godfather")</f>
        <v>The Godfather</v>
      </c>
      <c r="K56" s="18" t="str">
        <f>IFERROR(__xludf.DUMMYFUNCTION("""COMPUTED_VALUE"""),"R")</f>
        <v>R</v>
      </c>
      <c r="L56" s="18">
        <f>IFERROR(__xludf.DUMMYFUNCTION("""COMPUTED_VALUE"""),175.0)</f>
        <v>175</v>
      </c>
      <c r="M56" s="18">
        <f>IFERROR(__xludf.DUMMYFUNCTION("""COMPUTED_VALUE"""),9.2)</f>
        <v>9.2</v>
      </c>
    </row>
    <row r="57">
      <c r="A57" s="65">
        <v>56.0</v>
      </c>
      <c r="J57" s="18" t="str">
        <f>IFERROR(__xludf.DUMMYFUNCTION("""COMPUTED_VALUE"""),"Plup Fiction")</f>
        <v>Plup Fiction</v>
      </c>
      <c r="K57" s="18" t="str">
        <f>IFERROR(__xludf.DUMMYFUNCTION("""COMPUTED_VALUE"""),"R")</f>
        <v>R</v>
      </c>
      <c r="L57" s="18">
        <f>IFERROR(__xludf.DUMMYFUNCTION("""COMPUTED_VALUE"""),154.0)</f>
        <v>154</v>
      </c>
      <c r="M57" s="18">
        <f>IFERROR(__xludf.DUMMYFUNCTION("""COMPUTED_VALUE"""),8.9)</f>
        <v>8.9</v>
      </c>
    </row>
    <row r="58">
      <c r="A58" s="65">
        <v>57.0</v>
      </c>
      <c r="J58" s="18" t="str">
        <f>IFERROR(__xludf.DUMMYFUNCTION("""COMPUTED_VALUE"""),"The Shawahank Redemption")</f>
        <v>The Shawahank Redemption</v>
      </c>
      <c r="K58" s="18" t="str">
        <f>IFERROR(__xludf.DUMMYFUNCTION("""COMPUTED_VALUE"""),"R")</f>
        <v>R</v>
      </c>
      <c r="L58" s="18">
        <f>IFERROR(__xludf.DUMMYFUNCTION("""COMPUTED_VALUE"""),142.0)</f>
        <v>142</v>
      </c>
      <c r="M58" s="18">
        <f>IFERROR(__xludf.DUMMYFUNCTION("""COMPUTED_VALUE"""),9.3)</f>
        <v>9.3</v>
      </c>
    </row>
    <row r="59">
      <c r="A59" s="65">
        <v>58.0</v>
      </c>
      <c r="J59" s="18" t="str">
        <f>IFERROR(__xludf.DUMMYFUNCTION("""COMPUTED_VALUE"""),"Fight Club")</f>
        <v>Fight Club</v>
      </c>
      <c r="K59" s="18" t="str">
        <f>IFERROR(__xludf.DUMMYFUNCTION("""COMPUTED_VALUE"""),"R")</f>
        <v>R</v>
      </c>
      <c r="L59" s="18">
        <f>IFERROR(__xludf.DUMMYFUNCTION("""COMPUTED_VALUE"""),139.0)</f>
        <v>139</v>
      </c>
      <c r="M59" s="18">
        <f>IFERROR(__xludf.DUMMYFUNCTION("""COMPUTED_VALUE"""),8.8)</f>
        <v>8.8</v>
      </c>
    </row>
    <row r="60">
      <c r="A60" s="65">
        <v>59.0</v>
      </c>
      <c r="H60" s="63" t="s">
        <v>148</v>
      </c>
      <c r="J60" s="34" t="s">
        <v>149</v>
      </c>
      <c r="K60" s="34">
        <v>1990.0</v>
      </c>
    </row>
    <row r="61">
      <c r="A61" s="65">
        <v>60.0</v>
      </c>
      <c r="H61" s="18">
        <f>IFERROR(__xludf.DUMMYFUNCTION("QUERY(IMDB,""select * where F like'%"" &amp; J60 &amp; ""%'"" &amp; ""and C &lt;"" &amp;K60)"),2.0)</f>
        <v>2</v>
      </c>
      <c r="I61" s="18" t="str">
        <f>IFERROR(__xludf.DUMMYFUNCTION("""COMPUTED_VALUE"""),"The Godfather")</f>
        <v>The Godfather</v>
      </c>
      <c r="J61" s="18">
        <f>IFERROR(__xludf.DUMMYFUNCTION("""COMPUTED_VALUE"""),1972.0)</f>
        <v>1972</v>
      </c>
      <c r="K61" s="18" t="str">
        <f>IFERROR(__xludf.DUMMYFUNCTION("""COMPUTED_VALUE"""),"R")</f>
        <v>R</v>
      </c>
      <c r="L61" s="18">
        <f>IFERROR(__xludf.DUMMYFUNCTION("""COMPUTED_VALUE"""),175.0)</f>
        <v>175</v>
      </c>
      <c r="M61" s="18" t="str">
        <f>IFERROR(__xludf.DUMMYFUNCTION("""COMPUTED_VALUE"""),"Crime,Drama")</f>
        <v>Crime,Drama</v>
      </c>
      <c r="N61" s="18">
        <f>IFERROR(__xludf.DUMMYFUNCTION("""COMPUTED_VALUE"""),9.2)</f>
        <v>9.2</v>
      </c>
    </row>
    <row r="62">
      <c r="A62" s="65">
        <v>61.0</v>
      </c>
      <c r="H62" s="18">
        <f>IFERROR(__xludf.DUMMYFUNCTION("""COMPUTED_VALUE"""),4.0)</f>
        <v>4</v>
      </c>
      <c r="I62" s="18" t="str">
        <f>IFERROR(__xludf.DUMMYFUNCTION("""COMPUTED_VALUE"""),"The Godfather : Part II")</f>
        <v>The Godfather : Part II</v>
      </c>
      <c r="J62" s="18">
        <f>IFERROR(__xludf.DUMMYFUNCTION("""COMPUTED_VALUE"""),1974.0)</f>
        <v>1974</v>
      </c>
      <c r="K62" s="18" t="str">
        <f>IFERROR(__xludf.DUMMYFUNCTION("""COMPUTED_VALUE"""),"R")</f>
        <v>R</v>
      </c>
      <c r="L62" s="18">
        <f>IFERROR(__xludf.DUMMYFUNCTION("""COMPUTED_VALUE"""),202.0)</f>
        <v>202</v>
      </c>
      <c r="M62" s="18" t="str">
        <f>IFERROR(__xludf.DUMMYFUNCTION("""COMPUTED_VALUE"""),"Crime,Drama")</f>
        <v>Crime,Drama</v>
      </c>
      <c r="N62" s="18">
        <f>IFERROR(__xludf.DUMMYFUNCTION("""COMPUTED_VALUE"""),9.0)</f>
        <v>9</v>
      </c>
    </row>
    <row r="63">
      <c r="A63" s="65">
        <v>62.0</v>
      </c>
      <c r="H63" s="18">
        <f>IFERROR(__xludf.DUMMYFUNCTION("""COMPUTED_VALUE"""),8.0)</f>
        <v>8</v>
      </c>
      <c r="I63" s="18" t="str">
        <f>IFERROR(__xludf.DUMMYFUNCTION("""COMPUTED_VALUE"""),"12 Angry Men")</f>
        <v>12 Angry Men</v>
      </c>
      <c r="J63" s="18">
        <f>IFERROR(__xludf.DUMMYFUNCTION("""COMPUTED_VALUE"""),1957.0)</f>
        <v>1957</v>
      </c>
      <c r="K63" s="18" t="str">
        <f>IFERROR(__xludf.DUMMYFUNCTION("""COMPUTED_VALUE"""),"Approved")</f>
        <v>Approved</v>
      </c>
      <c r="L63" s="18">
        <f>IFERROR(__xludf.DUMMYFUNCTION("""COMPUTED_VALUE"""),96.0)</f>
        <v>96</v>
      </c>
      <c r="M63" s="18" t="str">
        <f>IFERROR(__xludf.DUMMYFUNCTION("""COMPUTED_VALUE"""),"Crime,Drama")</f>
        <v>Crime,Drama</v>
      </c>
      <c r="N63" s="18">
        <f>IFERROR(__xludf.DUMMYFUNCTION("""COMPUTED_VALUE"""),8.9)</f>
        <v>8.9</v>
      </c>
    </row>
    <row r="64">
      <c r="A64" s="65">
        <v>63.0</v>
      </c>
    </row>
    <row r="65">
      <c r="A65" s="65">
        <v>64.0</v>
      </c>
    </row>
    <row r="66">
      <c r="A66" s="65">
        <v>65.0</v>
      </c>
    </row>
    <row r="67">
      <c r="A67" s="65">
        <v>66.0</v>
      </c>
    </row>
    <row r="68">
      <c r="A68" s="65">
        <v>67.0</v>
      </c>
    </row>
    <row r="69">
      <c r="A69" s="65">
        <v>68.0</v>
      </c>
    </row>
    <row r="70">
      <c r="A70" s="65">
        <v>69.0</v>
      </c>
    </row>
    <row r="71">
      <c r="A71" s="65">
        <v>70.0</v>
      </c>
    </row>
    <row r="72">
      <c r="A72" s="65">
        <v>71.0</v>
      </c>
    </row>
    <row r="73">
      <c r="A73" s="65">
        <v>72.0</v>
      </c>
    </row>
    <row r="74">
      <c r="A74" s="65">
        <v>73.0</v>
      </c>
    </row>
    <row r="75">
      <c r="A75" s="65">
        <v>74.0</v>
      </c>
    </row>
    <row r="76">
      <c r="A76" s="65">
        <v>75.0</v>
      </c>
    </row>
    <row r="77">
      <c r="A77" s="65">
        <v>76.0</v>
      </c>
    </row>
    <row r="78">
      <c r="A78" s="65">
        <v>77.0</v>
      </c>
    </row>
    <row r="79">
      <c r="A79" s="65">
        <v>78.0</v>
      </c>
    </row>
    <row r="80">
      <c r="A80" s="65">
        <v>79.0</v>
      </c>
    </row>
    <row r="81">
      <c r="A81" s="65">
        <v>80.0</v>
      </c>
    </row>
    <row r="82">
      <c r="A82" s="65">
        <v>81.0</v>
      </c>
    </row>
    <row r="83">
      <c r="A83" s="65">
        <v>82.0</v>
      </c>
    </row>
    <row r="84">
      <c r="A84" s="65">
        <v>83.0</v>
      </c>
    </row>
    <row r="85">
      <c r="A85" s="65">
        <v>84.0</v>
      </c>
    </row>
    <row r="86">
      <c r="A86" s="65">
        <v>85.0</v>
      </c>
    </row>
    <row r="87">
      <c r="A87" s="65">
        <v>86.0</v>
      </c>
    </row>
    <row r="88">
      <c r="A88" s="65">
        <v>87.0</v>
      </c>
    </row>
    <row r="89">
      <c r="A89" s="65">
        <v>88.0</v>
      </c>
    </row>
    <row r="90">
      <c r="A90" s="65">
        <v>89.0</v>
      </c>
    </row>
    <row r="91">
      <c r="A91" s="65">
        <v>90.0</v>
      </c>
    </row>
    <row r="92">
      <c r="A92" s="65">
        <v>91.0</v>
      </c>
    </row>
    <row r="93">
      <c r="A93" s="65">
        <v>92.0</v>
      </c>
    </row>
    <row r="94">
      <c r="A94" s="65">
        <v>93.0</v>
      </c>
    </row>
    <row r="95">
      <c r="A95" s="65">
        <v>94.0</v>
      </c>
    </row>
    <row r="96">
      <c r="A96" s="65">
        <v>95.0</v>
      </c>
    </row>
    <row r="97">
      <c r="A97" s="65">
        <v>96.0</v>
      </c>
    </row>
    <row r="98">
      <c r="A98" s="65">
        <v>97.0</v>
      </c>
    </row>
    <row r="99">
      <c r="A99" s="65">
        <v>98.0</v>
      </c>
    </row>
    <row r="100">
      <c r="A100" s="65">
        <v>99.0</v>
      </c>
    </row>
    <row r="101">
      <c r="A101" s="65">
        <v>100.0</v>
      </c>
    </row>
    <row r="102">
      <c r="A102" s="65"/>
    </row>
  </sheetData>
  <dataValidations>
    <dataValidation type="list" allowBlank="1" sqref="J60">
      <formula1>"Action,Drama,Crime,Adventure"</formula1>
    </dataValidation>
    <dataValidation type="list" allowBlank="1" sqref="K60">
      <formula1>"1990,2000,2010"</formula1>
    </dataValidation>
  </dataValidations>
  <drawing r:id="rId1"/>
</worksheet>
</file>