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RY3R\Downloads\"/>
    </mc:Choice>
  </mc:AlternateContent>
  <xr:revisionPtr revIDLastSave="0" documentId="13_ncr:1_{73B900EE-7724-4BC2-8022-C9D02B3A5B42}" xr6:coauthVersionLast="47" xr6:coauthVersionMax="47" xr10:uidLastSave="{00000000-0000-0000-0000-000000000000}"/>
  <bookViews>
    <workbookView xWindow="-120" yWindow="-15720" windowWidth="29040" windowHeight="15840" xr2:uid="{00000000-000D-0000-FFFF-FFFF00000000}"/>
  </bookViews>
  <sheets>
    <sheet name="Makan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E50" i="1"/>
  <c r="D50" i="1"/>
  <c r="C50" i="1"/>
  <c r="G50" i="1"/>
  <c r="H50" i="1"/>
  <c r="I50" i="1"/>
  <c r="J50" i="1"/>
  <c r="F26" i="1"/>
  <c r="E26" i="1"/>
  <c r="D26" i="1"/>
  <c r="H26" i="1" s="1"/>
  <c r="C26" i="1"/>
  <c r="F27" i="1"/>
  <c r="E27" i="1"/>
  <c r="D27" i="1"/>
  <c r="C27" i="1"/>
  <c r="F24" i="1"/>
  <c r="J24" i="1" s="1"/>
  <c r="E24" i="1"/>
  <c r="I24" i="1" s="1"/>
  <c r="D24" i="1"/>
  <c r="H24" i="1" s="1"/>
  <c r="C24" i="1"/>
  <c r="G24" i="1" s="1"/>
  <c r="F28" i="1"/>
  <c r="E28" i="1"/>
  <c r="D28" i="1"/>
  <c r="H28" i="1" s="1"/>
  <c r="C28" i="1"/>
  <c r="F25" i="1"/>
  <c r="E25" i="1"/>
  <c r="D25" i="1"/>
  <c r="C25" i="1"/>
  <c r="G26" i="1"/>
  <c r="I26" i="1"/>
  <c r="J26" i="1"/>
  <c r="G27" i="1"/>
  <c r="H27" i="1"/>
  <c r="I27" i="1"/>
  <c r="J27" i="1"/>
  <c r="G28" i="1"/>
  <c r="I28" i="1"/>
  <c r="J28" i="1"/>
  <c r="G25" i="1"/>
  <c r="H25" i="1"/>
  <c r="I25" i="1"/>
  <c r="J25" i="1"/>
  <c r="F17" i="1"/>
  <c r="J17" i="1" s="1"/>
  <c r="E17" i="1"/>
  <c r="I17" i="1" s="1"/>
  <c r="D17" i="1"/>
  <c r="H17" i="1" s="1"/>
  <c r="C17" i="1"/>
  <c r="G17" i="1" s="1"/>
  <c r="C52" i="1"/>
  <c r="G52" i="1" s="1"/>
  <c r="F52" i="1"/>
  <c r="J52" i="1" s="1"/>
  <c r="E52" i="1"/>
  <c r="I52" i="1" s="1"/>
  <c r="D52" i="1"/>
  <c r="H52" i="1" s="1"/>
  <c r="F54" i="1"/>
  <c r="J54" i="1" s="1"/>
  <c r="E54" i="1"/>
  <c r="I54" i="1" s="1"/>
  <c r="D54" i="1"/>
  <c r="H54" i="1" s="1"/>
  <c r="C54" i="1"/>
  <c r="G54" i="1" s="1"/>
  <c r="D53" i="1"/>
  <c r="H53" i="1" s="1"/>
  <c r="F53" i="1"/>
  <c r="J53" i="1" s="1"/>
  <c r="E53" i="1"/>
  <c r="I53" i="1" s="1"/>
  <c r="C53" i="1"/>
  <c r="G53" i="1" s="1"/>
  <c r="F39" i="1"/>
  <c r="J39" i="1" s="1"/>
  <c r="E39" i="1"/>
  <c r="I39" i="1" s="1"/>
  <c r="D39" i="1"/>
  <c r="H39" i="1" s="1"/>
  <c r="C39" i="1"/>
  <c r="G39" i="1" s="1"/>
  <c r="F47" i="1"/>
  <c r="J47" i="1" s="1"/>
  <c r="E47" i="1"/>
  <c r="I47" i="1" s="1"/>
  <c r="D47" i="1"/>
  <c r="H47" i="1" s="1"/>
  <c r="C47" i="1"/>
  <c r="G47" i="1" s="1"/>
  <c r="F51" i="1"/>
  <c r="J51" i="1" s="1"/>
  <c r="E51" i="1"/>
  <c r="I51" i="1" s="1"/>
  <c r="D51" i="1"/>
  <c r="H51" i="1" s="1"/>
  <c r="C51" i="1"/>
  <c r="G51" i="1" s="1"/>
  <c r="F30" i="1"/>
  <c r="J30" i="1" s="1"/>
  <c r="E30" i="1"/>
  <c r="I30" i="1" s="1"/>
  <c r="D30" i="1"/>
  <c r="H30" i="1" s="1"/>
  <c r="C30" i="1"/>
  <c r="G30" i="1" s="1"/>
  <c r="F33" i="1"/>
  <c r="J33" i="1" s="1"/>
  <c r="E33" i="1"/>
  <c r="I33" i="1" s="1"/>
  <c r="D33" i="1"/>
  <c r="H33" i="1" s="1"/>
  <c r="C33" i="1"/>
  <c r="G33" i="1" s="1"/>
  <c r="F32" i="1"/>
  <c r="J32" i="1" s="1"/>
  <c r="E32" i="1"/>
  <c r="I32" i="1" s="1"/>
  <c r="D32" i="1"/>
  <c r="H32" i="1" s="1"/>
  <c r="C32" i="1"/>
  <c r="G32" i="1" s="1"/>
  <c r="F31" i="1"/>
  <c r="J31" i="1" s="1"/>
  <c r="E31" i="1"/>
  <c r="I31" i="1" s="1"/>
  <c r="D31" i="1"/>
  <c r="H31" i="1" s="1"/>
  <c r="C31" i="1"/>
  <c r="G31" i="1" s="1"/>
  <c r="F29" i="1"/>
  <c r="J29" i="1" s="1"/>
  <c r="E29" i="1"/>
  <c r="I29" i="1" s="1"/>
  <c r="D29" i="1"/>
  <c r="H29" i="1" s="1"/>
  <c r="C29" i="1"/>
  <c r="G29" i="1" s="1"/>
  <c r="D34" i="1"/>
  <c r="H34" i="1" s="1"/>
  <c r="C34" i="1"/>
  <c r="G34" i="1" s="1"/>
  <c r="I34" i="1"/>
  <c r="J34" i="1"/>
  <c r="C21" i="1"/>
  <c r="G21" i="1" s="1"/>
  <c r="D21" i="1"/>
  <c r="H21" i="1" s="1"/>
  <c r="E21" i="1"/>
  <c r="I21" i="1" s="1"/>
  <c r="F21" i="1"/>
  <c r="J21" i="1" s="1"/>
  <c r="F11" i="1"/>
  <c r="C11" i="1"/>
  <c r="D11" i="1"/>
  <c r="E11" i="1"/>
  <c r="B11" i="1" s="1"/>
  <c r="C13" i="1"/>
  <c r="D13" i="1"/>
  <c r="E13" i="1"/>
  <c r="B13" i="1" s="1"/>
  <c r="F13" i="1"/>
  <c r="C12" i="1"/>
  <c r="D12" i="1"/>
  <c r="E12" i="1"/>
  <c r="B12" i="1" s="1"/>
  <c r="F12" i="1"/>
  <c r="C7" i="1"/>
  <c r="G7" i="1" s="1"/>
  <c r="D7" i="1"/>
  <c r="H7" i="1" s="1"/>
  <c r="E7" i="1"/>
  <c r="I7" i="1" s="1"/>
  <c r="F7" i="1"/>
  <c r="J7" i="1" s="1"/>
  <c r="C8" i="1"/>
  <c r="G8" i="1" s="1"/>
  <c r="D8" i="1"/>
  <c r="H8" i="1" s="1"/>
  <c r="E8" i="1"/>
  <c r="I8" i="1" s="1"/>
  <c r="F8" i="1"/>
  <c r="J8" i="1" s="1"/>
  <c r="F49" i="1"/>
  <c r="J49" i="1" s="1"/>
  <c r="E49" i="1"/>
  <c r="I49" i="1" s="1"/>
  <c r="D49" i="1"/>
  <c r="H49" i="1" s="1"/>
  <c r="C49" i="1"/>
  <c r="G49" i="1" s="1"/>
  <c r="F35" i="1"/>
  <c r="J35" i="1" s="1"/>
  <c r="E35" i="1"/>
  <c r="I35" i="1" s="1"/>
  <c r="D35" i="1"/>
  <c r="H35" i="1" s="1"/>
  <c r="C35" i="1"/>
  <c r="G35" i="1" s="1"/>
  <c r="F36" i="1"/>
  <c r="J36" i="1" s="1"/>
  <c r="E36" i="1"/>
  <c r="I36" i="1" s="1"/>
  <c r="D36" i="1"/>
  <c r="H36" i="1" s="1"/>
  <c r="C36" i="1"/>
  <c r="G36" i="1" s="1"/>
  <c r="F4" i="1"/>
  <c r="J4" i="1" s="1"/>
  <c r="E4" i="1"/>
  <c r="I4" i="1" s="1"/>
  <c r="D4" i="1"/>
  <c r="H4" i="1" s="1"/>
  <c r="C4" i="1"/>
  <c r="G4" i="1" s="1"/>
  <c r="F48" i="1"/>
  <c r="J48" i="1" s="1"/>
  <c r="E48" i="1"/>
  <c r="I48" i="1" s="1"/>
  <c r="D48" i="1"/>
  <c r="H48" i="1" s="1"/>
  <c r="C48" i="1"/>
  <c r="G48" i="1" s="1"/>
  <c r="F22" i="1"/>
  <c r="J22" i="1" s="1"/>
  <c r="E22" i="1"/>
  <c r="I22" i="1" s="1"/>
  <c r="D22" i="1"/>
  <c r="H22" i="1" s="1"/>
  <c r="C22" i="1"/>
  <c r="G22" i="1" s="1"/>
  <c r="F23" i="1"/>
  <c r="J23" i="1" s="1"/>
  <c r="E23" i="1"/>
  <c r="I23" i="1" s="1"/>
  <c r="D23" i="1"/>
  <c r="H23" i="1" s="1"/>
  <c r="C23" i="1"/>
  <c r="G23" i="1" s="1"/>
  <c r="F44" i="1"/>
  <c r="J44" i="1" s="1"/>
  <c r="E44" i="1"/>
  <c r="I44" i="1" s="1"/>
  <c r="D44" i="1"/>
  <c r="H44" i="1" s="1"/>
  <c r="C44" i="1"/>
  <c r="G44" i="1" s="1"/>
  <c r="F45" i="1"/>
  <c r="J45" i="1" s="1"/>
  <c r="E45" i="1"/>
  <c r="I45" i="1" s="1"/>
  <c r="D45" i="1"/>
  <c r="H45" i="1" s="1"/>
  <c r="C45" i="1"/>
  <c r="G45" i="1" s="1"/>
  <c r="F37" i="1"/>
  <c r="J37" i="1" s="1"/>
  <c r="E37" i="1"/>
  <c r="I37" i="1" s="1"/>
  <c r="D37" i="1"/>
  <c r="H37" i="1" s="1"/>
  <c r="C37" i="1"/>
  <c r="G37" i="1" s="1"/>
  <c r="F56" i="1"/>
  <c r="J56" i="1" s="1"/>
  <c r="E56" i="1"/>
  <c r="I56" i="1" s="1"/>
  <c r="D56" i="1"/>
  <c r="H56" i="1" s="1"/>
  <c r="C56" i="1"/>
  <c r="G56" i="1" s="1"/>
  <c r="C2" i="1"/>
  <c r="G2" i="1" s="1"/>
  <c r="D2" i="1"/>
  <c r="H2" i="1" s="1"/>
  <c r="E2" i="1"/>
  <c r="I2" i="1" s="1"/>
  <c r="F2" i="1"/>
  <c r="J2" i="1" s="1"/>
  <c r="C5" i="1"/>
  <c r="G5" i="1" s="1"/>
  <c r="D5" i="1"/>
  <c r="H5" i="1" s="1"/>
  <c r="E5" i="1"/>
  <c r="I5" i="1" s="1"/>
  <c r="F5" i="1"/>
  <c r="J5" i="1" s="1"/>
  <c r="C3" i="1"/>
  <c r="G3" i="1" s="1"/>
  <c r="D3" i="1"/>
  <c r="H3" i="1" s="1"/>
  <c r="E3" i="1"/>
  <c r="I3" i="1" s="1"/>
  <c r="F3" i="1"/>
  <c r="J3" i="1" s="1"/>
  <c r="C6" i="1"/>
  <c r="G6" i="1" s="1"/>
  <c r="D6" i="1"/>
  <c r="H6" i="1" s="1"/>
  <c r="E6" i="1"/>
  <c r="I6" i="1" s="1"/>
  <c r="F6" i="1"/>
  <c r="J6" i="1" s="1"/>
  <c r="C40" i="1"/>
  <c r="G40" i="1" s="1"/>
  <c r="D40" i="1"/>
  <c r="H40" i="1" s="1"/>
  <c r="E40" i="1"/>
  <c r="I40" i="1" s="1"/>
  <c r="F40" i="1"/>
  <c r="J40" i="1" s="1"/>
  <c r="C43" i="1"/>
  <c r="G43" i="1" s="1"/>
  <c r="D43" i="1"/>
  <c r="H43" i="1" s="1"/>
  <c r="E43" i="1"/>
  <c r="I43" i="1" s="1"/>
  <c r="F43" i="1"/>
  <c r="J43" i="1" s="1"/>
  <c r="C55" i="1"/>
  <c r="G55" i="1" s="1"/>
  <c r="D55" i="1"/>
  <c r="H55" i="1" s="1"/>
  <c r="E55" i="1"/>
  <c r="I55" i="1" s="1"/>
  <c r="F55" i="1"/>
  <c r="J55" i="1" s="1"/>
  <c r="F19" i="1"/>
  <c r="J19" i="1" s="1"/>
  <c r="E19" i="1"/>
  <c r="I19" i="1" s="1"/>
  <c r="D19" i="1"/>
  <c r="H19" i="1" s="1"/>
  <c r="C19" i="1"/>
  <c r="G19" i="1" s="1"/>
  <c r="F20" i="1"/>
  <c r="J20" i="1" s="1"/>
  <c r="E20" i="1"/>
  <c r="I20" i="1" s="1"/>
  <c r="D20" i="1"/>
  <c r="H20" i="1" s="1"/>
  <c r="C20" i="1"/>
  <c r="G20" i="1" s="1"/>
  <c r="F46" i="1"/>
  <c r="J46" i="1" s="1"/>
  <c r="E46" i="1"/>
  <c r="I46" i="1" s="1"/>
  <c r="D46" i="1"/>
  <c r="H46" i="1" s="1"/>
  <c r="C46" i="1"/>
  <c r="G46" i="1" s="1"/>
  <c r="F41" i="1"/>
  <c r="J41" i="1" s="1"/>
  <c r="E41" i="1"/>
  <c r="I41" i="1" s="1"/>
  <c r="D41" i="1"/>
  <c r="H41" i="1" s="1"/>
  <c r="C41" i="1"/>
  <c r="G41" i="1" s="1"/>
  <c r="F42" i="1"/>
  <c r="J42" i="1" s="1"/>
  <c r="E42" i="1"/>
  <c r="I42" i="1" s="1"/>
  <c r="D42" i="1"/>
  <c r="H42" i="1" s="1"/>
  <c r="C42" i="1"/>
  <c r="G42" i="1" s="1"/>
  <c r="F38" i="1"/>
  <c r="J38" i="1" s="1"/>
  <c r="E38" i="1"/>
  <c r="I38" i="1" s="1"/>
  <c r="D38" i="1"/>
  <c r="H38" i="1" s="1"/>
  <c r="C38" i="1"/>
  <c r="G38" i="1" s="1"/>
  <c r="F9" i="1"/>
  <c r="E9" i="1"/>
  <c r="B9" i="1" s="1"/>
  <c r="D9" i="1"/>
  <c r="C9" i="1"/>
  <c r="F10" i="1"/>
  <c r="E10" i="1"/>
  <c r="B10" i="1" s="1"/>
  <c r="C18" i="1"/>
  <c r="D18" i="1"/>
  <c r="E18" i="1"/>
  <c r="B18" i="1" s="1"/>
  <c r="F18" i="1"/>
  <c r="C16" i="1"/>
  <c r="D16" i="1"/>
  <c r="E16" i="1"/>
  <c r="B16" i="1" s="1"/>
  <c r="F16" i="1"/>
  <c r="C14" i="1"/>
  <c r="D14" i="1"/>
  <c r="E14" i="1"/>
  <c r="B14" i="1" s="1"/>
  <c r="F14" i="1"/>
  <c r="C10" i="1"/>
  <c r="D10" i="1"/>
  <c r="C15" i="1"/>
  <c r="D15" i="1"/>
  <c r="E15" i="1"/>
  <c r="B15" i="1" s="1"/>
  <c r="F15" i="1"/>
  <c r="J11" i="1" l="1"/>
  <c r="J13" i="1"/>
  <c r="G9" i="1"/>
  <c r="H18" i="1"/>
  <c r="H15" i="1"/>
  <c r="G12" i="1"/>
  <c r="G10" i="1"/>
  <c r="G14" i="1"/>
  <c r="G11" i="1"/>
  <c r="H16" i="1"/>
  <c r="I12" i="1"/>
  <c r="H12" i="1"/>
  <c r="J12" i="1"/>
  <c r="H14" i="1"/>
  <c r="G13" i="1"/>
  <c r="H9" i="1"/>
  <c r="I18" i="1"/>
  <c r="I16" i="1"/>
  <c r="I14" i="1"/>
  <c r="H11" i="1"/>
  <c r="I10" i="1"/>
  <c r="J18" i="1"/>
  <c r="H10" i="1"/>
  <c r="H13" i="1"/>
  <c r="I9" i="1"/>
  <c r="J16" i="1"/>
  <c r="J15" i="1"/>
  <c r="J14" i="1"/>
  <c r="I15" i="1"/>
  <c r="G18" i="1"/>
  <c r="I11" i="1"/>
  <c r="J10" i="1"/>
  <c r="G16" i="1"/>
  <c r="I13" i="1"/>
  <c r="J9" i="1"/>
  <c r="G15" i="1"/>
</calcChain>
</file>

<file path=xl/sharedStrings.xml><?xml version="1.0" encoding="utf-8"?>
<sst xmlns="http://schemas.openxmlformats.org/spreadsheetml/2006/main" count="65" uniqueCount="65">
  <si>
    <t>Karbohidrat (g)</t>
  </si>
  <si>
    <t>Protein (g)</t>
  </si>
  <si>
    <t>Lemak (g)</t>
  </si>
  <si>
    <t>Total Karbohidrat (g)</t>
  </si>
  <si>
    <t>Total Protein (g)</t>
  </si>
  <si>
    <t>Total Lemak (g)</t>
  </si>
  <si>
    <t>Komposisi (g)</t>
  </si>
  <si>
    <t>Ubi Jalar</t>
  </si>
  <si>
    <t>Jamur Kancing</t>
  </si>
  <si>
    <t>Jamur Enoki</t>
  </si>
  <si>
    <t>Makanan</t>
  </si>
  <si>
    <t>Ubi Ungu</t>
  </si>
  <si>
    <t>Sayur Brokoli</t>
  </si>
  <si>
    <t>Sayur Kembang Kol</t>
  </si>
  <si>
    <t>Sayur Kecambah</t>
  </si>
  <si>
    <t>Sayur Sawi Hijau</t>
  </si>
  <si>
    <t>Buah Apel</t>
  </si>
  <si>
    <t>Sayur Daun Singkong</t>
  </si>
  <si>
    <t>Sayur Labu Siam</t>
  </si>
  <si>
    <t>Buah Pepaya</t>
  </si>
  <si>
    <t>Buah Kiwi</t>
  </si>
  <si>
    <t>Buah Pir</t>
  </si>
  <si>
    <t>Sayur Bayam</t>
  </si>
  <si>
    <t>Jamur Merang</t>
  </si>
  <si>
    <t>Daging Udang</t>
  </si>
  <si>
    <t>Daging Ikan Tuna</t>
  </si>
  <si>
    <t>Daging Ikan Mujair</t>
  </si>
  <si>
    <t>Daging Ikan Kakap</t>
  </si>
  <si>
    <t>Daging Ikan Kakap Merah</t>
  </si>
  <si>
    <t>Daging Ikan Nila</t>
  </si>
  <si>
    <t>Daging Dada Ayam</t>
  </si>
  <si>
    <t>Sayur Petai</t>
  </si>
  <si>
    <t>Sayur Paprika Merah</t>
  </si>
  <si>
    <t>Jamur Tiram</t>
  </si>
  <si>
    <t>Jamur Salju</t>
  </si>
  <si>
    <t>Sayur Tomat</t>
  </si>
  <si>
    <t>Buah Naga</t>
  </si>
  <si>
    <t>Rumput Laut Panggang O'Food</t>
  </si>
  <si>
    <t>Rumput Laut Kering O'Food</t>
  </si>
  <si>
    <t>Sayur Wortel</t>
  </si>
  <si>
    <t>Buah Semangka</t>
  </si>
  <si>
    <t>Buah Pisang</t>
  </si>
  <si>
    <t>Daging Ikan Layur</t>
  </si>
  <si>
    <t>Daging Ikan Lemadang (Mahi-Mahi)</t>
  </si>
  <si>
    <t>Rempah Lada Putih</t>
  </si>
  <si>
    <t>Rempah Bawang Merah</t>
  </si>
  <si>
    <t>Rempah Cabai Rawit</t>
  </si>
  <si>
    <t>Rempah Jahe</t>
  </si>
  <si>
    <t>Rempah Kunyit</t>
  </si>
  <si>
    <t>Rempah Bawang Putih</t>
  </si>
  <si>
    <t>Sayur Sawi Putih</t>
  </si>
  <si>
    <t>Sayur Buncis</t>
  </si>
  <si>
    <t>Telur Ayam</t>
  </si>
  <si>
    <t>Telur Bebek</t>
  </si>
  <si>
    <t>Telur (Putih)</t>
  </si>
  <si>
    <t>Daging Sapi</t>
  </si>
  <si>
    <t>Total Kalori (kal)</t>
  </si>
  <si>
    <t>Kalori (kal)</t>
  </si>
  <si>
    <t>Kedelai Edamame</t>
  </si>
  <si>
    <t>Rempah Bawang Bombay</t>
  </si>
  <si>
    <t>Kacang Almond</t>
  </si>
  <si>
    <t>Kedelai Tempe</t>
  </si>
  <si>
    <t>Kedelai Tahu</t>
  </si>
  <si>
    <t>Suplemen Finaflex Isolate Premium</t>
  </si>
  <si>
    <t>Suplemen Evolene Crevolene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</si>
</sst>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B1B45-D42A-4569-A584-D88DFAE114C9}" name="Makanan" displayName="Makanan" ref="A1:J56" totalsRowShown="0" headerRowDxfId="14" dataDxfId="12" headerRowBorderDxfId="13" tableBorderDxfId="11" totalsRowBorderDxfId="10">
  <autoFilter ref="A1:J56" xr:uid="{0A3B1B45-D42A-4569-A584-D88DFAE114C9}"/>
  <sortState xmlns:xlrd2="http://schemas.microsoft.com/office/spreadsheetml/2017/richdata2" ref="A2:J56">
    <sortCondition ref="A1:A56"/>
  </sortState>
  <tableColumns count="10">
    <tableColumn id="1" xr3:uid="{26B9A21E-4CE3-4EA3-9D41-0F41E1C43AF5}" name="Makanan" dataDxfId="9"/>
    <tableColumn id="2" xr3:uid="{5DC8D15A-38F2-4FD8-9C9D-5F1688808C2A}" name="Komposisi (g)" dataDxfId="8"/>
    <tableColumn id="3" xr3:uid="{077D2774-194C-4218-9D86-8D25445DAF93}" name="Kalori (kal)" dataDxfId="7"/>
    <tableColumn id="4" xr3:uid="{FFFD1031-9D8F-474E-A0AF-576791D94C64}" name="Karbohidrat (g)" dataDxfId="6"/>
    <tableColumn id="5" xr3:uid="{E4FF9A7C-9A26-4591-A364-06D27208865D}" name="Protein (g)" dataDxfId="5"/>
    <tableColumn id="6" xr3:uid="{9D70CE1D-80F1-4517-A6F4-0E7C0A63D8D7}" name="Lemak (g)" dataDxfId="4"/>
    <tableColumn id="7" xr3:uid="{BD7C5747-54FB-4C27-8063-D764AA483B92}" name="Total Kalori (kal)" dataDxfId="3">
      <calculatedColumnFormula>Makanan[[#This Row],[Komposisi (g)]]*Makanan[[#This Row],[Kalori (kal)]]</calculatedColumnFormula>
    </tableColumn>
    <tableColumn id="8" xr3:uid="{136DD307-7931-4DF6-91B8-EA1D57A32EDB}" name="Total Karbohidrat (g)" dataDxfId="2">
      <calculatedColumnFormula>Makanan[[#This Row],[Komposisi (g)]]*Makanan[[#This Row],[Karbohidrat (g)]]</calculatedColumnFormula>
    </tableColumn>
    <tableColumn id="9" xr3:uid="{363F5A76-9662-404E-BBE2-233E59C63BC7}" name="Total Protein (g)" dataDxfId="1">
      <calculatedColumnFormula>Makanan[[#This Row],[Komposisi (g)]]*Makanan[[#This Row],[Protein (g)]]</calculatedColumnFormula>
    </tableColumn>
    <tableColumn id="10" xr3:uid="{E31A9A6F-0A1A-4567-85FC-3A2A6B13A2E6}" name="Total Lemak (g)" dataDxfId="0">
      <calculatedColumnFormula>Makanan[[#This Row],[Komposisi (g)]]*Makanan[[#This Row],[Lemak (g)]]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25" workbookViewId="0">
      <selection activeCell="B59" sqref="B59"/>
    </sheetView>
  </sheetViews>
  <sheetFormatPr defaultRowHeight="13.8" x14ac:dyDescent="0.3"/>
  <cols>
    <col min="1" max="1" width="28.77734375" style="1" bestFit="1" customWidth="1"/>
    <col min="2" max="2" width="15.88671875" style="1" bestFit="1" customWidth="1"/>
    <col min="3" max="3" width="14.5546875" style="1" bestFit="1" customWidth="1"/>
    <col min="4" max="4" width="17.109375" style="1" bestFit="1" customWidth="1"/>
    <col min="5" max="5" width="13.6640625" style="1" bestFit="1" customWidth="1"/>
    <col min="6" max="6" width="13" style="1" bestFit="1" customWidth="1"/>
    <col min="7" max="7" width="19" style="1" bestFit="1" customWidth="1"/>
    <col min="8" max="8" width="21.6640625" style="1" bestFit="1" customWidth="1"/>
    <col min="9" max="9" width="18.109375" style="1" bestFit="1" customWidth="1"/>
    <col min="10" max="10" width="17.33203125" style="1" bestFit="1" customWidth="1"/>
    <col min="11" max="16384" width="8.88671875" style="1"/>
  </cols>
  <sheetData>
    <row r="1" spans="1:10" x14ac:dyDescent="0.3">
      <c r="A1" s="7" t="s">
        <v>10</v>
      </c>
      <c r="B1" s="8" t="s">
        <v>6</v>
      </c>
      <c r="C1" s="8" t="s">
        <v>57</v>
      </c>
      <c r="D1" s="8" t="s">
        <v>0</v>
      </c>
      <c r="E1" s="8" t="s">
        <v>1</v>
      </c>
      <c r="F1" s="8" t="s">
        <v>2</v>
      </c>
      <c r="G1" s="8" t="s">
        <v>56</v>
      </c>
      <c r="H1" s="8" t="s">
        <v>3</v>
      </c>
      <c r="I1" s="8" t="s">
        <v>4</v>
      </c>
      <c r="J1" s="9" t="s">
        <v>5</v>
      </c>
    </row>
    <row r="2" spans="1:10" x14ac:dyDescent="0.3">
      <c r="A2" s="10" t="s">
        <v>16</v>
      </c>
      <c r="B2" s="3">
        <v>100</v>
      </c>
      <c r="C2" s="4">
        <f>52/100</f>
        <v>0.52</v>
      </c>
      <c r="D2" s="4">
        <f>13.81/100</f>
        <v>0.1381</v>
      </c>
      <c r="E2" s="4">
        <f>0.26/100</f>
        <v>2.5999999999999999E-3</v>
      </c>
      <c r="F2" s="4">
        <f>0.17/100</f>
        <v>1.7000000000000001E-3</v>
      </c>
      <c r="G2" s="2">
        <f>Makanan[[#This Row],[Komposisi (g)]]*Makanan[[#This Row],[Kalori (kal)]]</f>
        <v>52</v>
      </c>
      <c r="H2" s="2">
        <f>Makanan[[#This Row],[Komposisi (g)]]*Makanan[[#This Row],[Karbohidrat (g)]]</f>
        <v>13.81</v>
      </c>
      <c r="I2" s="2">
        <f>Makanan[[#This Row],[Komposisi (g)]]*Makanan[[#This Row],[Protein (g)]]</f>
        <v>0.26</v>
      </c>
      <c r="J2" s="6">
        <f>Makanan[[#This Row],[Komposisi (g)]]*Makanan[[#This Row],[Lemak (g)]]</f>
        <v>0.17</v>
      </c>
    </row>
    <row r="3" spans="1:10" x14ac:dyDescent="0.3">
      <c r="A3" s="10" t="s">
        <v>20</v>
      </c>
      <c r="B3" s="3">
        <v>100</v>
      </c>
      <c r="C3" s="3">
        <f>61/100</f>
        <v>0.61</v>
      </c>
      <c r="D3" s="3">
        <f>14.66/100</f>
        <v>0.14660000000000001</v>
      </c>
      <c r="E3" s="3">
        <f>1.14/100</f>
        <v>1.1399999999999999E-2</v>
      </c>
      <c r="F3" s="3">
        <f>0.52/100</f>
        <v>5.1999999999999998E-3</v>
      </c>
      <c r="G3" s="2">
        <f>Makanan[[#This Row],[Komposisi (g)]]*Makanan[[#This Row],[Kalori (kal)]]</f>
        <v>61</v>
      </c>
      <c r="H3" s="2">
        <f>Makanan[[#This Row],[Komposisi (g)]]*Makanan[[#This Row],[Karbohidrat (g)]]</f>
        <v>14.66</v>
      </c>
      <c r="I3" s="2">
        <f>Makanan[[#This Row],[Komposisi (g)]]*Makanan[[#This Row],[Protein (g)]]</f>
        <v>1.1399999999999999</v>
      </c>
      <c r="J3" s="6">
        <f>Makanan[[#This Row],[Komposisi (g)]]*Makanan[[#This Row],[Lemak (g)]]</f>
        <v>0.52</v>
      </c>
    </row>
    <row r="4" spans="1:10" x14ac:dyDescent="0.3">
      <c r="A4" s="10" t="s">
        <v>36</v>
      </c>
      <c r="B4" s="3">
        <v>100</v>
      </c>
      <c r="C4" s="3">
        <f>51/100</f>
        <v>0.51</v>
      </c>
      <c r="D4" s="3">
        <f>12.38/100</f>
        <v>0.12380000000000001</v>
      </c>
      <c r="E4" s="3">
        <f>0.78/100</f>
        <v>7.8000000000000005E-3</v>
      </c>
      <c r="F4" s="3">
        <f>0.38/100</f>
        <v>3.8E-3</v>
      </c>
      <c r="G4" s="2">
        <f>Makanan[[#This Row],[Komposisi (g)]]*Makanan[[#This Row],[Kalori (kal)]]</f>
        <v>51</v>
      </c>
      <c r="H4" s="2">
        <f>Makanan[[#This Row],[Komposisi (g)]]*Makanan[[#This Row],[Karbohidrat (g)]]</f>
        <v>12.38</v>
      </c>
      <c r="I4" s="2">
        <f>Makanan[[#This Row],[Komposisi (g)]]*Makanan[[#This Row],[Protein (g)]]</f>
        <v>0.78</v>
      </c>
      <c r="J4" s="6">
        <f>Makanan[[#This Row],[Komposisi (g)]]*Makanan[[#This Row],[Lemak (g)]]</f>
        <v>0.38</v>
      </c>
    </row>
    <row r="5" spans="1:10" x14ac:dyDescent="0.3">
      <c r="A5" s="10" t="s">
        <v>19</v>
      </c>
      <c r="B5" s="3">
        <v>100</v>
      </c>
      <c r="C5" s="3">
        <f>39/100</f>
        <v>0.39</v>
      </c>
      <c r="D5" s="3">
        <f>9.81/100</f>
        <v>9.8100000000000007E-2</v>
      </c>
      <c r="E5" s="3">
        <f>0.61/100</f>
        <v>6.0999999999999995E-3</v>
      </c>
      <c r="F5" s="3">
        <f>0.14/100</f>
        <v>1.4000000000000002E-3</v>
      </c>
      <c r="G5" s="2">
        <f>Makanan[[#This Row],[Komposisi (g)]]*Makanan[[#This Row],[Kalori (kal)]]</f>
        <v>39</v>
      </c>
      <c r="H5" s="2">
        <f>Makanan[[#This Row],[Komposisi (g)]]*Makanan[[#This Row],[Karbohidrat (g)]]</f>
        <v>9.81</v>
      </c>
      <c r="I5" s="2">
        <f>Makanan[[#This Row],[Komposisi (g)]]*Makanan[[#This Row],[Protein (g)]]</f>
        <v>0.61</v>
      </c>
      <c r="J5" s="6">
        <f>Makanan[[#This Row],[Komposisi (g)]]*Makanan[[#This Row],[Lemak (g)]]</f>
        <v>0.14000000000000001</v>
      </c>
    </row>
    <row r="6" spans="1:10" x14ac:dyDescent="0.3">
      <c r="A6" s="10" t="s">
        <v>21</v>
      </c>
      <c r="B6" s="3">
        <v>100</v>
      </c>
      <c r="C6" s="4">
        <f>58/100</f>
        <v>0.57999999999999996</v>
      </c>
      <c r="D6" s="4">
        <f>15.46/100</f>
        <v>0.15460000000000002</v>
      </c>
      <c r="E6" s="4">
        <f>0.38/100</f>
        <v>3.8E-3</v>
      </c>
      <c r="F6" s="4">
        <f>0.12/100</f>
        <v>1.1999999999999999E-3</v>
      </c>
      <c r="G6" s="2">
        <f>Makanan[[#This Row],[Komposisi (g)]]*Makanan[[#This Row],[Kalori (kal)]]</f>
        <v>57.999999999999993</v>
      </c>
      <c r="H6" s="2">
        <f>Makanan[[#This Row],[Komposisi (g)]]*Makanan[[#This Row],[Karbohidrat (g)]]</f>
        <v>15.46</v>
      </c>
      <c r="I6" s="2">
        <f>Makanan[[#This Row],[Komposisi (g)]]*Makanan[[#This Row],[Protein (g)]]</f>
        <v>0.38</v>
      </c>
      <c r="J6" s="6">
        <f>Makanan[[#This Row],[Komposisi (g)]]*Makanan[[#This Row],[Lemak (g)]]</f>
        <v>0.12</v>
      </c>
    </row>
    <row r="7" spans="1:10" x14ac:dyDescent="0.3">
      <c r="A7" s="10" t="s">
        <v>41</v>
      </c>
      <c r="B7" s="3">
        <v>100</v>
      </c>
      <c r="C7" s="3">
        <f>89/100</f>
        <v>0.89</v>
      </c>
      <c r="D7" s="3">
        <f>22.84/100</f>
        <v>0.22839999999999999</v>
      </c>
      <c r="E7" s="3">
        <f>1.09/100</f>
        <v>1.09E-2</v>
      </c>
      <c r="F7" s="3">
        <f>0.33/100</f>
        <v>3.3E-3</v>
      </c>
      <c r="G7" s="2">
        <f>Makanan[[#This Row],[Komposisi (g)]]*Makanan[[#This Row],[Kalori (kal)]]</f>
        <v>89</v>
      </c>
      <c r="H7" s="2">
        <f>Makanan[[#This Row],[Komposisi (g)]]*Makanan[[#This Row],[Karbohidrat (g)]]</f>
        <v>22.84</v>
      </c>
      <c r="I7" s="2">
        <f>Makanan[[#This Row],[Komposisi (g)]]*Makanan[[#This Row],[Protein (g)]]</f>
        <v>1.0900000000000001</v>
      </c>
      <c r="J7" s="6">
        <f>Makanan[[#This Row],[Komposisi (g)]]*Makanan[[#This Row],[Lemak (g)]]</f>
        <v>0.33</v>
      </c>
    </row>
    <row r="8" spans="1:10" x14ac:dyDescent="0.3">
      <c r="A8" s="10" t="s">
        <v>40</v>
      </c>
      <c r="B8" s="3">
        <v>100</v>
      </c>
      <c r="C8" s="3">
        <f>30/100</f>
        <v>0.3</v>
      </c>
      <c r="D8" s="3">
        <f>7.55/100</f>
        <v>7.5499999999999998E-2</v>
      </c>
      <c r="E8" s="3">
        <f>0.61/100</f>
        <v>6.0999999999999995E-3</v>
      </c>
      <c r="F8" s="3">
        <f>0.15/100</f>
        <v>1.5E-3</v>
      </c>
      <c r="G8" s="2">
        <f>Makanan[[#This Row],[Komposisi (g)]]*Makanan[[#This Row],[Kalori (kal)]]</f>
        <v>30</v>
      </c>
      <c r="H8" s="2">
        <f>Makanan[[#This Row],[Komposisi (g)]]*Makanan[[#This Row],[Karbohidrat (g)]]</f>
        <v>7.55</v>
      </c>
      <c r="I8" s="2">
        <f>Makanan[[#This Row],[Komposisi (g)]]*Makanan[[#This Row],[Protein (g)]]</f>
        <v>0.61</v>
      </c>
      <c r="J8" s="6">
        <f>Makanan[[#This Row],[Komposisi (g)]]*Makanan[[#This Row],[Lemak (g)]]</f>
        <v>0.15</v>
      </c>
    </row>
    <row r="9" spans="1:10" x14ac:dyDescent="0.3">
      <c r="A9" s="10" t="s">
        <v>30</v>
      </c>
      <c r="B9" s="3">
        <f>_xlfn.CEILING.MATH(100/E9)</f>
        <v>313</v>
      </c>
      <c r="C9" s="3">
        <f>165/100</f>
        <v>1.65</v>
      </c>
      <c r="D9" s="3">
        <f>0/100</f>
        <v>0</v>
      </c>
      <c r="E9" s="3">
        <f>32/100</f>
        <v>0.32</v>
      </c>
      <c r="F9" s="3">
        <f>3.5/100</f>
        <v>3.5000000000000003E-2</v>
      </c>
      <c r="G9" s="2">
        <f>Makanan[[#This Row],[Komposisi (g)]]*Makanan[[#This Row],[Kalori (kal)]]</f>
        <v>516.44999999999993</v>
      </c>
      <c r="H9" s="2">
        <f>Makanan[[#This Row],[Komposisi (g)]]*Makanan[[#This Row],[Karbohidrat (g)]]</f>
        <v>0</v>
      </c>
      <c r="I9" s="2">
        <f>Makanan[[#This Row],[Komposisi (g)]]*Makanan[[#This Row],[Protein (g)]]</f>
        <v>100.16</v>
      </c>
      <c r="J9" s="6">
        <f>Makanan[[#This Row],[Komposisi (g)]]*Makanan[[#This Row],[Lemak (g)]]</f>
        <v>10.955000000000002</v>
      </c>
    </row>
    <row r="10" spans="1:10" x14ac:dyDescent="0.3">
      <c r="A10" s="10" t="s">
        <v>27</v>
      </c>
      <c r="B10" s="3">
        <f>_xlfn.CEILING.MATH(100/E10)</f>
        <v>500</v>
      </c>
      <c r="C10" s="3">
        <f>100/100</f>
        <v>1</v>
      </c>
      <c r="D10" s="3">
        <f>0/100</f>
        <v>0</v>
      </c>
      <c r="E10" s="3">
        <f>20/100</f>
        <v>0.2</v>
      </c>
      <c r="F10" s="3">
        <f>2.5/100</f>
        <v>2.5000000000000001E-2</v>
      </c>
      <c r="G10" s="2">
        <f>Makanan[[#This Row],[Komposisi (g)]]*Makanan[[#This Row],[Kalori (kal)]]</f>
        <v>500</v>
      </c>
      <c r="H10" s="2">
        <f>Makanan[[#This Row],[Komposisi (g)]]*Makanan[[#This Row],[Karbohidrat (g)]]</f>
        <v>0</v>
      </c>
      <c r="I10" s="2">
        <f>Makanan[[#This Row],[Komposisi (g)]]*Makanan[[#This Row],[Protein (g)]]</f>
        <v>100</v>
      </c>
      <c r="J10" s="6">
        <f>Makanan[[#This Row],[Komposisi (g)]]*Makanan[[#This Row],[Lemak (g)]]</f>
        <v>12.5</v>
      </c>
    </row>
    <row r="11" spans="1:10" x14ac:dyDescent="0.3">
      <c r="A11" s="10" t="s">
        <v>28</v>
      </c>
      <c r="B11" s="3">
        <f>_xlfn.CEILING.MATH(100/Makanan[[#This Row],[Protein (g)]])</f>
        <v>477</v>
      </c>
      <c r="C11" s="3">
        <f>105/100</f>
        <v>1.05</v>
      </c>
      <c r="D11" s="3">
        <f>0/100</f>
        <v>0</v>
      </c>
      <c r="E11" s="3">
        <f>21/100</f>
        <v>0.21</v>
      </c>
      <c r="F11" s="3">
        <f>2/100</f>
        <v>0.02</v>
      </c>
      <c r="G11" s="2">
        <f>Makanan[[#This Row],[Komposisi (g)]]*Makanan[[#This Row],[Kalori (kal)]]</f>
        <v>500.85</v>
      </c>
      <c r="H11" s="2">
        <f>Makanan[[#This Row],[Komposisi (g)]]*Makanan[[#This Row],[Karbohidrat (g)]]</f>
        <v>0</v>
      </c>
      <c r="I11" s="2">
        <f>Makanan[[#This Row],[Komposisi (g)]]*Makanan[[#This Row],[Protein (g)]]</f>
        <v>100.17</v>
      </c>
      <c r="J11" s="6">
        <f>Makanan[[#This Row],[Komposisi (g)]]*Makanan[[#This Row],[Lemak (g)]]</f>
        <v>9.5400000000000009</v>
      </c>
    </row>
    <row r="12" spans="1:10" x14ac:dyDescent="0.3">
      <c r="A12" s="10" t="s">
        <v>42</v>
      </c>
      <c r="B12" s="4">
        <f>_xlfn.CEILING.MATH(100/Makanan[[#This Row],[Protein (g)]])</f>
        <v>555</v>
      </c>
      <c r="C12" s="4">
        <f>88/100</f>
        <v>0.88</v>
      </c>
      <c r="D12" s="4">
        <f>0.38/100</f>
        <v>3.8E-3</v>
      </c>
      <c r="E12" s="4">
        <f>18.04/100</f>
        <v>0.1804</v>
      </c>
      <c r="F12" s="4">
        <f>1.02/100</f>
        <v>1.0200000000000001E-2</v>
      </c>
      <c r="G12" s="2">
        <f>Makanan[[#This Row],[Komposisi (g)]]*Makanan[[#This Row],[Kalori (kal)]]</f>
        <v>488.4</v>
      </c>
      <c r="H12" s="2">
        <f>Makanan[[#This Row],[Komposisi (g)]]*Makanan[[#This Row],[Karbohidrat (g)]]</f>
        <v>2.109</v>
      </c>
      <c r="I12" s="2">
        <f>Makanan[[#This Row],[Komposisi (g)]]*Makanan[[#This Row],[Protein (g)]]</f>
        <v>100.122</v>
      </c>
      <c r="J12" s="6">
        <f>Makanan[[#This Row],[Komposisi (g)]]*Makanan[[#This Row],[Lemak (g)]]</f>
        <v>5.6610000000000005</v>
      </c>
    </row>
    <row r="13" spans="1:10" x14ac:dyDescent="0.3">
      <c r="A13" s="10" t="s">
        <v>43</v>
      </c>
      <c r="B13" s="3">
        <f>_xlfn.CEILING.MATH(100/Makanan[[#This Row],[Protein (g)]])</f>
        <v>541</v>
      </c>
      <c r="C13" s="3">
        <f>85/100</f>
        <v>0.85</v>
      </c>
      <c r="D13" s="3">
        <f>0/100</f>
        <v>0</v>
      </c>
      <c r="E13" s="3">
        <f>18.5/100</f>
        <v>0.185</v>
      </c>
      <c r="F13" s="3">
        <f>0.7/100</f>
        <v>6.9999999999999993E-3</v>
      </c>
      <c r="G13" s="2">
        <f>Makanan[[#This Row],[Komposisi (g)]]*Makanan[[#This Row],[Kalori (kal)]]</f>
        <v>459.84999999999997</v>
      </c>
      <c r="H13" s="2">
        <f>Makanan[[#This Row],[Komposisi (g)]]*Makanan[[#This Row],[Karbohidrat (g)]]</f>
        <v>0</v>
      </c>
      <c r="I13" s="2">
        <f>Makanan[[#This Row],[Komposisi (g)]]*Makanan[[#This Row],[Protein (g)]]</f>
        <v>100.08499999999999</v>
      </c>
      <c r="J13" s="6">
        <f>Makanan[[#This Row],[Komposisi (g)]]*Makanan[[#This Row],[Lemak (g)]]</f>
        <v>3.7869999999999995</v>
      </c>
    </row>
    <row r="14" spans="1:10" x14ac:dyDescent="0.3">
      <c r="A14" s="10" t="s">
        <v>26</v>
      </c>
      <c r="B14" s="3">
        <f>_xlfn.CEILING.MATH(100/E14)</f>
        <v>477</v>
      </c>
      <c r="C14" s="4">
        <f>100/100</f>
        <v>1</v>
      </c>
      <c r="D14" s="4">
        <f>0/100</f>
        <v>0</v>
      </c>
      <c r="E14" s="4">
        <f>21/100</f>
        <v>0.21</v>
      </c>
      <c r="F14" s="4">
        <f>2/100</f>
        <v>0.02</v>
      </c>
      <c r="G14" s="2">
        <f>Makanan[[#This Row],[Komposisi (g)]]*Makanan[[#This Row],[Kalori (kal)]]</f>
        <v>477</v>
      </c>
      <c r="H14" s="2">
        <f>Makanan[[#This Row],[Komposisi (g)]]*Makanan[[#This Row],[Karbohidrat (g)]]</f>
        <v>0</v>
      </c>
      <c r="I14" s="2">
        <f>Makanan[[#This Row],[Komposisi (g)]]*Makanan[[#This Row],[Protein (g)]]</f>
        <v>100.17</v>
      </c>
      <c r="J14" s="6">
        <f>Makanan[[#This Row],[Komposisi (g)]]*Makanan[[#This Row],[Lemak (g)]]</f>
        <v>9.5400000000000009</v>
      </c>
    </row>
    <row r="15" spans="1:10" x14ac:dyDescent="0.3">
      <c r="A15" s="10" t="s">
        <v>29</v>
      </c>
      <c r="B15" s="3">
        <f>_xlfn.CEILING.MATH(100/E15)</f>
        <v>385</v>
      </c>
      <c r="C15" s="3">
        <f>130/100</f>
        <v>1.3</v>
      </c>
      <c r="D15" s="3">
        <f>0/100</f>
        <v>0</v>
      </c>
      <c r="E15" s="3">
        <f>26/100</f>
        <v>0.26</v>
      </c>
      <c r="F15" s="3">
        <f>3/100</f>
        <v>0.03</v>
      </c>
      <c r="G15" s="2">
        <f>Makanan[[#This Row],[Komposisi (g)]]*Makanan[[#This Row],[Kalori (kal)]]</f>
        <v>500.5</v>
      </c>
      <c r="H15" s="2">
        <f>Makanan[[#This Row],[Komposisi (g)]]*Makanan[[#This Row],[Karbohidrat (g)]]</f>
        <v>0</v>
      </c>
      <c r="I15" s="2">
        <f>Makanan[[#This Row],[Komposisi (g)]]*Makanan[[#This Row],[Protein (g)]]</f>
        <v>100.10000000000001</v>
      </c>
      <c r="J15" s="6">
        <f>Makanan[[#This Row],[Komposisi (g)]]*Makanan[[#This Row],[Lemak (g)]]</f>
        <v>11.549999999999999</v>
      </c>
    </row>
    <row r="16" spans="1:10" x14ac:dyDescent="0.3">
      <c r="A16" s="10" t="s">
        <v>25</v>
      </c>
      <c r="B16" s="3">
        <f>_xlfn.CEILING.MATH(100/E16)</f>
        <v>400</v>
      </c>
      <c r="C16" s="3">
        <f>115/100</f>
        <v>1.1499999999999999</v>
      </c>
      <c r="D16" s="3">
        <f>0/100</f>
        <v>0</v>
      </c>
      <c r="E16" s="3">
        <f>25/100</f>
        <v>0.25</v>
      </c>
      <c r="F16" s="3">
        <f>1/100</f>
        <v>0.01</v>
      </c>
      <c r="G16" s="2">
        <f>Makanan[[#This Row],[Komposisi (g)]]*Makanan[[#This Row],[Kalori (kal)]]</f>
        <v>459.99999999999994</v>
      </c>
      <c r="H16" s="2">
        <f>Makanan[[#This Row],[Komposisi (g)]]*Makanan[[#This Row],[Karbohidrat (g)]]</f>
        <v>0</v>
      </c>
      <c r="I16" s="2">
        <f>Makanan[[#This Row],[Komposisi (g)]]*Makanan[[#This Row],[Protein (g)]]</f>
        <v>100</v>
      </c>
      <c r="J16" s="6">
        <f>Makanan[[#This Row],[Komposisi (g)]]*Makanan[[#This Row],[Lemak (g)]]</f>
        <v>4</v>
      </c>
    </row>
    <row r="17" spans="1:10" x14ac:dyDescent="0.3">
      <c r="A17" s="10" t="s">
        <v>55</v>
      </c>
      <c r="B17" s="3">
        <v>100</v>
      </c>
      <c r="C17" s="3">
        <f>288/100</f>
        <v>2.88</v>
      </c>
      <c r="D17" s="3">
        <f>0/100</f>
        <v>0</v>
      </c>
      <c r="E17" s="3">
        <f>26.33/100</f>
        <v>0.26329999999999998</v>
      </c>
      <c r="F17" s="3">
        <f>19.54/100</f>
        <v>0.19539999999999999</v>
      </c>
      <c r="G17" s="2">
        <f>Makanan[[#This Row],[Komposisi (g)]]*Makanan[[#This Row],[Kalori (kal)]]</f>
        <v>288</v>
      </c>
      <c r="H17" s="2">
        <f>Makanan[[#This Row],[Komposisi (g)]]*Makanan[[#This Row],[Karbohidrat (g)]]</f>
        <v>0</v>
      </c>
      <c r="I17" s="2">
        <f>Makanan[[#This Row],[Komposisi (g)]]*Makanan[[#This Row],[Protein (g)]]</f>
        <v>26.33</v>
      </c>
      <c r="J17" s="6">
        <f>Makanan[[#This Row],[Komposisi (g)]]*Makanan[[#This Row],[Lemak (g)]]</f>
        <v>19.54</v>
      </c>
    </row>
    <row r="18" spans="1:10" x14ac:dyDescent="0.3">
      <c r="A18" s="10" t="s">
        <v>24</v>
      </c>
      <c r="B18" s="3">
        <f>_xlfn.CEILING.MATH(100/E18)</f>
        <v>500</v>
      </c>
      <c r="C18" s="3">
        <f>90/100</f>
        <v>0.9</v>
      </c>
      <c r="D18" s="3">
        <f>0.5/100</f>
        <v>5.0000000000000001E-3</v>
      </c>
      <c r="E18" s="3">
        <f>20/100</f>
        <v>0.2</v>
      </c>
      <c r="F18" s="3">
        <f>1/100</f>
        <v>0.01</v>
      </c>
      <c r="G18" s="2">
        <f>Makanan[[#This Row],[Komposisi (g)]]*Makanan[[#This Row],[Kalori (kal)]]</f>
        <v>450</v>
      </c>
      <c r="H18" s="2">
        <f>Makanan[[#This Row],[Komposisi (g)]]*Makanan[[#This Row],[Karbohidrat (g)]]</f>
        <v>2.5</v>
      </c>
      <c r="I18" s="2">
        <f>Makanan[[#This Row],[Komposisi (g)]]*Makanan[[#This Row],[Protein (g)]]</f>
        <v>100</v>
      </c>
      <c r="J18" s="6">
        <f>Makanan[[#This Row],[Komposisi (g)]]*Makanan[[#This Row],[Lemak (g)]]</f>
        <v>5</v>
      </c>
    </row>
    <row r="19" spans="1:10" x14ac:dyDescent="0.3">
      <c r="A19" s="10" t="s">
        <v>9</v>
      </c>
      <c r="B19" s="3">
        <v>100</v>
      </c>
      <c r="C19" s="3">
        <f>42/100</f>
        <v>0.42</v>
      </c>
      <c r="D19" s="3">
        <f>6.96/100</f>
        <v>6.9599999999999995E-2</v>
      </c>
      <c r="E19" s="3">
        <f>2.7/100</f>
        <v>2.7000000000000003E-2</v>
      </c>
      <c r="F19" s="3">
        <f>0.41/100</f>
        <v>4.0999999999999995E-3</v>
      </c>
      <c r="G19" s="2">
        <f>Makanan[[#This Row],[Komposisi (g)]]*Makanan[[#This Row],[Kalori (kal)]]</f>
        <v>42</v>
      </c>
      <c r="H19" s="2">
        <f>Makanan[[#This Row],[Komposisi (g)]]*Makanan[[#This Row],[Karbohidrat (g)]]</f>
        <v>6.9599999999999991</v>
      </c>
      <c r="I19" s="2">
        <f>Makanan[[#This Row],[Komposisi (g)]]*Makanan[[#This Row],[Protein (g)]]</f>
        <v>2.7</v>
      </c>
      <c r="J19" s="6">
        <f>Makanan[[#This Row],[Komposisi (g)]]*Makanan[[#This Row],[Lemak (g)]]</f>
        <v>0.40999999999999992</v>
      </c>
    </row>
    <row r="20" spans="1:10" x14ac:dyDescent="0.3">
      <c r="A20" s="10" t="s">
        <v>8</v>
      </c>
      <c r="B20" s="3">
        <v>100</v>
      </c>
      <c r="C20" s="3">
        <f>22/100</f>
        <v>0.22</v>
      </c>
      <c r="D20" s="3">
        <f>3.28/100</f>
        <v>3.2799999999999996E-2</v>
      </c>
      <c r="E20" s="3">
        <f>3.09/100</f>
        <v>3.0899999999999997E-2</v>
      </c>
      <c r="F20" s="3">
        <f>0.34/100</f>
        <v>3.4000000000000002E-3</v>
      </c>
      <c r="G20" s="2">
        <f>Makanan[[#This Row],[Komposisi (g)]]*Makanan[[#This Row],[Kalori (kal)]]</f>
        <v>22</v>
      </c>
      <c r="H20" s="2">
        <f>Makanan[[#This Row],[Komposisi (g)]]*Makanan[[#This Row],[Karbohidrat (g)]]</f>
        <v>3.2799999999999994</v>
      </c>
      <c r="I20" s="2">
        <f>Makanan[[#This Row],[Komposisi (g)]]*Makanan[[#This Row],[Protein (g)]]</f>
        <v>3.09</v>
      </c>
      <c r="J20" s="6">
        <f>Makanan[[#This Row],[Komposisi (g)]]*Makanan[[#This Row],[Lemak (g)]]</f>
        <v>0.34</v>
      </c>
    </row>
    <row r="21" spans="1:10" x14ac:dyDescent="0.3">
      <c r="A21" s="10" t="s">
        <v>23</v>
      </c>
      <c r="B21" s="3">
        <v>100</v>
      </c>
      <c r="C21" s="3">
        <f>28/100</f>
        <v>0.28000000000000003</v>
      </c>
      <c r="D21" s="3">
        <f>4.86/100</f>
        <v>4.8600000000000004E-2</v>
      </c>
      <c r="E21" s="3">
        <f>2.79/100</f>
        <v>2.7900000000000001E-2</v>
      </c>
      <c r="F21" s="3">
        <f>0.4/100</f>
        <v>4.0000000000000001E-3</v>
      </c>
      <c r="G21" s="2">
        <f>Makanan[[#This Row],[Komposisi (g)]]*Makanan[[#This Row],[Kalori (kal)]]</f>
        <v>28.000000000000004</v>
      </c>
      <c r="H21" s="2">
        <f>Makanan[[#This Row],[Komposisi (g)]]*Makanan[[#This Row],[Karbohidrat (g)]]</f>
        <v>4.8600000000000003</v>
      </c>
      <c r="I21" s="2">
        <f>Makanan[[#This Row],[Komposisi (g)]]*Makanan[[#This Row],[Protein (g)]]</f>
        <v>2.79</v>
      </c>
      <c r="J21" s="6">
        <f>Makanan[[#This Row],[Komposisi (g)]]*Makanan[[#This Row],[Lemak (g)]]</f>
        <v>0.4</v>
      </c>
    </row>
    <row r="22" spans="1:10" x14ac:dyDescent="0.3">
      <c r="A22" s="10" t="s">
        <v>34</v>
      </c>
      <c r="B22" s="3">
        <v>100</v>
      </c>
      <c r="C22" s="3">
        <f>22/100</f>
        <v>0.22</v>
      </c>
      <c r="D22" s="3">
        <f>3.28/100</f>
        <v>3.2799999999999996E-2</v>
      </c>
      <c r="E22" s="3">
        <f>3.09/100</f>
        <v>3.0899999999999997E-2</v>
      </c>
      <c r="F22" s="3">
        <f>0.34/100</f>
        <v>3.4000000000000002E-3</v>
      </c>
      <c r="G22" s="2">
        <f>Makanan[[#This Row],[Komposisi (g)]]*Makanan[[#This Row],[Kalori (kal)]]</f>
        <v>22</v>
      </c>
      <c r="H22" s="2">
        <f>Makanan[[#This Row],[Komposisi (g)]]*Makanan[[#This Row],[Karbohidrat (g)]]</f>
        <v>3.2799999999999994</v>
      </c>
      <c r="I22" s="2">
        <f>Makanan[[#This Row],[Komposisi (g)]]*Makanan[[#This Row],[Protein (g)]]</f>
        <v>3.09</v>
      </c>
      <c r="J22" s="6">
        <f>Makanan[[#This Row],[Komposisi (g)]]*Makanan[[#This Row],[Lemak (g)]]</f>
        <v>0.34</v>
      </c>
    </row>
    <row r="23" spans="1:10" x14ac:dyDescent="0.3">
      <c r="A23" s="10" t="s">
        <v>33</v>
      </c>
      <c r="B23" s="3">
        <v>100</v>
      </c>
      <c r="C23" s="3">
        <f>35/100</f>
        <v>0.35</v>
      </c>
      <c r="D23" s="3">
        <f>6.43/100</f>
        <v>6.4299999999999996E-2</v>
      </c>
      <c r="E23" s="3">
        <f>3.34/100</f>
        <v>3.3399999999999999E-2</v>
      </c>
      <c r="F23" s="3">
        <f>0.44/100</f>
        <v>4.4000000000000003E-3</v>
      </c>
      <c r="G23" s="2">
        <f>Makanan[[#This Row],[Komposisi (g)]]*Makanan[[#This Row],[Kalori (kal)]]</f>
        <v>35</v>
      </c>
      <c r="H23" s="2">
        <f>Makanan[[#This Row],[Komposisi (g)]]*Makanan[[#This Row],[Karbohidrat (g)]]</f>
        <v>6.43</v>
      </c>
      <c r="I23" s="2">
        <f>Makanan[[#This Row],[Komposisi (g)]]*Makanan[[#This Row],[Protein (g)]]</f>
        <v>3.34</v>
      </c>
      <c r="J23" s="6">
        <f>Makanan[[#This Row],[Komposisi (g)]]*Makanan[[#This Row],[Lemak (g)]]</f>
        <v>0.44</v>
      </c>
    </row>
    <row r="24" spans="1:10" x14ac:dyDescent="0.3">
      <c r="A24" s="10" t="s">
        <v>60</v>
      </c>
      <c r="B24" s="3">
        <v>100</v>
      </c>
      <c r="C24" s="3">
        <f>578/100</f>
        <v>5.78</v>
      </c>
      <c r="D24" s="3">
        <f>19.74/100</f>
        <v>0.19739999999999999</v>
      </c>
      <c r="E24" s="3">
        <f>21.26/100</f>
        <v>0.21260000000000001</v>
      </c>
      <c r="F24" s="3">
        <f>50.64/100</f>
        <v>0.50639999999999996</v>
      </c>
      <c r="G24" s="13">
        <f>Makanan[[#This Row],[Komposisi (g)]]*Makanan[[#This Row],[Kalori (kal)]]</f>
        <v>578</v>
      </c>
      <c r="H24" s="13">
        <f>Makanan[[#This Row],[Komposisi (g)]]*Makanan[[#This Row],[Karbohidrat (g)]]</f>
        <v>19.739999999999998</v>
      </c>
      <c r="I24" s="13">
        <f>Makanan[[#This Row],[Komposisi (g)]]*Makanan[[#This Row],[Protein (g)]]</f>
        <v>21.26</v>
      </c>
      <c r="J24" s="14">
        <f>Makanan[[#This Row],[Komposisi (g)]]*Makanan[[#This Row],[Lemak (g)]]</f>
        <v>50.639999999999993</v>
      </c>
    </row>
    <row r="25" spans="1:10" x14ac:dyDescent="0.3">
      <c r="A25" s="10" t="s">
        <v>58</v>
      </c>
      <c r="B25" s="3">
        <v>100</v>
      </c>
      <c r="C25" s="3">
        <f>81/100</f>
        <v>0.81</v>
      </c>
      <c r="D25" s="3">
        <f>6.53/100</f>
        <v>6.5299999999999997E-2</v>
      </c>
      <c r="E25" s="3">
        <f>8.47/100</f>
        <v>8.4700000000000011E-2</v>
      </c>
      <c r="F25" s="3">
        <f>4.45/100</f>
        <v>4.4500000000000005E-2</v>
      </c>
      <c r="G25" s="13">
        <f>Makanan[[#This Row],[Komposisi (g)]]*Makanan[[#This Row],[Kalori (kal)]]</f>
        <v>81</v>
      </c>
      <c r="H25" s="13">
        <f>Makanan[[#This Row],[Komposisi (g)]]*Makanan[[#This Row],[Karbohidrat (g)]]</f>
        <v>6.5299999999999994</v>
      </c>
      <c r="I25" s="13">
        <f>Makanan[[#This Row],[Komposisi (g)]]*Makanan[[#This Row],[Protein (g)]]</f>
        <v>8.4700000000000006</v>
      </c>
      <c r="J25" s="14">
        <f>Makanan[[#This Row],[Komposisi (g)]]*Makanan[[#This Row],[Lemak (g)]]</f>
        <v>4.45</v>
      </c>
    </row>
    <row r="26" spans="1:10" x14ac:dyDescent="0.3">
      <c r="A26" s="10" t="s">
        <v>62</v>
      </c>
      <c r="B26" s="3">
        <v>100</v>
      </c>
      <c r="C26" s="3">
        <f>78/100</f>
        <v>0.78</v>
      </c>
      <c r="D26" s="3">
        <f>2.1/100</f>
        <v>2.1000000000000001E-2</v>
      </c>
      <c r="E26" s="3">
        <f>7.97/100</f>
        <v>7.9699999999999993E-2</v>
      </c>
      <c r="F26" s="3">
        <f>4.95/100</f>
        <v>4.9500000000000002E-2</v>
      </c>
      <c r="G26" s="13">
        <f>Makanan[[#This Row],[Komposisi (g)]]*Makanan[[#This Row],[Kalori (kal)]]</f>
        <v>78</v>
      </c>
      <c r="H26" s="13">
        <f>Makanan[[#This Row],[Komposisi (g)]]*Makanan[[#This Row],[Karbohidrat (g)]]</f>
        <v>2.1</v>
      </c>
      <c r="I26" s="13">
        <f>Makanan[[#This Row],[Komposisi (g)]]*Makanan[[#This Row],[Protein (g)]]</f>
        <v>7.9699999999999989</v>
      </c>
      <c r="J26" s="14">
        <f>Makanan[[#This Row],[Komposisi (g)]]*Makanan[[#This Row],[Lemak (g)]]</f>
        <v>4.95</v>
      </c>
    </row>
    <row r="27" spans="1:10" x14ac:dyDescent="0.3">
      <c r="A27" s="10" t="s">
        <v>61</v>
      </c>
      <c r="B27" s="3">
        <v>100</v>
      </c>
      <c r="C27" s="3">
        <f>193/100</f>
        <v>1.93</v>
      </c>
      <c r="D27" s="3">
        <f>9.39/100</f>
        <v>9.3900000000000011E-2</v>
      </c>
      <c r="E27" s="3">
        <f>18.54/100</f>
        <v>0.18539999999999998</v>
      </c>
      <c r="F27" s="3">
        <f>10.8/100</f>
        <v>0.10800000000000001</v>
      </c>
      <c r="G27" s="13">
        <f>Makanan[[#This Row],[Komposisi (g)]]*Makanan[[#This Row],[Kalori (kal)]]</f>
        <v>193</v>
      </c>
      <c r="H27" s="13">
        <f>Makanan[[#This Row],[Komposisi (g)]]*Makanan[[#This Row],[Karbohidrat (g)]]</f>
        <v>9.39</v>
      </c>
      <c r="I27" s="13">
        <f>Makanan[[#This Row],[Komposisi (g)]]*Makanan[[#This Row],[Protein (g)]]</f>
        <v>18.54</v>
      </c>
      <c r="J27" s="14">
        <f>Makanan[[#This Row],[Komposisi (g)]]*Makanan[[#This Row],[Lemak (g)]]</f>
        <v>10.8</v>
      </c>
    </row>
    <row r="28" spans="1:10" x14ac:dyDescent="0.3">
      <c r="A28" s="10" t="s">
        <v>59</v>
      </c>
      <c r="B28" s="3">
        <v>100</v>
      </c>
      <c r="C28" s="3">
        <f>40/100</f>
        <v>0.4</v>
      </c>
      <c r="D28" s="3">
        <f>9.63/100</f>
        <v>9.6300000000000011E-2</v>
      </c>
      <c r="E28" s="3">
        <f>0.88/100</f>
        <v>8.8000000000000005E-3</v>
      </c>
      <c r="F28" s="3">
        <f>0.08/100</f>
        <v>8.0000000000000004E-4</v>
      </c>
      <c r="G28" s="13">
        <f>Makanan[[#This Row],[Komposisi (g)]]*Makanan[[#This Row],[Kalori (kal)]]</f>
        <v>40</v>
      </c>
      <c r="H28" s="13">
        <f>Makanan[[#This Row],[Komposisi (g)]]*Makanan[[#This Row],[Karbohidrat (g)]]</f>
        <v>9.6300000000000008</v>
      </c>
      <c r="I28" s="13">
        <f>Makanan[[#This Row],[Komposisi (g)]]*Makanan[[#This Row],[Protein (g)]]</f>
        <v>0.88</v>
      </c>
      <c r="J28" s="14">
        <f>Makanan[[#This Row],[Komposisi (g)]]*Makanan[[#This Row],[Lemak (g)]]</f>
        <v>0.08</v>
      </c>
    </row>
    <row r="29" spans="1:10" x14ac:dyDescent="0.3">
      <c r="A29" s="5" t="s">
        <v>45</v>
      </c>
      <c r="B29" s="3">
        <v>10</v>
      </c>
      <c r="C29" s="3">
        <f>42/100</f>
        <v>0.42</v>
      </c>
      <c r="D29" s="3">
        <f>10.11/100</f>
        <v>0.1011</v>
      </c>
      <c r="E29" s="3">
        <f>0.92/100</f>
        <v>9.1999999999999998E-3</v>
      </c>
      <c r="F29" s="3">
        <f>0.08/100</f>
        <v>8.0000000000000004E-4</v>
      </c>
      <c r="G29" s="2">
        <f>Makanan[[#This Row],[Komposisi (g)]]*Makanan[[#This Row],[Kalori (kal)]]</f>
        <v>4.2</v>
      </c>
      <c r="H29" s="2">
        <f>Makanan[[#This Row],[Komposisi (g)]]*Makanan[[#This Row],[Karbohidrat (g)]]</f>
        <v>1.0109999999999999</v>
      </c>
      <c r="I29" s="2">
        <f>Makanan[[#This Row],[Komposisi (g)]]*Makanan[[#This Row],[Protein (g)]]</f>
        <v>9.1999999999999998E-2</v>
      </c>
      <c r="J29" s="6">
        <f>Makanan[[#This Row],[Komposisi (g)]]*Makanan[[#This Row],[Lemak (g)]]</f>
        <v>8.0000000000000002E-3</v>
      </c>
    </row>
    <row r="30" spans="1:10" x14ac:dyDescent="0.3">
      <c r="A30" s="5" t="s">
        <v>49</v>
      </c>
      <c r="B30" s="3">
        <v>10</v>
      </c>
      <c r="C30" s="3">
        <f>149/100</f>
        <v>1.49</v>
      </c>
      <c r="D30" s="3">
        <f>33.06/100</f>
        <v>0.3306</v>
      </c>
      <c r="E30" s="3">
        <f>6.36/100</f>
        <v>6.3600000000000004E-2</v>
      </c>
      <c r="F30" s="3">
        <f>0.5/100</f>
        <v>5.0000000000000001E-3</v>
      </c>
      <c r="G30" s="2">
        <f>Makanan[[#This Row],[Komposisi (g)]]*Makanan[[#This Row],[Kalori (kal)]]</f>
        <v>14.9</v>
      </c>
      <c r="H30" s="2">
        <f>Makanan[[#This Row],[Komposisi (g)]]*Makanan[[#This Row],[Karbohidrat (g)]]</f>
        <v>3.306</v>
      </c>
      <c r="I30" s="2">
        <f>Makanan[[#This Row],[Komposisi (g)]]*Makanan[[#This Row],[Protein (g)]]</f>
        <v>0.63600000000000001</v>
      </c>
      <c r="J30" s="6">
        <f>Makanan[[#This Row],[Komposisi (g)]]*Makanan[[#This Row],[Lemak (g)]]</f>
        <v>0.05</v>
      </c>
    </row>
    <row r="31" spans="1:10" x14ac:dyDescent="0.3">
      <c r="A31" s="5" t="s">
        <v>46</v>
      </c>
      <c r="B31" s="3">
        <v>10</v>
      </c>
      <c r="C31" s="3">
        <f>318/100</f>
        <v>3.18</v>
      </c>
      <c r="D31" s="3">
        <f>56.63/100</f>
        <v>0.56630000000000003</v>
      </c>
      <c r="E31" s="3">
        <f>12.01/100</f>
        <v>0.1201</v>
      </c>
      <c r="F31" s="3">
        <f>17.27/100</f>
        <v>0.17269999999999999</v>
      </c>
      <c r="G31" s="2">
        <f>Makanan[[#This Row],[Komposisi (g)]]*Makanan[[#This Row],[Kalori (kal)]]</f>
        <v>31.8</v>
      </c>
      <c r="H31" s="2">
        <f>Makanan[[#This Row],[Komposisi (g)]]*Makanan[[#This Row],[Karbohidrat (g)]]</f>
        <v>5.6630000000000003</v>
      </c>
      <c r="I31" s="2">
        <f>Makanan[[#This Row],[Komposisi (g)]]*Makanan[[#This Row],[Protein (g)]]</f>
        <v>1.2010000000000001</v>
      </c>
      <c r="J31" s="6">
        <f>Makanan[[#This Row],[Komposisi (g)]]*Makanan[[#This Row],[Lemak (g)]]</f>
        <v>1.7269999999999999</v>
      </c>
    </row>
    <row r="32" spans="1:10" x14ac:dyDescent="0.3">
      <c r="A32" s="5" t="s">
        <v>47</v>
      </c>
      <c r="B32" s="3">
        <v>5</v>
      </c>
      <c r="C32" s="3">
        <f>80/100</f>
        <v>0.8</v>
      </c>
      <c r="D32" s="3">
        <f>17.77/100</f>
        <v>0.1777</v>
      </c>
      <c r="E32" s="3">
        <f>1.82/100</f>
        <v>1.8200000000000001E-2</v>
      </c>
      <c r="F32" s="3">
        <f>0.75/100</f>
        <v>7.4999999999999997E-3</v>
      </c>
      <c r="G32" s="2">
        <f>Makanan[[#This Row],[Komposisi (g)]]*Makanan[[#This Row],[Kalori (kal)]]</f>
        <v>4</v>
      </c>
      <c r="H32" s="2">
        <f>Makanan[[#This Row],[Komposisi (g)]]*Makanan[[#This Row],[Karbohidrat (g)]]</f>
        <v>0.88849999999999996</v>
      </c>
      <c r="I32" s="2">
        <f>Makanan[[#This Row],[Komposisi (g)]]*Makanan[[#This Row],[Protein (g)]]</f>
        <v>9.0999999999999998E-2</v>
      </c>
      <c r="J32" s="6">
        <f>Makanan[[#This Row],[Komposisi (g)]]*Makanan[[#This Row],[Lemak (g)]]</f>
        <v>3.7499999999999999E-2</v>
      </c>
    </row>
    <row r="33" spans="1:10" x14ac:dyDescent="0.3">
      <c r="A33" s="5" t="s">
        <v>48</v>
      </c>
      <c r="B33" s="3">
        <v>5</v>
      </c>
      <c r="C33" s="3">
        <f>354/100</f>
        <v>3.54</v>
      </c>
      <c r="D33" s="3">
        <f>64.93/100</f>
        <v>0.6493000000000001</v>
      </c>
      <c r="E33" s="3">
        <f>7.83/100</f>
        <v>7.8299999999999995E-2</v>
      </c>
      <c r="F33" s="3">
        <f>9.88/100</f>
        <v>9.8800000000000013E-2</v>
      </c>
      <c r="G33" s="2">
        <f>Makanan[[#This Row],[Komposisi (g)]]*Makanan[[#This Row],[Kalori (kal)]]</f>
        <v>17.7</v>
      </c>
      <c r="H33" s="2">
        <f>Makanan[[#This Row],[Komposisi (g)]]*Makanan[[#This Row],[Karbohidrat (g)]]</f>
        <v>3.2465000000000006</v>
      </c>
      <c r="I33" s="2">
        <f>Makanan[[#This Row],[Komposisi (g)]]*Makanan[[#This Row],[Protein (g)]]</f>
        <v>0.39149999999999996</v>
      </c>
      <c r="J33" s="6">
        <f>Makanan[[#This Row],[Komposisi (g)]]*Makanan[[#This Row],[Lemak (g)]]</f>
        <v>0.49400000000000005</v>
      </c>
    </row>
    <row r="34" spans="1:10" x14ac:dyDescent="0.3">
      <c r="A34" s="5" t="s">
        <v>44</v>
      </c>
      <c r="B34" s="3">
        <v>3</v>
      </c>
      <c r="C34" s="3">
        <f>10/3</f>
        <v>3.3333333333333335</v>
      </c>
      <c r="D34" s="3">
        <f>2/3</f>
        <v>0.66666666666666663</v>
      </c>
      <c r="E34" s="3">
        <v>0</v>
      </c>
      <c r="F34" s="3">
        <v>0</v>
      </c>
      <c r="G34" s="2">
        <f>Makanan[[#This Row],[Komposisi (g)]]*Makanan[[#This Row],[Kalori (kal)]]</f>
        <v>10</v>
      </c>
      <c r="H34" s="2">
        <f>Makanan[[#This Row],[Komposisi (g)]]*Makanan[[#This Row],[Karbohidrat (g)]]</f>
        <v>2</v>
      </c>
      <c r="I34" s="2">
        <f>Makanan[[#This Row],[Komposisi (g)]]*Makanan[[#This Row],[Protein (g)]]</f>
        <v>0</v>
      </c>
      <c r="J34" s="6">
        <f>Makanan[[#This Row],[Komposisi (g)]]*Makanan[[#This Row],[Lemak (g)]]</f>
        <v>0</v>
      </c>
    </row>
    <row r="35" spans="1:10" x14ac:dyDescent="0.3">
      <c r="A35" s="10" t="s">
        <v>38</v>
      </c>
      <c r="B35" s="3">
        <v>5</v>
      </c>
      <c r="C35" s="3">
        <f>20/5</f>
        <v>4</v>
      </c>
      <c r="D35" s="3">
        <f>4/5</f>
        <v>0.8</v>
      </c>
      <c r="E35" s="3">
        <f>1/5</f>
        <v>0.2</v>
      </c>
      <c r="F35" s="3">
        <f>0/5</f>
        <v>0</v>
      </c>
      <c r="G35" s="2">
        <f>Makanan[[#This Row],[Komposisi (g)]]*Makanan[[#This Row],[Kalori (kal)]]</f>
        <v>20</v>
      </c>
      <c r="H35" s="2">
        <f>Makanan[[#This Row],[Komposisi (g)]]*Makanan[[#This Row],[Karbohidrat (g)]]</f>
        <v>4</v>
      </c>
      <c r="I35" s="2">
        <f>Makanan[[#This Row],[Komposisi (g)]]*Makanan[[#This Row],[Protein (g)]]</f>
        <v>1</v>
      </c>
      <c r="J35" s="6">
        <f>Makanan[[#This Row],[Komposisi (g)]]*Makanan[[#This Row],[Lemak (g)]]</f>
        <v>0</v>
      </c>
    </row>
    <row r="36" spans="1:10" x14ac:dyDescent="0.3">
      <c r="A36" s="10" t="s">
        <v>37</v>
      </c>
      <c r="B36" s="3">
        <v>4.5</v>
      </c>
      <c r="C36" s="3">
        <f>15/4.5</f>
        <v>3.3333333333333335</v>
      </c>
      <c r="D36" s="3">
        <f>2/4.5</f>
        <v>0.44444444444444442</v>
      </c>
      <c r="E36" s="3">
        <f>2/4.5</f>
        <v>0.44444444444444442</v>
      </c>
      <c r="F36" s="3">
        <f>0/4.5</f>
        <v>0</v>
      </c>
      <c r="G36" s="2">
        <f>Makanan[[#This Row],[Komposisi (g)]]*Makanan[[#This Row],[Kalori (kal)]]</f>
        <v>15</v>
      </c>
      <c r="H36" s="2">
        <f>Makanan[[#This Row],[Komposisi (g)]]*Makanan[[#This Row],[Karbohidrat (g)]]</f>
        <v>2</v>
      </c>
      <c r="I36" s="2">
        <f>Makanan[[#This Row],[Komposisi (g)]]*Makanan[[#This Row],[Protein (g)]]</f>
        <v>2</v>
      </c>
      <c r="J36" s="6">
        <f>Makanan[[#This Row],[Komposisi (g)]]*Makanan[[#This Row],[Lemak (g)]]</f>
        <v>0</v>
      </c>
    </row>
    <row r="37" spans="1:10" x14ac:dyDescent="0.3">
      <c r="A37" s="10" t="s">
        <v>22</v>
      </c>
      <c r="B37" s="3">
        <v>100</v>
      </c>
      <c r="C37" s="3">
        <f>23/100</f>
        <v>0.23</v>
      </c>
      <c r="D37" s="3">
        <f>3.63/100</f>
        <v>3.6299999999999999E-2</v>
      </c>
      <c r="E37" s="3">
        <f>2.86/100</f>
        <v>2.86E-2</v>
      </c>
      <c r="F37" s="3">
        <f>0.39/100</f>
        <v>3.9000000000000003E-3</v>
      </c>
      <c r="G37" s="2">
        <f>Makanan[[#This Row],[Komposisi (g)]]*Makanan[[#This Row],[Kalori (kal)]]</f>
        <v>23</v>
      </c>
      <c r="H37" s="2">
        <f>Makanan[[#This Row],[Komposisi (g)]]*Makanan[[#This Row],[Karbohidrat (g)]]</f>
        <v>3.63</v>
      </c>
      <c r="I37" s="2">
        <f>Makanan[[#This Row],[Komposisi (g)]]*Makanan[[#This Row],[Protein (g)]]</f>
        <v>2.86</v>
      </c>
      <c r="J37" s="6">
        <f>Makanan[[#This Row],[Komposisi (g)]]*Makanan[[#This Row],[Lemak (g)]]</f>
        <v>0.39</v>
      </c>
    </row>
    <row r="38" spans="1:10" x14ac:dyDescent="0.3">
      <c r="A38" s="11" t="s">
        <v>12</v>
      </c>
      <c r="B38" s="3">
        <v>100</v>
      </c>
      <c r="C38" s="3">
        <f>34/100</f>
        <v>0.34</v>
      </c>
      <c r="D38" s="3">
        <f>6.64/100</f>
        <v>6.6400000000000001E-2</v>
      </c>
      <c r="E38" s="3">
        <f>2.82/100</f>
        <v>2.8199999999999999E-2</v>
      </c>
      <c r="F38" s="3">
        <f>0.37/100</f>
        <v>3.7000000000000002E-3</v>
      </c>
      <c r="G38" s="2">
        <f>Makanan[[#This Row],[Komposisi (g)]]*Makanan[[#This Row],[Kalori (kal)]]</f>
        <v>34</v>
      </c>
      <c r="H38" s="2">
        <f>Makanan[[#This Row],[Komposisi (g)]]*Makanan[[#This Row],[Karbohidrat (g)]]</f>
        <v>6.64</v>
      </c>
      <c r="I38" s="2">
        <f>Makanan[[#This Row],[Komposisi (g)]]*Makanan[[#This Row],[Protein (g)]]</f>
        <v>2.82</v>
      </c>
      <c r="J38" s="6">
        <f>Makanan[[#This Row],[Komposisi (g)]]*Makanan[[#This Row],[Lemak (g)]]</f>
        <v>0.37</v>
      </c>
    </row>
    <row r="39" spans="1:10" x14ac:dyDescent="0.3">
      <c r="A39" s="11" t="s">
        <v>51</v>
      </c>
      <c r="B39" s="3">
        <v>100</v>
      </c>
      <c r="C39" s="3">
        <f>31/100</f>
        <v>0.31</v>
      </c>
      <c r="D39" s="3">
        <f>7.13/100</f>
        <v>7.1300000000000002E-2</v>
      </c>
      <c r="E39" s="3">
        <f>1.82/100</f>
        <v>1.8200000000000001E-2</v>
      </c>
      <c r="F39" s="3">
        <f>0.12/100</f>
        <v>1.1999999999999999E-3</v>
      </c>
      <c r="G39" s="2">
        <f>Makanan[[#This Row],[Komposisi (g)]]*Makanan[[#This Row],[Kalori (kal)]]</f>
        <v>31</v>
      </c>
      <c r="H39" s="2">
        <f>Makanan[[#This Row],[Komposisi (g)]]*Makanan[[#This Row],[Karbohidrat (g)]]</f>
        <v>7.13</v>
      </c>
      <c r="I39" s="2">
        <f>Makanan[[#This Row],[Komposisi (g)]]*Makanan[[#This Row],[Protein (g)]]</f>
        <v>1.82</v>
      </c>
      <c r="J39" s="6">
        <f>Makanan[[#This Row],[Komposisi (g)]]*Makanan[[#This Row],[Lemak (g)]]</f>
        <v>0.12</v>
      </c>
    </row>
    <row r="40" spans="1:10" x14ac:dyDescent="0.3">
      <c r="A40" s="11" t="s">
        <v>17</v>
      </c>
      <c r="B40" s="3">
        <v>100</v>
      </c>
      <c r="C40" s="3">
        <f>38/100</f>
        <v>0.38</v>
      </c>
      <c r="D40" s="3">
        <f>7.25/100</f>
        <v>7.2499999999999995E-2</v>
      </c>
      <c r="E40" s="3">
        <f>3.66/100</f>
        <v>3.6600000000000001E-2</v>
      </c>
      <c r="F40" s="3">
        <f>0.29/100</f>
        <v>2.8999999999999998E-3</v>
      </c>
      <c r="G40" s="2">
        <f>Makanan[[#This Row],[Komposisi (g)]]*Makanan[[#This Row],[Kalori (kal)]]</f>
        <v>38</v>
      </c>
      <c r="H40" s="2">
        <f>Makanan[[#This Row],[Komposisi (g)]]*Makanan[[#This Row],[Karbohidrat (g)]]</f>
        <v>7.2499999999999991</v>
      </c>
      <c r="I40" s="2">
        <f>Makanan[[#This Row],[Komposisi (g)]]*Makanan[[#This Row],[Protein (g)]]</f>
        <v>3.66</v>
      </c>
      <c r="J40" s="6">
        <f>Makanan[[#This Row],[Komposisi (g)]]*Makanan[[#This Row],[Lemak (g)]]</f>
        <v>0.28999999999999998</v>
      </c>
    </row>
    <row r="41" spans="1:10" x14ac:dyDescent="0.3">
      <c r="A41" s="11" t="s">
        <v>14</v>
      </c>
      <c r="B41" s="3">
        <v>100</v>
      </c>
      <c r="C41" s="3">
        <f>29/100</f>
        <v>0.28999999999999998</v>
      </c>
      <c r="D41" s="3">
        <f>4.69/100</f>
        <v>4.6900000000000004E-2</v>
      </c>
      <c r="E41" s="3">
        <f>3.59/100</f>
        <v>3.5900000000000001E-2</v>
      </c>
      <c r="F41" s="3">
        <f>0.48/100</f>
        <v>4.7999999999999996E-3</v>
      </c>
      <c r="G41" s="2">
        <f>Makanan[[#This Row],[Komposisi (g)]]*Makanan[[#This Row],[Kalori (kal)]]</f>
        <v>28.999999999999996</v>
      </c>
      <c r="H41" s="2">
        <f>Makanan[[#This Row],[Komposisi (g)]]*Makanan[[#This Row],[Karbohidrat (g)]]</f>
        <v>4.6900000000000004</v>
      </c>
      <c r="I41" s="2">
        <f>Makanan[[#This Row],[Komposisi (g)]]*Makanan[[#This Row],[Protein (g)]]</f>
        <v>3.5900000000000003</v>
      </c>
      <c r="J41" s="6">
        <f>Makanan[[#This Row],[Komposisi (g)]]*Makanan[[#This Row],[Lemak (g)]]</f>
        <v>0.48</v>
      </c>
    </row>
    <row r="42" spans="1:10" x14ac:dyDescent="0.3">
      <c r="A42" s="11" t="s">
        <v>13</v>
      </c>
      <c r="B42" s="3">
        <v>100</v>
      </c>
      <c r="C42" s="3">
        <f>25/100</f>
        <v>0.25</v>
      </c>
      <c r="D42" s="3">
        <f>5.3/100</f>
        <v>5.2999999999999999E-2</v>
      </c>
      <c r="E42" s="3">
        <f>1.98/100</f>
        <v>1.9799999999999998E-2</v>
      </c>
      <c r="F42" s="3">
        <f>0.1/100</f>
        <v>1E-3</v>
      </c>
      <c r="G42" s="2">
        <f>Makanan[[#This Row],[Komposisi (g)]]*Makanan[[#This Row],[Kalori (kal)]]</f>
        <v>25</v>
      </c>
      <c r="H42" s="2">
        <f>Makanan[[#This Row],[Komposisi (g)]]*Makanan[[#This Row],[Karbohidrat (g)]]</f>
        <v>5.3</v>
      </c>
      <c r="I42" s="2">
        <f>Makanan[[#This Row],[Komposisi (g)]]*Makanan[[#This Row],[Protein (g)]]</f>
        <v>1.9799999999999998</v>
      </c>
      <c r="J42" s="6">
        <f>Makanan[[#This Row],[Komposisi (g)]]*Makanan[[#This Row],[Lemak (g)]]</f>
        <v>0.1</v>
      </c>
    </row>
    <row r="43" spans="1:10" x14ac:dyDescent="0.3">
      <c r="A43" s="12" t="s">
        <v>18</v>
      </c>
      <c r="B43" s="4">
        <v>100</v>
      </c>
      <c r="C43" s="4">
        <f>17/100</f>
        <v>0.17</v>
      </c>
      <c r="D43" s="4">
        <f>3.9/100</f>
        <v>3.9E-2</v>
      </c>
      <c r="E43" s="4">
        <f>0.82/100</f>
        <v>8.199999999999999E-3</v>
      </c>
      <c r="F43" s="4">
        <f>0.13/100</f>
        <v>1.2999999999999999E-3</v>
      </c>
      <c r="G43" s="2">
        <f>Makanan[[#This Row],[Komposisi (g)]]*Makanan[[#This Row],[Kalori (kal)]]</f>
        <v>17</v>
      </c>
      <c r="H43" s="2">
        <f>Makanan[[#This Row],[Komposisi (g)]]*Makanan[[#This Row],[Karbohidrat (g)]]</f>
        <v>3.9</v>
      </c>
      <c r="I43" s="2">
        <f>Makanan[[#This Row],[Komposisi (g)]]*Makanan[[#This Row],[Protein (g)]]</f>
        <v>0.81999999999999984</v>
      </c>
      <c r="J43" s="6">
        <f>Makanan[[#This Row],[Komposisi (g)]]*Makanan[[#This Row],[Lemak (g)]]</f>
        <v>0.13</v>
      </c>
    </row>
    <row r="44" spans="1:10" x14ac:dyDescent="0.3">
      <c r="A44" s="12" t="s">
        <v>32</v>
      </c>
      <c r="B44" s="4">
        <v>100</v>
      </c>
      <c r="C44" s="4">
        <f>26/100</f>
        <v>0.26</v>
      </c>
      <c r="D44" s="4">
        <f>6.03/100</f>
        <v>6.0299999999999999E-2</v>
      </c>
      <c r="E44" s="4">
        <f>0.99/100</f>
        <v>9.8999999999999991E-3</v>
      </c>
      <c r="F44" s="4">
        <f>0.3/100</f>
        <v>3.0000000000000001E-3</v>
      </c>
      <c r="G44" s="2">
        <f>Makanan[[#This Row],[Komposisi (g)]]*Makanan[[#This Row],[Kalori (kal)]]</f>
        <v>26</v>
      </c>
      <c r="H44" s="2">
        <f>Makanan[[#This Row],[Komposisi (g)]]*Makanan[[#This Row],[Karbohidrat (g)]]</f>
        <v>6.03</v>
      </c>
      <c r="I44" s="2">
        <f>Makanan[[#This Row],[Komposisi (g)]]*Makanan[[#This Row],[Protein (g)]]</f>
        <v>0.98999999999999988</v>
      </c>
      <c r="J44" s="6">
        <f>Makanan[[#This Row],[Komposisi (g)]]*Makanan[[#This Row],[Lemak (g)]]</f>
        <v>0.3</v>
      </c>
    </row>
    <row r="45" spans="1:10" x14ac:dyDescent="0.3">
      <c r="A45" s="10" t="s">
        <v>31</v>
      </c>
      <c r="B45" s="3">
        <v>100</v>
      </c>
      <c r="C45" s="3">
        <f>91/100</f>
        <v>0.91</v>
      </c>
      <c r="D45" s="3">
        <f>16.62/100</f>
        <v>0.16620000000000001</v>
      </c>
      <c r="E45" s="3">
        <f>6.58/100</f>
        <v>6.5799999999999997E-2</v>
      </c>
      <c r="F45" s="3">
        <f>0.37/100</f>
        <v>3.7000000000000002E-3</v>
      </c>
      <c r="G45" s="2">
        <f>Makanan[[#This Row],[Komposisi (g)]]*Makanan[[#This Row],[Kalori (kal)]]</f>
        <v>91</v>
      </c>
      <c r="H45" s="2">
        <f>Makanan[[#This Row],[Komposisi (g)]]*Makanan[[#This Row],[Karbohidrat (g)]]</f>
        <v>16.62</v>
      </c>
      <c r="I45" s="2">
        <f>Makanan[[#This Row],[Komposisi (g)]]*Makanan[[#This Row],[Protein (g)]]</f>
        <v>6.58</v>
      </c>
      <c r="J45" s="6">
        <f>Makanan[[#This Row],[Komposisi (g)]]*Makanan[[#This Row],[Lemak (g)]]</f>
        <v>0.37</v>
      </c>
    </row>
    <row r="46" spans="1:10" x14ac:dyDescent="0.3">
      <c r="A46" s="10" t="s">
        <v>15</v>
      </c>
      <c r="B46" s="3">
        <v>100</v>
      </c>
      <c r="C46" s="3">
        <f>13/100</f>
        <v>0.13</v>
      </c>
      <c r="D46" s="3">
        <f>2.18/100</f>
        <v>2.18E-2</v>
      </c>
      <c r="E46" s="3">
        <f>1.5/100</f>
        <v>1.4999999999999999E-2</v>
      </c>
      <c r="F46" s="3">
        <f>0.2/100</f>
        <v>2E-3</v>
      </c>
      <c r="G46" s="2">
        <f>Makanan[[#This Row],[Komposisi (g)]]*Makanan[[#This Row],[Kalori (kal)]]</f>
        <v>13</v>
      </c>
      <c r="H46" s="2">
        <f>Makanan[[#This Row],[Komposisi (g)]]*Makanan[[#This Row],[Karbohidrat (g)]]</f>
        <v>2.1800000000000002</v>
      </c>
      <c r="I46" s="2">
        <f>Makanan[[#This Row],[Komposisi (g)]]*Makanan[[#This Row],[Protein (g)]]</f>
        <v>1.5</v>
      </c>
      <c r="J46" s="6">
        <f>Makanan[[#This Row],[Komposisi (g)]]*Makanan[[#This Row],[Lemak (g)]]</f>
        <v>0.2</v>
      </c>
    </row>
    <row r="47" spans="1:10" x14ac:dyDescent="0.3">
      <c r="A47" s="10" t="s">
        <v>50</v>
      </c>
      <c r="B47" s="3">
        <v>100</v>
      </c>
      <c r="C47" s="3">
        <f>12/100</f>
        <v>0.12</v>
      </c>
      <c r="D47" s="3">
        <f>2.23/100</f>
        <v>2.23E-2</v>
      </c>
      <c r="E47" s="3">
        <f>1.1/100</f>
        <v>1.1000000000000001E-2</v>
      </c>
      <c r="F47" s="3">
        <f>0.17/100</f>
        <v>1.7000000000000001E-3</v>
      </c>
      <c r="G47" s="2">
        <f>Makanan[[#This Row],[Komposisi (g)]]*Makanan[[#This Row],[Kalori (kal)]]</f>
        <v>12</v>
      </c>
      <c r="H47" s="2">
        <f>Makanan[[#This Row],[Komposisi (g)]]*Makanan[[#This Row],[Karbohidrat (g)]]</f>
        <v>2.23</v>
      </c>
      <c r="I47" s="2">
        <f>Makanan[[#This Row],[Komposisi (g)]]*Makanan[[#This Row],[Protein (g)]]</f>
        <v>1.1000000000000001</v>
      </c>
      <c r="J47" s="6">
        <f>Makanan[[#This Row],[Komposisi (g)]]*Makanan[[#This Row],[Lemak (g)]]</f>
        <v>0.17</v>
      </c>
    </row>
    <row r="48" spans="1:10" x14ac:dyDescent="0.3">
      <c r="A48" s="10" t="s">
        <v>35</v>
      </c>
      <c r="B48" s="3">
        <v>100</v>
      </c>
      <c r="C48" s="3">
        <f>18/100</f>
        <v>0.18</v>
      </c>
      <c r="D48" s="3">
        <f>3.92/100</f>
        <v>3.9199999999999999E-2</v>
      </c>
      <c r="E48" s="3">
        <f>0.88/100</f>
        <v>8.8000000000000005E-3</v>
      </c>
      <c r="F48" s="3">
        <f>0.2/100</f>
        <v>2E-3</v>
      </c>
      <c r="G48" s="2">
        <f>Makanan[[#This Row],[Komposisi (g)]]*Makanan[[#This Row],[Kalori (kal)]]</f>
        <v>18</v>
      </c>
      <c r="H48" s="2">
        <f>Makanan[[#This Row],[Komposisi (g)]]*Makanan[[#This Row],[Karbohidrat (g)]]</f>
        <v>3.92</v>
      </c>
      <c r="I48" s="2">
        <f>Makanan[[#This Row],[Komposisi (g)]]*Makanan[[#This Row],[Protein (g)]]</f>
        <v>0.88</v>
      </c>
      <c r="J48" s="6">
        <f>Makanan[[#This Row],[Komposisi (g)]]*Makanan[[#This Row],[Lemak (g)]]</f>
        <v>0.2</v>
      </c>
    </row>
    <row r="49" spans="1:10" x14ac:dyDescent="0.3">
      <c r="A49" s="10" t="s">
        <v>39</v>
      </c>
      <c r="B49" s="3">
        <v>100</v>
      </c>
      <c r="C49" s="3">
        <f>41/100</f>
        <v>0.41</v>
      </c>
      <c r="D49" s="3">
        <f>9.58/100</f>
        <v>9.5799999999999996E-2</v>
      </c>
      <c r="E49" s="3">
        <f>0.93/100</f>
        <v>9.300000000000001E-3</v>
      </c>
      <c r="F49" s="3">
        <f>0.24/100</f>
        <v>2.3999999999999998E-3</v>
      </c>
      <c r="G49" s="2">
        <f>Makanan[[#This Row],[Komposisi (g)]]*Makanan[[#This Row],[Kalori (kal)]]</f>
        <v>41</v>
      </c>
      <c r="H49" s="2">
        <f>Makanan[[#This Row],[Komposisi (g)]]*Makanan[[#This Row],[Karbohidrat (g)]]</f>
        <v>9.58</v>
      </c>
      <c r="I49" s="2">
        <f>Makanan[[#This Row],[Komposisi (g)]]*Makanan[[#This Row],[Protein (g)]]</f>
        <v>0.93</v>
      </c>
      <c r="J49" s="6">
        <f>Makanan[[#This Row],[Komposisi (g)]]*Makanan[[#This Row],[Lemak (g)]]</f>
        <v>0.24</v>
      </c>
    </row>
    <row r="50" spans="1:10" x14ac:dyDescent="0.3">
      <c r="A50" s="10" t="s">
        <v>64</v>
      </c>
      <c r="B50" s="3">
        <v>5.5</v>
      </c>
      <c r="C50" s="3">
        <f>20/5.5</f>
        <v>3.6363636363636362</v>
      </c>
      <c r="D50" s="3">
        <f>0/5.5</f>
        <v>0</v>
      </c>
      <c r="E50" s="3">
        <f>5/5.5</f>
        <v>0.90909090909090906</v>
      </c>
      <c r="F50" s="3">
        <f>0/5.5</f>
        <v>0</v>
      </c>
      <c r="G50" s="13">
        <f>Makanan[[#This Row],[Komposisi (g)]]*Makanan[[#This Row],[Kalori (kal)]]</f>
        <v>20</v>
      </c>
      <c r="H50" s="13">
        <f>Makanan[[#This Row],[Komposisi (g)]]*Makanan[[#This Row],[Karbohidrat (g)]]</f>
        <v>0</v>
      </c>
      <c r="I50" s="13">
        <f>Makanan[[#This Row],[Komposisi (g)]]*Makanan[[#This Row],[Protein (g)]]</f>
        <v>5</v>
      </c>
      <c r="J50" s="14">
        <f>Makanan[[#This Row],[Komposisi (g)]]*Makanan[[#This Row],[Lemak (g)]]</f>
        <v>0</v>
      </c>
    </row>
    <row r="51" spans="1:10" x14ac:dyDescent="0.3">
      <c r="A51" s="5" t="s">
        <v>63</v>
      </c>
      <c r="B51" s="3">
        <v>29.15</v>
      </c>
      <c r="C51" s="3">
        <f>110/29.15</f>
        <v>3.7735849056603774</v>
      </c>
      <c r="D51" s="3">
        <f>1/29.15</f>
        <v>3.430531732418525E-2</v>
      </c>
      <c r="E51" s="3">
        <f>25/29.15</f>
        <v>0.85763293310463129</v>
      </c>
      <c r="F51" s="3">
        <f>0/29.15</f>
        <v>0</v>
      </c>
      <c r="G51" s="2">
        <f>Makanan[[#This Row],[Komposisi (g)]]*Makanan[[#This Row],[Kalori (kal)]]</f>
        <v>110</v>
      </c>
      <c r="H51" s="2">
        <f>Makanan[[#This Row],[Komposisi (g)]]*Makanan[[#This Row],[Karbohidrat (g)]]</f>
        <v>1</v>
      </c>
      <c r="I51" s="2">
        <f>Makanan[[#This Row],[Komposisi (g)]]*Makanan[[#This Row],[Protein (g)]]</f>
        <v>25</v>
      </c>
      <c r="J51" s="6">
        <f>Makanan[[#This Row],[Komposisi (g)]]*Makanan[[#This Row],[Lemak (g)]]</f>
        <v>0</v>
      </c>
    </row>
    <row r="52" spans="1:10" x14ac:dyDescent="0.3">
      <c r="A52" s="10" t="s">
        <v>54</v>
      </c>
      <c r="B52" s="3">
        <v>100</v>
      </c>
      <c r="C52" s="3">
        <f>52/100</f>
        <v>0.52</v>
      </c>
      <c r="D52" s="3">
        <f>0.73/100</f>
        <v>7.3000000000000001E-3</v>
      </c>
      <c r="E52" s="3">
        <f>10.9/100</f>
        <v>0.109</v>
      </c>
      <c r="F52" s="3">
        <f>0.17/100</f>
        <v>1.7000000000000001E-3</v>
      </c>
      <c r="G52" s="2">
        <f>Makanan[[#This Row],[Komposisi (g)]]*Makanan[[#This Row],[Kalori (kal)]]</f>
        <v>52</v>
      </c>
      <c r="H52" s="2">
        <f>Makanan[[#This Row],[Komposisi (g)]]*Makanan[[#This Row],[Karbohidrat (g)]]</f>
        <v>0.73</v>
      </c>
      <c r="I52" s="2">
        <f>Makanan[[#This Row],[Komposisi (g)]]*Makanan[[#This Row],[Protein (g)]]</f>
        <v>10.9</v>
      </c>
      <c r="J52" s="6">
        <f>Makanan[[#This Row],[Komposisi (g)]]*Makanan[[#This Row],[Lemak (g)]]</f>
        <v>0.17</v>
      </c>
    </row>
    <row r="53" spans="1:10" x14ac:dyDescent="0.3">
      <c r="A53" s="10" t="s">
        <v>52</v>
      </c>
      <c r="B53" s="3">
        <v>100</v>
      </c>
      <c r="C53" s="3">
        <f>147/100</f>
        <v>1.47</v>
      </c>
      <c r="D53" s="3">
        <f>0.77/100</f>
        <v>7.7000000000000002E-3</v>
      </c>
      <c r="E53" s="3">
        <f>12.58/100</f>
        <v>0.1258</v>
      </c>
      <c r="F53" s="3">
        <f>9.94/100</f>
        <v>9.9399999999999988E-2</v>
      </c>
      <c r="G53" s="2">
        <f>Makanan[[#This Row],[Komposisi (g)]]*Makanan[[#This Row],[Kalori (kal)]]</f>
        <v>147</v>
      </c>
      <c r="H53" s="2">
        <f>Makanan[[#This Row],[Komposisi (g)]]*Makanan[[#This Row],[Karbohidrat (g)]]</f>
        <v>0.77</v>
      </c>
      <c r="I53" s="2">
        <f>Makanan[[#This Row],[Komposisi (g)]]*Makanan[[#This Row],[Protein (g)]]</f>
        <v>12.58</v>
      </c>
      <c r="J53" s="6">
        <f>Makanan[[#This Row],[Komposisi (g)]]*Makanan[[#This Row],[Lemak (g)]]</f>
        <v>9.94</v>
      </c>
    </row>
    <row r="54" spans="1:10" x14ac:dyDescent="0.3">
      <c r="A54" s="10" t="s">
        <v>53</v>
      </c>
      <c r="B54" s="3">
        <v>100</v>
      </c>
      <c r="C54" s="3">
        <f>185/100</f>
        <v>1.85</v>
      </c>
      <c r="D54" s="3">
        <f>1.45/100</f>
        <v>1.4499999999999999E-2</v>
      </c>
      <c r="E54" s="3">
        <f>12.81/100</f>
        <v>0.12809999999999999</v>
      </c>
      <c r="F54" s="3">
        <f>13.77/100</f>
        <v>0.13769999999999999</v>
      </c>
      <c r="G54" s="2">
        <f>Makanan[[#This Row],[Komposisi (g)]]*Makanan[[#This Row],[Kalori (kal)]]</f>
        <v>185</v>
      </c>
      <c r="H54" s="2">
        <f>Makanan[[#This Row],[Komposisi (g)]]*Makanan[[#This Row],[Karbohidrat (g)]]</f>
        <v>1.45</v>
      </c>
      <c r="I54" s="2">
        <f>Makanan[[#This Row],[Komposisi (g)]]*Makanan[[#This Row],[Protein (g)]]</f>
        <v>12.809999999999999</v>
      </c>
      <c r="J54" s="6">
        <f>Makanan[[#This Row],[Komposisi (g)]]*Makanan[[#This Row],[Lemak (g)]]</f>
        <v>13.77</v>
      </c>
    </row>
    <row r="55" spans="1:10" x14ac:dyDescent="0.3">
      <c r="A55" s="10" t="s">
        <v>7</v>
      </c>
      <c r="B55" s="3">
        <v>100</v>
      </c>
      <c r="C55" s="3">
        <f>76/100</f>
        <v>0.76</v>
      </c>
      <c r="D55" s="3">
        <f>17.72/100</f>
        <v>0.1772</v>
      </c>
      <c r="E55" s="3">
        <f>1.37/100</f>
        <v>1.37E-2</v>
      </c>
      <c r="F55" s="3">
        <f>0.14/100</f>
        <v>1.4000000000000002E-3</v>
      </c>
      <c r="G55" s="2">
        <f>Makanan[[#This Row],[Komposisi (g)]]*Makanan[[#This Row],[Kalori (kal)]]</f>
        <v>76</v>
      </c>
      <c r="H55" s="2">
        <f>Makanan[[#This Row],[Komposisi (g)]]*Makanan[[#This Row],[Karbohidrat (g)]]</f>
        <v>17.72</v>
      </c>
      <c r="I55" s="2">
        <f>Makanan[[#This Row],[Komposisi (g)]]*Makanan[[#This Row],[Protein (g)]]</f>
        <v>1.37</v>
      </c>
      <c r="J55" s="6">
        <f>Makanan[[#This Row],[Komposisi (g)]]*Makanan[[#This Row],[Lemak (g)]]</f>
        <v>0.14000000000000001</v>
      </c>
    </row>
    <row r="56" spans="1:10" x14ac:dyDescent="0.3">
      <c r="A56" s="10" t="s">
        <v>11</v>
      </c>
      <c r="B56" s="3">
        <v>100</v>
      </c>
      <c r="C56" s="3">
        <f>82/100</f>
        <v>0.82</v>
      </c>
      <c r="D56" s="3">
        <f>18.26/100</f>
        <v>0.18260000000000001</v>
      </c>
      <c r="E56" s="3">
        <f>2.36/100</f>
        <v>2.3599999999999999E-2</v>
      </c>
      <c r="F56" s="3">
        <f>0.05/100</f>
        <v>5.0000000000000001E-4</v>
      </c>
      <c r="G56" s="2">
        <f>Makanan[[#This Row],[Komposisi (g)]]*Makanan[[#This Row],[Kalori (kal)]]</f>
        <v>82</v>
      </c>
      <c r="H56" s="2">
        <f>Makanan[[#This Row],[Komposisi (g)]]*Makanan[[#This Row],[Karbohidrat (g)]]</f>
        <v>18.260000000000002</v>
      </c>
      <c r="I56" s="2">
        <f>Makanan[[#This Row],[Komposisi (g)]]*Makanan[[#This Row],[Protein (g)]]</f>
        <v>2.36</v>
      </c>
      <c r="J56" s="6">
        <f>Makanan[[#This Row],[Komposisi (g)]]*Makanan[[#This Row],[Lemak (g)]]</f>
        <v>0.05</v>
      </c>
    </row>
  </sheetData>
  <sortState xmlns:xlrd2="http://schemas.microsoft.com/office/spreadsheetml/2017/richdata2" ref="A2:J30">
    <sortCondition ref="A2:A30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Yolif Syebathanim</dc:creator>
  <cp:lastModifiedBy>Yolif Syebathanim</cp:lastModifiedBy>
  <dcterms:created xsi:type="dcterms:W3CDTF">2015-06-05T18:17:20Z</dcterms:created>
  <dcterms:modified xsi:type="dcterms:W3CDTF">2025-03-09T04:18:11Z</dcterms:modified>
</cp:coreProperties>
</file>