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temporary_staffing\document\"/>
    </mc:Choice>
  </mc:AlternateContent>
  <xr:revisionPtr revIDLastSave="0" documentId="13_ncr:1_{4001D11A-EC6B-48AA-8CCE-087AAEC9B1D1}" xr6:coauthVersionLast="47" xr6:coauthVersionMax="47" xr10:uidLastSave="{00000000-0000-0000-0000-000000000000}"/>
  <bookViews>
    <workbookView xWindow="-120" yWindow="-120" windowWidth="19440" windowHeight="12240" tabRatio="881" activeTab="11" xr2:uid="{6709185A-42E5-451D-87A2-0BAA69F62131}"/>
  </bookViews>
  <sheets>
    <sheet name="戸田" sheetId="9" r:id="rId1"/>
    <sheet name="栃木" sheetId="13" r:id="rId2"/>
    <sheet name="千葉" sheetId="14" r:id="rId3"/>
    <sheet name="足立" sheetId="10" r:id="rId4"/>
    <sheet name="川口弥平" sheetId="19" r:id="rId5"/>
    <sheet name="名古屋" sheetId="8" r:id="rId6"/>
    <sheet name="川口朝日" sheetId="15" r:id="rId7"/>
    <sheet name="川崎" sheetId="7" r:id="rId8"/>
    <sheet name="日光" sheetId="11" r:id="rId9"/>
    <sheet name="群馬" sheetId="16" r:id="rId10"/>
    <sheet name="宇都宮" sheetId="17" r:id="rId11"/>
    <sheet name="Sheet1" sheetId="22" r:id="rId12"/>
    <sheet name="川越" sheetId="18" r:id="rId13"/>
    <sheet name="阿見" sheetId="20" r:id="rId14"/>
  </sheets>
  <definedNames>
    <definedName name="_xlnm._FilterDatabase" localSheetId="10" hidden="1">宇都宮!$A$3:$AC$110</definedName>
    <definedName name="_xlnm._FilterDatabase" localSheetId="0" hidden="1">戸田!$A$3:$AC$179</definedName>
    <definedName name="_xlnm._FilterDatabase" localSheetId="2" hidden="1">千葉!$A$3:$AC$69</definedName>
    <definedName name="_xlnm._FilterDatabase" localSheetId="4" hidden="1">川口弥平!$A$3:$AC$3</definedName>
    <definedName name="_xlnm._FilterDatabase" localSheetId="7" hidden="1">川崎!$A$3:$AC$3</definedName>
    <definedName name="_xlnm._FilterDatabase" localSheetId="3" hidden="1">足立!$A$3:$AC$69</definedName>
    <definedName name="_xlnm._FilterDatabase" localSheetId="5" hidden="1">名古屋!$A$3:$AC$20</definedName>
    <definedName name="_xlnm.Print_Area" localSheetId="13">阿見!$A$1:$AC$9</definedName>
    <definedName name="_xlnm.Print_Area" localSheetId="10">宇都宮!$A$1:$AC$110</definedName>
    <definedName name="_xlnm.Print_Area" localSheetId="9">群馬!$A$1:$AC$8</definedName>
    <definedName name="_xlnm.Print_Area" localSheetId="0">戸田!$A$1:$AC$178</definedName>
    <definedName name="_xlnm.Print_Area" localSheetId="2">千葉!$A$1:$AC$69</definedName>
    <definedName name="_xlnm.Print_Area" localSheetId="12">川越!$A$1:$AC$15</definedName>
    <definedName name="_xlnm.Print_Area" localSheetId="6">川口朝日!$A$1:$AC$6</definedName>
    <definedName name="_xlnm.Print_Area" localSheetId="4">川口弥平!$A$1:$AC$36</definedName>
    <definedName name="_xlnm.Print_Area" localSheetId="7">川崎!$A$1:$AC$26</definedName>
    <definedName name="_xlnm.Print_Area" localSheetId="3">足立!$A$1:$AC$69</definedName>
    <definedName name="_xlnm.Print_Area" localSheetId="1">栃木!$A$1:$AD$4</definedName>
    <definedName name="_xlnm.Print_Area" localSheetId="8">日光!$A$1:$AD$12</definedName>
    <definedName name="_xlnm.Print_Area" localSheetId="5">名古屋!$A$1:$AC$20</definedName>
    <definedName name="_xlnm.Print_Titles" localSheetId="13">阿見!$1:$3</definedName>
    <definedName name="_xlnm.Print_Titles" localSheetId="10">宇都宮!$1:$3</definedName>
    <definedName name="_xlnm.Print_Titles" localSheetId="9">群馬!$1:$3</definedName>
    <definedName name="_xlnm.Print_Titles" localSheetId="0">戸田!$1:$3</definedName>
    <definedName name="_xlnm.Print_Titles" localSheetId="2">千葉!$1:$3</definedName>
    <definedName name="_xlnm.Print_Titles" localSheetId="12">川越!$1:$3</definedName>
    <definedName name="_xlnm.Print_Titles" localSheetId="6">川口朝日!$1:$3</definedName>
    <definedName name="_xlnm.Print_Titles" localSheetId="4">川口弥平!$1:$3</definedName>
    <definedName name="_xlnm.Print_Titles" localSheetId="7">川崎!$1:$3</definedName>
    <definedName name="_xlnm.Print_Titles" localSheetId="3">足立!$1:$3</definedName>
    <definedName name="_xlnm.Print_Titles" localSheetId="1">栃木!$1:$3</definedName>
    <definedName name="_xlnm.Print_Titles" localSheetId="8">日光!$1:$3</definedName>
    <definedName name="_xlnm.Print_Titles" localSheetId="5">名古屋!$1:$3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3" l="1"/>
  <c r="P67" i="10"/>
  <c r="P9" i="10"/>
  <c r="P7" i="10"/>
  <c r="P6" i="10"/>
  <c r="P8" i="10"/>
  <c r="P46" i="10"/>
  <c r="P37" i="10"/>
  <c r="P42" i="10"/>
  <c r="P40" i="10"/>
  <c r="P38" i="10"/>
  <c r="P32" i="10"/>
  <c r="P41" i="10"/>
  <c r="P39" i="10"/>
  <c r="P26" i="10"/>
  <c r="P20" i="10"/>
  <c r="P27" i="10"/>
  <c r="P17" i="10"/>
  <c r="P60" i="10"/>
  <c r="P58" i="10"/>
  <c r="P53" i="10"/>
  <c r="P54" i="10"/>
  <c r="P47" i="10"/>
  <c r="P51" i="10"/>
  <c r="P50" i="10"/>
  <c r="P49" i="10"/>
  <c r="P48" i="10"/>
  <c r="P64" i="10"/>
  <c r="P68" i="10"/>
  <c r="P69" i="10"/>
  <c r="P12" i="14"/>
  <c r="P15" i="14"/>
  <c r="P11" i="14"/>
  <c r="P14" i="14"/>
  <c r="P17" i="14"/>
  <c r="P50" i="14"/>
  <c r="P69" i="14"/>
  <c r="P19" i="8"/>
  <c r="P13" i="8"/>
  <c r="P14" i="8"/>
  <c r="P8" i="8"/>
  <c r="P35" i="17"/>
  <c r="P27" i="17"/>
  <c r="P4" i="17"/>
  <c r="P5" i="17"/>
  <c r="P101" i="17"/>
  <c r="P37" i="17"/>
  <c r="P97" i="17"/>
  <c r="P86" i="17"/>
  <c r="P84" i="17"/>
  <c r="P64" i="17"/>
  <c r="P65" i="17"/>
  <c r="P51" i="17"/>
  <c r="P50" i="17"/>
  <c r="P49" i="17"/>
  <c r="P71" i="17"/>
  <c r="P57" i="17"/>
  <c r="P56" i="17"/>
  <c r="P67" i="17"/>
  <c r="P77" i="17"/>
  <c r="P76" i="17"/>
  <c r="P32" i="19"/>
  <c r="P26" i="19"/>
  <c r="P5" i="16"/>
  <c r="P4" i="16"/>
  <c r="P150" i="9"/>
  <c r="P146" i="9"/>
  <c r="P145" i="9"/>
  <c r="P149" i="9"/>
  <c r="P144" i="9"/>
  <c r="P173" i="9"/>
  <c r="P170" i="9"/>
  <c r="P171" i="9"/>
  <c r="P166" i="9"/>
  <c r="P165" i="9"/>
  <c r="P168" i="9"/>
  <c r="P162" i="9"/>
  <c r="P160" i="9"/>
  <c r="P157" i="9"/>
  <c r="P156" i="9"/>
  <c r="P154" i="9"/>
  <c r="P113" i="9"/>
  <c r="P116" i="9"/>
  <c r="P111" i="9"/>
  <c r="P104" i="9"/>
  <c r="P115" i="9"/>
  <c r="P114" i="9"/>
  <c r="P62" i="9"/>
  <c r="P67" i="9"/>
  <c r="P86" i="9"/>
  <c r="P90" i="9"/>
  <c r="P110" i="9"/>
  <c r="P87" i="9"/>
  <c r="P73" i="9"/>
  <c r="P83" i="9"/>
  <c r="P101" i="9"/>
  <c r="P75" i="9"/>
  <c r="P112" i="9"/>
  <c r="P125" i="9"/>
  <c r="P108" i="9"/>
  <c r="P88" i="9"/>
  <c r="P102" i="9"/>
  <c r="P70" i="9"/>
  <c r="P69" i="9"/>
  <c r="P68" i="9"/>
  <c r="P64" i="9"/>
  <c r="P61" i="9"/>
  <c r="P109" i="9"/>
  <c r="P59" i="9"/>
  <c r="P58" i="9"/>
  <c r="P100" i="9"/>
  <c r="P56" i="9"/>
  <c r="P55" i="9"/>
  <c r="P54" i="9"/>
  <c r="P53" i="9"/>
  <c r="P63" i="9"/>
  <c r="P51" i="9"/>
  <c r="P50" i="9"/>
  <c r="P48" i="9"/>
  <c r="P46" i="9"/>
  <c r="P37" i="9"/>
  <c r="P38" i="9"/>
  <c r="P5" i="9"/>
  <c r="P4" i="9"/>
  <c r="Q6" i="11"/>
  <c r="Q5" i="11"/>
  <c r="Q4" i="11"/>
  <c r="P8" i="20"/>
  <c r="P7" i="20"/>
  <c r="P6" i="20"/>
  <c r="P5" i="20"/>
  <c r="P4" i="20"/>
  <c r="P7" i="18"/>
  <c r="P6" i="18"/>
  <c r="P4" i="18"/>
  <c r="P5" i="15"/>
  <c r="P6" i="7"/>
  <c r="P5" i="7"/>
  <c r="N68" i="10"/>
  <c r="N67" i="10"/>
  <c r="N9" i="10"/>
  <c r="N7" i="10"/>
  <c r="N6" i="10"/>
  <c r="N8" i="10"/>
  <c r="N64" i="10"/>
  <c r="N37" i="10"/>
  <c r="N36" i="10"/>
  <c r="N40" i="10"/>
  <c r="N38" i="10"/>
  <c r="N32" i="10"/>
  <c r="N33" i="10"/>
  <c r="N39" i="10"/>
  <c r="N26" i="10"/>
  <c r="N20" i="10"/>
  <c r="N27" i="10"/>
  <c r="N17" i="10"/>
  <c r="N58" i="10"/>
  <c r="N53" i="10"/>
  <c r="N54" i="10"/>
  <c r="N47" i="10"/>
  <c r="N51" i="10"/>
  <c r="N49" i="10"/>
  <c r="N48" i="10"/>
  <c r="N8" i="20"/>
  <c r="N7" i="20"/>
  <c r="N6" i="20"/>
  <c r="N5" i="20"/>
  <c r="N4" i="20"/>
  <c r="O10" i="11"/>
  <c r="O6" i="11"/>
  <c r="O5" i="11"/>
  <c r="O4" i="11"/>
  <c r="N27" i="19"/>
  <c r="N97" i="17"/>
  <c r="N86" i="17"/>
  <c r="N84" i="17"/>
  <c r="N64" i="17"/>
  <c r="N65" i="17"/>
  <c r="N51" i="17"/>
  <c r="N50" i="17"/>
  <c r="N49" i="17"/>
  <c r="N57" i="17"/>
  <c r="N56" i="17"/>
  <c r="N67" i="17"/>
  <c r="N77" i="17"/>
  <c r="N76" i="17"/>
  <c r="N37" i="17"/>
  <c r="N34" i="17"/>
  <c r="N35" i="17"/>
  <c r="N28" i="17"/>
  <c r="N33" i="17"/>
  <c r="N27" i="17"/>
  <c r="N110" i="17"/>
  <c r="N108" i="17"/>
  <c r="N107" i="17"/>
  <c r="N4" i="17"/>
  <c r="N5" i="17"/>
  <c r="N101" i="17"/>
  <c r="N12" i="14"/>
  <c r="N15" i="14"/>
  <c r="N11" i="14"/>
  <c r="N14" i="14"/>
  <c r="N69" i="14"/>
  <c r="N17" i="14"/>
  <c r="N19" i="14"/>
  <c r="N50" i="14"/>
  <c r="N10" i="18"/>
  <c r="N7" i="18"/>
  <c r="N6" i="18"/>
  <c r="N4" i="18"/>
  <c r="N138" i="9"/>
  <c r="N129" i="9"/>
  <c r="N136" i="9"/>
  <c r="N104" i="9"/>
  <c r="N62" i="9"/>
  <c r="N67" i="9"/>
  <c r="N86" i="9"/>
  <c r="N90" i="9"/>
  <c r="N110" i="9"/>
  <c r="N87" i="9"/>
  <c r="N73" i="9"/>
  <c r="N83" i="9"/>
  <c r="N101" i="9"/>
  <c r="N75" i="9"/>
  <c r="N112" i="9"/>
  <c r="N74" i="9"/>
  <c r="N108" i="9"/>
  <c r="N88" i="9"/>
  <c r="N102" i="9"/>
  <c r="N70" i="9"/>
  <c r="N69" i="9"/>
  <c r="N68" i="9" l="1"/>
  <c r="N52" i="9"/>
  <c r="N64" i="9"/>
  <c r="N61" i="9"/>
  <c r="N59" i="9"/>
  <c r="N58" i="9"/>
  <c r="N100" i="9"/>
  <c r="N56" i="9"/>
  <c r="N55" i="9"/>
  <c r="N54" i="9"/>
  <c r="N53" i="9"/>
  <c r="N63" i="9"/>
  <c r="N51" i="9"/>
  <c r="N50" i="9"/>
  <c r="N66" i="9"/>
  <c r="N48" i="9"/>
  <c r="N46" i="9"/>
  <c r="N38" i="9" l="1"/>
  <c r="N4" i="9"/>
  <c r="N150" i="9"/>
  <c r="N148" i="9"/>
  <c r="N146" i="9"/>
  <c r="N145" i="9"/>
  <c r="N149" i="9"/>
  <c r="N144" i="9"/>
  <c r="N173" i="9"/>
  <c r="N170" i="9"/>
  <c r="N171" i="9"/>
  <c r="N166" i="9"/>
  <c r="N165" i="9"/>
  <c r="N168" i="9"/>
  <c r="N162" i="9"/>
  <c r="N160" i="9"/>
  <c r="N157" i="9"/>
  <c r="N156" i="9"/>
  <c r="N154" i="9"/>
  <c r="N6" i="7"/>
  <c r="N5" i="7"/>
  <c r="N34" i="19"/>
  <c r="N33" i="19"/>
  <c r="N26" i="19"/>
  <c r="N6" i="19"/>
  <c r="N19" i="19"/>
  <c r="N23" i="19"/>
  <c r="N32" i="19"/>
  <c r="N8" i="19"/>
  <c r="N12" i="19"/>
  <c r="N11" i="19"/>
  <c r="N19" i="8"/>
  <c r="N11" i="8"/>
  <c r="N13" i="8"/>
  <c r="N14" i="8"/>
  <c r="N8" i="8"/>
  <c r="N6" i="15"/>
  <c r="N5" i="15"/>
  <c r="N6" i="16" l="1"/>
  <c r="N5" i="16"/>
  <c r="N4" i="16"/>
  <c r="N47" i="14"/>
  <c r="N44" i="14"/>
  <c r="L7" i="18"/>
  <c r="L6" i="18"/>
  <c r="L4" i="18"/>
  <c r="L19" i="8"/>
  <c r="L11" i="8"/>
  <c r="L13" i="8"/>
  <c r="L14" i="8"/>
  <c r="L8" i="8"/>
  <c r="L26" i="19"/>
  <c r="L32" i="19"/>
  <c r="L6" i="19"/>
  <c r="L23" i="19"/>
  <c r="L36" i="10"/>
  <c r="L37" i="10"/>
  <c r="L38" i="10"/>
  <c r="L32" i="10"/>
  <c r="L33" i="10"/>
  <c r="L39" i="10"/>
  <c r="L26" i="10"/>
  <c r="L20" i="10"/>
  <c r="L27" i="10"/>
  <c r="L17" i="10"/>
  <c r="L58" i="10"/>
  <c r="L53" i="10"/>
  <c r="L54" i="10"/>
  <c r="L47" i="10"/>
  <c r="L51" i="10"/>
  <c r="L49" i="10"/>
  <c r="L48" i="10"/>
  <c r="L64" i="10"/>
  <c r="L9" i="10"/>
  <c r="L7" i="10"/>
  <c r="L6" i="10"/>
  <c r="L8" i="10"/>
  <c r="L67" i="10"/>
  <c r="M10" i="11"/>
  <c r="M6" i="11"/>
  <c r="M5" i="11"/>
  <c r="M4" i="11"/>
  <c r="L4" i="16"/>
  <c r="L101" i="17"/>
  <c r="L5" i="17"/>
  <c r="L4" i="17"/>
  <c r="L110" i="17"/>
  <c r="L108" i="17"/>
  <c r="L107" i="17"/>
  <c r="L28" i="17"/>
  <c r="L27" i="17"/>
  <c r="L37" i="17"/>
  <c r="L86" i="17"/>
  <c r="L84" i="17"/>
  <c r="L64" i="17"/>
  <c r="L65" i="17"/>
  <c r="L51" i="17"/>
  <c r="L50" i="17"/>
  <c r="L49" i="17"/>
  <c r="L57" i="17"/>
  <c r="L56" i="17"/>
  <c r="L67" i="17"/>
  <c r="L77" i="17"/>
  <c r="L76" i="17"/>
  <c r="L6" i="7"/>
  <c r="L5" i="7"/>
  <c r="L8" i="14"/>
  <c r="L17" i="14"/>
  <c r="L50" i="14"/>
  <c r="L69" i="14"/>
  <c r="L152" i="9"/>
  <c r="L150" i="9"/>
  <c r="L148" i="9"/>
  <c r="L146" i="9"/>
  <c r="L145" i="9"/>
  <c r="L149" i="9"/>
  <c r="L144" i="9"/>
  <c r="L129" i="9"/>
  <c r="L136" i="9"/>
  <c r="L113" i="9"/>
  <c r="L73" i="9"/>
  <c r="L104" i="9"/>
  <c r="L111" i="9"/>
  <c r="L67" i="9"/>
  <c r="L86" i="9"/>
  <c r="L90" i="9"/>
  <c r="L110" i="9"/>
  <c r="L87" i="9"/>
  <c r="L105" i="9"/>
  <c r="L83" i="9"/>
  <c r="L101" i="9"/>
  <c r="L75" i="9"/>
  <c r="L112" i="9"/>
  <c r="L74" i="9"/>
  <c r="L108" i="9"/>
  <c r="L88" i="9"/>
  <c r="L102" i="9"/>
  <c r="L70" i="9"/>
  <c r="L68" i="9"/>
  <c r="L64" i="9" l="1"/>
  <c r="L61" i="9"/>
  <c r="L109" i="9"/>
  <c r="L59" i="9"/>
  <c r="L58" i="9"/>
  <c r="L100" i="9"/>
  <c r="L56" i="9"/>
  <c r="L55" i="9"/>
  <c r="L54" i="9"/>
  <c r="L53" i="9"/>
  <c r="L63" i="9"/>
  <c r="L51" i="9"/>
  <c r="L50" i="9"/>
  <c r="F50" i="9"/>
  <c r="H50" i="9"/>
  <c r="J50" i="9"/>
  <c r="L30" i="9"/>
  <c r="L4" i="9"/>
  <c r="L173" i="9" l="1"/>
  <c r="L170" i="9"/>
  <c r="L171" i="9"/>
  <c r="L166" i="9"/>
  <c r="L165" i="9"/>
  <c r="L168" i="9"/>
  <c r="L162" i="9"/>
  <c r="L160" i="9"/>
  <c r="L157" i="9"/>
  <c r="L154" i="9"/>
  <c r="L156" i="9"/>
  <c r="L8" i="20"/>
  <c r="L7" i="20"/>
  <c r="L6" i="20"/>
  <c r="L5" i="20"/>
  <c r="L4" i="20"/>
  <c r="J8" i="20"/>
  <c r="J7" i="20"/>
  <c r="J4" i="20"/>
  <c r="J6" i="19"/>
  <c r="J32" i="19"/>
  <c r="J23" i="19"/>
  <c r="J26" i="19"/>
  <c r="J31" i="19"/>
  <c r="J11" i="19"/>
  <c r="J6" i="7"/>
  <c r="J5" i="7"/>
  <c r="J13" i="8"/>
  <c r="J14" i="8"/>
  <c r="J8" i="8"/>
  <c r="J11" i="8"/>
  <c r="J7" i="8"/>
  <c r="J19" i="8"/>
  <c r="J7" i="18"/>
  <c r="J6" i="18"/>
  <c r="J4" i="18"/>
  <c r="J10" i="18"/>
  <c r="J7" i="16"/>
  <c r="J4" i="16"/>
  <c r="J6" i="15"/>
  <c r="J4" i="7"/>
  <c r="J152" i="9"/>
  <c r="J9" i="10"/>
  <c r="J7" i="10"/>
  <c r="J6" i="10"/>
  <c r="J8" i="10"/>
  <c r="J64" i="10"/>
  <c r="J37" i="10"/>
  <c r="J36" i="10"/>
  <c r="J39" i="10"/>
  <c r="J38" i="10"/>
  <c r="J32" i="10"/>
  <c r="J33" i="10"/>
  <c r="J35" i="10"/>
  <c r="J26" i="10"/>
  <c r="J20" i="10"/>
  <c r="J25" i="10"/>
  <c r="J17" i="10"/>
  <c r="J58" i="10"/>
  <c r="J53" i="10"/>
  <c r="J54" i="10"/>
  <c r="J47" i="10"/>
  <c r="J51" i="10"/>
  <c r="J49" i="10"/>
  <c r="J48" i="10"/>
  <c r="J67" i="10"/>
  <c r="J69" i="14"/>
  <c r="J7" i="14"/>
  <c r="J17" i="14"/>
  <c r="J50" i="14"/>
  <c r="J12" i="14"/>
  <c r="J15" i="14"/>
  <c r="J11" i="14"/>
  <c r="J173" i="9"/>
  <c r="J170" i="9"/>
  <c r="J171" i="9"/>
  <c r="J166" i="9"/>
  <c r="J165" i="9"/>
  <c r="J168" i="9" l="1"/>
  <c r="J162" i="9"/>
  <c r="J160" i="9"/>
  <c r="J157" i="9"/>
  <c r="J156" i="9"/>
  <c r="J154" i="9"/>
  <c r="J150" i="9"/>
  <c r="J148" i="9"/>
  <c r="J146" i="9"/>
  <c r="J145" i="9"/>
  <c r="J149" i="9"/>
  <c r="J144" i="9"/>
  <c r="J129" i="9"/>
  <c r="J136" i="9"/>
  <c r="J67" i="9"/>
  <c r="J73" i="9"/>
  <c r="J104" i="9"/>
  <c r="J111" i="9"/>
  <c r="J108" i="9"/>
  <c r="J86" i="9" l="1"/>
  <c r="J90" i="9"/>
  <c r="J110" i="9"/>
  <c r="J87" i="9"/>
  <c r="J105" i="9"/>
  <c r="J83" i="9"/>
  <c r="J75" i="9"/>
  <c r="J74" i="9"/>
  <c r="J103" i="9"/>
  <c r="J88" i="9"/>
  <c r="J102" i="9"/>
  <c r="J70" i="9"/>
  <c r="J69" i="9"/>
  <c r="J68" i="9"/>
  <c r="J64" i="9"/>
  <c r="J61" i="9"/>
  <c r="J109" i="9"/>
  <c r="J59" i="9"/>
  <c r="J58" i="9"/>
  <c r="J100" i="9"/>
  <c r="J56" i="9"/>
  <c r="J55" i="9"/>
  <c r="J54" i="9"/>
  <c r="J53" i="9"/>
  <c r="J63" i="9"/>
  <c r="J51" i="9"/>
  <c r="J30" i="9"/>
  <c r="J4" i="9"/>
  <c r="K6" i="11"/>
  <c r="K5" i="11"/>
  <c r="K4" i="11"/>
  <c r="J97" i="17"/>
  <c r="J95" i="17"/>
  <c r="J86" i="17"/>
  <c r="J84" i="17"/>
  <c r="J64" i="17"/>
  <c r="J65" i="17"/>
  <c r="J51" i="17"/>
  <c r="J50" i="17"/>
  <c r="J49" i="17"/>
  <c r="J57" i="17"/>
  <c r="J56" i="17"/>
  <c r="J67" i="17"/>
  <c r="J77" i="17"/>
  <c r="J76" i="17"/>
  <c r="J37" i="17"/>
  <c r="F109" i="17"/>
  <c r="J108" i="17"/>
  <c r="J107" i="17"/>
  <c r="J28" i="17"/>
  <c r="J8" i="17"/>
  <c r="J27" i="17"/>
  <c r="J5" i="17"/>
  <c r="J4" i="17"/>
  <c r="J101" i="17"/>
  <c r="H31" i="19" l="1"/>
  <c r="H5" i="15"/>
  <c r="H4" i="16"/>
  <c r="H7" i="16"/>
  <c r="H137" i="9"/>
  <c r="H129" i="9"/>
  <c r="H136" i="9"/>
  <c r="H107" i="9"/>
  <c r="H104" i="9"/>
  <c r="H106" i="9"/>
  <c r="H108" i="9"/>
  <c r="H86" i="9"/>
  <c r="H90" i="9"/>
  <c r="H91" i="9"/>
  <c r="H87" i="9"/>
  <c r="H105" i="9"/>
  <c r="H89" i="9"/>
  <c r="H101" i="9"/>
  <c r="H75" i="9"/>
  <c r="H93" i="9"/>
  <c r="H74" i="9"/>
  <c r="H103" i="9"/>
  <c r="H88" i="9"/>
  <c r="H102" i="9"/>
  <c r="H70" i="9"/>
  <c r="H69" i="9"/>
  <c r="H68" i="9"/>
  <c r="H64" i="9"/>
  <c r="H61" i="9"/>
  <c r="H59" i="9"/>
  <c r="H58" i="9"/>
  <c r="H100" i="9"/>
  <c r="H56" i="9"/>
  <c r="H55" i="9"/>
  <c r="H54" i="9"/>
  <c r="H53" i="9"/>
  <c r="H63" i="9"/>
  <c r="H51" i="9"/>
  <c r="H30" i="9"/>
  <c r="H4" i="9"/>
  <c r="H173" i="9"/>
  <c r="H170" i="9"/>
  <c r="H171" i="9"/>
  <c r="H166" i="9"/>
  <c r="H165" i="9"/>
  <c r="H168" i="9"/>
  <c r="H162" i="9"/>
  <c r="H169" i="9"/>
  <c r="H160" i="9"/>
  <c r="H157" i="9"/>
  <c r="H156" i="9"/>
  <c r="H154" i="9"/>
  <c r="H151" i="9"/>
  <c r="H150" i="9"/>
  <c r="H148" i="9"/>
  <c r="H146" i="9"/>
  <c r="H145" i="9"/>
  <c r="H149" i="9"/>
  <c r="H144" i="9"/>
  <c r="H97" i="17"/>
  <c r="H94" i="17"/>
  <c r="H86" i="17"/>
  <c r="H84" i="17"/>
  <c r="H64" i="17"/>
  <c r="H65" i="17"/>
  <c r="H51" i="17"/>
  <c r="H50" i="17"/>
  <c r="H49" i="17"/>
  <c r="H57" i="17"/>
  <c r="H56" i="17"/>
  <c r="H67" i="17"/>
  <c r="H77" i="17"/>
  <c r="H76" i="17"/>
  <c r="H37" i="17"/>
  <c r="H28" i="17"/>
  <c r="H22" i="17"/>
  <c r="H8" i="17"/>
  <c r="H27" i="17"/>
  <c r="H108" i="17"/>
  <c r="H107" i="17"/>
  <c r="H5" i="17"/>
  <c r="H4" i="17"/>
  <c r="H101" i="17"/>
  <c r="I10" i="11"/>
  <c r="I6" i="11"/>
  <c r="I5" i="11"/>
  <c r="I4" i="11"/>
  <c r="H69" i="14"/>
  <c r="H17" i="14"/>
  <c r="H12" i="14"/>
  <c r="H15" i="14"/>
  <c r="H11" i="14"/>
  <c r="H14" i="14"/>
  <c r="H7" i="14"/>
  <c r="H6" i="14"/>
  <c r="H8" i="14"/>
  <c r="H6" i="7"/>
  <c r="H5" i="7"/>
  <c r="H8" i="20"/>
  <c r="H7" i="20"/>
  <c r="H5" i="20"/>
  <c r="H4" i="20"/>
  <c r="H11" i="8"/>
  <c r="H7" i="8"/>
  <c r="H14" i="8"/>
  <c r="H8" i="8"/>
  <c r="H19" i="8"/>
  <c r="H9" i="10"/>
  <c r="H7" i="10"/>
  <c r="H6" i="10"/>
  <c r="H8" i="10"/>
  <c r="H67" i="10"/>
  <c r="H64" i="10"/>
  <c r="H11" i="10"/>
  <c r="H58" i="10"/>
  <c r="H53" i="10"/>
  <c r="H54" i="10"/>
  <c r="H47" i="10"/>
  <c r="H51" i="10"/>
  <c r="H50" i="10"/>
  <c r="H49" i="10"/>
  <c r="H48" i="10"/>
  <c r="H32" i="10"/>
  <c r="H37" i="10"/>
  <c r="H33" i="10"/>
  <c r="H16" i="10"/>
  <c r="H20" i="10"/>
  <c r="H25" i="10"/>
  <c r="H17" i="10"/>
  <c r="H32" i="19"/>
  <c r="H23" i="19"/>
  <c r="H6" i="19"/>
  <c r="H26" i="19"/>
  <c r="H10" i="18"/>
  <c r="H7" i="18"/>
  <c r="H6" i="18"/>
  <c r="H4" i="18"/>
  <c r="I68" i="14"/>
  <c r="G6" i="11"/>
  <c r="G5" i="11"/>
  <c r="G4" i="11"/>
  <c r="F8" i="20" l="1"/>
  <c r="F7" i="20"/>
  <c r="F5" i="20"/>
  <c r="F5" i="15"/>
  <c r="F4" i="16"/>
  <c r="F7" i="16"/>
  <c r="F10" i="18"/>
  <c r="F7" i="18"/>
  <c r="F6" i="18"/>
  <c r="F4" i="18"/>
  <c r="F151" i="9"/>
  <c r="F150" i="9"/>
  <c r="F148" i="9"/>
  <c r="F146" i="9"/>
  <c r="F145" i="9"/>
  <c r="F149" i="9"/>
  <c r="F144" i="9"/>
  <c r="F129" i="9"/>
  <c r="F136" i="9"/>
  <c r="F104" i="9"/>
  <c r="F93" i="9"/>
  <c r="F108" i="9"/>
  <c r="F86" i="9"/>
  <c r="F90" i="9"/>
  <c r="F91" i="9"/>
  <c r="F87" i="9"/>
  <c r="F82" i="9"/>
  <c r="F89" i="9"/>
  <c r="F101" i="9"/>
  <c r="F75" i="9"/>
  <c r="F74" i="9"/>
  <c r="F103" i="9"/>
  <c r="F102" i="9"/>
  <c r="F70" i="9"/>
  <c r="F69" i="9"/>
  <c r="F68" i="9"/>
  <c r="F52" i="9"/>
  <c r="F64" i="9"/>
  <c r="F61" i="9"/>
  <c r="F59" i="9"/>
  <c r="F58" i="9"/>
  <c r="F100" i="9"/>
  <c r="F56" i="9"/>
  <c r="F55" i="9"/>
  <c r="F54" i="9"/>
  <c r="F53" i="9"/>
  <c r="F63" i="9"/>
  <c r="F51" i="9"/>
  <c r="F30" i="9"/>
  <c r="F4" i="9"/>
  <c r="F173" i="9"/>
  <c r="F170" i="9"/>
  <c r="F171" i="9"/>
  <c r="F166" i="9"/>
  <c r="F165" i="9"/>
  <c r="F168" i="9"/>
  <c r="F162" i="9"/>
  <c r="F169" i="9"/>
  <c r="F160" i="9"/>
  <c r="F157" i="9"/>
  <c r="F156" i="9"/>
  <c r="F154" i="9"/>
  <c r="F32" i="10"/>
  <c r="F37" i="10"/>
  <c r="F33" i="10"/>
  <c r="F35" i="10"/>
  <c r="F20" i="10"/>
  <c r="F21" i="10"/>
  <c r="F25" i="10"/>
  <c r="F17" i="10"/>
  <c r="F57" i="10"/>
  <c r="F58" i="10"/>
  <c r="F53" i="10"/>
  <c r="F54" i="10"/>
  <c r="F47" i="10"/>
  <c r="F51" i="10"/>
  <c r="F49" i="10"/>
  <c r="F48" i="10"/>
  <c r="F67" i="10"/>
  <c r="F11" i="10"/>
  <c r="F9" i="10"/>
  <c r="F7" i="10"/>
  <c r="F6" i="10"/>
  <c r="F8" i="10"/>
  <c r="F64" i="10"/>
  <c r="F23" i="19"/>
  <c r="F26" i="19"/>
  <c r="F30" i="19"/>
  <c r="F19" i="19"/>
  <c r="F6" i="19"/>
  <c r="F19" i="8"/>
  <c r="F11" i="8"/>
  <c r="F7" i="8"/>
  <c r="F14" i="8"/>
  <c r="F8" i="8"/>
  <c r="F50" i="14"/>
  <c r="F69" i="14"/>
  <c r="F101" i="17" l="1"/>
  <c r="F5" i="17"/>
  <c r="F4" i="17"/>
  <c r="F108" i="17"/>
  <c r="F107" i="17"/>
  <c r="F28" i="17"/>
  <c r="F22" i="17"/>
  <c r="F8" i="17"/>
  <c r="F27" i="17"/>
  <c r="F37" i="17"/>
  <c r="F97" i="17"/>
  <c r="F96" i="17"/>
  <c r="F94" i="17"/>
  <c r="F86" i="17"/>
  <c r="F84" i="17"/>
  <c r="F64" i="17"/>
  <c r="F65" i="17"/>
  <c r="F51" i="17"/>
  <c r="F50" i="17"/>
  <c r="F49" i="17"/>
  <c r="F57" i="17"/>
  <c r="F56" i="17"/>
  <c r="F67" i="17"/>
  <c r="F77" i="17"/>
  <c r="F7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塩﨑 幸雄</author>
    <author>遠井綾</author>
  </authors>
  <commentList>
    <comment ref="Z35" authorId="0" shapeId="0" xr:uid="{7781A6DD-41F0-4009-A232-5987E1C49F58}">
      <text>
        <r>
          <rPr>
            <sz val="9"/>
            <color indexed="81"/>
            <rFont val="MS P ゴシック"/>
            <family val="3"/>
            <charset val="128"/>
          </rPr>
          <t>当月から記載</t>
        </r>
      </text>
    </comment>
    <comment ref="Z36" authorId="0" shapeId="0" xr:uid="{4E937F14-1BAE-4B55-AA9C-8E6BE9E4B233}">
      <text>
        <r>
          <rPr>
            <sz val="9"/>
            <color indexed="81"/>
            <rFont val="MS P ゴシック"/>
            <family val="3"/>
            <charset val="128"/>
          </rPr>
          <t>当月から記載</t>
        </r>
      </text>
    </comment>
    <comment ref="Z47" authorId="0" shapeId="0" xr:uid="{D50164E2-2B24-430F-997E-BF11A6A939C6}">
      <text>
        <r>
          <rPr>
            <sz val="9"/>
            <color indexed="81"/>
            <rFont val="MS P ゴシック"/>
            <family val="3"/>
            <charset val="128"/>
          </rPr>
          <t>今月から記載</t>
        </r>
      </text>
    </comment>
    <comment ref="Z48" authorId="0" shapeId="0" xr:uid="{9C44ED95-4850-41D2-9D91-814AF75BCB33}">
      <text>
        <r>
          <rPr>
            <sz val="9"/>
            <color indexed="81"/>
            <rFont val="MS P ゴシック"/>
            <family val="3"/>
            <charset val="128"/>
          </rPr>
          <t>今月から記載</t>
        </r>
      </text>
    </comment>
    <comment ref="Z49" authorId="0" shapeId="0" xr:uid="{D637E835-0266-41C5-A047-9E8EFDF095D6}">
      <text>
        <r>
          <rPr>
            <sz val="9"/>
            <color indexed="81"/>
            <rFont val="MS P ゴシック"/>
            <family val="3"/>
            <charset val="128"/>
          </rPr>
          <t>今月から記載</t>
        </r>
      </text>
    </comment>
    <comment ref="Z62" authorId="0" shapeId="0" xr:uid="{4AA20850-5A4A-401D-82CD-3C9AE295BA1B}">
      <text>
        <r>
          <rPr>
            <sz val="9"/>
            <color indexed="81"/>
            <rFont val="MS P ゴシック"/>
            <family val="3"/>
            <charset val="128"/>
          </rPr>
          <t>今月から記載</t>
        </r>
      </text>
    </comment>
    <comment ref="Z104" authorId="0" shapeId="0" xr:uid="{ABD70C8B-41C8-4F1B-9C38-DA56B331AD4F}">
      <text>
        <r>
          <rPr>
            <sz val="9"/>
            <color indexed="81"/>
            <rFont val="MS P ゴシック"/>
            <family val="3"/>
            <charset val="128"/>
          </rPr>
          <t>当月から記載</t>
        </r>
      </text>
    </comment>
    <comment ref="Z111" authorId="0" shapeId="0" xr:uid="{16F36B92-2BCE-40A5-8008-BFFD278C1318}">
      <text>
        <r>
          <rPr>
            <sz val="9"/>
            <color indexed="81"/>
            <rFont val="MS P ゴシック"/>
            <family val="3"/>
            <charset val="128"/>
          </rPr>
          <t>今月から記載</t>
        </r>
      </text>
    </comment>
    <comment ref="Z115" authorId="0" shapeId="0" xr:uid="{6EA47D9A-1647-460A-B4A2-6163211A087A}">
      <text>
        <r>
          <rPr>
            <sz val="9"/>
            <color indexed="81"/>
            <rFont val="MS P ゴシック"/>
            <family val="3"/>
            <charset val="128"/>
          </rPr>
          <t>今月から記載</t>
        </r>
      </text>
    </comment>
    <comment ref="Z136" authorId="0" shapeId="0" xr:uid="{10CD6410-C7DC-45D1-A69E-AD7D05EA84F8}">
      <text>
        <r>
          <rPr>
            <sz val="9"/>
            <color indexed="81"/>
            <rFont val="MS P ゴシック"/>
            <family val="3"/>
            <charset val="128"/>
          </rPr>
          <t>今月から記載</t>
        </r>
      </text>
    </comment>
    <comment ref="G178" authorId="1" shapeId="0" xr:uid="{2C646F0A-62D4-407C-83B6-BF424FAACECF}">
      <text>
        <r>
          <rPr>
            <b/>
            <sz val="9"/>
            <color indexed="81"/>
            <rFont val="MS P ゴシック"/>
            <family val="3"/>
            <charset val="128"/>
          </rPr>
          <t>数量</t>
        </r>
      </text>
    </comment>
  </commentList>
</comments>
</file>

<file path=xl/sharedStrings.xml><?xml version="1.0" encoding="utf-8"?>
<sst xmlns="http://schemas.openxmlformats.org/spreadsheetml/2006/main" count="4169" uniqueCount="722">
  <si>
    <t>拠点</t>
    <rPh sb="0" eb="2">
      <t>キョテン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</si>
  <si>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</si>
  <si>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勤務帯</t>
    <rPh sb="0" eb="2">
      <t>キンム</t>
    </rPh>
    <rPh sb="2" eb="3">
      <t>タイ</t>
    </rPh>
    <phoneticPr fontId="2"/>
  </si>
  <si>
    <t>㈱武蔵野梱包</t>
    <rPh sb="1" eb="4">
      <t>ムサシノ</t>
    </rPh>
    <rPh sb="4" eb="6">
      <t>コンポウ</t>
    </rPh>
    <phoneticPr fontId="2"/>
  </si>
  <si>
    <t>日勤</t>
    <rPh sb="0" eb="2">
      <t>ニッキン</t>
    </rPh>
    <phoneticPr fontId="2"/>
  </si>
  <si>
    <t>鈴木久夫</t>
    <rPh sb="0" eb="2">
      <t>スズキ</t>
    </rPh>
    <rPh sb="2" eb="4">
      <t>ヒサオ</t>
    </rPh>
    <phoneticPr fontId="2"/>
  </si>
  <si>
    <t>有海清</t>
    <phoneticPr fontId="2"/>
  </si>
  <si>
    <t>㈱ＳＴＹＬＥ-1</t>
    <phoneticPr fontId="2"/>
  </si>
  <si>
    <t>事務</t>
    <rPh sb="0" eb="2">
      <t>ジム</t>
    </rPh>
    <phoneticPr fontId="2"/>
  </si>
  <si>
    <t>高橋佳之</t>
    <rPh sb="0" eb="2">
      <t>タカハシ</t>
    </rPh>
    <rPh sb="2" eb="3">
      <t>カ</t>
    </rPh>
    <rPh sb="3" eb="4">
      <t>コレ</t>
    </rPh>
    <phoneticPr fontId="2"/>
  </si>
  <si>
    <t>ラナ マガル ラミラ</t>
    <phoneticPr fontId="2"/>
  </si>
  <si>
    <t>作業</t>
    <rPh sb="0" eb="2">
      <t>サギョウ</t>
    </rPh>
    <phoneticPr fontId="2"/>
  </si>
  <si>
    <t>北村梨花</t>
    <rPh sb="0" eb="2">
      <t>キタムラ</t>
    </rPh>
    <rPh sb="2" eb="4">
      <t>リカ</t>
    </rPh>
    <phoneticPr fontId="2"/>
  </si>
  <si>
    <t>畑俊一</t>
    <rPh sb="0" eb="1">
      <t>ハタ</t>
    </rPh>
    <rPh sb="1" eb="3">
      <t>シュンイチ</t>
    </rPh>
    <phoneticPr fontId="2"/>
  </si>
  <si>
    <t>ＳＧフィルダー</t>
    <phoneticPr fontId="2"/>
  </si>
  <si>
    <t>岡田一宏</t>
    <rPh sb="0" eb="2">
      <t>オカダ</t>
    </rPh>
    <rPh sb="2" eb="4">
      <t>イッコウ</t>
    </rPh>
    <phoneticPr fontId="2"/>
  </si>
  <si>
    <t>㈱ライフサポート・エガワ東北（福島）</t>
    <rPh sb="12" eb="14">
      <t>トウホク</t>
    </rPh>
    <rPh sb="15" eb="17">
      <t>フクシマ</t>
    </rPh>
    <phoneticPr fontId="2"/>
  </si>
  <si>
    <t>㈱集いスタッフ・ジャパン</t>
    <rPh sb="1" eb="2">
      <t>ツド</t>
    </rPh>
    <phoneticPr fontId="2"/>
  </si>
  <si>
    <t>ＦＬ</t>
    <phoneticPr fontId="2"/>
  </si>
  <si>
    <t>呉振涛</t>
    <rPh sb="0" eb="1">
      <t>ゴ</t>
    </rPh>
    <rPh sb="1" eb="2">
      <t>フ</t>
    </rPh>
    <rPh sb="2" eb="3">
      <t>トウ</t>
    </rPh>
    <phoneticPr fontId="2"/>
  </si>
  <si>
    <t>夜勤</t>
    <rPh sb="0" eb="2">
      <t>ヤキン</t>
    </rPh>
    <phoneticPr fontId="2"/>
  </si>
  <si>
    <t>巴根那</t>
    <rPh sb="0" eb="1">
      <t>ハ</t>
    </rPh>
    <rPh sb="1" eb="2">
      <t>ネ</t>
    </rPh>
    <rPh sb="2" eb="3">
      <t>ナ</t>
    </rPh>
    <phoneticPr fontId="2"/>
  </si>
  <si>
    <t>早朝</t>
    <rPh sb="0" eb="2">
      <t>ソウチョウ</t>
    </rPh>
    <phoneticPr fontId="2"/>
  </si>
  <si>
    <t>北条憲三</t>
    <rPh sb="0" eb="2">
      <t>ホウジョウ</t>
    </rPh>
    <rPh sb="2" eb="4">
      <t>ケンゾウ</t>
    </rPh>
    <phoneticPr fontId="2"/>
  </si>
  <si>
    <t>仕分</t>
    <rPh sb="0" eb="2">
      <t>シワケ</t>
    </rPh>
    <phoneticPr fontId="2"/>
  </si>
  <si>
    <t>請負</t>
    <rPh sb="0" eb="2">
      <t>ウケオイ</t>
    </rPh>
    <phoneticPr fontId="2"/>
  </si>
  <si>
    <t>￥2.4/個</t>
    <rPh sb="5" eb="6">
      <t>コ</t>
    </rPh>
    <phoneticPr fontId="2"/>
  </si>
  <si>
    <t>￥1.0/個</t>
    <rPh sb="5" eb="6">
      <t>コ</t>
    </rPh>
    <phoneticPr fontId="2"/>
  </si>
  <si>
    <t>ランスタッド</t>
    <phoneticPr fontId="2"/>
  </si>
  <si>
    <t>㈱グロース</t>
    <phoneticPr fontId="2"/>
  </si>
  <si>
    <t>磯弘二</t>
    <phoneticPr fontId="2"/>
  </si>
  <si>
    <t>テイケイワークス東京㈱</t>
    <rPh sb="8" eb="10">
      <t>トウキョウ</t>
    </rPh>
    <phoneticPr fontId="2"/>
  </si>
  <si>
    <t>㈱アクシスプロジェクト</t>
    <phoneticPr fontId="2"/>
  </si>
  <si>
    <t>￥10,000/日</t>
    <rPh sb="8" eb="9">
      <t>ヒ</t>
    </rPh>
    <phoneticPr fontId="2"/>
  </si>
  <si>
    <t>㈱アクティブレイン</t>
    <phoneticPr fontId="2"/>
  </si>
  <si>
    <t>陳内宏明</t>
    <rPh sb="0" eb="1">
      <t>チン</t>
    </rPh>
    <rPh sb="1" eb="2">
      <t>ナイ</t>
    </rPh>
    <rPh sb="2" eb="4">
      <t>ヒロアキ</t>
    </rPh>
    <phoneticPr fontId="2"/>
  </si>
  <si>
    <t>源河政明</t>
    <rPh sb="0" eb="1">
      <t>ゲン</t>
    </rPh>
    <rPh sb="1" eb="2">
      <t>カワ</t>
    </rPh>
    <rPh sb="2" eb="4">
      <t>マサアキ</t>
    </rPh>
    <phoneticPr fontId="2"/>
  </si>
  <si>
    <t>㈱ロフティー</t>
    <phoneticPr fontId="2"/>
  </si>
  <si>
    <t>スポット　</t>
    <phoneticPr fontId="2"/>
  </si>
  <si>
    <t>小林哲也</t>
    <rPh sb="0" eb="2">
      <t>コバヤシ</t>
    </rPh>
    <rPh sb="2" eb="4">
      <t>テツヤ</t>
    </rPh>
    <phoneticPr fontId="2"/>
  </si>
  <si>
    <t>㈱加藤運送</t>
    <rPh sb="1" eb="3">
      <t>カトウ</t>
    </rPh>
    <rPh sb="3" eb="5">
      <t>ウンソウ</t>
    </rPh>
    <phoneticPr fontId="2"/>
  </si>
  <si>
    <t>ＦＬ・デバン</t>
    <phoneticPr fontId="2"/>
  </si>
  <si>
    <t>マノジ</t>
    <phoneticPr fontId="2"/>
  </si>
  <si>
    <t>¥7,000/日</t>
    <rPh sb="7" eb="8">
      <t>ニチ</t>
    </rPh>
    <phoneticPr fontId="2"/>
  </si>
  <si>
    <t>¥280,000/月</t>
    <rPh sb="9" eb="10">
      <t>ツキ</t>
    </rPh>
    <phoneticPr fontId="2"/>
  </si>
  <si>
    <t>ニワンカ</t>
    <phoneticPr fontId="2"/>
  </si>
  <si>
    <t>¥140,000/月</t>
    <rPh sb="9" eb="10">
      <t>ツキ</t>
    </rPh>
    <phoneticPr fontId="2"/>
  </si>
  <si>
    <t>サリンダ</t>
    <phoneticPr fontId="2"/>
  </si>
  <si>
    <t>古館知典</t>
    <rPh sb="0" eb="2">
      <t>フルタチ</t>
    </rPh>
    <rPh sb="2" eb="3">
      <t>シ</t>
    </rPh>
    <rPh sb="3" eb="4">
      <t>テン</t>
    </rPh>
    <phoneticPr fontId="2"/>
  </si>
  <si>
    <t>ＮＳプロジェクト</t>
    <phoneticPr fontId="2"/>
  </si>
  <si>
    <t>¥825,000/月</t>
    <rPh sb="9" eb="10">
      <t>ツキ</t>
    </rPh>
    <phoneticPr fontId="2"/>
  </si>
  <si>
    <t>㈱アズスタッフ</t>
    <phoneticPr fontId="2"/>
  </si>
  <si>
    <t>中山真吾</t>
    <rPh sb="0" eb="2">
      <t>ナカヤマ</t>
    </rPh>
    <rPh sb="2" eb="3">
      <t>シン</t>
    </rPh>
    <rPh sb="3" eb="4">
      <t>ゴ</t>
    </rPh>
    <phoneticPr fontId="2"/>
  </si>
  <si>
    <t>池沢知和</t>
    <rPh sb="0" eb="2">
      <t>イケザワ</t>
    </rPh>
    <rPh sb="2" eb="3">
      <t>チ</t>
    </rPh>
    <rPh sb="3" eb="4">
      <t>カズ</t>
    </rPh>
    <phoneticPr fontId="2"/>
  </si>
  <si>
    <t>森雅浩</t>
    <rPh sb="0" eb="1">
      <t>モリ</t>
    </rPh>
    <rPh sb="1" eb="3">
      <t>マサヒロ</t>
    </rPh>
    <phoneticPr fontId="2"/>
  </si>
  <si>
    <t>㈱ＭＯＳＴ</t>
    <phoneticPr fontId="2"/>
  </si>
  <si>
    <t>㈱フルキャスト</t>
    <phoneticPr fontId="2"/>
  </si>
  <si>
    <t>スクエアライン㈱</t>
    <phoneticPr fontId="2"/>
  </si>
  <si>
    <t>浦田潮彦</t>
    <rPh sb="0" eb="2">
      <t>ウラタ</t>
    </rPh>
    <rPh sb="2" eb="3">
      <t>シオ</t>
    </rPh>
    <rPh sb="3" eb="4">
      <t>ヒコ</t>
    </rPh>
    <phoneticPr fontId="2"/>
  </si>
  <si>
    <t>荒川浩</t>
    <rPh sb="0" eb="2">
      <t>アラカワ</t>
    </rPh>
    <rPh sb="2" eb="3">
      <t>ヒロシ</t>
    </rPh>
    <phoneticPr fontId="2"/>
  </si>
  <si>
    <t>岡田章</t>
    <rPh sb="0" eb="2">
      <t>オカダ</t>
    </rPh>
    <rPh sb="2" eb="3">
      <t>ショウ</t>
    </rPh>
    <phoneticPr fontId="2"/>
  </si>
  <si>
    <t>㈱ホットスタッフ一宮</t>
    <rPh sb="8" eb="10">
      <t>イチノミヤ</t>
    </rPh>
    <phoneticPr fontId="2"/>
  </si>
  <si>
    <t>大岩根伸二</t>
    <rPh sb="0" eb="3">
      <t>オオイワネ</t>
    </rPh>
    <rPh sb="3" eb="5">
      <t>シンジ</t>
    </rPh>
    <phoneticPr fontId="2"/>
  </si>
  <si>
    <t>軽作業</t>
    <rPh sb="0" eb="3">
      <t>ケイサギョウ</t>
    </rPh>
    <phoneticPr fontId="2"/>
  </si>
  <si>
    <t>検品</t>
    <rPh sb="0" eb="2">
      <t>ケンピン</t>
    </rPh>
    <phoneticPr fontId="2"/>
  </si>
  <si>
    <t>大山政三</t>
    <rPh sb="0" eb="2">
      <t>オオヤマ</t>
    </rPh>
    <rPh sb="2" eb="3">
      <t>セイ</t>
    </rPh>
    <rPh sb="3" eb="4">
      <t>サン</t>
    </rPh>
    <phoneticPr fontId="2"/>
  </si>
  <si>
    <t>FL/一般作業</t>
    <rPh sb="3" eb="5">
      <t>イッパン</t>
    </rPh>
    <rPh sb="5" eb="7">
      <t>サギョウ</t>
    </rPh>
    <phoneticPr fontId="2"/>
  </si>
  <si>
    <t>久米厚子</t>
    <rPh sb="0" eb="1">
      <t>ヒサ</t>
    </rPh>
    <rPh sb="1" eb="2">
      <t>コメ</t>
    </rPh>
    <rPh sb="2" eb="3">
      <t>アツ</t>
    </rPh>
    <rPh sb="3" eb="4">
      <t>コ</t>
    </rPh>
    <phoneticPr fontId="2"/>
  </si>
  <si>
    <t>西田有梨子</t>
    <rPh sb="0" eb="2">
      <t>ニシダ</t>
    </rPh>
    <rPh sb="2" eb="3">
      <t>タモツ</t>
    </rPh>
    <rPh sb="3" eb="5">
      <t>リコ</t>
    </rPh>
    <phoneticPr fontId="2"/>
  </si>
  <si>
    <t>一般作業</t>
    <rPh sb="0" eb="2">
      <t>イッパン</t>
    </rPh>
    <rPh sb="2" eb="4">
      <t>サギョウ</t>
    </rPh>
    <phoneticPr fontId="2"/>
  </si>
  <si>
    <t>㈱バイトレ</t>
    <phoneticPr fontId="2"/>
  </si>
  <si>
    <t>㈱ジャパンセキュリティプロモーション</t>
    <phoneticPr fontId="2"/>
  </si>
  <si>
    <t>¥11,000/日</t>
    <rPh sb="8" eb="9">
      <t>ニチ</t>
    </rPh>
    <phoneticPr fontId="2"/>
  </si>
  <si>
    <t>三菱食品㈱</t>
    <rPh sb="0" eb="2">
      <t>ミツビシ</t>
    </rPh>
    <rPh sb="2" eb="4">
      <t>ショクヒン</t>
    </rPh>
    <phoneticPr fontId="2"/>
  </si>
  <si>
    <t>共配荷役料金</t>
    <rPh sb="0" eb="2">
      <t>キョウハイ</t>
    </rPh>
    <rPh sb="2" eb="4">
      <t>ニヤク</t>
    </rPh>
    <rPh sb="4" eb="6">
      <t>リョウキン</t>
    </rPh>
    <phoneticPr fontId="2"/>
  </si>
  <si>
    <t>¥1.00/料率</t>
    <rPh sb="6" eb="8">
      <t>リョウリツ</t>
    </rPh>
    <phoneticPr fontId="2"/>
  </si>
  <si>
    <t>㈱ＨＲコモンズ（ジャパンクリエイト）</t>
    <phoneticPr fontId="2"/>
  </si>
  <si>
    <t>齋藤健一</t>
    <rPh sb="0" eb="2">
      <t>サイトウ</t>
    </rPh>
    <rPh sb="2" eb="4">
      <t>ケンイチ</t>
    </rPh>
    <phoneticPr fontId="2"/>
  </si>
  <si>
    <t>ＰＫ</t>
    <phoneticPr fontId="2"/>
  </si>
  <si>
    <t>菱木知美</t>
    <rPh sb="0" eb="2">
      <t>ヒシキ</t>
    </rPh>
    <rPh sb="2" eb="4">
      <t>トモミ</t>
    </rPh>
    <phoneticPr fontId="2"/>
  </si>
  <si>
    <t>ランスタッド㈱</t>
    <phoneticPr fontId="2"/>
  </si>
  <si>
    <t>庫内</t>
    <rPh sb="0" eb="2">
      <t>コナイ</t>
    </rPh>
    <phoneticPr fontId="2"/>
  </si>
  <si>
    <t>㈱ＧＯＯＤＳＭＩＬＥ</t>
    <phoneticPr fontId="2"/>
  </si>
  <si>
    <t>清水裕也</t>
    <rPh sb="0" eb="2">
      <t>シミズ</t>
    </rPh>
    <rPh sb="2" eb="4">
      <t>ユウヤ</t>
    </rPh>
    <phoneticPr fontId="2"/>
  </si>
  <si>
    <t>成川阿衣</t>
    <rPh sb="0" eb="2">
      <t>ナリカワ</t>
    </rPh>
    <rPh sb="2" eb="3">
      <t>ア</t>
    </rPh>
    <rPh sb="3" eb="4">
      <t>コロモ</t>
    </rPh>
    <phoneticPr fontId="2"/>
  </si>
  <si>
    <t>ティー・エム・エス㈱</t>
    <phoneticPr fontId="2"/>
  </si>
  <si>
    <t>仕分・ＰＫ・付随業務</t>
    <rPh sb="0" eb="2">
      <t>シワケ</t>
    </rPh>
    <rPh sb="6" eb="8">
      <t>フズイ</t>
    </rPh>
    <rPh sb="8" eb="10">
      <t>ギョウム</t>
    </rPh>
    <phoneticPr fontId="2"/>
  </si>
  <si>
    <t>ラヴィドゥ</t>
    <phoneticPr fontId="2"/>
  </si>
  <si>
    <t>栃木</t>
    <rPh sb="0" eb="2">
      <t>トチギ</t>
    </rPh>
    <phoneticPr fontId="2"/>
  </si>
  <si>
    <t>㈱ノースサポート</t>
    <phoneticPr fontId="2"/>
  </si>
  <si>
    <t>¥5.51/個</t>
    <rPh sb="6" eb="7">
      <t>コ</t>
    </rPh>
    <phoneticPr fontId="2"/>
  </si>
  <si>
    <t>¥4.00/個</t>
    <rPh sb="6" eb="7">
      <t>コ</t>
    </rPh>
    <phoneticPr fontId="2"/>
  </si>
  <si>
    <t>¥20.96/個</t>
    <rPh sb="7" eb="8">
      <t>コ</t>
    </rPh>
    <phoneticPr fontId="2"/>
  </si>
  <si>
    <t>バラ梱包</t>
    <rPh sb="2" eb="4">
      <t>コンポウ</t>
    </rPh>
    <phoneticPr fontId="2"/>
  </si>
  <si>
    <t>¥202.60/個</t>
    <rPh sb="8" eb="9">
      <t>コ</t>
    </rPh>
    <phoneticPr fontId="2"/>
  </si>
  <si>
    <t>事務系作業</t>
    <rPh sb="0" eb="3">
      <t>ジムケイ</t>
    </rPh>
    <rPh sb="3" eb="5">
      <t>サギョウ</t>
    </rPh>
    <phoneticPr fontId="2"/>
  </si>
  <si>
    <t>¥323,100/月</t>
    <rPh sb="9" eb="10">
      <t>ツキ</t>
    </rPh>
    <phoneticPr fontId="2"/>
  </si>
  <si>
    <t>現場系作業</t>
    <rPh sb="0" eb="2">
      <t>ゲンバ</t>
    </rPh>
    <rPh sb="2" eb="3">
      <t>ケイ</t>
    </rPh>
    <rPh sb="3" eb="5">
      <t>サギョウ</t>
    </rPh>
    <phoneticPr fontId="2"/>
  </si>
  <si>
    <t>¥360,000/月</t>
    <rPh sb="9" eb="10">
      <t>ツキ</t>
    </rPh>
    <phoneticPr fontId="2"/>
  </si>
  <si>
    <t>管理監督者</t>
    <rPh sb="0" eb="2">
      <t>カンリ</t>
    </rPh>
    <rPh sb="2" eb="5">
      <t>カントクシャ</t>
    </rPh>
    <phoneticPr fontId="2"/>
  </si>
  <si>
    <t>¥500,000/月</t>
    <rPh sb="9" eb="10">
      <t>ツキ</t>
    </rPh>
    <phoneticPr fontId="2"/>
  </si>
  <si>
    <t>定額作業員</t>
    <rPh sb="0" eb="2">
      <t>テイガク</t>
    </rPh>
    <rPh sb="2" eb="5">
      <t>サギョウイン</t>
    </rPh>
    <phoneticPr fontId="2"/>
  </si>
  <si>
    <t>¥350,000/月</t>
    <rPh sb="9" eb="10">
      <t>ツキ</t>
    </rPh>
    <phoneticPr fontId="2"/>
  </si>
  <si>
    <t>定額事務員</t>
    <rPh sb="0" eb="2">
      <t>テイガク</t>
    </rPh>
    <rPh sb="2" eb="5">
      <t>ジムイン</t>
    </rPh>
    <phoneticPr fontId="2"/>
  </si>
  <si>
    <t>¥300,000/月</t>
    <rPh sb="9" eb="10">
      <t>ツキ</t>
    </rPh>
    <phoneticPr fontId="2"/>
  </si>
  <si>
    <t>追加作業(時間外)</t>
    <rPh sb="0" eb="2">
      <t>ツイカ</t>
    </rPh>
    <rPh sb="2" eb="4">
      <t>サギョウ</t>
    </rPh>
    <rPh sb="5" eb="8">
      <t>ジカンガイ</t>
    </rPh>
    <phoneticPr fontId="2"/>
  </si>
  <si>
    <t>¥50,000/月</t>
    <rPh sb="8" eb="9">
      <t>ツキ</t>
    </rPh>
    <phoneticPr fontId="2"/>
  </si>
  <si>
    <t>￥36,000/月</t>
    <rPh sb="8" eb="9">
      <t>ツキ</t>
    </rPh>
    <phoneticPr fontId="2"/>
  </si>
  <si>
    <t>テイケイワークス㈱</t>
    <phoneticPr fontId="2"/>
  </si>
  <si>
    <t>仕分・付随作業</t>
    <rPh sb="0" eb="2">
      <t>シワケ</t>
    </rPh>
    <rPh sb="3" eb="5">
      <t>フズイ</t>
    </rPh>
    <rPh sb="5" eb="7">
      <t>サギョウ</t>
    </rPh>
    <phoneticPr fontId="2"/>
  </si>
  <si>
    <t>㈱ネクストエイジ</t>
    <phoneticPr fontId="2"/>
  </si>
  <si>
    <t>森山隆男</t>
    <rPh sb="0" eb="2">
      <t>モリヤマ</t>
    </rPh>
    <rPh sb="2" eb="3">
      <t>タカシ</t>
    </rPh>
    <rPh sb="3" eb="4">
      <t>オトコ</t>
    </rPh>
    <phoneticPr fontId="2"/>
  </si>
  <si>
    <t>片岡守司</t>
    <rPh sb="0" eb="2">
      <t>カタオカ</t>
    </rPh>
    <rPh sb="2" eb="3">
      <t>マモル</t>
    </rPh>
    <rPh sb="3" eb="4">
      <t>ツカサ</t>
    </rPh>
    <phoneticPr fontId="2"/>
  </si>
  <si>
    <t>田崎英幸</t>
    <rPh sb="0" eb="2">
      <t>タザキ</t>
    </rPh>
    <rPh sb="2" eb="4">
      <t>ヒデユキ</t>
    </rPh>
    <phoneticPr fontId="2"/>
  </si>
  <si>
    <t>寺門宏文</t>
    <rPh sb="0" eb="2">
      <t>テラカド</t>
    </rPh>
    <rPh sb="2" eb="4">
      <t>ヒロフミ</t>
    </rPh>
    <phoneticPr fontId="2"/>
  </si>
  <si>
    <t>㈱ホットスタッフ川越</t>
    <rPh sb="8" eb="10">
      <t>カワゴエ</t>
    </rPh>
    <phoneticPr fontId="2"/>
  </si>
  <si>
    <t>岡村麻由香</t>
    <rPh sb="0" eb="2">
      <t>オカムラ</t>
    </rPh>
    <rPh sb="2" eb="3">
      <t>マ</t>
    </rPh>
    <rPh sb="3" eb="4">
      <t>ヨシ</t>
    </rPh>
    <rPh sb="4" eb="5">
      <t>カオ</t>
    </rPh>
    <phoneticPr fontId="2"/>
  </si>
  <si>
    <t>㈱加藤運送</t>
    <rPh sb="1" eb="5">
      <t>カトウウンソウ</t>
    </rPh>
    <phoneticPr fontId="2"/>
  </si>
  <si>
    <t>シワンカ</t>
    <phoneticPr fontId="2"/>
  </si>
  <si>
    <t>㈱ウィルエージェンシー</t>
    <phoneticPr fontId="2"/>
  </si>
  <si>
    <t>運搬・清掃</t>
    <rPh sb="0" eb="2">
      <t>ウンパン</t>
    </rPh>
    <rPh sb="3" eb="5">
      <t>セイソウ</t>
    </rPh>
    <phoneticPr fontId="2"/>
  </si>
  <si>
    <t>柿澤信子</t>
    <rPh sb="0" eb="2">
      <t>カキザワ</t>
    </rPh>
    <rPh sb="2" eb="4">
      <t>ノブコ</t>
    </rPh>
    <phoneticPr fontId="2"/>
  </si>
  <si>
    <t>金田治幸</t>
    <rPh sb="0" eb="2">
      <t>カネダ</t>
    </rPh>
    <rPh sb="2" eb="3">
      <t>オサ</t>
    </rPh>
    <rPh sb="3" eb="4">
      <t>ユキ</t>
    </rPh>
    <phoneticPr fontId="2"/>
  </si>
  <si>
    <t>㈱Ｇ＆Ｇ</t>
    <phoneticPr fontId="2"/>
  </si>
  <si>
    <t>ＦＬ・付随作業</t>
    <rPh sb="3" eb="5">
      <t>フズイ</t>
    </rPh>
    <rPh sb="5" eb="7">
      <t>サギョウ</t>
    </rPh>
    <phoneticPr fontId="2"/>
  </si>
  <si>
    <t>柴崎雄一</t>
    <rPh sb="0" eb="2">
      <t>シバサキ</t>
    </rPh>
    <rPh sb="2" eb="4">
      <t>ユウイチ</t>
    </rPh>
    <phoneticPr fontId="2"/>
  </si>
  <si>
    <t>廣瀬誠司</t>
    <rPh sb="0" eb="2">
      <t>ヒロセ</t>
    </rPh>
    <rPh sb="2" eb="4">
      <t>セイジ</t>
    </rPh>
    <phoneticPr fontId="2"/>
  </si>
  <si>
    <t>㈱ホットスタッフ下野</t>
    <rPh sb="8" eb="10">
      <t>シモツケ</t>
    </rPh>
    <phoneticPr fontId="2"/>
  </si>
  <si>
    <t>渡邉修</t>
    <phoneticPr fontId="2"/>
  </si>
  <si>
    <t>潮田啓子</t>
    <rPh sb="0" eb="2">
      <t>シオダ</t>
    </rPh>
    <rPh sb="2" eb="4">
      <t>ケイコ</t>
    </rPh>
    <phoneticPr fontId="2"/>
  </si>
  <si>
    <t>竹内利春</t>
    <rPh sb="2" eb="4">
      <t>トシハル</t>
    </rPh>
    <phoneticPr fontId="2"/>
  </si>
  <si>
    <t>アイ・ビー・エス・アウトソーシング㈱</t>
    <phoneticPr fontId="2"/>
  </si>
  <si>
    <t>ピックル㈱</t>
    <phoneticPr fontId="2"/>
  </si>
  <si>
    <t>早乙女等</t>
    <rPh sb="0" eb="3">
      <t>サオトメ</t>
    </rPh>
    <rPh sb="3" eb="4">
      <t>トウ</t>
    </rPh>
    <phoneticPr fontId="2"/>
  </si>
  <si>
    <t>竹内慎一</t>
    <phoneticPr fontId="2"/>
  </si>
  <si>
    <t>和久井康久</t>
    <rPh sb="0" eb="3">
      <t>ワクイ</t>
    </rPh>
    <rPh sb="3" eb="5">
      <t>ヤスヒサ</t>
    </rPh>
    <phoneticPr fontId="2"/>
  </si>
  <si>
    <t>㈱アズ・スタッフ</t>
    <phoneticPr fontId="2"/>
  </si>
  <si>
    <t>ドライバー</t>
    <phoneticPr fontId="2"/>
  </si>
  <si>
    <t>篠原徹</t>
    <rPh sb="0" eb="2">
      <t>シノハラ</t>
    </rPh>
    <phoneticPr fontId="2"/>
  </si>
  <si>
    <t>小菅昭</t>
    <rPh sb="0" eb="2">
      <t>コスゲ</t>
    </rPh>
    <rPh sb="2" eb="3">
      <t>アキラ</t>
    </rPh>
    <phoneticPr fontId="2"/>
  </si>
  <si>
    <t>㈱ウィルオブ・ワーク
（旧㈱ウィルオブ・ファクトリー）</t>
    <rPh sb="12" eb="13">
      <t>キュウ</t>
    </rPh>
    <phoneticPr fontId="2"/>
  </si>
  <si>
    <t>小口和雄</t>
    <rPh sb="0" eb="2">
      <t>コグチ</t>
    </rPh>
    <rPh sb="2" eb="3">
      <t>カズ</t>
    </rPh>
    <rPh sb="3" eb="4">
      <t>オス</t>
    </rPh>
    <phoneticPr fontId="2"/>
  </si>
  <si>
    <t>横須賀稔典</t>
    <rPh sb="0" eb="3">
      <t>ヨコスカ</t>
    </rPh>
    <rPh sb="3" eb="4">
      <t>ネン</t>
    </rPh>
    <rPh sb="4" eb="5">
      <t>ノリ</t>
    </rPh>
    <phoneticPr fontId="2"/>
  </si>
  <si>
    <t>河野辺俊</t>
    <rPh sb="0" eb="3">
      <t>カワノベ</t>
    </rPh>
    <rPh sb="3" eb="4">
      <t>シュン</t>
    </rPh>
    <phoneticPr fontId="2"/>
  </si>
  <si>
    <t>日光</t>
    <rPh sb="0" eb="2">
      <t>ニッコウ</t>
    </rPh>
    <phoneticPr fontId="2"/>
  </si>
  <si>
    <t>ＴＭ日光運輸倉庫㈱</t>
    <rPh sb="2" eb="4">
      <t>ニッコウ</t>
    </rPh>
    <rPh sb="4" eb="6">
      <t>ウンユ</t>
    </rPh>
    <rPh sb="6" eb="8">
      <t>ソウコ</t>
    </rPh>
    <phoneticPr fontId="2"/>
  </si>
  <si>
    <t>¥750/台</t>
    <rPh sb="5" eb="6">
      <t>ダイ</t>
    </rPh>
    <phoneticPr fontId="2"/>
  </si>
  <si>
    <t>¥13,600/回</t>
    <rPh sb="8" eb="9">
      <t>カイ</t>
    </rPh>
    <phoneticPr fontId="2"/>
  </si>
  <si>
    <t>¥50/個</t>
    <rPh sb="4" eb="5">
      <t>コ</t>
    </rPh>
    <phoneticPr fontId="2"/>
  </si>
  <si>
    <t>￥276,000/月</t>
    <rPh sb="9" eb="10">
      <t>ツキ</t>
    </rPh>
    <phoneticPr fontId="2"/>
  </si>
  <si>
    <t>土曜日単価</t>
    <rPh sb="0" eb="3">
      <t>ドヨウビ</t>
    </rPh>
    <rPh sb="3" eb="5">
      <t>タンカ</t>
    </rPh>
    <phoneticPr fontId="2"/>
  </si>
  <si>
    <t>時間外単価</t>
    <rPh sb="0" eb="3">
      <t>ジカンガイ</t>
    </rPh>
    <rPh sb="3" eb="5">
      <t>タンカ</t>
    </rPh>
    <phoneticPr fontId="2"/>
  </si>
  <si>
    <t>田中忠城</t>
    <rPh sb="0" eb="2">
      <t>タナカ</t>
    </rPh>
    <rPh sb="2" eb="3">
      <t>タダ</t>
    </rPh>
    <rPh sb="3" eb="4">
      <t>シロ</t>
    </rPh>
    <phoneticPr fontId="2"/>
  </si>
  <si>
    <t>黄偉</t>
    <rPh sb="0" eb="1">
      <t>コウ</t>
    </rPh>
    <rPh sb="1" eb="2">
      <t>イ</t>
    </rPh>
    <phoneticPr fontId="2"/>
  </si>
  <si>
    <t>李博</t>
    <rPh sb="0" eb="1">
      <t>リ</t>
    </rPh>
    <rPh sb="1" eb="2">
      <t>ハク</t>
    </rPh>
    <phoneticPr fontId="2"/>
  </si>
  <si>
    <t>松田浩</t>
    <rPh sb="0" eb="2">
      <t>マツダ</t>
    </rPh>
    <rPh sb="2" eb="3">
      <t>ヒロシ</t>
    </rPh>
    <phoneticPr fontId="2"/>
  </si>
  <si>
    <t>王振国</t>
    <rPh sb="0" eb="1">
      <t>オウ</t>
    </rPh>
    <rPh sb="1" eb="2">
      <t>フ</t>
    </rPh>
    <rPh sb="2" eb="3">
      <t>クニ</t>
    </rPh>
    <phoneticPr fontId="2"/>
  </si>
  <si>
    <t>菓子仕分</t>
    <rPh sb="2" eb="4">
      <t>シワケ</t>
    </rPh>
    <phoneticPr fontId="2"/>
  </si>
  <si>
    <t>張艶紅</t>
    <rPh sb="0" eb="1">
      <t>ハ</t>
    </rPh>
    <rPh sb="1" eb="2">
      <t>ツヤ</t>
    </rPh>
    <rPh sb="2" eb="3">
      <t>ベニ</t>
    </rPh>
    <phoneticPr fontId="2"/>
  </si>
  <si>
    <t>森本智大</t>
    <rPh sb="0" eb="2">
      <t>モリモト</t>
    </rPh>
    <rPh sb="2" eb="4">
      <t>トモヒロ</t>
    </rPh>
    <phoneticPr fontId="2"/>
  </si>
  <si>
    <t>中村翔一</t>
    <rPh sb="0" eb="2">
      <t>ナカムラ</t>
    </rPh>
    <rPh sb="2" eb="4">
      <t>ショウイチ</t>
    </rPh>
    <phoneticPr fontId="2"/>
  </si>
  <si>
    <t>三井敦史</t>
    <rPh sb="0" eb="2">
      <t>ミツイ</t>
    </rPh>
    <rPh sb="2" eb="4">
      <t>アツシ</t>
    </rPh>
    <phoneticPr fontId="2"/>
  </si>
  <si>
    <t>池上元晴</t>
    <rPh sb="0" eb="2">
      <t>イケウエ</t>
    </rPh>
    <rPh sb="2" eb="4">
      <t>モトハル</t>
    </rPh>
    <phoneticPr fontId="2"/>
  </si>
  <si>
    <t>渡橋達哉</t>
    <rPh sb="0" eb="2">
      <t>ワタハシ</t>
    </rPh>
    <rPh sb="2" eb="4">
      <t>タツヤ</t>
    </rPh>
    <phoneticPr fontId="2"/>
  </si>
  <si>
    <t>岩田佐智子</t>
    <rPh sb="0" eb="2">
      <t>イワタ</t>
    </rPh>
    <rPh sb="2" eb="5">
      <t>サチコ</t>
    </rPh>
    <phoneticPr fontId="2"/>
  </si>
  <si>
    <t>北川高幸</t>
    <rPh sb="0" eb="2">
      <t>キタガワ</t>
    </rPh>
    <rPh sb="2" eb="3">
      <t>タカ</t>
    </rPh>
    <rPh sb="3" eb="4">
      <t>ユキ</t>
    </rPh>
    <phoneticPr fontId="2"/>
  </si>
  <si>
    <t>須貝克己</t>
    <rPh sb="0" eb="2">
      <t>スガイ</t>
    </rPh>
    <rPh sb="2" eb="4">
      <t>カツミ</t>
    </rPh>
    <phoneticPr fontId="2"/>
  </si>
  <si>
    <t>鈴木史人</t>
    <rPh sb="0" eb="2">
      <t>スズキ</t>
    </rPh>
    <rPh sb="2" eb="3">
      <t>シ</t>
    </rPh>
    <rPh sb="3" eb="4">
      <t>ヒト</t>
    </rPh>
    <phoneticPr fontId="2"/>
  </si>
  <si>
    <t>佐々木文明</t>
    <rPh sb="0" eb="3">
      <t>ササキ</t>
    </rPh>
    <rPh sb="3" eb="5">
      <t>フミアキ</t>
    </rPh>
    <phoneticPr fontId="2"/>
  </si>
  <si>
    <t>久納克理</t>
    <rPh sb="0" eb="2">
      <t>クノウ</t>
    </rPh>
    <rPh sb="2" eb="3">
      <t>カツ</t>
    </rPh>
    <rPh sb="3" eb="4">
      <t>リ</t>
    </rPh>
    <phoneticPr fontId="2"/>
  </si>
  <si>
    <t>室井輝美</t>
    <rPh sb="0" eb="2">
      <t>ムロイ</t>
    </rPh>
    <rPh sb="2" eb="4">
      <t>テルミ</t>
    </rPh>
    <phoneticPr fontId="2"/>
  </si>
  <si>
    <t>板垣良子</t>
    <rPh sb="0" eb="2">
      <t>イタガキ</t>
    </rPh>
    <rPh sb="2" eb="4">
      <t>リョウコ</t>
    </rPh>
    <phoneticPr fontId="2"/>
  </si>
  <si>
    <t>貫井岳</t>
    <phoneticPr fontId="2"/>
  </si>
  <si>
    <t>眼目泰史</t>
    <rPh sb="0" eb="2">
      <t>ガンメ</t>
    </rPh>
    <rPh sb="2" eb="4">
      <t>ヤスフミ</t>
    </rPh>
    <phoneticPr fontId="2"/>
  </si>
  <si>
    <t>村上雅俊</t>
    <rPh sb="0" eb="2">
      <t>ムラカミ</t>
    </rPh>
    <rPh sb="2" eb="3">
      <t>マサ</t>
    </rPh>
    <rPh sb="3" eb="4">
      <t>シュン</t>
    </rPh>
    <phoneticPr fontId="2"/>
  </si>
  <si>
    <t>大塚康之</t>
    <rPh sb="0" eb="2">
      <t>オオツカ</t>
    </rPh>
    <rPh sb="2" eb="3">
      <t>ヤス</t>
    </rPh>
    <rPh sb="3" eb="4">
      <t>ノリ</t>
    </rPh>
    <phoneticPr fontId="2"/>
  </si>
  <si>
    <t>大山真美</t>
    <rPh sb="0" eb="2">
      <t>オオヤマ</t>
    </rPh>
    <rPh sb="2" eb="4">
      <t>マミ</t>
    </rPh>
    <phoneticPr fontId="2"/>
  </si>
  <si>
    <t>村上輝美</t>
    <rPh sb="0" eb="2">
      <t>ムラカミ</t>
    </rPh>
    <rPh sb="2" eb="4">
      <t>テルミ</t>
    </rPh>
    <phoneticPr fontId="2"/>
  </si>
  <si>
    <t>竹浪周平</t>
    <rPh sb="0" eb="1">
      <t>タケ</t>
    </rPh>
    <rPh sb="2" eb="4">
      <t>シュウヘイ</t>
    </rPh>
    <phoneticPr fontId="2"/>
  </si>
  <si>
    <t>見留祐樹</t>
    <rPh sb="0" eb="2">
      <t>ミトメ</t>
    </rPh>
    <rPh sb="2" eb="4">
      <t>ユウキ</t>
    </rPh>
    <phoneticPr fontId="2"/>
  </si>
  <si>
    <t>西條友博</t>
    <rPh sb="0" eb="2">
      <t>サイジョウ</t>
    </rPh>
    <rPh sb="2" eb="3">
      <t>トモ</t>
    </rPh>
    <rPh sb="3" eb="4">
      <t>ヒロシ</t>
    </rPh>
    <phoneticPr fontId="2"/>
  </si>
  <si>
    <t>中村誠一</t>
    <rPh sb="0" eb="2">
      <t>ナカムラ</t>
    </rPh>
    <rPh sb="2" eb="4">
      <t>セイイチ</t>
    </rPh>
    <phoneticPr fontId="2"/>
  </si>
  <si>
    <t>難波祐二</t>
    <rPh sb="0" eb="2">
      <t>ナンバ</t>
    </rPh>
    <rPh sb="2" eb="4">
      <t>ユウジ</t>
    </rPh>
    <phoneticPr fontId="2"/>
  </si>
  <si>
    <t>武士田有広</t>
    <rPh sb="0" eb="1">
      <t>タケ</t>
    </rPh>
    <rPh sb="1" eb="2">
      <t>シ</t>
    </rPh>
    <rPh sb="2" eb="3">
      <t>タ</t>
    </rPh>
    <rPh sb="3" eb="4">
      <t>ユウ</t>
    </rPh>
    <rPh sb="4" eb="5">
      <t>ヒロ</t>
    </rPh>
    <phoneticPr fontId="2"/>
  </si>
  <si>
    <t>嘉藤努</t>
    <rPh sb="0" eb="2">
      <t>カトウ</t>
    </rPh>
    <rPh sb="2" eb="3">
      <t>ツトム</t>
    </rPh>
    <phoneticPr fontId="2"/>
  </si>
  <si>
    <t>渡邉俊</t>
    <rPh sb="0" eb="2">
      <t>ワタナベ</t>
    </rPh>
    <rPh sb="2" eb="3">
      <t>シュン</t>
    </rPh>
    <phoneticPr fontId="2"/>
  </si>
  <si>
    <t>庫内作業</t>
    <rPh sb="2" eb="4">
      <t>サギョウ</t>
    </rPh>
    <phoneticPr fontId="2"/>
  </si>
  <si>
    <t>駒井順子</t>
    <rPh sb="0" eb="2">
      <t>コマイ</t>
    </rPh>
    <rPh sb="2" eb="4">
      <t>ジュンコ</t>
    </rPh>
    <phoneticPr fontId="2"/>
  </si>
  <si>
    <t>市原善幸</t>
    <rPh sb="0" eb="2">
      <t>イチハラ</t>
    </rPh>
    <rPh sb="2" eb="3">
      <t>ゼン</t>
    </rPh>
    <rPh sb="3" eb="4">
      <t>シアワ</t>
    </rPh>
    <phoneticPr fontId="2"/>
  </si>
  <si>
    <t>岡野幸二</t>
    <rPh sb="0" eb="2">
      <t>オカノ</t>
    </rPh>
    <rPh sb="2" eb="4">
      <t>コウジ</t>
    </rPh>
    <phoneticPr fontId="2"/>
  </si>
  <si>
    <t>塚本亮幸</t>
    <phoneticPr fontId="2"/>
  </si>
  <si>
    <t>益田あゆみ</t>
    <phoneticPr fontId="2"/>
  </si>
  <si>
    <t>浮島作業</t>
  </si>
  <si>
    <t>高橋弘志</t>
    <phoneticPr fontId="2"/>
  </si>
  <si>
    <t>森山浩司</t>
    <rPh sb="0" eb="2">
      <t>モリヤマ</t>
    </rPh>
    <rPh sb="2" eb="4">
      <t>コウジ</t>
    </rPh>
    <phoneticPr fontId="2"/>
  </si>
  <si>
    <t>中村正喜</t>
    <rPh sb="0" eb="2">
      <t>ナカムラ</t>
    </rPh>
    <rPh sb="2" eb="3">
      <t>タダシ</t>
    </rPh>
    <rPh sb="3" eb="4">
      <t>ヨロコ</t>
    </rPh>
    <phoneticPr fontId="2"/>
  </si>
  <si>
    <t>上村正一</t>
    <rPh sb="0" eb="2">
      <t>ウエムラ</t>
    </rPh>
    <rPh sb="2" eb="4">
      <t>セイイチ</t>
    </rPh>
    <phoneticPr fontId="2"/>
  </si>
  <si>
    <t>小澤菜海</t>
    <rPh sb="0" eb="2">
      <t>オザワ</t>
    </rPh>
    <rPh sb="2" eb="3">
      <t>ナ</t>
    </rPh>
    <rPh sb="3" eb="4">
      <t>ウミ</t>
    </rPh>
    <phoneticPr fontId="2"/>
  </si>
  <si>
    <t>中居洋平</t>
    <rPh sb="0" eb="2">
      <t>ナカイ</t>
    </rPh>
    <rPh sb="2" eb="4">
      <t>ヨウヘイ</t>
    </rPh>
    <phoneticPr fontId="2"/>
  </si>
  <si>
    <t>岡部政彦</t>
    <rPh sb="0" eb="2">
      <t>オカベ</t>
    </rPh>
    <rPh sb="2" eb="4">
      <t>マサヒコ</t>
    </rPh>
    <phoneticPr fontId="2"/>
  </si>
  <si>
    <t>目黒正勝</t>
    <rPh sb="0" eb="2">
      <t>メグロ</t>
    </rPh>
    <rPh sb="2" eb="4">
      <t>マサカツ</t>
    </rPh>
    <phoneticPr fontId="2"/>
  </si>
  <si>
    <t>石崎光治</t>
    <phoneticPr fontId="2"/>
  </si>
  <si>
    <t>関裕史</t>
    <phoneticPr fontId="2"/>
  </si>
  <si>
    <t>横松卓</t>
    <phoneticPr fontId="2"/>
  </si>
  <si>
    <t>岩上浩茂</t>
    <phoneticPr fontId="2"/>
  </si>
  <si>
    <t>根本裕之</t>
    <rPh sb="0" eb="2">
      <t>ネモト</t>
    </rPh>
    <rPh sb="2" eb="3">
      <t>ユウ</t>
    </rPh>
    <rPh sb="3" eb="4">
      <t>コレ</t>
    </rPh>
    <phoneticPr fontId="2"/>
  </si>
  <si>
    <t>毛塚純一</t>
    <rPh sb="0" eb="2">
      <t>ケヅカ</t>
    </rPh>
    <rPh sb="2" eb="4">
      <t>ジュンイチ</t>
    </rPh>
    <phoneticPr fontId="2"/>
  </si>
  <si>
    <t>渡辺七三</t>
    <rPh sb="0" eb="2">
      <t>ワタナベ</t>
    </rPh>
    <rPh sb="2" eb="3">
      <t>ナナ</t>
    </rPh>
    <rPh sb="3" eb="4">
      <t>サン</t>
    </rPh>
    <phoneticPr fontId="2"/>
  </si>
  <si>
    <t>柴田信義</t>
    <phoneticPr fontId="2"/>
  </si>
  <si>
    <t>鈴木和一</t>
    <phoneticPr fontId="2"/>
  </si>
  <si>
    <t>橋本美代子</t>
    <rPh sb="0" eb="2">
      <t>ハシモト</t>
    </rPh>
    <rPh sb="2" eb="5">
      <t>ミヨコ</t>
    </rPh>
    <phoneticPr fontId="2"/>
  </si>
  <si>
    <t>小倉幸子</t>
    <rPh sb="0" eb="2">
      <t>オグラ</t>
    </rPh>
    <rPh sb="2" eb="4">
      <t>サチコ</t>
    </rPh>
    <phoneticPr fontId="2"/>
  </si>
  <si>
    <t>渋井洋子</t>
    <rPh sb="0" eb="2">
      <t>シブイ</t>
    </rPh>
    <rPh sb="2" eb="4">
      <t>ヨウコ</t>
    </rPh>
    <phoneticPr fontId="2"/>
  </si>
  <si>
    <t>高橋敏子</t>
    <rPh sb="0" eb="2">
      <t>タカハシ</t>
    </rPh>
    <rPh sb="2" eb="3">
      <t>ビン</t>
    </rPh>
    <rPh sb="3" eb="4">
      <t>コ</t>
    </rPh>
    <phoneticPr fontId="2"/>
  </si>
  <si>
    <t>稲垣央</t>
    <rPh sb="0" eb="2">
      <t>イナガキ</t>
    </rPh>
    <rPh sb="2" eb="3">
      <t>オウ</t>
    </rPh>
    <phoneticPr fontId="2"/>
  </si>
  <si>
    <t>倉井昇</t>
    <rPh sb="0" eb="2">
      <t>クライ</t>
    </rPh>
    <rPh sb="2" eb="3">
      <t>ノボル</t>
    </rPh>
    <phoneticPr fontId="2"/>
  </si>
  <si>
    <t>須田伸江</t>
    <rPh sb="0" eb="2">
      <t>スダ</t>
    </rPh>
    <rPh sb="2" eb="4">
      <t>ノブエ</t>
    </rPh>
    <phoneticPr fontId="2"/>
  </si>
  <si>
    <t>緑川望</t>
    <rPh sb="0" eb="2">
      <t>ミドリカワ</t>
    </rPh>
    <rPh sb="2" eb="3">
      <t>ノゾミ</t>
    </rPh>
    <phoneticPr fontId="2"/>
  </si>
  <si>
    <t>海賀弘美</t>
    <rPh sb="0" eb="1">
      <t>ウミ</t>
    </rPh>
    <rPh sb="1" eb="2">
      <t>ガ</t>
    </rPh>
    <rPh sb="2" eb="4">
      <t>ヒロミ</t>
    </rPh>
    <phoneticPr fontId="2"/>
  </si>
  <si>
    <t>加藤敦子</t>
    <rPh sb="0" eb="2">
      <t>カトウ</t>
    </rPh>
    <rPh sb="2" eb="4">
      <t>アツコ</t>
    </rPh>
    <phoneticPr fontId="2"/>
  </si>
  <si>
    <t>大内和博</t>
    <rPh sb="0" eb="2">
      <t>オオウチ</t>
    </rPh>
    <rPh sb="2" eb="4">
      <t>カズヒロ</t>
    </rPh>
    <phoneticPr fontId="2"/>
  </si>
  <si>
    <t>小林美和</t>
    <rPh sb="0" eb="2">
      <t>コバヤシ</t>
    </rPh>
    <rPh sb="2" eb="4">
      <t>ミワ</t>
    </rPh>
    <phoneticPr fontId="2"/>
  </si>
  <si>
    <t>髙橋裕</t>
    <rPh sb="0" eb="2">
      <t>タカハシ</t>
    </rPh>
    <rPh sb="2" eb="3">
      <t>ユウ</t>
    </rPh>
    <phoneticPr fontId="2"/>
  </si>
  <si>
    <t>萩野美香</t>
    <rPh sb="0" eb="2">
      <t>ハギノ</t>
    </rPh>
    <rPh sb="2" eb="4">
      <t>ミカ</t>
    </rPh>
    <phoneticPr fontId="2"/>
  </si>
  <si>
    <t>鈴木美香</t>
    <rPh sb="0" eb="2">
      <t>スズキ</t>
    </rPh>
    <rPh sb="2" eb="4">
      <t>ミカ</t>
    </rPh>
    <phoneticPr fontId="2"/>
  </si>
  <si>
    <t>渡邉和子</t>
    <rPh sb="0" eb="2">
      <t>ワタナベ</t>
    </rPh>
    <rPh sb="2" eb="4">
      <t>カズコ</t>
    </rPh>
    <phoneticPr fontId="2"/>
  </si>
  <si>
    <t>吉田梨奈</t>
    <rPh sb="0" eb="2">
      <t>ヨシダ</t>
    </rPh>
    <rPh sb="2" eb="4">
      <t>リナ</t>
    </rPh>
    <phoneticPr fontId="2"/>
  </si>
  <si>
    <t>宮本宣子</t>
    <rPh sb="0" eb="2">
      <t>ミヤモト</t>
    </rPh>
    <rPh sb="2" eb="4">
      <t>ノブコ</t>
    </rPh>
    <phoneticPr fontId="2"/>
  </si>
  <si>
    <t>阿部尚宏</t>
    <rPh sb="0" eb="2">
      <t>アベ</t>
    </rPh>
    <rPh sb="2" eb="4">
      <t>ナオヒロ</t>
    </rPh>
    <phoneticPr fontId="2"/>
  </si>
  <si>
    <t>筆谷響</t>
    <rPh sb="0" eb="1">
      <t>フデ</t>
    </rPh>
    <rPh sb="1" eb="2">
      <t>タニ</t>
    </rPh>
    <rPh sb="2" eb="3">
      <t>ヒビキ</t>
    </rPh>
    <phoneticPr fontId="2"/>
  </si>
  <si>
    <t>小島義之</t>
    <rPh sb="0" eb="2">
      <t>コジマ</t>
    </rPh>
    <rPh sb="2" eb="4">
      <t>ヨシユキ</t>
    </rPh>
    <phoneticPr fontId="2"/>
  </si>
  <si>
    <t>渡辺孝幸</t>
    <rPh sb="0" eb="2">
      <t>ワタナベ</t>
    </rPh>
    <rPh sb="2" eb="4">
      <t>タカユキ</t>
    </rPh>
    <phoneticPr fontId="2"/>
  </si>
  <si>
    <t>櫻井優</t>
    <rPh sb="0" eb="2">
      <t>サクライ</t>
    </rPh>
    <rPh sb="2" eb="3">
      <t>ユウ</t>
    </rPh>
    <phoneticPr fontId="2"/>
  </si>
  <si>
    <t>中島孝幸</t>
    <rPh sb="0" eb="2">
      <t>ナカジマ</t>
    </rPh>
    <rPh sb="2" eb="4">
      <t>タカユキ</t>
    </rPh>
    <phoneticPr fontId="2"/>
  </si>
  <si>
    <t>田村澄美絵</t>
    <rPh sb="0" eb="2">
      <t>タムラ</t>
    </rPh>
    <rPh sb="2" eb="3">
      <t>ス</t>
    </rPh>
    <rPh sb="3" eb="4">
      <t>ミ</t>
    </rPh>
    <rPh sb="4" eb="5">
      <t>エ</t>
    </rPh>
    <phoneticPr fontId="2"/>
  </si>
  <si>
    <t>石沢香菜子</t>
    <rPh sb="0" eb="2">
      <t>イシザワ</t>
    </rPh>
    <rPh sb="2" eb="5">
      <t>カナコ</t>
    </rPh>
    <phoneticPr fontId="2"/>
  </si>
  <si>
    <t>高橋</t>
    <rPh sb="0" eb="2">
      <t>タカハシ</t>
    </rPh>
    <phoneticPr fontId="2"/>
  </si>
  <si>
    <t>石下</t>
    <rPh sb="0" eb="2">
      <t>イシゲ</t>
    </rPh>
    <phoneticPr fontId="2"/>
  </si>
  <si>
    <t>齋藤</t>
    <rPh sb="0" eb="2">
      <t>サイトウ</t>
    </rPh>
    <phoneticPr fontId="2"/>
  </si>
  <si>
    <t>定額作業</t>
    <rPh sb="2" eb="4">
      <t>サギョウ</t>
    </rPh>
    <phoneticPr fontId="2"/>
  </si>
  <si>
    <t>サチン</t>
    <phoneticPr fontId="2"/>
  </si>
  <si>
    <t>伝票発行料</t>
    <phoneticPr fontId="2"/>
  </si>
  <si>
    <t>ドライバー研修中</t>
    <phoneticPr fontId="2"/>
  </si>
  <si>
    <t>ドライバー乗務停止時（運転業務外）</t>
    <phoneticPr fontId="2"/>
  </si>
  <si>
    <t>ドライバー交通費</t>
    <phoneticPr fontId="2"/>
  </si>
  <si>
    <t>ATV作業　定額作業員</t>
    <rPh sb="3" eb="5">
      <t>サギョウ</t>
    </rPh>
    <phoneticPr fontId="2"/>
  </si>
  <si>
    <t>浮島作業　定額作業員</t>
    <rPh sb="0" eb="2">
      <t>ウキシマ</t>
    </rPh>
    <rPh sb="2" eb="4">
      <t>サギョウ</t>
    </rPh>
    <phoneticPr fontId="2"/>
  </si>
  <si>
    <t>臨時作業</t>
    <phoneticPr fontId="2"/>
  </si>
  <si>
    <t>庫内作業</t>
    <rPh sb="0" eb="2">
      <t>コナイ</t>
    </rPh>
    <rPh sb="2" eb="4">
      <t>サギョウ</t>
    </rPh>
    <phoneticPr fontId="2"/>
  </si>
  <si>
    <t>安江建</t>
    <rPh sb="0" eb="2">
      <t>ヤスエ</t>
    </rPh>
    <rPh sb="2" eb="3">
      <t>タツル</t>
    </rPh>
    <phoneticPr fontId="2"/>
  </si>
  <si>
    <t>一般ＦＬ・作業</t>
    <rPh sb="0" eb="2">
      <t>イッパン</t>
    </rPh>
    <rPh sb="5" eb="7">
      <t>サギョウ</t>
    </rPh>
    <phoneticPr fontId="2"/>
  </si>
  <si>
    <t>大山真美</t>
    <phoneticPr fontId="2"/>
  </si>
  <si>
    <t>須田泰昭</t>
    <rPh sb="0" eb="2">
      <t>スダ</t>
    </rPh>
    <rPh sb="2" eb="3">
      <t>ヤス</t>
    </rPh>
    <rPh sb="3" eb="4">
      <t>アキ</t>
    </rPh>
    <phoneticPr fontId="2"/>
  </si>
  <si>
    <t>コンテナデバン　ＭＣ</t>
  </si>
  <si>
    <t>MC入荷検品</t>
    <rPh sb="2" eb="4">
      <t>ニュウカ</t>
    </rPh>
    <rPh sb="4" eb="6">
      <t>ケンピン</t>
    </rPh>
    <phoneticPr fontId="2"/>
  </si>
  <si>
    <t>古川慎太郎</t>
    <rPh sb="0" eb="2">
      <t>フルカワ</t>
    </rPh>
    <rPh sb="2" eb="5">
      <t>シンタロウ</t>
    </rPh>
    <phoneticPr fontId="2"/>
  </si>
  <si>
    <t>コンテナ荷降作業</t>
    <rPh sb="5" eb="6">
      <t>オ</t>
    </rPh>
    <rPh sb="6" eb="8">
      <t>サギョウ</t>
    </rPh>
    <phoneticPr fontId="2"/>
  </si>
  <si>
    <t>バラ仕分</t>
    <rPh sb="2" eb="4">
      <t>シワケ</t>
    </rPh>
    <phoneticPr fontId="2"/>
  </si>
  <si>
    <t>福島荷降作業</t>
    <rPh sb="3" eb="4">
      <t>オ</t>
    </rPh>
    <rPh sb="4" eb="6">
      <t>サギョウ</t>
    </rPh>
    <phoneticPr fontId="2"/>
  </si>
  <si>
    <t>倉庫内作業</t>
    <rPh sb="0" eb="2">
      <t>ソウコ</t>
    </rPh>
    <rPh sb="2" eb="3">
      <t>ナイ</t>
    </rPh>
    <rPh sb="3" eb="5">
      <t>サギョウ</t>
    </rPh>
    <phoneticPr fontId="2"/>
  </si>
  <si>
    <t>1ｔコンテナ洗浄補助作業</t>
    <phoneticPr fontId="2"/>
  </si>
  <si>
    <t>通勤費（37.6㎞/日）</t>
    <rPh sb="0" eb="3">
      <t>ツウキンヒ</t>
    </rPh>
    <rPh sb="10" eb="11">
      <t>ヒ</t>
    </rPh>
    <phoneticPr fontId="2"/>
  </si>
  <si>
    <t>ロッテＦＬ入出庫作業</t>
    <rPh sb="5" eb="10">
      <t>ニュウシュッコサギョウ</t>
    </rPh>
    <phoneticPr fontId="2"/>
  </si>
  <si>
    <t>ロッテＦＬ入出庫作業</t>
    <phoneticPr fontId="2"/>
  </si>
  <si>
    <t>ＦＬ入出庫作業</t>
    <phoneticPr fontId="2"/>
  </si>
  <si>
    <t>弥平一般入出庫作業</t>
    <rPh sb="2" eb="3">
      <t>イチ</t>
    </rPh>
    <rPh sb="7" eb="9">
      <t>サギョウ</t>
    </rPh>
    <phoneticPr fontId="2"/>
  </si>
  <si>
    <t>弥平ＦＬ入出庫作業</t>
    <phoneticPr fontId="2"/>
  </si>
  <si>
    <t>吉川真一</t>
    <rPh sb="0" eb="2">
      <t>ヨシカワ</t>
    </rPh>
    <rPh sb="2" eb="4">
      <t>シンイチ</t>
    </rPh>
    <phoneticPr fontId="2"/>
  </si>
  <si>
    <t>姜宇航</t>
    <rPh sb="0" eb="1">
      <t>ヨウ</t>
    </rPh>
    <rPh sb="1" eb="2">
      <t>ウ</t>
    </rPh>
    <rPh sb="2" eb="3">
      <t>ワタル</t>
    </rPh>
    <phoneticPr fontId="2"/>
  </si>
  <si>
    <t>蘇文生</t>
    <rPh sb="0" eb="1">
      <t>ソ</t>
    </rPh>
    <rPh sb="1" eb="2">
      <t>ブン</t>
    </rPh>
    <rPh sb="2" eb="3">
      <t>セイ</t>
    </rPh>
    <phoneticPr fontId="2"/>
  </si>
  <si>
    <t>王群</t>
    <rPh sb="0" eb="1">
      <t>オウ</t>
    </rPh>
    <rPh sb="1" eb="2">
      <t>グン</t>
    </rPh>
    <phoneticPr fontId="2"/>
  </si>
  <si>
    <t>高明</t>
    <rPh sb="0" eb="1">
      <t>タカ</t>
    </rPh>
    <rPh sb="1" eb="2">
      <t>アカ</t>
    </rPh>
    <phoneticPr fontId="2"/>
  </si>
  <si>
    <t>陳善勇</t>
    <rPh sb="0" eb="1">
      <t>チン</t>
    </rPh>
    <rPh sb="1" eb="2">
      <t>ゼン</t>
    </rPh>
    <rPh sb="2" eb="3">
      <t>ユウ</t>
    </rPh>
    <phoneticPr fontId="2"/>
  </si>
  <si>
    <t>孫富業</t>
    <rPh sb="0" eb="1">
      <t>ソン</t>
    </rPh>
    <rPh sb="1" eb="2">
      <t>トミ</t>
    </rPh>
    <rPh sb="2" eb="3">
      <t>ギョウ</t>
    </rPh>
    <phoneticPr fontId="2"/>
  </si>
  <si>
    <t>杜金しん</t>
    <rPh sb="0" eb="1">
      <t>モリ</t>
    </rPh>
    <rPh sb="1" eb="2">
      <t>キン</t>
    </rPh>
    <phoneticPr fontId="2"/>
  </si>
  <si>
    <t>白鶴涛</t>
    <rPh sb="0" eb="1">
      <t>シロ</t>
    </rPh>
    <rPh sb="1" eb="2">
      <t>ツル</t>
    </rPh>
    <rPh sb="2" eb="3">
      <t>トウ</t>
    </rPh>
    <phoneticPr fontId="2"/>
  </si>
  <si>
    <t>王輝</t>
    <rPh sb="0" eb="1">
      <t>オウ</t>
    </rPh>
    <rPh sb="1" eb="2">
      <t>カガヤ</t>
    </rPh>
    <phoneticPr fontId="2"/>
  </si>
  <si>
    <t>王海縁</t>
    <rPh sb="0" eb="1">
      <t>オウ</t>
    </rPh>
    <rPh sb="1" eb="2">
      <t>ウミ</t>
    </rPh>
    <rPh sb="2" eb="3">
      <t>エン</t>
    </rPh>
    <phoneticPr fontId="2"/>
  </si>
  <si>
    <t>岩出望</t>
    <rPh sb="0" eb="2">
      <t>イワデ</t>
    </rPh>
    <rPh sb="2" eb="3">
      <t>ノゾム</t>
    </rPh>
    <phoneticPr fontId="2"/>
  </si>
  <si>
    <t>山川和久</t>
    <rPh sb="0" eb="2">
      <t>ヤマカワ</t>
    </rPh>
    <rPh sb="2" eb="4">
      <t>カズヒサ</t>
    </rPh>
    <phoneticPr fontId="2"/>
  </si>
  <si>
    <t>櫻井雄樹</t>
    <rPh sb="0" eb="2">
      <t>サクライ</t>
    </rPh>
    <rPh sb="2" eb="3">
      <t>ユウ</t>
    </rPh>
    <rPh sb="3" eb="4">
      <t>キ</t>
    </rPh>
    <phoneticPr fontId="2"/>
  </si>
  <si>
    <t>王海成</t>
    <rPh sb="0" eb="1">
      <t>オウ</t>
    </rPh>
    <rPh sb="1" eb="2">
      <t>カイ</t>
    </rPh>
    <rPh sb="2" eb="3">
      <t>セイ</t>
    </rPh>
    <phoneticPr fontId="2"/>
  </si>
  <si>
    <t>朴木信久</t>
    <rPh sb="0" eb="1">
      <t>パク</t>
    </rPh>
    <rPh sb="1" eb="2">
      <t>キ</t>
    </rPh>
    <rPh sb="2" eb="4">
      <t>ノブヒサ</t>
    </rPh>
    <phoneticPr fontId="2"/>
  </si>
  <si>
    <t>伴喜代則</t>
    <rPh sb="0" eb="1">
      <t>バン</t>
    </rPh>
    <rPh sb="1" eb="3">
      <t>キヨ</t>
    </rPh>
    <rPh sb="3" eb="4">
      <t>ノリ</t>
    </rPh>
    <phoneticPr fontId="2"/>
  </si>
  <si>
    <t>車路</t>
    <rPh sb="0" eb="1">
      <t>クルマ</t>
    </rPh>
    <rPh sb="1" eb="2">
      <t>ミチ</t>
    </rPh>
    <phoneticPr fontId="2"/>
  </si>
  <si>
    <t>末川直樹</t>
    <rPh sb="0" eb="2">
      <t>スエカワ</t>
    </rPh>
    <rPh sb="2" eb="4">
      <t>ナオキ</t>
    </rPh>
    <phoneticPr fontId="2"/>
  </si>
  <si>
    <t>内山真澄</t>
    <rPh sb="0" eb="2">
      <t>ウチヤマ</t>
    </rPh>
    <rPh sb="2" eb="4">
      <t>マスミ</t>
    </rPh>
    <phoneticPr fontId="2"/>
  </si>
  <si>
    <t>呂番鑫</t>
    <rPh sb="1" eb="2">
      <t>バン</t>
    </rPh>
    <phoneticPr fontId="2"/>
  </si>
  <si>
    <t>李宏飛</t>
    <rPh sb="0" eb="1">
      <t>リ</t>
    </rPh>
    <rPh sb="1" eb="2">
      <t>ヒロシ</t>
    </rPh>
    <rPh sb="2" eb="3">
      <t>ヒ</t>
    </rPh>
    <phoneticPr fontId="2"/>
  </si>
  <si>
    <t>林武忠</t>
    <rPh sb="0" eb="1">
      <t>ハヤシ</t>
    </rPh>
    <rPh sb="1" eb="2">
      <t>ブ</t>
    </rPh>
    <rPh sb="2" eb="3">
      <t>チュウ</t>
    </rPh>
    <phoneticPr fontId="2"/>
  </si>
  <si>
    <t>高明</t>
    <rPh sb="0" eb="1">
      <t>コウ</t>
    </rPh>
    <rPh sb="1" eb="2">
      <t>メイ</t>
    </rPh>
    <phoneticPr fontId="2"/>
  </si>
  <si>
    <t>楊建</t>
    <rPh sb="0" eb="1">
      <t>ヨウ</t>
    </rPh>
    <rPh sb="1" eb="2">
      <t>ケン</t>
    </rPh>
    <phoneticPr fontId="2"/>
  </si>
  <si>
    <t>胡安静</t>
    <rPh sb="0" eb="1">
      <t>コ</t>
    </rPh>
    <rPh sb="1" eb="2">
      <t>アン</t>
    </rPh>
    <rPh sb="2" eb="3">
      <t>セイ</t>
    </rPh>
    <phoneticPr fontId="2"/>
  </si>
  <si>
    <t>劉国東</t>
    <rPh sb="0" eb="1">
      <t>リュウ</t>
    </rPh>
    <rPh sb="1" eb="2">
      <t>コク</t>
    </rPh>
    <rPh sb="2" eb="3">
      <t>ヒガシ</t>
    </rPh>
    <phoneticPr fontId="2"/>
  </si>
  <si>
    <t>陳磊</t>
    <rPh sb="0" eb="1">
      <t>チン</t>
    </rPh>
    <phoneticPr fontId="2"/>
  </si>
  <si>
    <t>杉本純一</t>
    <rPh sb="0" eb="2">
      <t>スギモト</t>
    </rPh>
    <rPh sb="2" eb="4">
      <t>ジュンイチ</t>
    </rPh>
    <phoneticPr fontId="2"/>
  </si>
  <si>
    <t>杜金鑫</t>
  </si>
  <si>
    <t>王鋭</t>
    <rPh sb="0" eb="1">
      <t>オウ</t>
    </rPh>
    <rPh sb="1" eb="2">
      <t>エイ</t>
    </rPh>
    <phoneticPr fontId="2"/>
  </si>
  <si>
    <t>曽英明</t>
    <phoneticPr fontId="2"/>
  </si>
  <si>
    <t>杜金宇</t>
    <rPh sb="2" eb="3">
      <t>ウ</t>
    </rPh>
    <phoneticPr fontId="2"/>
  </si>
  <si>
    <t>王丁亮</t>
    <rPh sb="0" eb="1">
      <t>オウ</t>
    </rPh>
    <rPh sb="1" eb="2">
      <t>テイ</t>
    </rPh>
    <rPh sb="2" eb="3">
      <t>リョウ</t>
    </rPh>
    <phoneticPr fontId="2"/>
  </si>
  <si>
    <t>7：00～16：00</t>
    <phoneticPr fontId="2"/>
  </si>
  <si>
    <t>-</t>
    <phoneticPr fontId="2"/>
  </si>
  <si>
    <r>
      <t>屠利</t>
    </r>
    <r>
      <rPr>
        <sz val="10"/>
        <rFont val="游ゴシック Medium"/>
        <family val="3"/>
        <charset val="128"/>
      </rPr>
      <t>娟</t>
    </r>
    <rPh sb="0" eb="1">
      <t>ト</t>
    </rPh>
    <rPh sb="1" eb="2">
      <t>リ</t>
    </rPh>
    <phoneticPr fontId="2"/>
  </si>
  <si>
    <r>
      <t>劉</t>
    </r>
    <r>
      <rPr>
        <sz val="10"/>
        <rFont val="Yu Gothic UI"/>
        <family val="3"/>
        <charset val="128"/>
      </rPr>
      <t>鑫磊</t>
    </r>
    <rPh sb="0" eb="1">
      <t>リュウ</t>
    </rPh>
    <phoneticPr fontId="2"/>
  </si>
  <si>
    <t>氏名</t>
    <rPh sb="0" eb="2">
      <t>シメイ</t>
    </rPh>
    <phoneticPr fontId="2"/>
  </si>
  <si>
    <t>時間</t>
    <rPh sb="0" eb="2">
      <t>ジカン</t>
    </rPh>
    <phoneticPr fontId="2"/>
  </si>
  <si>
    <t>コンテナ荷下ろし3台口</t>
    <rPh sb="9" eb="11">
      <t>ダイグチ</t>
    </rPh>
    <phoneticPr fontId="2"/>
  </si>
  <si>
    <t>林賢斌</t>
    <rPh sb="0" eb="1">
      <t>リン</t>
    </rPh>
    <rPh sb="1" eb="2">
      <t>ケン</t>
    </rPh>
    <rPh sb="2" eb="3">
      <t>ヒン</t>
    </rPh>
    <phoneticPr fontId="2"/>
  </si>
  <si>
    <t>楊驍健</t>
    <rPh sb="0" eb="1">
      <t>ヨウ</t>
    </rPh>
    <rPh sb="1" eb="2">
      <t>ギョウ</t>
    </rPh>
    <rPh sb="2" eb="3">
      <t>ケン</t>
    </rPh>
    <phoneticPr fontId="2"/>
  </si>
  <si>
    <t>高莉</t>
    <rPh sb="1" eb="2">
      <t>リ</t>
    </rPh>
    <phoneticPr fontId="2"/>
  </si>
  <si>
    <t>高維芝</t>
    <rPh sb="0" eb="1">
      <t>コウ</t>
    </rPh>
    <rPh sb="1" eb="2">
      <t>イ</t>
    </rPh>
    <rPh sb="2" eb="3">
      <t>シバ</t>
    </rPh>
    <phoneticPr fontId="2"/>
  </si>
  <si>
    <t>李霞</t>
    <rPh sb="0" eb="1">
      <t>リ</t>
    </rPh>
    <rPh sb="1" eb="2">
      <t>カスミ</t>
    </rPh>
    <phoneticPr fontId="2"/>
  </si>
  <si>
    <t>円秀娟</t>
    <rPh sb="0" eb="1">
      <t>エン</t>
    </rPh>
    <rPh sb="1" eb="2">
      <t>シュウ</t>
    </rPh>
    <rPh sb="2" eb="3">
      <t>エン</t>
    </rPh>
    <phoneticPr fontId="2"/>
  </si>
  <si>
    <t>徐洪昌</t>
    <rPh sb="0" eb="1">
      <t>ジョ</t>
    </rPh>
    <rPh sb="1" eb="2">
      <t>ヒロ</t>
    </rPh>
    <rPh sb="2" eb="3">
      <t>アキラ</t>
    </rPh>
    <phoneticPr fontId="2"/>
  </si>
  <si>
    <t>劉玲</t>
    <rPh sb="0" eb="1">
      <t>リュウ</t>
    </rPh>
    <rPh sb="1" eb="2">
      <t>レイ</t>
    </rPh>
    <phoneticPr fontId="2"/>
  </si>
  <si>
    <t>㈱ロンコ・ジャパン</t>
    <phoneticPr fontId="2"/>
  </si>
  <si>
    <t>岩瀬明子</t>
    <rPh sb="0" eb="2">
      <t>イワセ</t>
    </rPh>
    <rPh sb="2" eb="4">
      <t>アキコ</t>
    </rPh>
    <phoneticPr fontId="2"/>
  </si>
  <si>
    <t>入庫作業</t>
    <rPh sb="0" eb="2">
      <t>ニュウコ</t>
    </rPh>
    <phoneticPr fontId="2"/>
  </si>
  <si>
    <t>出庫作業</t>
    <rPh sb="0" eb="2">
      <t>シュッコ</t>
    </rPh>
    <phoneticPr fontId="2"/>
  </si>
  <si>
    <t>荷揃作業</t>
    <rPh sb="0" eb="1">
      <t>ニ</t>
    </rPh>
    <rPh sb="1" eb="2">
      <t>ソロイ</t>
    </rPh>
    <phoneticPr fontId="2"/>
  </si>
  <si>
    <t>返品作業</t>
    <rPh sb="0" eb="2">
      <t>ヘンピン</t>
    </rPh>
    <phoneticPr fontId="2"/>
  </si>
  <si>
    <t>値上げ要請</t>
    <rPh sb="0" eb="2">
      <t>ネア</t>
    </rPh>
    <rPh sb="3" eb="5">
      <t>ヨウセイ</t>
    </rPh>
    <phoneticPr fontId="2"/>
  </si>
  <si>
    <t>￥750,000/月</t>
    <rPh sb="9" eb="10">
      <t>ツキ</t>
    </rPh>
    <phoneticPr fontId="2"/>
  </si>
  <si>
    <t>スポット作業</t>
    <rPh sb="4" eb="6">
      <t>サギョウ</t>
    </rPh>
    <phoneticPr fontId="2"/>
  </si>
  <si>
    <t>￥12,000/日</t>
    <rPh sb="8" eb="9">
      <t>ヒ</t>
    </rPh>
    <phoneticPr fontId="2"/>
  </si>
  <si>
    <t>￥13,000/日</t>
    <rPh sb="8" eb="9">
      <t>ヒ</t>
    </rPh>
    <phoneticPr fontId="2"/>
  </si>
  <si>
    <t>￥15,000/日</t>
    <rPh sb="8" eb="9">
      <t>ヒ</t>
    </rPh>
    <phoneticPr fontId="2"/>
  </si>
  <si>
    <t>土屋幸二</t>
    <rPh sb="0" eb="2">
      <t>ツチヤ</t>
    </rPh>
    <rPh sb="2" eb="3">
      <t>シアワ</t>
    </rPh>
    <rPh sb="3" eb="4">
      <t>ニ</t>
    </rPh>
    <phoneticPr fontId="2"/>
  </si>
  <si>
    <t>倉井保夫</t>
    <rPh sb="0" eb="2">
      <t>クライ</t>
    </rPh>
    <rPh sb="2" eb="4">
      <t>ヤスオ</t>
    </rPh>
    <phoneticPr fontId="2"/>
  </si>
  <si>
    <t>溝井弘美</t>
    <rPh sb="0" eb="2">
      <t>ミゾイ</t>
    </rPh>
    <rPh sb="2" eb="4">
      <t>ヒロミ</t>
    </rPh>
    <phoneticPr fontId="2"/>
  </si>
  <si>
    <t>福田雄介</t>
    <rPh sb="0" eb="2">
      <t>フクダ</t>
    </rPh>
    <rPh sb="2" eb="4">
      <t>ユウスケ</t>
    </rPh>
    <phoneticPr fontId="2"/>
  </si>
  <si>
    <t>張逸飛</t>
    <rPh sb="0" eb="1">
      <t>ハリ</t>
    </rPh>
    <rPh sb="1" eb="2">
      <t>イツ</t>
    </rPh>
    <rPh sb="2" eb="3">
      <t>ヒ</t>
    </rPh>
    <phoneticPr fontId="2"/>
  </si>
  <si>
    <t>崔埼</t>
    <rPh sb="0" eb="1">
      <t>サイ</t>
    </rPh>
    <rPh sb="1" eb="2">
      <t>サキ</t>
    </rPh>
    <phoneticPr fontId="2"/>
  </si>
  <si>
    <r>
      <t>魏建</t>
    </r>
    <r>
      <rPr>
        <sz val="10"/>
        <rFont val="Yu Gothic UI"/>
        <family val="3"/>
        <charset val="128"/>
      </rPr>
      <t>勀</t>
    </r>
    <rPh sb="0" eb="1">
      <t>ギ</t>
    </rPh>
    <rPh sb="1" eb="2">
      <t>ケン</t>
    </rPh>
    <phoneticPr fontId="2"/>
  </si>
  <si>
    <t>林清</t>
    <rPh sb="0" eb="1">
      <t>ハヤシ</t>
    </rPh>
    <rPh sb="1" eb="2">
      <t>セイ</t>
    </rPh>
    <phoneticPr fontId="2"/>
  </si>
  <si>
    <t>王清</t>
    <rPh sb="0" eb="1">
      <t>オウ</t>
    </rPh>
    <rPh sb="1" eb="2">
      <t>セイ</t>
    </rPh>
    <phoneticPr fontId="2"/>
  </si>
  <si>
    <t>菱木海聖</t>
    <rPh sb="0" eb="2">
      <t>ヒシキ</t>
    </rPh>
    <rPh sb="2" eb="3">
      <t>ウミ</t>
    </rPh>
    <rPh sb="3" eb="4">
      <t>セイ</t>
    </rPh>
    <phoneticPr fontId="2"/>
  </si>
  <si>
    <t>アクティブワーク</t>
    <phoneticPr fontId="2"/>
  </si>
  <si>
    <t>宮岡孝行</t>
    <rPh sb="0" eb="2">
      <t>ミヤオカ</t>
    </rPh>
    <rPh sb="2" eb="4">
      <t>タカユキ</t>
    </rPh>
    <phoneticPr fontId="2"/>
  </si>
  <si>
    <t>酒井靖</t>
    <rPh sb="0" eb="2">
      <t>サカイ</t>
    </rPh>
    <rPh sb="2" eb="3">
      <t>ヤスシ</t>
    </rPh>
    <phoneticPr fontId="2"/>
  </si>
  <si>
    <t>業務内容等</t>
    <rPh sb="0" eb="5">
      <t>ギョウムナイヨウトウ</t>
    </rPh>
    <phoneticPr fontId="2"/>
  </si>
  <si>
    <t>その他</t>
    <rPh sb="2" eb="3">
      <t>ホカ</t>
    </rPh>
    <phoneticPr fontId="2"/>
  </si>
  <si>
    <t>㈱ホットスタッフ大宮</t>
    <rPh sb="8" eb="10">
      <t>オオミヤ</t>
    </rPh>
    <phoneticPr fontId="2"/>
  </si>
  <si>
    <t>張榮</t>
    <rPh sb="0" eb="1">
      <t>ハリ</t>
    </rPh>
    <rPh sb="1" eb="2">
      <t>エイ</t>
    </rPh>
    <phoneticPr fontId="2"/>
  </si>
  <si>
    <t>林穎</t>
    <rPh sb="0" eb="1">
      <t>ハヤシ</t>
    </rPh>
    <rPh sb="1" eb="2">
      <t>エイ</t>
    </rPh>
    <phoneticPr fontId="2"/>
  </si>
  <si>
    <t>林穎</t>
    <rPh sb="0" eb="1">
      <t>リン</t>
    </rPh>
    <phoneticPr fontId="2"/>
  </si>
  <si>
    <t>加藤運送㈱</t>
    <rPh sb="0" eb="4">
      <t>カトウウンソウ</t>
    </rPh>
    <phoneticPr fontId="2"/>
  </si>
  <si>
    <t>太田商店作業（旧浮島作業員）</t>
    <rPh sb="0" eb="4">
      <t>オオタショウテン</t>
    </rPh>
    <rPh sb="4" eb="6">
      <t>サギョウ</t>
    </rPh>
    <rPh sb="7" eb="8">
      <t>キュウ</t>
    </rPh>
    <rPh sb="8" eb="10">
      <t>ウキシマ</t>
    </rPh>
    <rPh sb="10" eb="13">
      <t>サギョウイン</t>
    </rPh>
    <phoneticPr fontId="2"/>
  </si>
  <si>
    <t>関東サービス㈱</t>
    <rPh sb="0" eb="2">
      <t>カントウ</t>
    </rPh>
    <phoneticPr fontId="2"/>
  </si>
  <si>
    <t>山岸香澄</t>
    <rPh sb="0" eb="2">
      <t>ヤマギシ</t>
    </rPh>
    <rPh sb="2" eb="4">
      <t>カスミ</t>
    </rPh>
    <phoneticPr fontId="2"/>
  </si>
  <si>
    <t>安藤遥夏</t>
    <rPh sb="0" eb="2">
      <t>アンドウ</t>
    </rPh>
    <rPh sb="2" eb="3">
      <t>ハルカ</t>
    </rPh>
    <rPh sb="3" eb="4">
      <t>ナツ</t>
    </rPh>
    <phoneticPr fontId="2"/>
  </si>
  <si>
    <t>テーブルの仕分・積み</t>
    <rPh sb="5" eb="7">
      <t>シワケ</t>
    </rPh>
    <rPh sb="8" eb="9">
      <t>ツミ</t>
    </rPh>
    <phoneticPr fontId="2"/>
  </si>
  <si>
    <t>細川都紀人</t>
    <rPh sb="0" eb="2">
      <t>ホソカワ</t>
    </rPh>
    <rPh sb="2" eb="3">
      <t>ト</t>
    </rPh>
    <rPh sb="3" eb="4">
      <t>キ</t>
    </rPh>
    <rPh sb="4" eb="5">
      <t>ニン</t>
    </rPh>
    <phoneticPr fontId="2"/>
  </si>
  <si>
    <t>室谷康一郎</t>
    <rPh sb="0" eb="2">
      <t>ムロヤ</t>
    </rPh>
    <rPh sb="2" eb="5">
      <t>コウイチロウ</t>
    </rPh>
    <phoneticPr fontId="2"/>
  </si>
  <si>
    <t>中野真仁</t>
    <rPh sb="0" eb="2">
      <t>ナカノ</t>
    </rPh>
    <rPh sb="2" eb="3">
      <t>マコト</t>
    </rPh>
    <rPh sb="3" eb="4">
      <t>ヒトシ</t>
    </rPh>
    <phoneticPr fontId="2"/>
  </si>
  <si>
    <t>安藤久美子</t>
    <rPh sb="0" eb="2">
      <t>アンドウ</t>
    </rPh>
    <rPh sb="2" eb="5">
      <t>クミコ</t>
    </rPh>
    <phoneticPr fontId="2"/>
  </si>
  <si>
    <t>月額</t>
    <rPh sb="0" eb="2">
      <t>ゲツガク</t>
    </rPh>
    <phoneticPr fontId="2"/>
  </si>
  <si>
    <t>林嘉慧</t>
    <rPh sb="0" eb="1">
      <t>ハヤシ</t>
    </rPh>
    <rPh sb="1" eb="2">
      <t>カ</t>
    </rPh>
    <rPh sb="2" eb="3">
      <t>ケイ</t>
    </rPh>
    <phoneticPr fontId="2"/>
  </si>
  <si>
    <t>黒沢哲也</t>
    <rPh sb="0" eb="2">
      <t>クロサワ</t>
    </rPh>
    <rPh sb="2" eb="4">
      <t>テツヤ</t>
    </rPh>
    <phoneticPr fontId="2"/>
  </si>
  <si>
    <t>田中グロリア</t>
    <rPh sb="0" eb="2">
      <t>タナカ</t>
    </rPh>
    <phoneticPr fontId="2"/>
  </si>
  <si>
    <t>菊地昭宏</t>
    <rPh sb="0" eb="2">
      <t>キクチ</t>
    </rPh>
    <rPh sb="2" eb="4">
      <t>アキヒロ</t>
    </rPh>
    <phoneticPr fontId="2"/>
  </si>
  <si>
    <t>永井宣子</t>
    <rPh sb="0" eb="2">
      <t>ナガイ</t>
    </rPh>
    <rPh sb="2" eb="4">
      <t>ノブコ</t>
    </rPh>
    <phoneticPr fontId="2"/>
  </si>
  <si>
    <t>橋爪静樹</t>
    <rPh sb="0" eb="1">
      <t>ハシ</t>
    </rPh>
    <rPh sb="1" eb="2">
      <t>ツメ</t>
    </rPh>
    <rPh sb="2" eb="3">
      <t>シズカ</t>
    </rPh>
    <rPh sb="3" eb="4">
      <t>キ</t>
    </rPh>
    <phoneticPr fontId="2"/>
  </si>
  <si>
    <t>李金明</t>
    <rPh sb="0" eb="1">
      <t>リ</t>
    </rPh>
    <rPh sb="1" eb="2">
      <t>キン</t>
    </rPh>
    <rPh sb="2" eb="3">
      <t>メイ</t>
    </rPh>
    <phoneticPr fontId="2"/>
  </si>
  <si>
    <t>馬喜龍</t>
    <rPh sb="0" eb="1">
      <t>ウマ</t>
    </rPh>
    <rPh sb="1" eb="2">
      <t>キ</t>
    </rPh>
    <rPh sb="2" eb="3">
      <t>リュウ</t>
    </rPh>
    <phoneticPr fontId="2"/>
  </si>
  <si>
    <t>張柳旭</t>
    <rPh sb="0" eb="1">
      <t>ハ</t>
    </rPh>
    <rPh sb="1" eb="2">
      <t>ヤナギ</t>
    </rPh>
    <rPh sb="2" eb="3">
      <t>アサヒ</t>
    </rPh>
    <phoneticPr fontId="2"/>
  </si>
  <si>
    <t>白鶴飛</t>
    <rPh sb="0" eb="1">
      <t>シロ</t>
    </rPh>
    <rPh sb="1" eb="2">
      <t>ツル</t>
    </rPh>
    <rPh sb="2" eb="3">
      <t>ト</t>
    </rPh>
    <phoneticPr fontId="2"/>
  </si>
  <si>
    <t>杜金宇</t>
    <rPh sb="0" eb="1">
      <t>モリ</t>
    </rPh>
    <rPh sb="1" eb="2">
      <t>カネ</t>
    </rPh>
    <rPh sb="2" eb="3">
      <t>ウ</t>
    </rPh>
    <phoneticPr fontId="2"/>
  </si>
  <si>
    <t>陳尚勇</t>
    <rPh sb="0" eb="1">
      <t>チン</t>
    </rPh>
    <rPh sb="1" eb="2">
      <t>ナオ</t>
    </rPh>
    <rPh sb="2" eb="3">
      <t>イサム</t>
    </rPh>
    <phoneticPr fontId="2"/>
  </si>
  <si>
    <t>馮金偉</t>
    <rPh sb="0" eb="1">
      <t>ブウ</t>
    </rPh>
    <rPh sb="1" eb="2">
      <t>キム</t>
    </rPh>
    <rPh sb="2" eb="3">
      <t>イ</t>
    </rPh>
    <phoneticPr fontId="2"/>
  </si>
  <si>
    <t>崔埼</t>
    <phoneticPr fontId="2"/>
  </si>
  <si>
    <t>弥平仕分け作業</t>
    <rPh sb="0" eb="2">
      <t>ヤヘイ</t>
    </rPh>
    <rPh sb="2" eb="4">
      <t>シワ</t>
    </rPh>
    <rPh sb="5" eb="7">
      <t>サギョウ</t>
    </rPh>
    <phoneticPr fontId="2"/>
  </si>
  <si>
    <t>馮金偉</t>
    <phoneticPr fontId="2"/>
  </si>
  <si>
    <t>田金龍</t>
    <rPh sb="0" eb="1">
      <t>タ</t>
    </rPh>
    <rPh sb="1" eb="2">
      <t>カネ</t>
    </rPh>
    <rPh sb="2" eb="3">
      <t>リュウ</t>
    </rPh>
    <phoneticPr fontId="2"/>
  </si>
  <si>
    <t>姜宇航</t>
    <rPh sb="0" eb="1">
      <t>キョウ</t>
    </rPh>
    <rPh sb="1" eb="2">
      <t>ウ</t>
    </rPh>
    <rPh sb="2" eb="3">
      <t>ワタル</t>
    </rPh>
    <phoneticPr fontId="2"/>
  </si>
  <si>
    <t>朱紅日</t>
    <rPh sb="0" eb="1">
      <t>シュ</t>
    </rPh>
    <rPh sb="1" eb="2">
      <t>ベニ</t>
    </rPh>
    <rPh sb="2" eb="3">
      <t>ヒ</t>
    </rPh>
    <phoneticPr fontId="2"/>
  </si>
  <si>
    <t>王しん</t>
    <rPh sb="0" eb="1">
      <t>オウ</t>
    </rPh>
    <phoneticPr fontId="2"/>
  </si>
  <si>
    <t>斉野</t>
    <rPh sb="0" eb="1">
      <t>サイ</t>
    </rPh>
    <rPh sb="1" eb="2">
      <t>ノ</t>
    </rPh>
    <phoneticPr fontId="2"/>
  </si>
  <si>
    <t>陳らい</t>
    <rPh sb="0" eb="1">
      <t>チン</t>
    </rPh>
    <phoneticPr fontId="2"/>
  </si>
  <si>
    <t>佐藤夏美</t>
    <rPh sb="0" eb="2">
      <t>サトウ</t>
    </rPh>
    <rPh sb="2" eb="4">
      <t>ナツミ</t>
    </rPh>
    <phoneticPr fontId="2"/>
  </si>
  <si>
    <t>アクティブワーク（ＳＰ）</t>
    <phoneticPr fontId="2"/>
  </si>
  <si>
    <t>￥10,500/日</t>
    <rPh sb="8" eb="9">
      <t>ヒ</t>
    </rPh>
    <phoneticPr fontId="2"/>
  </si>
  <si>
    <t>￥12,810/日</t>
    <rPh sb="8" eb="9">
      <t>ヒ</t>
    </rPh>
    <phoneticPr fontId="2"/>
  </si>
  <si>
    <t>￥6,300/日</t>
    <rPh sb="7" eb="8">
      <t>ヒ</t>
    </rPh>
    <phoneticPr fontId="2"/>
  </si>
  <si>
    <t>エコーロジテム㈱</t>
    <phoneticPr fontId="2"/>
  </si>
  <si>
    <t>ロッテＥＣ加工分</t>
    <rPh sb="5" eb="7">
      <t>カコウ</t>
    </rPh>
    <rPh sb="7" eb="8">
      <t>ブン</t>
    </rPh>
    <phoneticPr fontId="2"/>
  </si>
  <si>
    <t>張華兵</t>
    <rPh sb="0" eb="1">
      <t>チョウ</t>
    </rPh>
    <rPh sb="1" eb="2">
      <t>カ</t>
    </rPh>
    <rPh sb="2" eb="3">
      <t>ヘイ</t>
    </rPh>
    <phoneticPr fontId="2"/>
  </si>
  <si>
    <t>候健飛</t>
    <rPh sb="0" eb="1">
      <t>コウ</t>
    </rPh>
    <rPh sb="1" eb="2">
      <t>ケン</t>
    </rPh>
    <rPh sb="2" eb="3">
      <t>ト</t>
    </rPh>
    <phoneticPr fontId="2"/>
  </si>
  <si>
    <t>李朝日</t>
    <rPh sb="0" eb="1">
      <t>リ</t>
    </rPh>
    <rPh sb="1" eb="2">
      <t>チョウ</t>
    </rPh>
    <rPh sb="2" eb="3">
      <t>ヒ</t>
    </rPh>
    <phoneticPr fontId="2"/>
  </si>
  <si>
    <t>鈴木香織</t>
    <rPh sb="0" eb="2">
      <t>スズキ</t>
    </rPh>
    <rPh sb="2" eb="4">
      <t>カオリ</t>
    </rPh>
    <phoneticPr fontId="2"/>
  </si>
  <si>
    <t>野沢正幸</t>
    <rPh sb="0" eb="2">
      <t>ノザワ</t>
    </rPh>
    <rPh sb="2" eb="4">
      <t>マサユキ</t>
    </rPh>
    <phoneticPr fontId="2"/>
  </si>
  <si>
    <t>倉持槙子</t>
    <rPh sb="0" eb="2">
      <t>クラモチ</t>
    </rPh>
    <rPh sb="2" eb="4">
      <t>マキコ</t>
    </rPh>
    <phoneticPr fontId="2"/>
  </si>
  <si>
    <t>基本単価</t>
    <rPh sb="0" eb="2">
      <t>キホン</t>
    </rPh>
    <rPh sb="2" eb="4">
      <t>タンカ</t>
    </rPh>
    <phoneticPr fontId="2"/>
  </si>
  <si>
    <t>川崎事業所</t>
    <rPh sb="0" eb="2">
      <t>カワサキ</t>
    </rPh>
    <rPh sb="2" eb="5">
      <t>ジギョウショ</t>
    </rPh>
    <phoneticPr fontId="2"/>
  </si>
  <si>
    <t>労務費　スポット</t>
    <rPh sb="0" eb="3">
      <t>ロウムヒ</t>
    </rPh>
    <phoneticPr fontId="2"/>
  </si>
  <si>
    <t>名古屋センター</t>
    <rPh sb="0" eb="3">
      <t>ナゴヤ</t>
    </rPh>
    <phoneticPr fontId="2"/>
  </si>
  <si>
    <t>ＦＬ　</t>
    <phoneticPr fontId="2"/>
  </si>
  <si>
    <t>戸田センター</t>
    <rPh sb="0" eb="2">
      <t>トダ</t>
    </rPh>
    <phoneticPr fontId="2"/>
  </si>
  <si>
    <t>楊俊偉</t>
    <rPh sb="0" eb="1">
      <t>ヨウ</t>
    </rPh>
    <rPh sb="1" eb="2">
      <t>シュン</t>
    </rPh>
    <rPh sb="2" eb="3">
      <t>イ</t>
    </rPh>
    <phoneticPr fontId="2"/>
  </si>
  <si>
    <t>蘇文升</t>
    <rPh sb="0" eb="1">
      <t>ソ</t>
    </rPh>
    <rPh sb="1" eb="2">
      <t>ブン</t>
    </rPh>
    <rPh sb="2" eb="3">
      <t>マス</t>
    </rPh>
    <phoneticPr fontId="2"/>
  </si>
  <si>
    <t>岩元明</t>
    <rPh sb="0" eb="2">
      <t>イワモト</t>
    </rPh>
    <rPh sb="2" eb="3">
      <t>アキラ</t>
    </rPh>
    <phoneticPr fontId="2"/>
  </si>
  <si>
    <t>白鶴飛</t>
    <rPh sb="0" eb="1">
      <t>シロ</t>
    </rPh>
    <rPh sb="1" eb="2">
      <t>ツル</t>
    </rPh>
    <rPh sb="2" eb="3">
      <t>ト</t>
    </rPh>
    <phoneticPr fontId="2"/>
  </si>
  <si>
    <t>足立センター</t>
    <rPh sb="0" eb="2">
      <t>アダチ</t>
    </rPh>
    <phoneticPr fontId="2"/>
  </si>
  <si>
    <t>日光事業所</t>
    <rPh sb="0" eb="2">
      <t>ニッコウ</t>
    </rPh>
    <rPh sb="2" eb="5">
      <t>ジギョウショ</t>
    </rPh>
    <phoneticPr fontId="2"/>
  </si>
  <si>
    <t>栃木センター</t>
    <rPh sb="0" eb="2">
      <t>トチギ</t>
    </rPh>
    <phoneticPr fontId="2"/>
  </si>
  <si>
    <t>千葉センター</t>
    <rPh sb="0" eb="2">
      <t>チバ</t>
    </rPh>
    <phoneticPr fontId="2"/>
  </si>
  <si>
    <t>ＦＬ（ロッテ資材）</t>
  </si>
  <si>
    <t>ＦＬ（ロッテ資材）</t>
    <rPh sb="6" eb="8">
      <t>シザイ</t>
    </rPh>
    <phoneticPr fontId="2"/>
  </si>
  <si>
    <t>ＦＬ（ロッテ資材）</t>
    <phoneticPr fontId="2"/>
  </si>
  <si>
    <t>庫内作業（ロッテ資材）</t>
    <rPh sb="2" eb="4">
      <t>サギョウ</t>
    </rPh>
    <phoneticPr fontId="2"/>
  </si>
  <si>
    <t>資材の仕分（ロッテ資材）</t>
    <rPh sb="0" eb="2">
      <t>シザイ</t>
    </rPh>
    <rPh sb="3" eb="5">
      <t>シワケ</t>
    </rPh>
    <phoneticPr fontId="2"/>
  </si>
  <si>
    <t>ＦＬ（戸田）</t>
    <phoneticPr fontId="2"/>
  </si>
  <si>
    <t>ＦＬ（狭山）</t>
    <phoneticPr fontId="2"/>
  </si>
  <si>
    <t>川口朝日センター</t>
    <rPh sb="0" eb="4">
      <t>カワグチアサヒ</t>
    </rPh>
    <phoneticPr fontId="2"/>
  </si>
  <si>
    <t>群馬センター</t>
    <rPh sb="0" eb="2">
      <t>グンマ</t>
    </rPh>
    <phoneticPr fontId="2"/>
  </si>
  <si>
    <t>宇都宮事業所</t>
    <rPh sb="0" eb="3">
      <t>ウツノミヤ</t>
    </rPh>
    <rPh sb="3" eb="6">
      <t>ジギョウショ</t>
    </rPh>
    <phoneticPr fontId="2"/>
  </si>
  <si>
    <t>佐藤和樹</t>
    <rPh sb="0" eb="4">
      <t>サトウカズキ</t>
    </rPh>
    <phoneticPr fontId="2"/>
  </si>
  <si>
    <t>金田日和</t>
    <rPh sb="0" eb="2">
      <t>カネダ</t>
    </rPh>
    <rPh sb="2" eb="4">
      <t>ヒヨリ</t>
    </rPh>
    <phoneticPr fontId="2"/>
  </si>
  <si>
    <t>川越事業所</t>
    <rPh sb="0" eb="2">
      <t>カワゴエ</t>
    </rPh>
    <rPh sb="2" eb="5">
      <t>ジギョウショ</t>
    </rPh>
    <phoneticPr fontId="2"/>
  </si>
  <si>
    <t>川口弥平センター</t>
    <rPh sb="0" eb="4">
      <t>カワグチヤヘイ</t>
    </rPh>
    <phoneticPr fontId="2"/>
  </si>
  <si>
    <t>室賀勇一</t>
    <rPh sb="0" eb="2">
      <t>ムロガ</t>
    </rPh>
    <rPh sb="2" eb="4">
      <t>ユウイチ</t>
    </rPh>
    <phoneticPr fontId="2"/>
  </si>
  <si>
    <t>白石辰雄</t>
    <rPh sb="0" eb="2">
      <t>シロイシ</t>
    </rPh>
    <rPh sb="2" eb="4">
      <t>タツオ</t>
    </rPh>
    <phoneticPr fontId="2"/>
  </si>
  <si>
    <t>五十嵐一也</t>
    <rPh sb="0" eb="3">
      <t>イガラシ</t>
    </rPh>
    <rPh sb="3" eb="5">
      <t>カズヤ</t>
    </rPh>
    <phoneticPr fontId="2"/>
  </si>
  <si>
    <t>熊坂彩夏</t>
    <rPh sb="0" eb="2">
      <t>クマサカ</t>
    </rPh>
    <rPh sb="2" eb="3">
      <t>アヤ</t>
    </rPh>
    <rPh sb="3" eb="4">
      <t>ナツ</t>
    </rPh>
    <phoneticPr fontId="2"/>
  </si>
  <si>
    <t>忍田宏人</t>
    <rPh sb="0" eb="2">
      <t>オシダ</t>
    </rPh>
    <rPh sb="2" eb="4">
      <t>ヒロト</t>
    </rPh>
    <phoneticPr fontId="2"/>
  </si>
  <si>
    <t>ドライバー</t>
    <phoneticPr fontId="2"/>
  </si>
  <si>
    <t>田中海</t>
    <rPh sb="0" eb="2">
      <t>タナカ</t>
    </rPh>
    <rPh sb="2" eb="3">
      <t>カイ</t>
    </rPh>
    <phoneticPr fontId="2"/>
  </si>
  <si>
    <t>加藤秀人</t>
    <rPh sb="0" eb="2">
      <t>カトウ</t>
    </rPh>
    <rPh sb="2" eb="4">
      <t>ヒデヒト</t>
    </rPh>
    <phoneticPr fontId="2"/>
  </si>
  <si>
    <t>佐藤直人</t>
    <rPh sb="0" eb="4">
      <t>サトウナオヒト</t>
    </rPh>
    <phoneticPr fontId="2"/>
  </si>
  <si>
    <t>渡邊康弘</t>
    <rPh sb="0" eb="2">
      <t>ワタナベ</t>
    </rPh>
    <rPh sb="2" eb="4">
      <t>ヤスヒロ</t>
    </rPh>
    <phoneticPr fontId="2"/>
  </si>
  <si>
    <t>夜勤</t>
    <rPh sb="0" eb="2">
      <t>ヤキン</t>
    </rPh>
    <phoneticPr fontId="2"/>
  </si>
  <si>
    <t>沖村哲久</t>
    <rPh sb="0" eb="2">
      <t>オキムラ</t>
    </rPh>
    <rPh sb="2" eb="3">
      <t>テツ</t>
    </rPh>
    <rPh sb="3" eb="4">
      <t>ヒサ</t>
    </rPh>
    <phoneticPr fontId="2"/>
  </si>
  <si>
    <t>ＦＬ　</t>
  </si>
  <si>
    <t>兪巧伝</t>
    <rPh sb="0" eb="1">
      <t>ユ</t>
    </rPh>
    <rPh sb="1" eb="2">
      <t>コウ</t>
    </rPh>
    <rPh sb="2" eb="3">
      <t>ツタ</t>
    </rPh>
    <phoneticPr fontId="2"/>
  </si>
  <si>
    <t>ＦＬ入出庫作業</t>
  </si>
  <si>
    <t>弥平軽作業</t>
    <rPh sb="2" eb="5">
      <t>ケイサギョウ</t>
    </rPh>
    <phoneticPr fontId="2"/>
  </si>
  <si>
    <t>作業責任者（狭山）</t>
    <rPh sb="0" eb="2">
      <t>サギョウ</t>
    </rPh>
    <rPh sb="2" eb="5">
      <t>セキニンシャ</t>
    </rPh>
    <rPh sb="6" eb="8">
      <t>サヤマ</t>
    </rPh>
    <phoneticPr fontId="2"/>
  </si>
  <si>
    <t>ＦＬ（狭山）</t>
    <rPh sb="3" eb="5">
      <t>サヤマ</t>
    </rPh>
    <phoneticPr fontId="2"/>
  </si>
  <si>
    <t>ＦＬ（戸田）</t>
    <rPh sb="3" eb="5">
      <t>トダ</t>
    </rPh>
    <phoneticPr fontId="2"/>
  </si>
  <si>
    <t>作業責任者（戸田）</t>
    <rPh sb="0" eb="2">
      <t>サギョウ</t>
    </rPh>
    <rPh sb="2" eb="5">
      <t>セキニンシャ</t>
    </rPh>
    <rPh sb="6" eb="8">
      <t>トダ</t>
    </rPh>
    <phoneticPr fontId="2"/>
  </si>
  <si>
    <t>小松里美</t>
    <rPh sb="0" eb="2">
      <t>コマツ</t>
    </rPh>
    <rPh sb="2" eb="4">
      <t>サトミ</t>
    </rPh>
    <phoneticPr fontId="2"/>
  </si>
  <si>
    <t>濱村明</t>
    <rPh sb="0" eb="2">
      <t>ハマムラ</t>
    </rPh>
    <rPh sb="2" eb="3">
      <t>アキラ</t>
    </rPh>
    <phoneticPr fontId="2"/>
  </si>
  <si>
    <t>北凛　足立区～港区</t>
    <rPh sb="0" eb="2">
      <t>ホクリン</t>
    </rPh>
    <rPh sb="3" eb="5">
      <t>アダチ</t>
    </rPh>
    <rPh sb="5" eb="6">
      <t>ク</t>
    </rPh>
    <rPh sb="7" eb="9">
      <t>ミナトク</t>
    </rPh>
    <phoneticPr fontId="2"/>
  </si>
  <si>
    <t>赤萩美枝</t>
    <rPh sb="0" eb="2">
      <t>アカハギ</t>
    </rPh>
    <rPh sb="2" eb="3">
      <t>ミ</t>
    </rPh>
    <rPh sb="3" eb="4">
      <t>エダ</t>
    </rPh>
    <phoneticPr fontId="2"/>
  </si>
  <si>
    <t>平野久美子</t>
    <rPh sb="0" eb="2">
      <t>ヒラノ</t>
    </rPh>
    <rPh sb="2" eb="5">
      <t>クミコ</t>
    </rPh>
    <phoneticPr fontId="2"/>
  </si>
  <si>
    <t>豊田裕介</t>
    <rPh sb="0" eb="2">
      <t>トヨダ</t>
    </rPh>
    <rPh sb="2" eb="4">
      <t>ユウスケ</t>
    </rPh>
    <phoneticPr fontId="2"/>
  </si>
  <si>
    <t>浅田千恵美</t>
    <rPh sb="0" eb="2">
      <t>アサダ</t>
    </rPh>
    <rPh sb="2" eb="5">
      <t>チエミ</t>
    </rPh>
    <phoneticPr fontId="2"/>
  </si>
  <si>
    <t>篠塚由加子</t>
    <rPh sb="0" eb="2">
      <t>シノズカ</t>
    </rPh>
    <rPh sb="2" eb="5">
      <t>ユカコ</t>
    </rPh>
    <phoneticPr fontId="2"/>
  </si>
  <si>
    <t>宮内由美子</t>
    <rPh sb="0" eb="2">
      <t>ミヤウチ</t>
    </rPh>
    <rPh sb="2" eb="5">
      <t>ユミコ</t>
    </rPh>
    <phoneticPr fontId="2"/>
  </si>
  <si>
    <t>松信徹也</t>
    <rPh sb="0" eb="2">
      <t>マツノブ</t>
    </rPh>
    <rPh sb="2" eb="4">
      <t>テツヤ</t>
    </rPh>
    <phoneticPr fontId="2"/>
  </si>
  <si>
    <t>菓子のＰＫ、検品</t>
    <rPh sb="0" eb="2">
      <t>カシ</t>
    </rPh>
    <rPh sb="6" eb="8">
      <t>ケンピン</t>
    </rPh>
    <phoneticPr fontId="2"/>
  </si>
  <si>
    <t>高明</t>
    <rPh sb="1" eb="2">
      <t>メイ</t>
    </rPh>
    <phoneticPr fontId="2"/>
  </si>
  <si>
    <t>李朝陽</t>
    <rPh sb="0" eb="1">
      <t>リ</t>
    </rPh>
    <rPh sb="1" eb="2">
      <t>アサ</t>
    </rPh>
    <rPh sb="2" eb="3">
      <t>ヨウ</t>
    </rPh>
    <phoneticPr fontId="2"/>
  </si>
  <si>
    <t>周粛</t>
    <rPh sb="0" eb="1">
      <t>シュウ</t>
    </rPh>
    <rPh sb="1" eb="2">
      <t>キヨシ</t>
    </rPh>
    <phoneticPr fontId="2"/>
  </si>
  <si>
    <t>期京岩</t>
    <rPh sb="0" eb="1">
      <t>ゴ</t>
    </rPh>
    <rPh sb="1" eb="2">
      <t>キョウ</t>
    </rPh>
    <rPh sb="2" eb="3">
      <t>イワ</t>
    </rPh>
    <phoneticPr fontId="2"/>
  </si>
  <si>
    <t>李強</t>
    <rPh sb="0" eb="1">
      <t>リ</t>
    </rPh>
    <rPh sb="1" eb="2">
      <t>ツヨ</t>
    </rPh>
    <phoneticPr fontId="2"/>
  </si>
  <si>
    <t>王群</t>
    <rPh sb="0" eb="1">
      <t>オウ</t>
    </rPh>
    <rPh sb="1" eb="2">
      <t>グン</t>
    </rPh>
    <phoneticPr fontId="2"/>
  </si>
  <si>
    <t>赤間良子</t>
    <rPh sb="0" eb="2">
      <t>アカマ</t>
    </rPh>
    <rPh sb="2" eb="4">
      <t>リョウコ</t>
    </rPh>
    <phoneticPr fontId="2"/>
  </si>
  <si>
    <t>植村和子</t>
    <rPh sb="0" eb="2">
      <t>ウエムラ</t>
    </rPh>
    <rPh sb="2" eb="4">
      <t>カズコ</t>
    </rPh>
    <phoneticPr fontId="2"/>
  </si>
  <si>
    <t>長谷川美奈</t>
    <rPh sb="0" eb="3">
      <t>ハセガワ</t>
    </rPh>
    <rPh sb="3" eb="5">
      <t>ミナ</t>
    </rPh>
    <phoneticPr fontId="2"/>
  </si>
  <si>
    <t>松本康義</t>
    <rPh sb="0" eb="2">
      <t>マツモト</t>
    </rPh>
    <rPh sb="2" eb="4">
      <t>ヤスヨシ</t>
    </rPh>
    <phoneticPr fontId="2"/>
  </si>
  <si>
    <t>安田紀子</t>
    <phoneticPr fontId="2"/>
  </si>
  <si>
    <t>大塚加澄</t>
    <rPh sb="0" eb="2">
      <t>オオツカ</t>
    </rPh>
    <rPh sb="2" eb="3">
      <t>クワ</t>
    </rPh>
    <rPh sb="3" eb="4">
      <t>ス</t>
    </rPh>
    <phoneticPr fontId="2"/>
  </si>
  <si>
    <t>李朝阳</t>
    <rPh sb="0" eb="1">
      <t>リ</t>
    </rPh>
    <rPh sb="1" eb="2">
      <t>チョウ</t>
    </rPh>
    <phoneticPr fontId="2"/>
  </si>
  <si>
    <t>呉京岩</t>
    <rPh sb="0" eb="1">
      <t>ゴ</t>
    </rPh>
    <rPh sb="1" eb="2">
      <t>ケイ</t>
    </rPh>
    <rPh sb="2" eb="3">
      <t>イワ</t>
    </rPh>
    <phoneticPr fontId="2"/>
  </si>
  <si>
    <t>杜金宇</t>
    <rPh sb="0" eb="1">
      <t>モリ</t>
    </rPh>
    <rPh sb="1" eb="2">
      <t>キン</t>
    </rPh>
    <rPh sb="2" eb="3">
      <t>ウ</t>
    </rPh>
    <phoneticPr fontId="2"/>
  </si>
  <si>
    <t>張育鳴</t>
    <rPh sb="0" eb="1">
      <t>ハ</t>
    </rPh>
    <rPh sb="1" eb="2">
      <t>イク</t>
    </rPh>
    <rPh sb="2" eb="3">
      <t>ナ</t>
    </rPh>
    <phoneticPr fontId="2"/>
  </si>
  <si>
    <t>鈴木裕信</t>
    <phoneticPr fontId="2"/>
  </si>
  <si>
    <t>尚和孝宗</t>
    <rPh sb="0" eb="1">
      <t>ナオ</t>
    </rPh>
    <rPh sb="1" eb="2">
      <t>ワ</t>
    </rPh>
    <rPh sb="2" eb="4">
      <t>タカムネ</t>
    </rPh>
    <phoneticPr fontId="2"/>
  </si>
  <si>
    <t>万勇</t>
    <rPh sb="0" eb="1">
      <t>マン</t>
    </rPh>
    <rPh sb="1" eb="2">
      <t>イサム</t>
    </rPh>
    <phoneticPr fontId="2"/>
  </si>
  <si>
    <t>劉涛</t>
    <phoneticPr fontId="2"/>
  </si>
  <si>
    <t>魏地</t>
    <rPh sb="1" eb="2">
      <t>チ</t>
    </rPh>
    <phoneticPr fontId="2"/>
  </si>
  <si>
    <t>石島一市</t>
    <rPh sb="0" eb="2">
      <t>イシジマ</t>
    </rPh>
    <rPh sb="2" eb="3">
      <t>イチ</t>
    </rPh>
    <phoneticPr fontId="2"/>
  </si>
  <si>
    <t>高木強</t>
    <rPh sb="0" eb="2">
      <t>タカギ</t>
    </rPh>
    <rPh sb="2" eb="3">
      <t>ツヨ</t>
    </rPh>
    <phoneticPr fontId="2"/>
  </si>
  <si>
    <t>江莎</t>
    <rPh sb="0" eb="1">
      <t>エ</t>
    </rPh>
    <rPh sb="1" eb="2">
      <t>ハマスゲ</t>
    </rPh>
    <phoneticPr fontId="2"/>
  </si>
  <si>
    <t>菊池陽子</t>
    <rPh sb="0" eb="2">
      <t>キクチ</t>
    </rPh>
    <rPh sb="2" eb="4">
      <t>ヨウコ</t>
    </rPh>
    <phoneticPr fontId="2"/>
  </si>
  <si>
    <t>君塚康子</t>
    <rPh sb="0" eb="2">
      <t>キミヅカ</t>
    </rPh>
    <rPh sb="2" eb="4">
      <t>ヤスコ</t>
    </rPh>
    <phoneticPr fontId="2"/>
  </si>
  <si>
    <t>引取り配車車両費</t>
    <rPh sb="0" eb="2">
      <t>ヒキト</t>
    </rPh>
    <rPh sb="3" eb="8">
      <t>ハイシャシャリョウヒ</t>
    </rPh>
    <phoneticPr fontId="2"/>
  </si>
  <si>
    <t>セット梱包</t>
    <rPh sb="3" eb="5">
      <t>コンポウ</t>
    </rPh>
    <phoneticPr fontId="2"/>
  </si>
  <si>
    <t>同梱一点</t>
    <rPh sb="0" eb="2">
      <t>ドウコン</t>
    </rPh>
    <rPh sb="2" eb="4">
      <t>イッテン</t>
    </rPh>
    <phoneticPr fontId="2"/>
  </si>
  <si>
    <t>出庫処理作業</t>
    <rPh sb="0" eb="6">
      <t>シュッコショリサギョウ</t>
    </rPh>
    <phoneticPr fontId="2"/>
  </si>
  <si>
    <t>納品運搬費</t>
    <rPh sb="0" eb="2">
      <t>ノウヒン</t>
    </rPh>
    <rPh sb="2" eb="5">
      <t>ウンパンヒ</t>
    </rPh>
    <phoneticPr fontId="2"/>
  </si>
  <si>
    <r>
      <t>資材代：段ボール資材(</t>
    </r>
    <r>
      <rPr>
        <sz val="10"/>
        <rFont val="游ゴシック"/>
        <family val="2"/>
        <charset val="128"/>
      </rPr>
      <t>不足分)</t>
    </r>
    <rPh sb="0" eb="3">
      <t>シザイダイ</t>
    </rPh>
    <rPh sb="4" eb="5">
      <t>ダン</t>
    </rPh>
    <rPh sb="8" eb="10">
      <t>シザイ</t>
    </rPh>
    <rPh sb="11" eb="14">
      <t>フソクブン</t>
    </rPh>
    <phoneticPr fontId="2"/>
  </si>
  <si>
    <t>共栄メール㈱</t>
    <rPh sb="0" eb="2">
      <t>キョウエイ</t>
    </rPh>
    <phoneticPr fontId="2"/>
  </si>
  <si>
    <t>倉庫内資材出庫作業（ロッテ資材）①</t>
    <rPh sb="0" eb="3">
      <t>ソウコナイ</t>
    </rPh>
    <rPh sb="3" eb="5">
      <t>シザイ</t>
    </rPh>
    <rPh sb="5" eb="9">
      <t>シュッコサギョウ</t>
    </rPh>
    <phoneticPr fontId="2"/>
  </si>
  <si>
    <t>倉庫内資材出庫作業（ロッテ資材）②</t>
    <rPh sb="0" eb="3">
      <t>ソウコナイ</t>
    </rPh>
    <rPh sb="3" eb="5">
      <t>シザイ</t>
    </rPh>
    <rPh sb="5" eb="9">
      <t>シュッコサギョウ</t>
    </rPh>
    <phoneticPr fontId="2"/>
  </si>
  <si>
    <t>倉庫内資材出庫作業（ロッテ資材）③</t>
    <rPh sb="0" eb="3">
      <t>ソウコナイ</t>
    </rPh>
    <rPh sb="3" eb="5">
      <t>シザイ</t>
    </rPh>
    <rPh sb="5" eb="9">
      <t>シュッコサギョウ</t>
    </rPh>
    <phoneticPr fontId="2"/>
  </si>
  <si>
    <t>末満博臣</t>
    <rPh sb="0" eb="1">
      <t>スエ</t>
    </rPh>
    <rPh sb="1" eb="2">
      <t>マン</t>
    </rPh>
    <rPh sb="2" eb="4">
      <t>ヒロオミ</t>
    </rPh>
    <phoneticPr fontId="2"/>
  </si>
  <si>
    <t>オウキ</t>
    <phoneticPr fontId="2"/>
  </si>
  <si>
    <t>㈱フルキャスト</t>
    <phoneticPr fontId="2"/>
  </si>
  <si>
    <t>村上幸輝</t>
    <rPh sb="0" eb="2">
      <t>ムラカミ</t>
    </rPh>
    <rPh sb="2" eb="3">
      <t>サチ</t>
    </rPh>
    <rPh sb="3" eb="4">
      <t>テル</t>
    </rPh>
    <phoneticPr fontId="2"/>
  </si>
  <si>
    <t>山口裕明</t>
    <rPh sb="0" eb="2">
      <t>ヤマグチ</t>
    </rPh>
    <rPh sb="2" eb="3">
      <t>ヒロシ</t>
    </rPh>
    <rPh sb="3" eb="4">
      <t>アカ</t>
    </rPh>
    <phoneticPr fontId="2"/>
  </si>
  <si>
    <t>富山恵</t>
    <rPh sb="0" eb="2">
      <t>トミヤマ</t>
    </rPh>
    <rPh sb="2" eb="3">
      <t>メグミ</t>
    </rPh>
    <phoneticPr fontId="2"/>
  </si>
  <si>
    <t>新藤正樹</t>
    <rPh sb="0" eb="2">
      <t>シンドウ</t>
    </rPh>
    <rPh sb="2" eb="4">
      <t>マサキ</t>
    </rPh>
    <phoneticPr fontId="2"/>
  </si>
  <si>
    <t>髙橋篤志</t>
    <rPh sb="0" eb="2">
      <t>タカハシ</t>
    </rPh>
    <rPh sb="2" eb="4">
      <t>アツシ</t>
    </rPh>
    <phoneticPr fontId="2"/>
  </si>
  <si>
    <t>依田和也</t>
    <rPh sb="0" eb="1">
      <t>エ</t>
    </rPh>
    <rPh sb="1" eb="2">
      <t>ダ</t>
    </rPh>
    <rPh sb="2" eb="4">
      <t>カズヤ</t>
    </rPh>
    <phoneticPr fontId="2"/>
  </si>
  <si>
    <t>夜勤</t>
    <rPh sb="0" eb="2">
      <t>ヤキン</t>
    </rPh>
    <phoneticPr fontId="2"/>
  </si>
  <si>
    <r>
      <t>林武</t>
    </r>
    <r>
      <rPr>
        <sz val="10"/>
        <rFont val="Yu Gothic"/>
        <family val="3"/>
        <charset val="128"/>
      </rPr>
      <t>杰</t>
    </r>
    <rPh sb="0" eb="1">
      <t>ハヤシ</t>
    </rPh>
    <rPh sb="1" eb="2">
      <t>タケシ</t>
    </rPh>
    <phoneticPr fontId="2"/>
  </si>
  <si>
    <t>名前　無し</t>
    <rPh sb="0" eb="2">
      <t>ナマエ</t>
    </rPh>
    <rPh sb="3" eb="4">
      <t>ナ</t>
    </rPh>
    <phoneticPr fontId="2"/>
  </si>
  <si>
    <t>日勤</t>
    <rPh sb="0" eb="2">
      <t>ニッキン</t>
    </rPh>
    <phoneticPr fontId="2"/>
  </si>
  <si>
    <t>仕分</t>
    <rPh sb="0" eb="2">
      <t>シワ</t>
    </rPh>
    <phoneticPr fontId="2"/>
  </si>
  <si>
    <t>チャンミカ</t>
    <phoneticPr fontId="2"/>
  </si>
  <si>
    <t>佐倉市シルバー人材センター</t>
    <rPh sb="0" eb="3">
      <t>サクラシ</t>
    </rPh>
    <rPh sb="7" eb="9">
      <t>ジンザイ</t>
    </rPh>
    <phoneticPr fontId="2"/>
  </si>
  <si>
    <t>㈱ヒューマントラスト</t>
    <phoneticPr fontId="2"/>
  </si>
  <si>
    <t>清水優香</t>
    <rPh sb="0" eb="2">
      <t>シミズ</t>
    </rPh>
    <rPh sb="2" eb="4">
      <t>ユウカ</t>
    </rPh>
    <phoneticPr fontId="2"/>
  </si>
  <si>
    <t>草刈り</t>
    <rPh sb="0" eb="2">
      <t>クサカ</t>
    </rPh>
    <phoneticPr fontId="2"/>
  </si>
  <si>
    <t>㈱ジャパン・リリーフ</t>
    <phoneticPr fontId="2"/>
  </si>
  <si>
    <t>（エリア手当有り）</t>
    <phoneticPr fontId="2"/>
  </si>
  <si>
    <t>宮内みちる</t>
    <rPh sb="0" eb="2">
      <t>ミヤウチ</t>
    </rPh>
    <phoneticPr fontId="2"/>
  </si>
  <si>
    <t>岩崎隆二</t>
    <rPh sb="0" eb="4">
      <t>イワサキリュウジ</t>
    </rPh>
    <phoneticPr fontId="2"/>
  </si>
  <si>
    <t>晋佳楠</t>
    <rPh sb="0" eb="1">
      <t>シン</t>
    </rPh>
    <rPh sb="1" eb="2">
      <t>ケイ</t>
    </rPh>
    <rPh sb="2" eb="3">
      <t>クスノキ</t>
    </rPh>
    <phoneticPr fontId="2"/>
  </si>
  <si>
    <t>趙志遠</t>
    <rPh sb="0" eb="1">
      <t>チョウ</t>
    </rPh>
    <rPh sb="1" eb="2">
      <t>ココロザシ</t>
    </rPh>
    <rPh sb="2" eb="3">
      <t>トオ</t>
    </rPh>
    <phoneticPr fontId="2"/>
  </si>
  <si>
    <t>王洋</t>
    <rPh sb="0" eb="1">
      <t>オウ</t>
    </rPh>
    <rPh sb="1" eb="2">
      <t>ヨウ</t>
    </rPh>
    <phoneticPr fontId="2"/>
  </si>
  <si>
    <t>周洋</t>
    <rPh sb="0" eb="1">
      <t>シュウ</t>
    </rPh>
    <rPh sb="1" eb="2">
      <t>ヨウ</t>
    </rPh>
    <phoneticPr fontId="2"/>
  </si>
  <si>
    <t>阿部さゆり</t>
    <rPh sb="0" eb="2">
      <t>アベ</t>
    </rPh>
    <phoneticPr fontId="2"/>
  </si>
  <si>
    <t>遠藤さやか</t>
    <rPh sb="0" eb="2">
      <t>エンドウ</t>
    </rPh>
    <phoneticPr fontId="2"/>
  </si>
  <si>
    <t>ＰＫ</t>
  </si>
  <si>
    <t>奥山高</t>
    <rPh sb="0" eb="2">
      <t>オクヤマ</t>
    </rPh>
    <rPh sb="2" eb="3">
      <t>コウ</t>
    </rPh>
    <phoneticPr fontId="2"/>
  </si>
  <si>
    <t>駒津留美子</t>
    <rPh sb="0" eb="2">
      <t>コマヅ</t>
    </rPh>
    <rPh sb="2" eb="5">
      <t>ルミコ</t>
    </rPh>
    <phoneticPr fontId="2"/>
  </si>
  <si>
    <t>中嶋浩之</t>
    <rPh sb="0" eb="4">
      <t>ナカジマヒロユキ</t>
    </rPh>
    <phoneticPr fontId="2"/>
  </si>
  <si>
    <t>中塚進一</t>
    <rPh sb="0" eb="4">
      <t>ナカツカシンイチ</t>
    </rPh>
    <phoneticPr fontId="2"/>
  </si>
  <si>
    <t>清原清美</t>
    <rPh sb="0" eb="4">
      <t>キヨハラキヨミ</t>
    </rPh>
    <phoneticPr fontId="2"/>
  </si>
  <si>
    <t>菊池瑞貴</t>
    <rPh sb="0" eb="2">
      <t>キクチ</t>
    </rPh>
    <rPh sb="2" eb="3">
      <t>ズイ</t>
    </rPh>
    <rPh sb="3" eb="4">
      <t>キ</t>
    </rPh>
    <phoneticPr fontId="2"/>
  </si>
  <si>
    <t>篠原伸明</t>
    <rPh sb="0" eb="4">
      <t>シノハラノブアキ</t>
    </rPh>
    <phoneticPr fontId="2"/>
  </si>
  <si>
    <t>杉本涼一</t>
    <rPh sb="0" eb="4">
      <t>スギモトリョウイチ</t>
    </rPh>
    <phoneticPr fontId="2"/>
  </si>
  <si>
    <t>ＦＬ入出庫作業</t>
    <rPh sb="2" eb="7">
      <t>ニュウシュッコサギョウ</t>
    </rPh>
    <phoneticPr fontId="2"/>
  </si>
  <si>
    <t>株式会社テクノ・サービス</t>
    <rPh sb="0" eb="4">
      <t>カブシキガイシャ</t>
    </rPh>
    <phoneticPr fontId="2"/>
  </si>
  <si>
    <t>安藤久美子</t>
    <rPh sb="0" eb="5">
      <t>アンドウクミコ</t>
    </rPh>
    <phoneticPr fontId="2"/>
  </si>
  <si>
    <t>塗誠海</t>
    <rPh sb="0" eb="1">
      <t>ヌ</t>
    </rPh>
    <rPh sb="1" eb="2">
      <t>マコト</t>
    </rPh>
    <rPh sb="2" eb="3">
      <t>ウミ</t>
    </rPh>
    <phoneticPr fontId="2"/>
  </si>
  <si>
    <t>胡安静</t>
    <rPh sb="0" eb="1">
      <t>コ</t>
    </rPh>
    <rPh sb="1" eb="3">
      <t>アンセイ</t>
    </rPh>
    <phoneticPr fontId="2"/>
  </si>
  <si>
    <t>ＦＬ</t>
  </si>
  <si>
    <t>蘭秀英</t>
    <rPh sb="0" eb="1">
      <t>ラン</t>
    </rPh>
    <rPh sb="1" eb="2">
      <t>シュウ</t>
    </rPh>
    <rPh sb="2" eb="3">
      <t>エイ</t>
    </rPh>
    <phoneticPr fontId="2"/>
  </si>
  <si>
    <t>趙志遠</t>
    <rPh sb="0" eb="1">
      <t>チョウ</t>
    </rPh>
    <rPh sb="1" eb="2">
      <t>シ</t>
    </rPh>
    <rPh sb="2" eb="3">
      <t>エン</t>
    </rPh>
    <phoneticPr fontId="2"/>
  </si>
  <si>
    <t>酒井一宏</t>
    <rPh sb="0" eb="4">
      <t>サカイカズヒロ</t>
    </rPh>
    <phoneticPr fontId="2"/>
  </si>
  <si>
    <t>19件</t>
    <rPh sb="2" eb="3">
      <t>ケン</t>
    </rPh>
    <phoneticPr fontId="2"/>
  </si>
  <si>
    <t>今月より値上げ</t>
    <rPh sb="0" eb="2">
      <t>コンゲツ</t>
    </rPh>
    <rPh sb="4" eb="6">
      <t>ネア</t>
    </rPh>
    <phoneticPr fontId="2"/>
  </si>
  <si>
    <t>アクティブワーク</t>
  </si>
  <si>
    <t>稲葉秀史</t>
    <rPh sb="0" eb="2">
      <t>イナバ</t>
    </rPh>
    <rPh sb="2" eb="4">
      <t>ヒデシ</t>
    </rPh>
    <phoneticPr fontId="2"/>
  </si>
  <si>
    <t>今月から新規</t>
    <rPh sb="0" eb="2">
      <t>コンゲツ</t>
    </rPh>
    <rPh sb="4" eb="6">
      <t>シンキ</t>
    </rPh>
    <phoneticPr fontId="2"/>
  </si>
  <si>
    <t>今月から新単価</t>
    <rPh sb="0" eb="2">
      <t>コンゲツ</t>
    </rPh>
    <rPh sb="4" eb="7">
      <t>シンタンカ</t>
    </rPh>
    <phoneticPr fontId="2"/>
  </si>
  <si>
    <t>○</t>
    <phoneticPr fontId="2"/>
  </si>
  <si>
    <t>18回</t>
    <rPh sb="2" eb="3">
      <t>カイ</t>
    </rPh>
    <phoneticPr fontId="2"/>
  </si>
  <si>
    <t>24日稼働</t>
    <rPh sb="2" eb="5">
      <t>ニチカドウ</t>
    </rPh>
    <phoneticPr fontId="2"/>
  </si>
  <si>
    <t>19日</t>
    <rPh sb="2" eb="3">
      <t>ニチ</t>
    </rPh>
    <phoneticPr fontId="2"/>
  </si>
  <si>
    <t>呂金釗</t>
    <rPh sb="1" eb="2">
      <t>キン</t>
    </rPh>
    <phoneticPr fontId="2"/>
  </si>
  <si>
    <t>阿見事業所</t>
    <rPh sb="0" eb="5">
      <t>アミジギョウショ</t>
    </rPh>
    <phoneticPr fontId="2"/>
  </si>
  <si>
    <t>株式会社ジェイウェイブ</t>
    <rPh sb="0" eb="4">
      <t>カブシキガイシャ</t>
    </rPh>
    <phoneticPr fontId="2"/>
  </si>
  <si>
    <t>稲葉治司</t>
    <rPh sb="0" eb="2">
      <t>イナバ</t>
    </rPh>
    <rPh sb="2" eb="3">
      <t>オサム</t>
    </rPh>
    <rPh sb="3" eb="4">
      <t>ツカサ</t>
    </rPh>
    <phoneticPr fontId="2"/>
  </si>
  <si>
    <t>新規</t>
    <rPh sb="0" eb="2">
      <t>シンキ</t>
    </rPh>
    <phoneticPr fontId="2"/>
  </si>
  <si>
    <t>松信俊宏</t>
    <rPh sb="0" eb="2">
      <t>マツノブ</t>
    </rPh>
    <rPh sb="2" eb="4">
      <t>トシヒロ</t>
    </rPh>
    <phoneticPr fontId="2"/>
  </si>
  <si>
    <t>尾島和美</t>
    <rPh sb="0" eb="2">
      <t>オジマ</t>
    </rPh>
    <rPh sb="2" eb="4">
      <t>カズミ</t>
    </rPh>
    <phoneticPr fontId="2"/>
  </si>
  <si>
    <t>古川浩二</t>
    <rPh sb="0" eb="4">
      <t>フルカワコウジ</t>
    </rPh>
    <phoneticPr fontId="2"/>
  </si>
  <si>
    <t>山田静空</t>
    <rPh sb="0" eb="2">
      <t>ヤマダ</t>
    </rPh>
    <rPh sb="2" eb="3">
      <t>シズ</t>
    </rPh>
    <rPh sb="3" eb="4">
      <t>ソラ</t>
    </rPh>
    <phoneticPr fontId="2"/>
  </si>
  <si>
    <t>618台</t>
    <rPh sb="3" eb="4">
      <t>ダイ</t>
    </rPh>
    <phoneticPr fontId="2"/>
  </si>
  <si>
    <t>16回</t>
    <rPh sb="2" eb="3">
      <t>カイ</t>
    </rPh>
    <phoneticPr fontId="2"/>
  </si>
  <si>
    <t>2370個</t>
    <rPh sb="4" eb="5">
      <t>コ</t>
    </rPh>
    <phoneticPr fontId="2"/>
  </si>
  <si>
    <t>小野龍二</t>
    <rPh sb="0" eb="4">
      <t>オノリュウジ</t>
    </rPh>
    <phoneticPr fontId="2"/>
  </si>
  <si>
    <t>サンパト</t>
    <phoneticPr fontId="2"/>
  </si>
  <si>
    <t>9回</t>
    <rPh sb="1" eb="2">
      <t>カイ</t>
    </rPh>
    <phoneticPr fontId="2"/>
  </si>
  <si>
    <t>劉家淋</t>
    <rPh sb="0" eb="1">
      <t>リュウ</t>
    </rPh>
    <rPh sb="1" eb="2">
      <t>イエ</t>
    </rPh>
    <rPh sb="2" eb="3">
      <t>リン</t>
    </rPh>
    <phoneticPr fontId="2"/>
  </si>
  <si>
    <t>26件</t>
    <rPh sb="2" eb="3">
      <t>ケン</t>
    </rPh>
    <phoneticPr fontId="2"/>
  </si>
  <si>
    <t>滝晋太郎</t>
    <rPh sb="0" eb="1">
      <t>タキ</t>
    </rPh>
    <rPh sb="1" eb="4">
      <t>シンタロウ</t>
    </rPh>
    <phoneticPr fontId="2"/>
  </si>
  <si>
    <t>大村和毅</t>
    <rPh sb="0" eb="2">
      <t>オオムラ</t>
    </rPh>
    <rPh sb="2" eb="4">
      <t>カズキ</t>
    </rPh>
    <phoneticPr fontId="2"/>
  </si>
  <si>
    <t>522台</t>
    <rPh sb="3" eb="4">
      <t>ダイ</t>
    </rPh>
    <phoneticPr fontId="2"/>
  </si>
  <si>
    <t>21回</t>
    <rPh sb="2" eb="3">
      <t>カイ</t>
    </rPh>
    <phoneticPr fontId="2"/>
  </si>
  <si>
    <t>2625個</t>
    <rPh sb="4" eb="5">
      <t>コ</t>
    </rPh>
    <phoneticPr fontId="2"/>
  </si>
  <si>
    <t>矢口隆之</t>
    <rPh sb="0" eb="4">
      <t>ヤグチタカユキ</t>
    </rPh>
    <phoneticPr fontId="2"/>
  </si>
  <si>
    <t>ロッテＦＬ入出庫作業</t>
  </si>
  <si>
    <t>謝強興</t>
    <rPh sb="0" eb="1">
      <t>シャ</t>
    </rPh>
    <rPh sb="1" eb="2">
      <t>キョウ</t>
    </rPh>
    <rPh sb="2" eb="3">
      <t>コウ</t>
    </rPh>
    <phoneticPr fontId="2"/>
  </si>
  <si>
    <t>松本龍一</t>
    <rPh sb="0" eb="4">
      <t>マツモトリュウイチ</t>
    </rPh>
    <phoneticPr fontId="2"/>
  </si>
  <si>
    <t>馬瑞澤</t>
    <rPh sb="0" eb="1">
      <t>ウマ</t>
    </rPh>
    <rPh sb="1" eb="2">
      <t>ズイ</t>
    </rPh>
    <rPh sb="2" eb="3">
      <t>サワ</t>
    </rPh>
    <phoneticPr fontId="2"/>
  </si>
  <si>
    <t>唐晨碩</t>
    <rPh sb="0" eb="1">
      <t>トウ</t>
    </rPh>
    <rPh sb="1" eb="2">
      <t>シン</t>
    </rPh>
    <phoneticPr fontId="2"/>
  </si>
  <si>
    <t>李明呉</t>
    <rPh sb="0" eb="1">
      <t>リ</t>
    </rPh>
    <rPh sb="1" eb="2">
      <t>メイ</t>
    </rPh>
    <rPh sb="2" eb="3">
      <t>ゴ</t>
    </rPh>
    <phoneticPr fontId="2"/>
  </si>
  <si>
    <t>20日</t>
    <rPh sb="2" eb="3">
      <t>ニチ</t>
    </rPh>
    <phoneticPr fontId="2"/>
  </si>
  <si>
    <t>中村真有美</t>
    <rPh sb="0" eb="2">
      <t>ナカムラ</t>
    </rPh>
    <rPh sb="2" eb="5">
      <t>マユミ</t>
    </rPh>
    <phoneticPr fontId="2"/>
  </si>
  <si>
    <t>清水俊之</t>
    <rPh sb="0" eb="2">
      <t>シミズ</t>
    </rPh>
    <rPh sb="2" eb="4">
      <t>トシユキ</t>
    </rPh>
    <phoneticPr fontId="2"/>
  </si>
  <si>
    <t>457台</t>
    <rPh sb="3" eb="4">
      <t>ダイ</t>
    </rPh>
    <phoneticPr fontId="2"/>
  </si>
  <si>
    <t>22回</t>
    <rPh sb="2" eb="3">
      <t>カイ</t>
    </rPh>
    <phoneticPr fontId="2"/>
  </si>
  <si>
    <t>3706個</t>
    <rPh sb="4" eb="5">
      <t>コ</t>
    </rPh>
    <phoneticPr fontId="2"/>
  </si>
  <si>
    <t>（「口」が縦二つ）番鑫</t>
    <rPh sb="2" eb="3">
      <t>クチ</t>
    </rPh>
    <rPh sb="5" eb="6">
      <t>タテ</t>
    </rPh>
    <rPh sb="6" eb="7">
      <t>フタ</t>
    </rPh>
    <rPh sb="9" eb="10">
      <t>バン</t>
    </rPh>
    <phoneticPr fontId="2"/>
  </si>
  <si>
    <t>王洪</t>
    <rPh sb="0" eb="1">
      <t>オウ</t>
    </rPh>
    <rPh sb="1" eb="2">
      <t>ヒロ</t>
    </rPh>
    <phoneticPr fontId="2"/>
  </si>
  <si>
    <t>王卉</t>
    <rPh sb="0" eb="1">
      <t>オウ</t>
    </rPh>
    <phoneticPr fontId="2"/>
  </si>
  <si>
    <t>近藤佳奈子</t>
    <rPh sb="0" eb="2">
      <t>コンドウ</t>
    </rPh>
    <rPh sb="2" eb="5">
      <t>カナコ</t>
    </rPh>
    <phoneticPr fontId="2"/>
  </si>
  <si>
    <t>池田蓮</t>
    <rPh sb="0" eb="2">
      <t>イケダ</t>
    </rPh>
    <rPh sb="2" eb="3">
      <t>レン</t>
    </rPh>
    <phoneticPr fontId="2"/>
  </si>
  <si>
    <t>榊原慶二</t>
    <rPh sb="0" eb="1">
      <t>カシワ</t>
    </rPh>
    <rPh sb="1" eb="2">
      <t>ハラ</t>
    </rPh>
    <rPh sb="2" eb="3">
      <t>ケイ</t>
    </rPh>
    <rPh sb="3" eb="4">
      <t>ニ</t>
    </rPh>
    <phoneticPr fontId="2"/>
  </si>
  <si>
    <t>熱田一真</t>
    <rPh sb="0" eb="2">
      <t>アツダ</t>
    </rPh>
    <rPh sb="2" eb="4">
      <t>カズマ</t>
    </rPh>
    <phoneticPr fontId="2"/>
  </si>
  <si>
    <t>万行健太</t>
    <rPh sb="0" eb="1">
      <t>マン</t>
    </rPh>
    <rPh sb="1" eb="2">
      <t>ギョウ</t>
    </rPh>
    <rPh sb="2" eb="4">
      <t>ケンタ</t>
    </rPh>
    <phoneticPr fontId="2"/>
  </si>
  <si>
    <t>小出文和</t>
    <rPh sb="0" eb="2">
      <t>コイデ</t>
    </rPh>
    <rPh sb="2" eb="4">
      <t>フミカズ</t>
    </rPh>
    <phoneticPr fontId="2"/>
  </si>
  <si>
    <t>庄文</t>
    <rPh sb="0" eb="1">
      <t>ショウ</t>
    </rPh>
    <rPh sb="1" eb="2">
      <t>ブン</t>
    </rPh>
    <phoneticPr fontId="2"/>
  </si>
  <si>
    <t>張旭</t>
    <rPh sb="0" eb="1">
      <t>ハ</t>
    </rPh>
    <rPh sb="1" eb="2">
      <t>アサヒ</t>
    </rPh>
    <phoneticPr fontId="2"/>
  </si>
  <si>
    <t>呉京岩</t>
    <rPh sb="0" eb="1">
      <t>ゴ</t>
    </rPh>
    <rPh sb="1" eb="2">
      <t>キョウ</t>
    </rPh>
    <rPh sb="2" eb="3">
      <t>イワ</t>
    </rPh>
    <phoneticPr fontId="2"/>
  </si>
  <si>
    <t>12件</t>
    <rPh sb="2" eb="3">
      <t>ケン</t>
    </rPh>
    <phoneticPr fontId="2"/>
  </si>
  <si>
    <t>25日稼働</t>
    <rPh sb="2" eb="5">
      <t>ニチカドウ</t>
    </rPh>
    <phoneticPr fontId="2"/>
  </si>
  <si>
    <t>桑山尚吾</t>
    <rPh sb="0" eb="2">
      <t>クワヤマ</t>
    </rPh>
    <rPh sb="2" eb="4">
      <t>ショウゴ</t>
    </rPh>
    <phoneticPr fontId="2"/>
  </si>
  <si>
    <t>47回</t>
    <rPh sb="2" eb="3">
      <t>カイ</t>
    </rPh>
    <phoneticPr fontId="2"/>
  </si>
  <si>
    <t>○</t>
  </si>
  <si>
    <t>喬楷博</t>
    <rPh sb="0" eb="1">
      <t>キョウ</t>
    </rPh>
    <rPh sb="1" eb="2">
      <t>カイ</t>
    </rPh>
    <rPh sb="2" eb="3">
      <t>ハク</t>
    </rPh>
    <phoneticPr fontId="2"/>
  </si>
  <si>
    <t>林發</t>
    <rPh sb="0" eb="1">
      <t>ハヤシ</t>
    </rPh>
    <rPh sb="1" eb="2">
      <t>ハツ</t>
    </rPh>
    <phoneticPr fontId="2"/>
  </si>
  <si>
    <t>桂克栄</t>
    <rPh sb="0" eb="1">
      <t>カツラ</t>
    </rPh>
    <rPh sb="1" eb="2">
      <t>カツ</t>
    </rPh>
    <rPh sb="2" eb="3">
      <t>エイ</t>
    </rPh>
    <phoneticPr fontId="2"/>
  </si>
  <si>
    <t>関口良和</t>
    <rPh sb="0" eb="4">
      <t>セキグチヨシカズ</t>
    </rPh>
    <phoneticPr fontId="2"/>
  </si>
  <si>
    <t>伊藤雅泰</t>
    <rPh sb="0" eb="4">
      <t>イトウマサハタ</t>
    </rPh>
    <phoneticPr fontId="2"/>
  </si>
  <si>
    <t>野添仁</t>
    <rPh sb="0" eb="2">
      <t>ノゾエ</t>
    </rPh>
    <rPh sb="2" eb="3">
      <t>ヒトシ</t>
    </rPh>
    <phoneticPr fontId="2"/>
  </si>
  <si>
    <t>大木哲</t>
    <rPh sb="0" eb="3">
      <t>オオキテツ</t>
    </rPh>
    <phoneticPr fontId="2"/>
  </si>
  <si>
    <t>菱木アサト</t>
    <rPh sb="0" eb="2">
      <t>ヒシキ</t>
    </rPh>
    <phoneticPr fontId="2"/>
  </si>
  <si>
    <t>10件</t>
    <rPh sb="2" eb="3">
      <t>ケン</t>
    </rPh>
    <phoneticPr fontId="2"/>
  </si>
  <si>
    <t>屈志鵬</t>
    <rPh sb="0" eb="1">
      <t>クツ</t>
    </rPh>
    <rPh sb="1" eb="2">
      <t>ココロザシ</t>
    </rPh>
    <rPh sb="2" eb="3">
      <t>ホウ</t>
    </rPh>
    <phoneticPr fontId="2"/>
  </si>
  <si>
    <t>26日稼働</t>
    <rPh sb="2" eb="3">
      <t>ニチ</t>
    </rPh>
    <rPh sb="3" eb="5">
      <t>カドウ</t>
    </rPh>
    <phoneticPr fontId="2"/>
  </si>
  <si>
    <t>濵名典夫</t>
  </si>
  <si>
    <t>塚原和明</t>
    <rPh sb="0" eb="2">
      <t>ツカハラ</t>
    </rPh>
    <rPh sb="2" eb="4">
      <t>カズアキ</t>
    </rPh>
    <phoneticPr fontId="2"/>
  </si>
  <si>
    <t>54回</t>
    <rPh sb="2" eb="3">
      <t>カイ</t>
    </rPh>
    <phoneticPr fontId="2"/>
  </si>
  <si>
    <t>39回</t>
    <rPh sb="2" eb="3">
      <t>カイ</t>
    </rPh>
    <phoneticPr fontId="2"/>
  </si>
  <si>
    <t>仕分け等</t>
    <rPh sb="0" eb="2">
      <t>シワ</t>
    </rPh>
    <rPh sb="3" eb="4">
      <t>トウ</t>
    </rPh>
    <phoneticPr fontId="2"/>
  </si>
  <si>
    <t>白石和広</t>
    <rPh sb="0" eb="2">
      <t>シライシ</t>
    </rPh>
    <rPh sb="2" eb="4">
      <t>カズヒロ</t>
    </rPh>
    <phoneticPr fontId="2"/>
  </si>
  <si>
    <t>佐藤梱包運輸㈱</t>
    <rPh sb="0" eb="6">
      <t>サトウコンポウウンユ</t>
    </rPh>
    <phoneticPr fontId="2"/>
  </si>
  <si>
    <t>奥山秀樹</t>
    <rPh sb="0" eb="4">
      <t>オクヤマヒデキ</t>
    </rPh>
    <phoneticPr fontId="2"/>
  </si>
  <si>
    <t>長島知路</t>
    <rPh sb="0" eb="2">
      <t>ナガシマ</t>
    </rPh>
    <rPh sb="2" eb="4">
      <t>トモミチ</t>
    </rPh>
    <phoneticPr fontId="2"/>
  </si>
  <si>
    <t>李鳳</t>
    <rPh sb="0" eb="1">
      <t>リ</t>
    </rPh>
    <rPh sb="1" eb="2">
      <t>オオトリ</t>
    </rPh>
    <phoneticPr fontId="2"/>
  </si>
  <si>
    <t>宮下敬幸</t>
    <rPh sb="0" eb="4">
      <t>ミヤシタタカユキ</t>
    </rPh>
    <phoneticPr fontId="2"/>
  </si>
  <si>
    <t>菱木ののか</t>
    <rPh sb="0" eb="2">
      <t>ヒシキ</t>
    </rPh>
    <phoneticPr fontId="2"/>
  </si>
  <si>
    <t>梱包、シール貼り</t>
    <rPh sb="0" eb="2">
      <t>コンポウ</t>
    </rPh>
    <rPh sb="6" eb="7">
      <t>ハ</t>
    </rPh>
    <phoneticPr fontId="2"/>
  </si>
  <si>
    <t>23日</t>
    <rPh sb="2" eb="3">
      <t>ニチ</t>
    </rPh>
    <phoneticPr fontId="2"/>
  </si>
  <si>
    <t>芳賀建二</t>
    <rPh sb="0" eb="1">
      <t>ヨシ</t>
    </rPh>
    <rPh sb="1" eb="2">
      <t>ガ</t>
    </rPh>
    <rPh sb="2" eb="4">
      <t>ケンジ</t>
    </rPh>
    <phoneticPr fontId="2"/>
  </si>
  <si>
    <t>吉住寛之</t>
    <rPh sb="0" eb="4">
      <t>ヨシズミヒロユキ</t>
    </rPh>
    <phoneticPr fontId="2"/>
  </si>
  <si>
    <t>吉本拓哉</t>
    <rPh sb="0" eb="2">
      <t>ヨシモト</t>
    </rPh>
    <rPh sb="2" eb="4">
      <t>タクヤ</t>
    </rPh>
    <phoneticPr fontId="2"/>
  </si>
  <si>
    <t>村木久悦</t>
    <rPh sb="0" eb="2">
      <t>ムラキ</t>
    </rPh>
    <rPh sb="2" eb="3">
      <t>ヒサ</t>
    </rPh>
    <rPh sb="3" eb="4">
      <t>エツ</t>
    </rPh>
    <phoneticPr fontId="2"/>
  </si>
  <si>
    <t>趙貴宝</t>
    <rPh sb="0" eb="1">
      <t>チョウ</t>
    </rPh>
    <rPh sb="1" eb="2">
      <t>キ</t>
    </rPh>
    <rPh sb="2" eb="3">
      <t>タカラ</t>
    </rPh>
    <phoneticPr fontId="2"/>
  </si>
  <si>
    <t>韓智畴</t>
    <rPh sb="0" eb="1">
      <t>カン</t>
    </rPh>
    <rPh sb="1" eb="2">
      <t>トモ</t>
    </rPh>
    <phoneticPr fontId="2"/>
  </si>
  <si>
    <t>18日</t>
    <rPh sb="2" eb="3">
      <t>ニチ</t>
    </rPh>
    <phoneticPr fontId="2"/>
  </si>
  <si>
    <t>8日</t>
    <rPh sb="1" eb="2">
      <t>ニチ</t>
    </rPh>
    <phoneticPr fontId="2"/>
  </si>
  <si>
    <t>5日</t>
    <rPh sb="1" eb="2">
      <t>ニチ</t>
    </rPh>
    <phoneticPr fontId="2"/>
  </si>
  <si>
    <t>￥10,400/人日</t>
    <rPh sb="8" eb="9">
      <t>ニン</t>
    </rPh>
    <rPh sb="9" eb="10">
      <t>ヒ</t>
    </rPh>
    <phoneticPr fontId="2"/>
  </si>
  <si>
    <t>￥14,300/人日</t>
    <rPh sb="8" eb="9">
      <t>ニン</t>
    </rPh>
    <rPh sb="9" eb="10">
      <t>ヒ</t>
    </rPh>
    <phoneticPr fontId="2"/>
  </si>
  <si>
    <t>前山朋之</t>
    <rPh sb="0" eb="4">
      <t>マエヤマアキユキ</t>
    </rPh>
    <phoneticPr fontId="2"/>
  </si>
  <si>
    <t>23日稼働</t>
    <rPh sb="2" eb="3">
      <t>ニチ</t>
    </rPh>
    <rPh sb="3" eb="5">
      <t>カドウ</t>
    </rPh>
    <phoneticPr fontId="2"/>
  </si>
  <si>
    <t>黄ゼン</t>
    <rPh sb="0" eb="1">
      <t>キ</t>
    </rPh>
    <phoneticPr fontId="2"/>
  </si>
  <si>
    <t>馬金偉</t>
    <rPh sb="0" eb="1">
      <t>マ</t>
    </rPh>
    <rPh sb="1" eb="2">
      <t>キン</t>
    </rPh>
    <rPh sb="2" eb="3">
      <t>イ</t>
    </rPh>
    <phoneticPr fontId="2"/>
  </si>
  <si>
    <t>33回</t>
    <rPh sb="2" eb="3">
      <t>カイ</t>
    </rPh>
    <phoneticPr fontId="2"/>
  </si>
  <si>
    <t>劉涛</t>
  </si>
  <si>
    <t>崔埼</t>
  </si>
  <si>
    <t>馮金偉</t>
  </si>
  <si>
    <t>弥平ＦＬ入出庫作業</t>
  </si>
  <si>
    <t>曽英明</t>
  </si>
  <si>
    <t>スクエアライン㈱</t>
  </si>
  <si>
    <t>貫井岳</t>
  </si>
  <si>
    <t>㈱ＭＯＳＴ</t>
  </si>
  <si>
    <t>ＦＬ（戸田）</t>
  </si>
  <si>
    <t>ＦＬ（狭山）</t>
  </si>
  <si>
    <t>鈴木裕信</t>
  </si>
  <si>
    <t>スポット　</t>
  </si>
  <si>
    <t>㈱ジャパンセキュリティプロモーション</t>
  </si>
  <si>
    <t>7：00～16：00</t>
  </si>
  <si>
    <t>エコーロジテム㈱</t>
  </si>
  <si>
    <t>-</t>
  </si>
  <si>
    <t>ランスタッド㈱</t>
  </si>
  <si>
    <t>益田あゆみ</t>
  </si>
  <si>
    <t>㈱フルキャスト</t>
  </si>
  <si>
    <t>㈱ＨＲコモンズ（ジャパンクリエイト）</t>
  </si>
  <si>
    <t>アクティブワーク（ＳＰ）</t>
  </si>
  <si>
    <t>㈱ＧＯＯＤＳＭＩＬＥ</t>
  </si>
  <si>
    <t>部門</t>
    <rPh sb="0" eb="2">
      <t>ブモン</t>
    </rPh>
    <phoneticPr fontId="2"/>
  </si>
  <si>
    <t>03</t>
    <phoneticPr fontId="2"/>
  </si>
  <si>
    <t>02</t>
    <phoneticPr fontId="2"/>
  </si>
  <si>
    <t>04</t>
    <phoneticPr fontId="2"/>
  </si>
  <si>
    <t>有海清</t>
  </si>
  <si>
    <t>㈱ＳＴＹＬＥ-1</t>
  </si>
  <si>
    <t>ラナ マガル ラミラ</t>
  </si>
  <si>
    <t>ＳＧフィルダー</t>
  </si>
  <si>
    <t>オウキ</t>
  </si>
  <si>
    <t>ランスタッド</t>
  </si>
  <si>
    <t>㈱アクシスプロジェクト</t>
  </si>
  <si>
    <t>㈱グロース</t>
  </si>
  <si>
    <t>磯弘二</t>
  </si>
  <si>
    <t>㈱ロフティー</t>
  </si>
  <si>
    <t>09</t>
  </si>
  <si>
    <t>09</t>
    <phoneticPr fontId="2"/>
  </si>
  <si>
    <t>㈱アクティブレイン</t>
  </si>
  <si>
    <t>ＦＬ・デバン</t>
  </si>
  <si>
    <t>マノジ</t>
  </si>
  <si>
    <t>サンパト</t>
  </si>
  <si>
    <t>ニワンカ</t>
  </si>
  <si>
    <t>サリンダ</t>
  </si>
  <si>
    <t>ＮＳプロジェクト</t>
  </si>
  <si>
    <t>㈱アズスタッフ</t>
  </si>
  <si>
    <t>大山真美</t>
  </si>
  <si>
    <t>㈱ヒューマントラスト</t>
  </si>
  <si>
    <t>38</t>
    <phoneticPr fontId="2"/>
  </si>
  <si>
    <t>㈱ロンコ・ジャパン</t>
  </si>
  <si>
    <t>13</t>
    <phoneticPr fontId="2"/>
  </si>
  <si>
    <t>㈱ノースサポート</t>
  </si>
  <si>
    <t>高橋弘志</t>
  </si>
  <si>
    <t>21</t>
    <phoneticPr fontId="2"/>
  </si>
  <si>
    <t>臨時作業</t>
  </si>
  <si>
    <t>12</t>
    <phoneticPr fontId="2"/>
  </si>
  <si>
    <t>1ｔコンテナ洗浄補助作業</t>
  </si>
  <si>
    <t>伝票発行料</t>
  </si>
  <si>
    <t>サチン</t>
  </si>
  <si>
    <t>17</t>
    <phoneticPr fontId="2"/>
  </si>
  <si>
    <t>ティー・エム・エス㈱</t>
  </si>
  <si>
    <t>塚本亮幸</t>
  </si>
  <si>
    <t>チャンミカ</t>
  </si>
  <si>
    <t>ラヴィドゥ</t>
  </si>
  <si>
    <t>05</t>
    <phoneticPr fontId="2"/>
  </si>
  <si>
    <t>㈱ウィルエージェンシー</t>
  </si>
  <si>
    <t>㈱Ｇ＆Ｇ</t>
  </si>
  <si>
    <t>石崎光治</t>
  </si>
  <si>
    <t>関裕史</t>
  </si>
  <si>
    <t>横松卓</t>
  </si>
  <si>
    <t>岩上浩茂</t>
  </si>
  <si>
    <t>渡邉修</t>
  </si>
  <si>
    <t>アイ・ビー・エス・アウトソーシング㈱</t>
  </si>
  <si>
    <t>ピックル㈱</t>
  </si>
  <si>
    <t>柴田信義</t>
  </si>
  <si>
    <t>鈴木和一</t>
  </si>
  <si>
    <t>竹内慎一</t>
  </si>
  <si>
    <t>安田紀子</t>
  </si>
  <si>
    <t>㈱アズ・スタッフ</t>
  </si>
  <si>
    <t>ドライバー</t>
  </si>
  <si>
    <t>ドライバー研修中</t>
  </si>
  <si>
    <t>ドライバー乗務停止時（運転業務外）</t>
  </si>
  <si>
    <t>ドライバー交通費</t>
  </si>
  <si>
    <t>㈱バイトレ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</si>
</sst>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&quot;¥&quot;#,##0_);[Red]\(&quot;¥&quot;#,##0\)"/>
    <numFmt numFmtId="177" formatCode="yyyy&quot;年&quot;mm&quot;月&quot;"/>
    <numFmt numFmtId="178" formatCode="#,##0.000_ "/>
    <numFmt numFmtId="179" formatCode="0&quot;日&quot;"/>
    <numFmt numFmtId="180" formatCode="#,##0_ "/>
  </numFmts>
  <fonts count="2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name val="游ゴシック"/>
      <family val="2"/>
      <scheme val="minor"/>
    </font>
    <font>
      <b/>
      <sz val="10"/>
      <color rgb="FFFF0000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0"/>
      <name val="游ゴシック Medium"/>
      <family val="3"/>
      <charset val="128"/>
    </font>
    <font>
      <sz val="10"/>
      <name val="游ゴシック"/>
      <family val="3"/>
      <charset val="128"/>
      <scheme val="minor"/>
    </font>
    <font>
      <sz val="10"/>
      <name val="Yu Gothic UI"/>
      <family val="3"/>
      <charset val="128"/>
    </font>
    <font>
      <b/>
      <sz val="10"/>
      <color theme="1"/>
      <name val="游ゴシック"/>
      <family val="3"/>
      <charset val="128"/>
      <scheme val="minor"/>
    </font>
    <font>
      <sz val="10"/>
      <name val="游ゴシック"/>
      <family val="2"/>
      <charset val="128"/>
    </font>
    <font>
      <b/>
      <sz val="18"/>
      <name val="游ゴシック"/>
      <family val="3"/>
      <charset val="128"/>
      <scheme val="minor"/>
    </font>
    <font>
      <b/>
      <sz val="10"/>
      <color theme="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0"/>
      <name val="Yu Gothic"/>
      <family val="3"/>
      <charset val="128"/>
    </font>
    <font>
      <sz val="9"/>
      <name val="游ゴシック"/>
      <family val="2"/>
      <scheme val="minor"/>
    </font>
    <font>
      <sz val="9"/>
      <color indexed="81"/>
      <name val="MS P ゴシック"/>
      <family val="3"/>
      <charset val="128"/>
    </font>
    <font>
      <strike/>
      <sz val="10"/>
      <name val="游ゴシック"/>
      <family val="2"/>
      <scheme val="minor"/>
    </font>
    <font>
      <strike/>
      <sz val="10"/>
      <name val="Yu Gothic UI"/>
      <family val="3"/>
      <charset val="128"/>
    </font>
    <font>
      <b/>
      <strike/>
      <sz val="10"/>
      <color rgb="FFFF0000"/>
      <name val="游ゴシック"/>
      <family val="3"/>
      <charset val="128"/>
      <scheme val="minor"/>
    </font>
    <font>
      <strike/>
      <sz val="1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21">
    <xf numFmtId="0" fontId="0" fillId="0" borderId="0" xfId="0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/>
    </xf>
    <xf numFmtId="176" fontId="4" fillId="0" borderId="2" xfId="1" applyNumberFormat="1" applyFont="1" applyFill="1" applyBorder="1" applyAlignment="1">
      <alignment horizontal="right" vertical="center"/>
    </xf>
    <xf numFmtId="176" fontId="4" fillId="0" borderId="6" xfId="1" applyNumberFormat="1" applyFont="1" applyFill="1" applyBorder="1" applyAlignment="1">
      <alignment horizontal="right" vertical="center"/>
    </xf>
    <xf numFmtId="176" fontId="4" fillId="0" borderId="4" xfId="1" applyNumberFormat="1" applyFont="1" applyFill="1" applyBorder="1" applyAlignment="1">
      <alignment horizontal="right" vertical="center"/>
    </xf>
    <xf numFmtId="176" fontId="4" fillId="0" borderId="1" xfId="1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176" fontId="4" fillId="0" borderId="3" xfId="1" applyNumberFormat="1" applyFont="1" applyFill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76" fontId="4" fillId="0" borderId="6" xfId="1" applyNumberFormat="1" applyFont="1" applyFill="1" applyBorder="1" applyAlignment="1">
      <alignment horizontal="right" vertical="center" shrinkToFit="1"/>
    </xf>
    <xf numFmtId="176" fontId="4" fillId="0" borderId="3" xfId="1" applyNumberFormat="1" applyFont="1" applyFill="1" applyBorder="1" applyAlignment="1">
      <alignment horizontal="right" vertical="center" shrinkToFi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76" fontId="4" fillId="0" borderId="5" xfId="1" applyNumberFormat="1" applyFont="1" applyFill="1" applyBorder="1" applyAlignment="1">
      <alignment horizontal="right" vertical="center"/>
    </xf>
    <xf numFmtId="176" fontId="4" fillId="0" borderId="7" xfId="1" applyNumberFormat="1" applyFont="1" applyFill="1" applyBorder="1" applyAlignment="1">
      <alignment horizontal="right" vertical="center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2" fontId="5" fillId="0" borderId="10" xfId="0" applyNumberFormat="1" applyFont="1" applyBorder="1" applyAlignment="1">
      <alignment vertical="center"/>
    </xf>
    <xf numFmtId="2" fontId="5" fillId="0" borderId="11" xfId="0" applyNumberFormat="1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2" fontId="5" fillId="0" borderId="13" xfId="0" applyNumberFormat="1" applyFont="1" applyBorder="1" applyAlignment="1">
      <alignment vertical="center"/>
    </xf>
    <xf numFmtId="2" fontId="5" fillId="0" borderId="9" xfId="0" applyNumberFormat="1" applyFont="1" applyBorder="1" applyAlignment="1">
      <alignment vertical="center"/>
    </xf>
    <xf numFmtId="2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5" fillId="0" borderId="19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2" fontId="5" fillId="3" borderId="23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2" fontId="5" fillId="0" borderId="14" xfId="0" applyNumberFormat="1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2" fontId="5" fillId="0" borderId="10" xfId="0" applyNumberFormat="1" applyFont="1" applyBorder="1" applyAlignment="1">
      <alignment horizontal="right" vertical="center" shrinkToFit="1"/>
    </xf>
    <xf numFmtId="2" fontId="5" fillId="0" borderId="12" xfId="0" applyNumberFormat="1" applyFont="1" applyBorder="1" applyAlignment="1">
      <alignment horizontal="right" vertical="center" shrinkToFit="1"/>
    </xf>
    <xf numFmtId="2" fontId="5" fillId="0" borderId="12" xfId="0" applyNumberFormat="1" applyFont="1" applyBorder="1" applyAlignment="1">
      <alignment horizontal="right" vertical="center"/>
    </xf>
    <xf numFmtId="2" fontId="5" fillId="0" borderId="14" xfId="0" applyNumberFormat="1" applyFont="1" applyBorder="1" applyAlignment="1">
      <alignment horizontal="right" vertical="center" shrinkToFit="1"/>
    </xf>
    <xf numFmtId="2" fontId="5" fillId="0" borderId="11" xfId="0" applyNumberFormat="1" applyFont="1" applyBorder="1" applyAlignment="1">
      <alignment horizontal="right" vertical="center" shrinkToFit="1"/>
    </xf>
    <xf numFmtId="179" fontId="5" fillId="0" borderId="16" xfId="0" applyNumberFormat="1" applyFont="1" applyBorder="1" applyAlignment="1">
      <alignment horizontal="right" vertical="center"/>
    </xf>
    <xf numFmtId="178" fontId="5" fillId="0" borderId="8" xfId="0" applyNumberFormat="1" applyFont="1" applyBorder="1" applyAlignment="1">
      <alignment horizontal="right" vertical="center"/>
    </xf>
    <xf numFmtId="2" fontId="5" fillId="0" borderId="23" xfId="0" applyNumberFormat="1" applyFont="1" applyBorder="1" applyAlignment="1">
      <alignment vertical="center"/>
    </xf>
    <xf numFmtId="0" fontId="5" fillId="0" borderId="24" xfId="0" applyFont="1" applyBorder="1" applyAlignment="1">
      <alignment horizontal="right" vertical="center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shrinkToFit="1"/>
    </xf>
    <xf numFmtId="0" fontId="7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7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shrinkToFit="1"/>
    </xf>
    <xf numFmtId="0" fontId="7" fillId="0" borderId="3" xfId="0" applyFont="1" applyBorder="1" applyAlignment="1">
      <alignment horizontal="left" vertical="center" wrapText="1"/>
    </xf>
    <xf numFmtId="176" fontId="4" fillId="0" borderId="22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6" fontId="4" fillId="0" borderId="2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38" fontId="5" fillId="0" borderId="16" xfId="1" applyFont="1" applyFill="1" applyBorder="1" applyAlignment="1">
      <alignment horizontal="right" vertical="center"/>
    </xf>
    <xf numFmtId="38" fontId="5" fillId="0" borderId="18" xfId="1" applyFont="1" applyFill="1" applyBorder="1" applyAlignment="1">
      <alignment horizontal="right" vertical="center"/>
    </xf>
    <xf numFmtId="180" fontId="5" fillId="0" borderId="8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4" fillId="0" borderId="5" xfId="1" applyNumberFormat="1" applyFont="1" applyFill="1" applyBorder="1" applyAlignment="1">
      <alignment horizontal="right" vertical="center" shrinkToFi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2" fontId="5" fillId="0" borderId="16" xfId="0" applyNumberFormat="1" applyFont="1" applyBorder="1" applyAlignment="1">
      <alignment horizontal="right" vertical="center"/>
    </xf>
    <xf numFmtId="0" fontId="11" fillId="0" borderId="25" xfId="0" applyFont="1" applyBorder="1" applyAlignment="1">
      <alignment vertical="top" wrapText="1"/>
    </xf>
    <xf numFmtId="176" fontId="4" fillId="3" borderId="22" xfId="1" applyNumberFormat="1" applyFont="1" applyFill="1" applyBorder="1" applyAlignment="1">
      <alignment horizontal="right" vertical="center"/>
    </xf>
    <xf numFmtId="2" fontId="5" fillId="0" borderId="26" xfId="0" applyNumberFormat="1" applyFont="1" applyBorder="1" applyAlignment="1">
      <alignment vertical="center"/>
    </xf>
    <xf numFmtId="2" fontId="5" fillId="0" borderId="27" xfId="0" applyNumberFormat="1" applyFont="1" applyBorder="1" applyAlignment="1">
      <alignment vertical="center"/>
    </xf>
    <xf numFmtId="2" fontId="5" fillId="0" borderId="14" xfId="0" applyNumberFormat="1" applyFont="1" applyBorder="1" applyAlignment="1">
      <alignment vertical="center" shrinkToFit="1"/>
    </xf>
    <xf numFmtId="0" fontId="3" fillId="0" borderId="22" xfId="0" applyFont="1" applyBorder="1" applyAlignment="1">
      <alignment horizontal="left" vertical="center"/>
    </xf>
    <xf numFmtId="3" fontId="5" fillId="0" borderId="8" xfId="0" applyNumberFormat="1" applyFont="1" applyBorder="1" applyAlignment="1">
      <alignment horizontal="right" vertical="center"/>
    </xf>
    <xf numFmtId="0" fontId="5" fillId="0" borderId="29" xfId="0" applyFont="1" applyBorder="1" applyAlignment="1">
      <alignment vertical="center"/>
    </xf>
    <xf numFmtId="2" fontId="5" fillId="0" borderId="29" xfId="0" applyNumberFormat="1" applyFont="1" applyBorder="1" applyAlignment="1">
      <alignment vertical="center"/>
    </xf>
    <xf numFmtId="2" fontId="5" fillId="0" borderId="0" xfId="0" applyNumberFormat="1" applyFont="1" applyAlignment="1">
      <alignment vertical="center"/>
    </xf>
    <xf numFmtId="3" fontId="5" fillId="0" borderId="16" xfId="0" applyNumberFormat="1" applyFont="1" applyBorder="1" applyAlignment="1">
      <alignment horizontal="right" vertical="center"/>
    </xf>
    <xf numFmtId="2" fontId="5" fillId="0" borderId="12" xfId="0" applyNumberFormat="1" applyFont="1" applyBorder="1" applyAlignment="1">
      <alignment vertical="center" shrinkToFit="1"/>
    </xf>
    <xf numFmtId="0" fontId="5" fillId="0" borderId="36" xfId="0" applyFont="1" applyBorder="1" applyAlignment="1">
      <alignment horizontal="right" vertical="center"/>
    </xf>
    <xf numFmtId="2" fontId="5" fillId="0" borderId="35" xfId="0" applyNumberFormat="1" applyFont="1" applyBorder="1" applyAlignment="1">
      <alignment vertical="center"/>
    </xf>
    <xf numFmtId="0" fontId="5" fillId="0" borderId="18" xfId="0" applyFont="1" applyBorder="1" applyAlignment="1">
      <alignment horizontal="right" vertical="center" shrinkToFit="1"/>
    </xf>
    <xf numFmtId="0" fontId="15" fillId="0" borderId="2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right" vertical="center" shrinkToFit="1"/>
    </xf>
    <xf numFmtId="0" fontId="5" fillId="0" borderId="24" xfId="0" applyFont="1" applyBorder="1" applyAlignment="1">
      <alignment horizontal="right" vertical="center" shrinkToFit="1"/>
    </xf>
    <xf numFmtId="0" fontId="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0" borderId="6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0" borderId="18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3" fillId="0" borderId="27" xfId="0" applyFont="1" applyBorder="1" applyAlignment="1">
      <alignment horizontal="left" vertical="center" wrapText="1"/>
    </xf>
    <xf numFmtId="0" fontId="5" fillId="0" borderId="27" xfId="0" applyFont="1" applyBorder="1" applyAlignment="1">
      <alignment vertical="center"/>
    </xf>
    <xf numFmtId="0" fontId="3" fillId="0" borderId="25" xfId="0" applyFont="1" applyBorder="1" applyAlignment="1">
      <alignment horizontal="left" vertical="center" wrapText="1"/>
    </xf>
    <xf numFmtId="0" fontId="5" fillId="0" borderId="25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17" xfId="0" quotePrefix="1" applyFont="1" applyBorder="1" applyAlignment="1">
      <alignment vertical="center" shrinkToFit="1"/>
    </xf>
    <xf numFmtId="0" fontId="3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2" fontId="5" fillId="0" borderId="28" xfId="0" applyNumberFormat="1" applyFont="1" applyBorder="1" applyAlignment="1">
      <alignment vertical="center"/>
    </xf>
    <xf numFmtId="0" fontId="3" fillId="0" borderId="5" xfId="0" applyFont="1" applyBorder="1" applyAlignment="1">
      <alignment horizontal="left" vertical="center" shrinkToFit="1"/>
    </xf>
    <xf numFmtId="0" fontId="3" fillId="3" borderId="3" xfId="0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horizontal="right" vertical="center"/>
    </xf>
    <xf numFmtId="2" fontId="5" fillId="3" borderId="12" xfId="0" applyNumberFormat="1" applyFont="1" applyFill="1" applyBorder="1" applyAlignment="1">
      <alignment vertical="center"/>
    </xf>
    <xf numFmtId="2" fontId="5" fillId="0" borderId="37" xfId="0" applyNumberFormat="1" applyFont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0" fontId="3" fillId="0" borderId="38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22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vertical="center"/>
    </xf>
    <xf numFmtId="6" fontId="4" fillId="3" borderId="7" xfId="0" applyNumberFormat="1" applyFont="1" applyFill="1" applyBorder="1" applyAlignment="1">
      <alignment horizontal="right" vertical="center"/>
    </xf>
    <xf numFmtId="0" fontId="5" fillId="3" borderId="15" xfId="0" applyFont="1" applyFill="1" applyBorder="1" applyAlignment="1">
      <alignment vertical="center"/>
    </xf>
    <xf numFmtId="0" fontId="3" fillId="3" borderId="38" xfId="0" applyFont="1" applyFill="1" applyBorder="1" applyAlignment="1">
      <alignment vertical="center"/>
    </xf>
    <xf numFmtId="6" fontId="4" fillId="3" borderId="3" xfId="0" applyNumberFormat="1" applyFont="1" applyFill="1" applyBorder="1" applyAlignment="1">
      <alignment horizontal="right" vertical="center"/>
    </xf>
    <xf numFmtId="0" fontId="5" fillId="3" borderId="37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center" wrapText="1"/>
    </xf>
    <xf numFmtId="6" fontId="4" fillId="3" borderId="38" xfId="0" applyNumberFormat="1" applyFont="1" applyFill="1" applyBorder="1" applyAlignment="1">
      <alignment horizontal="right" vertical="center"/>
    </xf>
    <xf numFmtId="0" fontId="5" fillId="3" borderId="12" xfId="0" applyFont="1" applyFill="1" applyBorder="1" applyAlignment="1">
      <alignment vertical="center"/>
    </xf>
    <xf numFmtId="0" fontId="3" fillId="3" borderId="2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/>
    </xf>
    <xf numFmtId="2" fontId="5" fillId="3" borderId="9" xfId="0" applyNumberFormat="1" applyFont="1" applyFill="1" applyBorder="1" applyAlignment="1">
      <alignment vertical="center"/>
    </xf>
    <xf numFmtId="176" fontId="4" fillId="3" borderId="2" xfId="1" applyNumberFormat="1" applyFont="1" applyFill="1" applyBorder="1" applyAlignment="1">
      <alignment horizontal="right" vertical="center"/>
    </xf>
    <xf numFmtId="2" fontId="5" fillId="0" borderId="39" xfId="0" applyNumberFormat="1" applyFont="1" applyBorder="1" applyAlignment="1">
      <alignment vertical="center"/>
    </xf>
    <xf numFmtId="0" fontId="5" fillId="0" borderId="40" xfId="0" applyFont="1" applyBorder="1" applyAlignment="1">
      <alignment horizontal="right" vertical="center"/>
    </xf>
    <xf numFmtId="2" fontId="5" fillId="0" borderId="41" xfId="0" applyNumberFormat="1" applyFont="1" applyBorder="1" applyAlignment="1">
      <alignment vertical="center"/>
    </xf>
    <xf numFmtId="0" fontId="5" fillId="0" borderId="42" xfId="0" applyFont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/>
    </xf>
    <xf numFmtId="2" fontId="5" fillId="3" borderId="41" xfId="0" applyNumberFormat="1" applyFont="1" applyFill="1" applyBorder="1" applyAlignment="1">
      <alignment vertical="center"/>
    </xf>
    <xf numFmtId="0" fontId="7" fillId="0" borderId="5" xfId="0" applyFont="1" applyBorder="1" applyAlignment="1">
      <alignment horizontal="left" vertical="center" wrapText="1"/>
    </xf>
    <xf numFmtId="176" fontId="4" fillId="3" borderId="4" xfId="1" applyNumberFormat="1" applyFont="1" applyFill="1" applyBorder="1" applyAlignment="1">
      <alignment horizontal="right" vertical="center"/>
    </xf>
    <xf numFmtId="2" fontId="5" fillId="3" borderId="11" xfId="0" applyNumberFormat="1" applyFont="1" applyFill="1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shrinkToFit="1"/>
    </xf>
    <xf numFmtId="0" fontId="3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176" fontId="4" fillId="3" borderId="7" xfId="1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center" wrapText="1"/>
    </xf>
    <xf numFmtId="2" fontId="7" fillId="3" borderId="39" xfId="0" applyNumberFormat="1" applyFont="1" applyFill="1" applyBorder="1" applyAlignment="1">
      <alignment vertical="center"/>
    </xf>
    <xf numFmtId="2" fontId="7" fillId="3" borderId="41" xfId="0" applyNumberFormat="1" applyFont="1" applyFill="1" applyBorder="1" applyAlignment="1">
      <alignment vertical="center"/>
    </xf>
    <xf numFmtId="0" fontId="7" fillId="3" borderId="40" xfId="0" applyFont="1" applyFill="1" applyBorder="1" applyAlignment="1">
      <alignment horizontal="right" vertical="center"/>
    </xf>
    <xf numFmtId="0" fontId="7" fillId="3" borderId="42" xfId="0" applyFont="1" applyFill="1" applyBorder="1" applyAlignment="1">
      <alignment horizontal="right" vertical="center"/>
    </xf>
    <xf numFmtId="0" fontId="17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176" fontId="19" fillId="0" borderId="3" xfId="1" applyNumberFormat="1" applyFont="1" applyFill="1" applyBorder="1" applyAlignment="1">
      <alignment horizontal="right" vertical="center"/>
    </xf>
    <xf numFmtId="0" fontId="5" fillId="3" borderId="18" xfId="0" applyFont="1" applyFill="1" applyBorder="1" applyAlignment="1">
      <alignment horizontal="right" vertical="center"/>
    </xf>
    <xf numFmtId="0" fontId="20" fillId="0" borderId="3" xfId="0" applyFont="1" applyBorder="1" applyAlignment="1">
      <alignment horizontal="left" vertical="center" wrapText="1"/>
    </xf>
    <xf numFmtId="177" fontId="12" fillId="2" borderId="2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77" fontId="12" fillId="2" borderId="9" xfId="0" applyNumberFormat="1" applyFont="1" applyFill="1" applyBorder="1" applyAlignment="1">
      <alignment horizontal="center" vertical="center"/>
    </xf>
    <xf numFmtId="177" fontId="12" fillId="2" borderId="36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FF"/>
      <color rgb="FFFF00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CF4A-A701-4598-8883-B56BEF571C0A}">
  <sheetPr>
    <tabColor theme="9" tint="0.79998168889431442"/>
    <pageSetUpPr fitToPage="1"/>
  </sheetPr>
  <dimension ref="A1:AC178"/>
  <sheetViews>
    <sheetView view="pageBreakPreview" zoomScaleNormal="85" zoomScaleSheetLayoutView="100" workbookViewId="0">
      <pane xSplit="5" ySplit="3" topLeftCell="F163" activePane="bottomRight" state="frozen"/>
      <selection activeCell="R19" sqref="R19"/>
      <selection pane="topRight" activeCell="R19" sqref="R19"/>
      <selection pane="bottomLeft" activeCell="R19" sqref="R19"/>
      <selection pane="bottomRight" activeCell="A2" sqref="A2:E178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6.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398</v>
      </c>
      <c r="B1" s="195"/>
      <c r="C1" s="195"/>
    </row>
    <row r="2" spans="1:29" s="86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7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 ht="16.5" customHeight="1">
      <c r="A4" s="118" t="s">
        <v>17</v>
      </c>
      <c r="B4" s="14" t="s">
        <v>4</v>
      </c>
      <c r="C4" s="14" t="s">
        <v>262</v>
      </c>
      <c r="D4" s="9" t="s">
        <v>267</v>
      </c>
      <c r="E4" s="6">
        <v>1650</v>
      </c>
      <c r="F4" s="24">
        <f>159.5+8</f>
        <v>167.5</v>
      </c>
      <c r="G4" s="30"/>
      <c r="H4" s="24">
        <f>170+10</f>
        <v>180</v>
      </c>
      <c r="I4" s="30"/>
      <c r="J4" s="24">
        <f>160+10.5</f>
        <v>170.5</v>
      </c>
      <c r="K4" s="30"/>
      <c r="L4" s="24">
        <f>174.25+14.25</f>
        <v>188.5</v>
      </c>
      <c r="M4" s="30"/>
      <c r="N4" s="24">
        <f>137.75+13.5</f>
        <v>151.25</v>
      </c>
      <c r="O4" s="30"/>
      <c r="P4" s="24">
        <f>150.5+8</f>
        <v>158.5</v>
      </c>
      <c r="Q4" s="30"/>
      <c r="R4" s="24"/>
      <c r="S4" s="30"/>
      <c r="T4" s="24"/>
      <c r="U4" s="30"/>
      <c r="V4" s="24"/>
      <c r="W4" s="30"/>
      <c r="X4" s="24"/>
      <c r="Y4" s="30"/>
      <c r="Z4" s="24"/>
      <c r="AA4" s="30"/>
      <c r="AB4" s="24"/>
      <c r="AC4" s="30"/>
    </row>
    <row r="5" spans="1:29" ht="16.5" customHeight="1">
      <c r="A5" s="119"/>
      <c r="B5" s="16" t="s">
        <v>4</v>
      </c>
      <c r="C5" s="16" t="s">
        <v>262</v>
      </c>
      <c r="D5" s="11" t="s">
        <v>332</v>
      </c>
      <c r="E5" s="10">
        <v>1650</v>
      </c>
      <c r="F5" s="26">
        <v>28.25</v>
      </c>
      <c r="G5" s="32"/>
      <c r="H5" s="26"/>
      <c r="I5" s="32"/>
      <c r="J5" s="26">
        <v>4</v>
      </c>
      <c r="K5" s="32"/>
      <c r="L5" s="26">
        <v>5.5</v>
      </c>
      <c r="M5" s="32"/>
      <c r="N5" s="26">
        <v>6</v>
      </c>
      <c r="O5" s="32"/>
      <c r="P5" s="26">
        <f>52.25+2.5</f>
        <v>54.75</v>
      </c>
      <c r="Q5" s="32"/>
      <c r="R5" s="26"/>
      <c r="S5" s="32"/>
      <c r="T5" s="26"/>
      <c r="U5" s="32"/>
      <c r="V5" s="26"/>
      <c r="W5" s="32"/>
      <c r="X5" s="26"/>
      <c r="Y5" s="32"/>
      <c r="Z5" s="26"/>
      <c r="AA5" s="32"/>
      <c r="AB5" s="26"/>
      <c r="AC5" s="32"/>
    </row>
    <row r="6" spans="1:29" ht="16.5" customHeight="1">
      <c r="A6" s="119"/>
      <c r="B6" s="16" t="s">
        <v>4</v>
      </c>
      <c r="C6" s="16" t="s">
        <v>262</v>
      </c>
      <c r="D6" s="11" t="s">
        <v>268</v>
      </c>
      <c r="E6" s="10">
        <v>1650</v>
      </c>
      <c r="F6" s="26"/>
      <c r="G6" s="32"/>
      <c r="H6" s="26"/>
      <c r="I6" s="32"/>
      <c r="J6" s="26"/>
      <c r="K6" s="32"/>
      <c r="L6" s="26"/>
      <c r="M6" s="32"/>
      <c r="N6" s="26"/>
      <c r="O6" s="32"/>
      <c r="P6" s="26"/>
      <c r="Q6" s="32"/>
      <c r="R6" s="26"/>
      <c r="S6" s="32"/>
      <c r="T6" s="26"/>
      <c r="U6" s="32"/>
      <c r="V6" s="26"/>
      <c r="W6" s="32"/>
      <c r="X6" s="26"/>
      <c r="Y6" s="32"/>
      <c r="Z6" s="26"/>
      <c r="AA6" s="32"/>
      <c r="AB6" s="26"/>
      <c r="AC6" s="32"/>
    </row>
    <row r="7" spans="1:29" ht="16.5" customHeight="1">
      <c r="A7" s="119"/>
      <c r="B7" s="16" t="s">
        <v>4</v>
      </c>
      <c r="C7" s="16" t="s">
        <v>262</v>
      </c>
      <c r="D7" s="11" t="s">
        <v>269</v>
      </c>
      <c r="E7" s="10">
        <v>1650</v>
      </c>
      <c r="F7" s="26"/>
      <c r="G7" s="32"/>
      <c r="H7" s="26"/>
      <c r="I7" s="32"/>
      <c r="J7" s="26"/>
      <c r="K7" s="32"/>
      <c r="L7" s="26"/>
      <c r="M7" s="32"/>
      <c r="N7" s="26"/>
      <c r="O7" s="32"/>
      <c r="P7" s="26"/>
      <c r="Q7" s="32"/>
      <c r="R7" s="26"/>
      <c r="S7" s="32"/>
      <c r="T7" s="26"/>
      <c r="U7" s="32"/>
      <c r="V7" s="26"/>
      <c r="W7" s="32"/>
      <c r="X7" s="26"/>
      <c r="Y7" s="32"/>
      <c r="Z7" s="26"/>
      <c r="AA7" s="32"/>
      <c r="AB7" s="26"/>
      <c r="AC7" s="32"/>
    </row>
    <row r="8" spans="1:29" ht="16.5" customHeight="1">
      <c r="A8" s="119"/>
      <c r="B8" s="16" t="s">
        <v>4</v>
      </c>
      <c r="C8" s="16" t="s">
        <v>262</v>
      </c>
      <c r="D8" s="11" t="s">
        <v>270</v>
      </c>
      <c r="E8" s="10">
        <v>1650</v>
      </c>
      <c r="F8" s="26"/>
      <c r="G8" s="32"/>
      <c r="H8" s="26"/>
      <c r="I8" s="32"/>
      <c r="J8" s="26"/>
      <c r="K8" s="32"/>
      <c r="L8" s="26"/>
      <c r="M8" s="32"/>
      <c r="N8" s="26"/>
      <c r="O8" s="32"/>
      <c r="P8" s="26"/>
      <c r="Q8" s="32"/>
      <c r="R8" s="26"/>
      <c r="S8" s="32"/>
      <c r="T8" s="26"/>
      <c r="U8" s="32"/>
      <c r="V8" s="26"/>
      <c r="W8" s="32"/>
      <c r="X8" s="26"/>
      <c r="Y8" s="32"/>
      <c r="Z8" s="26"/>
      <c r="AA8" s="32"/>
      <c r="AB8" s="26"/>
      <c r="AC8" s="32"/>
    </row>
    <row r="9" spans="1:29" ht="16.5" customHeight="1">
      <c r="A9" s="119"/>
      <c r="B9" s="16" t="s">
        <v>4</v>
      </c>
      <c r="C9" s="16" t="s">
        <v>262</v>
      </c>
      <c r="D9" s="11" t="s">
        <v>271</v>
      </c>
      <c r="E9" s="10">
        <v>1650</v>
      </c>
      <c r="F9" s="26"/>
      <c r="G9" s="32"/>
      <c r="H9" s="26"/>
      <c r="I9" s="32"/>
      <c r="J9" s="26"/>
      <c r="K9" s="32"/>
      <c r="L9" s="26"/>
      <c r="M9" s="32"/>
      <c r="N9" s="26"/>
      <c r="O9" s="32"/>
      <c r="P9" s="26"/>
      <c r="Q9" s="32"/>
      <c r="R9" s="26"/>
      <c r="S9" s="32"/>
      <c r="T9" s="26"/>
      <c r="U9" s="32"/>
      <c r="V9" s="26"/>
      <c r="W9" s="32"/>
      <c r="X9" s="26"/>
      <c r="Y9" s="32"/>
      <c r="Z9" s="26"/>
      <c r="AA9" s="32"/>
      <c r="AB9" s="26"/>
      <c r="AC9" s="32"/>
    </row>
    <row r="10" spans="1:29" ht="16.5" customHeight="1">
      <c r="A10" s="119"/>
      <c r="B10" s="16" t="s">
        <v>4</v>
      </c>
      <c r="C10" s="16" t="s">
        <v>262</v>
      </c>
      <c r="D10" s="11" t="s">
        <v>345</v>
      </c>
      <c r="E10" s="10">
        <v>1650</v>
      </c>
      <c r="F10" s="26">
        <v>33.5</v>
      </c>
      <c r="G10" s="32"/>
      <c r="H10" s="26"/>
      <c r="I10" s="32"/>
      <c r="J10" s="26">
        <v>20.5</v>
      </c>
      <c r="K10" s="32"/>
      <c r="L10" s="26">
        <v>4</v>
      </c>
      <c r="M10" s="32"/>
      <c r="N10" s="26"/>
      <c r="O10" s="32"/>
      <c r="P10" s="26"/>
      <c r="Q10" s="32"/>
      <c r="R10" s="26"/>
      <c r="S10" s="32"/>
      <c r="T10" s="26"/>
      <c r="U10" s="32"/>
      <c r="V10" s="26"/>
      <c r="W10" s="32"/>
      <c r="X10" s="26"/>
      <c r="Y10" s="32"/>
      <c r="Z10" s="26"/>
      <c r="AA10" s="32"/>
      <c r="AB10" s="26"/>
      <c r="AC10" s="32"/>
    </row>
    <row r="11" spans="1:29" ht="16.5" customHeight="1">
      <c r="A11" s="119"/>
      <c r="B11" s="16" t="s">
        <v>4</v>
      </c>
      <c r="C11" s="16" t="s">
        <v>262</v>
      </c>
      <c r="D11" s="11" t="s">
        <v>272</v>
      </c>
      <c r="E11" s="10">
        <v>1650</v>
      </c>
      <c r="F11" s="26"/>
      <c r="G11" s="32"/>
      <c r="H11" s="26"/>
      <c r="I11" s="32"/>
      <c r="J11" s="26"/>
      <c r="K11" s="32"/>
      <c r="L11" s="26"/>
      <c r="M11" s="32"/>
      <c r="N11" s="26"/>
      <c r="O11" s="32"/>
      <c r="P11" s="26"/>
      <c r="Q11" s="32"/>
      <c r="R11" s="26"/>
      <c r="S11" s="32"/>
      <c r="T11" s="26"/>
      <c r="U11" s="32"/>
      <c r="V11" s="26"/>
      <c r="W11" s="32"/>
      <c r="X11" s="26"/>
      <c r="Y11" s="32"/>
      <c r="Z11" s="26"/>
      <c r="AA11" s="32"/>
      <c r="AB11" s="26"/>
      <c r="AC11" s="32"/>
    </row>
    <row r="12" spans="1:29" ht="16.5" customHeight="1">
      <c r="A12" s="119"/>
      <c r="B12" s="16" t="s">
        <v>4</v>
      </c>
      <c r="C12" s="16" t="s">
        <v>262</v>
      </c>
      <c r="D12" s="11" t="s">
        <v>273</v>
      </c>
      <c r="E12" s="10">
        <v>1650</v>
      </c>
      <c r="F12" s="26"/>
      <c r="G12" s="32"/>
      <c r="H12" s="26"/>
      <c r="I12" s="32"/>
      <c r="J12" s="26"/>
      <c r="K12" s="32"/>
      <c r="L12" s="26"/>
      <c r="M12" s="32"/>
      <c r="N12" s="26"/>
      <c r="O12" s="32"/>
      <c r="P12" s="26"/>
      <c r="Q12" s="32"/>
      <c r="R12" s="26"/>
      <c r="S12" s="32"/>
      <c r="T12" s="26"/>
      <c r="U12" s="32"/>
      <c r="V12" s="26"/>
      <c r="W12" s="32"/>
      <c r="X12" s="26"/>
      <c r="Y12" s="32"/>
      <c r="Z12" s="26"/>
      <c r="AA12" s="32"/>
      <c r="AB12" s="26"/>
      <c r="AC12" s="32"/>
    </row>
    <row r="13" spans="1:29" ht="16.5" customHeight="1">
      <c r="A13" s="119"/>
      <c r="B13" s="16" t="s">
        <v>4</v>
      </c>
      <c r="C13" s="16" t="s">
        <v>262</v>
      </c>
      <c r="D13" s="11" t="s">
        <v>274</v>
      </c>
      <c r="E13" s="10">
        <v>1650</v>
      </c>
      <c r="F13" s="26"/>
      <c r="G13" s="32"/>
      <c r="H13" s="26"/>
      <c r="I13" s="32"/>
      <c r="J13" s="26"/>
      <c r="K13" s="32"/>
      <c r="L13" s="26"/>
      <c r="M13" s="32"/>
      <c r="N13" s="26"/>
      <c r="O13" s="32"/>
      <c r="P13" s="26"/>
      <c r="Q13" s="32"/>
      <c r="R13" s="26"/>
      <c r="S13" s="32"/>
      <c r="T13" s="26"/>
      <c r="U13" s="32"/>
      <c r="V13" s="26"/>
      <c r="W13" s="32"/>
      <c r="X13" s="26"/>
      <c r="Y13" s="32"/>
      <c r="Z13" s="26"/>
      <c r="AA13" s="32"/>
      <c r="AB13" s="26"/>
      <c r="AC13" s="32"/>
    </row>
    <row r="14" spans="1:29" ht="16.5" customHeight="1">
      <c r="A14" s="119"/>
      <c r="B14" s="16" t="s">
        <v>4</v>
      </c>
      <c r="C14" s="16" t="s">
        <v>262</v>
      </c>
      <c r="D14" s="11" t="s">
        <v>275</v>
      </c>
      <c r="E14" s="10">
        <v>1650</v>
      </c>
      <c r="F14" s="26"/>
      <c r="G14" s="32"/>
      <c r="H14" s="26">
        <v>9.75</v>
      </c>
      <c r="I14" s="32"/>
      <c r="J14" s="26">
        <v>10</v>
      </c>
      <c r="K14" s="32"/>
      <c r="L14" s="26"/>
      <c r="M14" s="32"/>
      <c r="N14" s="26"/>
      <c r="O14" s="32"/>
      <c r="P14" s="26">
        <v>6</v>
      </c>
      <c r="Q14" s="32"/>
      <c r="R14" s="26"/>
      <c r="S14" s="32"/>
      <c r="T14" s="26"/>
      <c r="U14" s="32"/>
      <c r="V14" s="26"/>
      <c r="W14" s="32"/>
      <c r="X14" s="26"/>
      <c r="Y14" s="32"/>
      <c r="Z14" s="26"/>
      <c r="AA14" s="32"/>
      <c r="AB14" s="26"/>
      <c r="AC14" s="32"/>
    </row>
    <row r="15" spans="1:29" ht="16.5" customHeight="1">
      <c r="A15" s="119"/>
      <c r="B15" s="16" t="s">
        <v>4</v>
      </c>
      <c r="C15" s="16" t="s">
        <v>262</v>
      </c>
      <c r="D15" s="11" t="s">
        <v>276</v>
      </c>
      <c r="E15" s="10">
        <v>1650</v>
      </c>
      <c r="F15" s="26"/>
      <c r="G15" s="32"/>
      <c r="H15" s="26"/>
      <c r="I15" s="32"/>
      <c r="J15" s="26"/>
      <c r="K15" s="32"/>
      <c r="L15" s="26"/>
      <c r="M15" s="32"/>
      <c r="N15" s="26"/>
      <c r="O15" s="32"/>
      <c r="P15" s="26"/>
      <c r="Q15" s="32"/>
      <c r="R15" s="26"/>
      <c r="S15" s="32"/>
      <c r="T15" s="26"/>
      <c r="U15" s="32"/>
      <c r="V15" s="26"/>
      <c r="W15" s="32"/>
      <c r="X15" s="26"/>
      <c r="Y15" s="32"/>
      <c r="Z15" s="26"/>
      <c r="AA15" s="32"/>
      <c r="AB15" s="26"/>
      <c r="AC15" s="32"/>
    </row>
    <row r="16" spans="1:29" ht="16.5" customHeight="1">
      <c r="A16" s="119"/>
      <c r="B16" s="16" t="s">
        <v>4</v>
      </c>
      <c r="C16" s="16" t="s">
        <v>262</v>
      </c>
      <c r="D16" s="11" t="s">
        <v>277</v>
      </c>
      <c r="E16" s="10">
        <v>1650</v>
      </c>
      <c r="F16" s="26">
        <v>5</v>
      </c>
      <c r="G16" s="32"/>
      <c r="H16" s="26"/>
      <c r="I16" s="32"/>
      <c r="J16" s="26">
        <v>4</v>
      </c>
      <c r="K16" s="32"/>
      <c r="L16" s="26">
        <v>22.5</v>
      </c>
      <c r="M16" s="32"/>
      <c r="N16" s="26"/>
      <c r="O16" s="32"/>
      <c r="P16" s="26"/>
      <c r="Q16" s="32"/>
      <c r="R16" s="26"/>
      <c r="S16" s="32"/>
      <c r="T16" s="26"/>
      <c r="U16" s="32"/>
      <c r="V16" s="26"/>
      <c r="W16" s="32"/>
      <c r="X16" s="26"/>
      <c r="Y16" s="32"/>
      <c r="Z16" s="26"/>
      <c r="AA16" s="32"/>
      <c r="AB16" s="26"/>
      <c r="AC16" s="32"/>
    </row>
    <row r="17" spans="1:29" ht="16.5" customHeight="1">
      <c r="A17" s="119"/>
      <c r="B17" s="16" t="s">
        <v>4</v>
      </c>
      <c r="C17" s="16" t="s">
        <v>262</v>
      </c>
      <c r="D17" s="11" t="s">
        <v>369</v>
      </c>
      <c r="E17" s="10">
        <v>1650</v>
      </c>
      <c r="F17" s="26"/>
      <c r="G17" s="32"/>
      <c r="H17" s="26"/>
      <c r="I17" s="32"/>
      <c r="J17" s="26"/>
      <c r="K17" s="32"/>
      <c r="L17" s="26"/>
      <c r="M17" s="32"/>
      <c r="N17" s="26"/>
      <c r="O17" s="32"/>
      <c r="P17" s="26"/>
      <c r="Q17" s="32"/>
      <c r="R17" s="26"/>
      <c r="S17" s="32"/>
      <c r="T17" s="26"/>
      <c r="U17" s="32"/>
      <c r="V17" s="26"/>
      <c r="W17" s="32"/>
      <c r="X17" s="26"/>
      <c r="Y17" s="32"/>
      <c r="Z17" s="26"/>
      <c r="AA17" s="32"/>
      <c r="AB17" s="26"/>
      <c r="AC17" s="32"/>
    </row>
    <row r="18" spans="1:29" ht="16.5" customHeight="1">
      <c r="A18" s="119"/>
      <c r="B18" s="16" t="s">
        <v>4</v>
      </c>
      <c r="C18" s="16" t="s">
        <v>262</v>
      </c>
      <c r="D18" s="11" t="s">
        <v>387</v>
      </c>
      <c r="E18" s="10">
        <v>1650</v>
      </c>
      <c r="F18" s="26"/>
      <c r="G18" s="32"/>
      <c r="H18" s="26"/>
      <c r="I18" s="32"/>
      <c r="J18" s="26"/>
      <c r="K18" s="32"/>
      <c r="L18" s="26"/>
      <c r="M18" s="32"/>
      <c r="N18" s="26"/>
      <c r="O18" s="32"/>
      <c r="P18" s="26"/>
      <c r="Q18" s="32"/>
      <c r="R18" s="26"/>
      <c r="S18" s="32"/>
      <c r="T18" s="26"/>
      <c r="U18" s="32"/>
      <c r="V18" s="26"/>
      <c r="W18" s="32"/>
      <c r="X18" s="26"/>
      <c r="Y18" s="32"/>
      <c r="Z18" s="26"/>
      <c r="AA18" s="32"/>
      <c r="AB18" s="26"/>
      <c r="AC18" s="32"/>
    </row>
    <row r="19" spans="1:29" ht="16.5" customHeight="1">
      <c r="A19" s="119"/>
      <c r="B19" s="16" t="s">
        <v>4</v>
      </c>
      <c r="C19" s="16" t="s">
        <v>262</v>
      </c>
      <c r="D19" s="11" t="s">
        <v>379</v>
      </c>
      <c r="E19" s="10">
        <v>1650</v>
      </c>
      <c r="F19" s="26"/>
      <c r="G19" s="32"/>
      <c r="H19" s="26"/>
      <c r="I19" s="32"/>
      <c r="J19" s="26"/>
      <c r="K19" s="32"/>
      <c r="L19" s="26"/>
      <c r="M19" s="32"/>
      <c r="N19" s="26"/>
      <c r="O19" s="32"/>
      <c r="P19" s="26"/>
      <c r="Q19" s="32"/>
      <c r="R19" s="26"/>
      <c r="S19" s="32"/>
      <c r="T19" s="26"/>
      <c r="U19" s="32"/>
      <c r="V19" s="26"/>
      <c r="W19" s="32"/>
      <c r="X19" s="26"/>
      <c r="Y19" s="32"/>
      <c r="Z19" s="26"/>
      <c r="AA19" s="32"/>
      <c r="AB19" s="26"/>
      <c r="AC19" s="32"/>
    </row>
    <row r="20" spans="1:29" ht="16.5" customHeight="1">
      <c r="A20" s="119"/>
      <c r="B20" s="16" t="s">
        <v>4</v>
      </c>
      <c r="C20" s="16" t="s">
        <v>262</v>
      </c>
      <c r="D20" s="11" t="s">
        <v>388</v>
      </c>
      <c r="E20" s="10">
        <v>1650</v>
      </c>
      <c r="F20" s="26"/>
      <c r="G20" s="32"/>
      <c r="H20" s="26"/>
      <c r="I20" s="32"/>
      <c r="J20" s="26"/>
      <c r="K20" s="32"/>
      <c r="L20" s="26"/>
      <c r="M20" s="32"/>
      <c r="N20" s="26"/>
      <c r="O20" s="32"/>
      <c r="P20" s="26"/>
      <c r="Q20" s="32"/>
      <c r="R20" s="26"/>
      <c r="S20" s="32"/>
      <c r="T20" s="26"/>
      <c r="U20" s="32"/>
      <c r="V20" s="26"/>
      <c r="W20" s="32"/>
      <c r="X20" s="26"/>
      <c r="Y20" s="32"/>
      <c r="Z20" s="26"/>
      <c r="AA20" s="32"/>
      <c r="AB20" s="26"/>
      <c r="AC20" s="32"/>
    </row>
    <row r="21" spans="1:29" ht="16.5" customHeight="1">
      <c r="A21" s="119"/>
      <c r="B21" s="16" t="s">
        <v>4</v>
      </c>
      <c r="C21" s="16" t="s">
        <v>262</v>
      </c>
      <c r="D21" s="11" t="s">
        <v>464</v>
      </c>
      <c r="E21" s="10">
        <v>1650</v>
      </c>
      <c r="F21" s="26">
        <v>40</v>
      </c>
      <c r="G21" s="32"/>
      <c r="H21" s="26"/>
      <c r="I21" s="32"/>
      <c r="J21" s="26"/>
      <c r="K21" s="32"/>
      <c r="L21" s="26"/>
      <c r="M21" s="32"/>
      <c r="N21" s="26"/>
      <c r="O21" s="32"/>
      <c r="P21" s="26"/>
      <c r="Q21" s="32"/>
      <c r="R21" s="26"/>
      <c r="S21" s="32"/>
      <c r="T21" s="26"/>
      <c r="U21" s="32"/>
      <c r="V21" s="26"/>
      <c r="W21" s="32"/>
      <c r="X21" s="26"/>
      <c r="Y21" s="32"/>
      <c r="Z21" s="26"/>
      <c r="AA21" s="32"/>
      <c r="AB21" s="26"/>
      <c r="AC21" s="32"/>
    </row>
    <row r="22" spans="1:29" ht="16.5" customHeight="1">
      <c r="A22" s="119"/>
      <c r="B22" s="16" t="s">
        <v>4</v>
      </c>
      <c r="C22" s="16" t="s">
        <v>262</v>
      </c>
      <c r="D22" s="11" t="s">
        <v>308</v>
      </c>
      <c r="E22" s="10">
        <v>1650</v>
      </c>
      <c r="F22" s="26"/>
      <c r="G22" s="32"/>
      <c r="H22" s="26"/>
      <c r="I22" s="32"/>
      <c r="J22" s="26"/>
      <c r="K22" s="32"/>
      <c r="L22" s="26"/>
      <c r="M22" s="32"/>
      <c r="N22" s="26"/>
      <c r="O22" s="32"/>
      <c r="P22" s="26"/>
      <c r="Q22" s="32"/>
      <c r="R22" s="26"/>
      <c r="S22" s="32"/>
      <c r="T22" s="26"/>
      <c r="U22" s="32"/>
      <c r="V22" s="26"/>
      <c r="W22" s="32"/>
      <c r="X22" s="26"/>
      <c r="Y22" s="32"/>
      <c r="Z22" s="26"/>
      <c r="AA22" s="32"/>
      <c r="AB22" s="26"/>
      <c r="AC22" s="32"/>
    </row>
    <row r="23" spans="1:29" ht="16.5" customHeight="1">
      <c r="A23" s="119"/>
      <c r="B23" s="16" t="s">
        <v>4</v>
      </c>
      <c r="C23" s="16" t="s">
        <v>262</v>
      </c>
      <c r="D23" s="11" t="s">
        <v>297</v>
      </c>
      <c r="E23" s="10">
        <v>1650</v>
      </c>
      <c r="F23" s="26"/>
      <c r="G23" s="32"/>
      <c r="H23" s="26"/>
      <c r="I23" s="32"/>
      <c r="J23" s="26">
        <v>4</v>
      </c>
      <c r="K23" s="32"/>
      <c r="L23" s="26"/>
      <c r="M23" s="32"/>
      <c r="N23" s="26"/>
      <c r="O23" s="32"/>
      <c r="P23" s="26"/>
      <c r="Q23" s="32"/>
      <c r="R23" s="26"/>
      <c r="S23" s="32"/>
      <c r="T23" s="26"/>
      <c r="U23" s="32"/>
      <c r="V23" s="26"/>
      <c r="W23" s="32"/>
      <c r="X23" s="26"/>
      <c r="Y23" s="32"/>
      <c r="Z23" s="26"/>
      <c r="AA23" s="32"/>
      <c r="AB23" s="26"/>
      <c r="AC23" s="32"/>
    </row>
    <row r="24" spans="1:29" ht="16.5" customHeight="1">
      <c r="A24" s="119"/>
      <c r="B24" s="16" t="s">
        <v>4</v>
      </c>
      <c r="C24" s="16" t="s">
        <v>262</v>
      </c>
      <c r="D24" s="11" t="s">
        <v>333</v>
      </c>
      <c r="E24" s="10">
        <v>1650</v>
      </c>
      <c r="F24" s="26"/>
      <c r="G24" s="32"/>
      <c r="H24" s="26"/>
      <c r="I24" s="32"/>
      <c r="J24" s="26"/>
      <c r="K24" s="32"/>
      <c r="L24" s="26"/>
      <c r="M24" s="32"/>
      <c r="N24" s="26"/>
      <c r="O24" s="32"/>
      <c r="P24" s="26"/>
      <c r="Q24" s="32"/>
      <c r="R24" s="26"/>
      <c r="S24" s="32"/>
      <c r="T24" s="26"/>
      <c r="U24" s="32"/>
      <c r="V24" s="26"/>
      <c r="W24" s="32"/>
      <c r="X24" s="26"/>
      <c r="Y24" s="32"/>
      <c r="Z24" s="26"/>
      <c r="AA24" s="32"/>
      <c r="AB24" s="26"/>
      <c r="AC24" s="32"/>
    </row>
    <row r="25" spans="1:29" ht="16.5" customHeight="1">
      <c r="A25" s="119"/>
      <c r="B25" s="16" t="s">
        <v>4</v>
      </c>
      <c r="C25" s="16" t="s">
        <v>262</v>
      </c>
      <c r="D25" s="11" t="s">
        <v>334</v>
      </c>
      <c r="E25" s="10">
        <v>1650</v>
      </c>
      <c r="F25" s="26"/>
      <c r="G25" s="32"/>
      <c r="H25" s="26"/>
      <c r="I25" s="32"/>
      <c r="J25" s="26"/>
      <c r="K25" s="32"/>
      <c r="L25" s="26"/>
      <c r="M25" s="32"/>
      <c r="N25" s="26"/>
      <c r="O25" s="32"/>
      <c r="P25" s="26"/>
      <c r="Q25" s="32"/>
      <c r="R25" s="26"/>
      <c r="S25" s="32"/>
      <c r="T25" s="26"/>
      <c r="U25" s="32"/>
      <c r="V25" s="26"/>
      <c r="W25" s="32"/>
      <c r="X25" s="26"/>
      <c r="Y25" s="32"/>
      <c r="Z25" s="26"/>
      <c r="AA25" s="32"/>
      <c r="AB25" s="26"/>
      <c r="AC25" s="32"/>
    </row>
    <row r="26" spans="1:29" ht="16.5" customHeight="1">
      <c r="A26" s="119"/>
      <c r="B26" s="16" t="s">
        <v>4</v>
      </c>
      <c r="C26" s="16" t="s">
        <v>262</v>
      </c>
      <c r="D26" s="11" t="s">
        <v>290</v>
      </c>
      <c r="E26" s="10">
        <v>1650</v>
      </c>
      <c r="F26" s="26"/>
      <c r="G26" s="32"/>
      <c r="H26" s="26"/>
      <c r="I26" s="32"/>
      <c r="J26" s="26"/>
      <c r="K26" s="32"/>
      <c r="L26" s="26"/>
      <c r="M26" s="32"/>
      <c r="N26" s="26"/>
      <c r="O26" s="32"/>
      <c r="P26" s="26"/>
      <c r="Q26" s="32"/>
      <c r="R26" s="26"/>
      <c r="S26" s="32"/>
      <c r="T26" s="26"/>
      <c r="U26" s="32"/>
      <c r="V26" s="26"/>
      <c r="W26" s="32"/>
      <c r="X26" s="26"/>
      <c r="Y26" s="32"/>
      <c r="Z26" s="26"/>
      <c r="AA26" s="32"/>
      <c r="AB26" s="26"/>
      <c r="AC26" s="32"/>
    </row>
    <row r="27" spans="1:29" ht="16.5" customHeight="1">
      <c r="A27" s="119"/>
      <c r="B27" s="16" t="s">
        <v>4</v>
      </c>
      <c r="C27" s="16" t="s">
        <v>262</v>
      </c>
      <c r="D27" s="11" t="s">
        <v>335</v>
      </c>
      <c r="E27" s="10">
        <v>1650</v>
      </c>
      <c r="F27" s="26"/>
      <c r="G27" s="32"/>
      <c r="H27" s="26"/>
      <c r="I27" s="32"/>
      <c r="J27" s="26"/>
      <c r="K27" s="32"/>
      <c r="L27" s="26"/>
      <c r="M27" s="32"/>
      <c r="N27" s="26"/>
      <c r="O27" s="32"/>
      <c r="P27" s="26"/>
      <c r="Q27" s="32"/>
      <c r="R27" s="26"/>
      <c r="S27" s="32"/>
      <c r="T27" s="26"/>
      <c r="U27" s="32"/>
      <c r="V27" s="26"/>
      <c r="W27" s="32"/>
      <c r="X27" s="26"/>
      <c r="Y27" s="32"/>
      <c r="Z27" s="26"/>
      <c r="AA27" s="32"/>
      <c r="AB27" s="26"/>
      <c r="AC27" s="32"/>
    </row>
    <row r="28" spans="1:29" ht="16.5" customHeight="1">
      <c r="A28" s="119"/>
      <c r="B28" s="16" t="s">
        <v>4</v>
      </c>
      <c r="C28" s="16" t="s">
        <v>262</v>
      </c>
      <c r="D28" s="43" t="s">
        <v>465</v>
      </c>
      <c r="E28" s="10">
        <v>1650</v>
      </c>
      <c r="F28" s="26"/>
      <c r="G28" s="32"/>
      <c r="H28" s="26"/>
      <c r="I28" s="32"/>
      <c r="J28" s="26"/>
      <c r="K28" s="32"/>
      <c r="L28" s="26"/>
      <c r="M28" s="32"/>
      <c r="N28" s="26"/>
      <c r="O28" s="32"/>
      <c r="P28" s="26"/>
      <c r="Q28" s="32"/>
      <c r="R28" s="26"/>
      <c r="S28" s="32"/>
      <c r="T28" s="26"/>
      <c r="U28" s="32"/>
      <c r="V28" s="26"/>
      <c r="W28" s="32"/>
      <c r="X28" s="26"/>
      <c r="Y28" s="32"/>
      <c r="Z28" s="26"/>
      <c r="AA28" s="32"/>
      <c r="AB28" s="26"/>
      <c r="AC28" s="32"/>
    </row>
    <row r="29" spans="1:29" ht="16.5" customHeight="1">
      <c r="A29" s="119"/>
      <c r="B29" s="16" t="s">
        <v>4</v>
      </c>
      <c r="C29" s="16" t="s">
        <v>262</v>
      </c>
      <c r="D29" s="43" t="s">
        <v>366</v>
      </c>
      <c r="E29" s="10">
        <v>1650</v>
      </c>
      <c r="F29" s="26"/>
      <c r="G29" s="32"/>
      <c r="H29" s="26"/>
      <c r="I29" s="32"/>
      <c r="J29" s="26"/>
      <c r="K29" s="32"/>
      <c r="L29" s="26"/>
      <c r="M29" s="32"/>
      <c r="N29" s="26"/>
      <c r="O29" s="32"/>
      <c r="P29" s="26"/>
      <c r="Q29" s="32"/>
      <c r="R29" s="26"/>
      <c r="S29" s="32"/>
      <c r="T29" s="26"/>
      <c r="U29" s="32"/>
      <c r="V29" s="26"/>
      <c r="W29" s="32"/>
      <c r="X29" s="26"/>
      <c r="Y29" s="32"/>
      <c r="Z29" s="26"/>
      <c r="AA29" s="32"/>
      <c r="AB29" s="26"/>
      <c r="AC29" s="32"/>
    </row>
    <row r="30" spans="1:29" ht="16.5" customHeight="1">
      <c r="A30" s="119"/>
      <c r="B30" s="16" t="s">
        <v>4</v>
      </c>
      <c r="C30" s="16" t="s">
        <v>262</v>
      </c>
      <c r="D30" s="43" t="s">
        <v>370</v>
      </c>
      <c r="E30" s="10">
        <v>1650</v>
      </c>
      <c r="F30" s="26">
        <f>41.5+7</f>
        <v>48.5</v>
      </c>
      <c r="G30" s="32"/>
      <c r="H30" s="26">
        <f>32+17</f>
        <v>49</v>
      </c>
      <c r="I30" s="32"/>
      <c r="J30" s="26">
        <f>29+13.5</f>
        <v>42.5</v>
      </c>
      <c r="K30" s="32"/>
      <c r="L30" s="26">
        <f>24+12.5</f>
        <v>36.5</v>
      </c>
      <c r="M30" s="32"/>
      <c r="N30" s="26"/>
      <c r="O30" s="32"/>
      <c r="P30" s="26"/>
      <c r="Q30" s="32"/>
      <c r="R30" s="26"/>
      <c r="S30" s="32"/>
      <c r="T30" s="26"/>
      <c r="U30" s="32"/>
      <c r="V30" s="26"/>
      <c r="W30" s="32"/>
      <c r="X30" s="26"/>
      <c r="Y30" s="32"/>
      <c r="Z30" s="26"/>
      <c r="AA30" s="32"/>
      <c r="AB30" s="26"/>
      <c r="AC30" s="32"/>
    </row>
    <row r="31" spans="1:29" ht="16.5" customHeight="1">
      <c r="A31" s="119"/>
      <c r="B31" s="16" t="s">
        <v>4</v>
      </c>
      <c r="C31" s="16" t="s">
        <v>262</v>
      </c>
      <c r="D31" s="43" t="s">
        <v>466</v>
      </c>
      <c r="E31" s="10">
        <v>1650</v>
      </c>
      <c r="F31" s="26">
        <v>14.5</v>
      </c>
      <c r="G31" s="32"/>
      <c r="H31" s="26">
        <v>13.5</v>
      </c>
      <c r="I31" s="32"/>
      <c r="J31" s="26">
        <v>4</v>
      </c>
      <c r="K31" s="32"/>
      <c r="L31" s="26"/>
      <c r="M31" s="32"/>
      <c r="N31" s="26">
        <v>6</v>
      </c>
      <c r="O31" s="32"/>
      <c r="P31" s="26">
        <v>12</v>
      </c>
      <c r="Q31" s="32"/>
      <c r="R31" s="26"/>
      <c r="S31" s="32"/>
      <c r="T31" s="26"/>
      <c r="U31" s="32"/>
      <c r="V31" s="26"/>
      <c r="W31" s="32"/>
      <c r="X31" s="26"/>
      <c r="Y31" s="32"/>
      <c r="Z31" s="26"/>
      <c r="AA31" s="32"/>
      <c r="AB31" s="26"/>
      <c r="AC31" s="32"/>
    </row>
    <row r="32" spans="1:29" ht="16.5" customHeight="1">
      <c r="A32" s="119"/>
      <c r="B32" s="16" t="s">
        <v>4</v>
      </c>
      <c r="C32" s="16" t="s">
        <v>262</v>
      </c>
      <c r="D32" s="43" t="s">
        <v>399</v>
      </c>
      <c r="E32" s="10">
        <v>1650</v>
      </c>
      <c r="F32" s="26"/>
      <c r="G32" s="32"/>
      <c r="H32" s="26"/>
      <c r="I32" s="32"/>
      <c r="J32" s="26"/>
      <c r="K32" s="32"/>
      <c r="L32" s="26"/>
      <c r="M32" s="32"/>
      <c r="N32" s="26"/>
      <c r="O32" s="32"/>
      <c r="P32" s="26"/>
      <c r="Q32" s="32"/>
      <c r="R32" s="26"/>
      <c r="S32" s="32"/>
      <c r="T32" s="26"/>
      <c r="U32" s="32"/>
      <c r="V32" s="26"/>
      <c r="W32" s="32"/>
      <c r="X32" s="26"/>
      <c r="Y32" s="32"/>
      <c r="Z32" s="26"/>
      <c r="AA32" s="32"/>
      <c r="AB32" s="26"/>
      <c r="AC32" s="32"/>
    </row>
    <row r="33" spans="1:29" ht="16.5" customHeight="1">
      <c r="A33" s="119"/>
      <c r="B33" s="16" t="s">
        <v>500</v>
      </c>
      <c r="C33" s="16" t="s">
        <v>262</v>
      </c>
      <c r="D33" s="11" t="s">
        <v>471</v>
      </c>
      <c r="E33" s="10">
        <v>1650</v>
      </c>
      <c r="F33" s="26">
        <v>20</v>
      </c>
      <c r="G33" s="32"/>
      <c r="H33" s="26">
        <v>19</v>
      </c>
      <c r="I33" s="32"/>
      <c r="J33" s="26">
        <v>29.5</v>
      </c>
      <c r="K33" s="32"/>
      <c r="L33" s="26">
        <v>15.5</v>
      </c>
      <c r="M33" s="32"/>
      <c r="N33" s="26"/>
      <c r="O33" s="32"/>
      <c r="P33" s="26"/>
      <c r="Q33" s="32"/>
      <c r="R33" s="26"/>
      <c r="S33" s="32"/>
      <c r="T33" s="26"/>
      <c r="U33" s="32"/>
      <c r="V33" s="26"/>
      <c r="W33" s="32"/>
      <c r="X33" s="26"/>
      <c r="Y33" s="32"/>
      <c r="Z33" s="26"/>
      <c r="AA33" s="32"/>
      <c r="AB33" s="26"/>
      <c r="AC33" s="32"/>
    </row>
    <row r="34" spans="1:29" ht="16.5" customHeight="1">
      <c r="A34" s="119"/>
      <c r="B34" s="16" t="s">
        <v>4</v>
      </c>
      <c r="C34" s="16" t="s">
        <v>262</v>
      </c>
      <c r="D34" s="11" t="s">
        <v>472</v>
      </c>
      <c r="E34" s="10">
        <v>1650</v>
      </c>
      <c r="F34" s="26">
        <v>6</v>
      </c>
      <c r="G34" s="32"/>
      <c r="H34" s="26"/>
      <c r="I34" s="32"/>
      <c r="J34" s="26">
        <v>3</v>
      </c>
      <c r="K34" s="32"/>
      <c r="L34" s="26">
        <v>4</v>
      </c>
      <c r="M34" s="32"/>
      <c r="N34" s="26">
        <v>11</v>
      </c>
      <c r="O34" s="32"/>
      <c r="P34" s="26"/>
      <c r="Q34" s="32"/>
      <c r="R34" s="26"/>
      <c r="S34" s="32"/>
      <c r="T34" s="26"/>
      <c r="U34" s="32"/>
      <c r="V34" s="26"/>
      <c r="W34" s="32"/>
      <c r="X34" s="26"/>
      <c r="Y34" s="32"/>
      <c r="Z34" s="26"/>
      <c r="AA34" s="32"/>
      <c r="AB34" s="26"/>
      <c r="AC34" s="32"/>
    </row>
    <row r="35" spans="1:29" ht="16.5" customHeight="1">
      <c r="A35" s="119"/>
      <c r="B35" s="16" t="s">
        <v>4</v>
      </c>
      <c r="C35" s="16" t="s">
        <v>262</v>
      </c>
      <c r="D35" s="11" t="s">
        <v>512</v>
      </c>
      <c r="E35" s="10">
        <v>1650</v>
      </c>
      <c r="F35" s="26"/>
      <c r="G35" s="32"/>
      <c r="H35" s="26"/>
      <c r="I35" s="32"/>
      <c r="J35" s="26"/>
      <c r="K35" s="32"/>
      <c r="L35" s="26"/>
      <c r="M35" s="32"/>
      <c r="N35" s="26"/>
      <c r="O35" s="32"/>
      <c r="P35" s="26"/>
      <c r="Q35" s="32"/>
      <c r="R35" s="26"/>
      <c r="S35" s="32"/>
      <c r="T35" s="26"/>
      <c r="U35" s="32"/>
      <c r="V35" s="26"/>
      <c r="W35" s="32"/>
      <c r="X35" s="26"/>
      <c r="Y35" s="32"/>
      <c r="Z35" s="26"/>
      <c r="AA35" s="106"/>
      <c r="AB35" s="26"/>
      <c r="AC35" s="32"/>
    </row>
    <row r="36" spans="1:29" ht="16.5" customHeight="1">
      <c r="A36" s="119"/>
      <c r="B36" s="16" t="s">
        <v>4</v>
      </c>
      <c r="C36" s="16" t="s">
        <v>262</v>
      </c>
      <c r="D36" s="11" t="s">
        <v>513</v>
      </c>
      <c r="E36" s="10">
        <v>1650</v>
      </c>
      <c r="F36" s="26">
        <v>30</v>
      </c>
      <c r="G36" s="32"/>
      <c r="H36" s="26"/>
      <c r="I36" s="32"/>
      <c r="J36" s="26"/>
      <c r="K36" s="32"/>
      <c r="L36" s="26">
        <v>5</v>
      </c>
      <c r="M36" s="32"/>
      <c r="N36" s="26">
        <v>4</v>
      </c>
      <c r="O36" s="32"/>
      <c r="P36" s="26"/>
      <c r="Q36" s="32"/>
      <c r="R36" s="26"/>
      <c r="S36" s="32"/>
      <c r="T36" s="26"/>
      <c r="U36" s="32"/>
      <c r="V36" s="26"/>
      <c r="W36" s="32"/>
      <c r="X36" s="26"/>
      <c r="Y36" s="32"/>
      <c r="Z36" s="26"/>
      <c r="AA36" s="106"/>
      <c r="AB36" s="26"/>
      <c r="AC36" s="32"/>
    </row>
    <row r="37" spans="1:29" ht="16.5" customHeight="1">
      <c r="A37" s="119"/>
      <c r="B37" s="16" t="s">
        <v>4</v>
      </c>
      <c r="C37" s="16" t="s">
        <v>263</v>
      </c>
      <c r="D37" s="146" t="s">
        <v>545</v>
      </c>
      <c r="E37" s="143">
        <v>1650</v>
      </c>
      <c r="F37" s="144">
        <v>18.5</v>
      </c>
      <c r="G37" s="32" t="s">
        <v>539</v>
      </c>
      <c r="H37" s="26">
        <v>9.5</v>
      </c>
      <c r="I37" s="32"/>
      <c r="J37" s="26"/>
      <c r="K37" s="32"/>
      <c r="L37" s="26">
        <v>6</v>
      </c>
      <c r="M37" s="32"/>
      <c r="N37" s="26"/>
      <c r="O37" s="32"/>
      <c r="P37" s="26">
        <f>13.5+4.5</f>
        <v>18</v>
      </c>
      <c r="Q37" s="32"/>
      <c r="R37" s="26"/>
      <c r="S37" s="32"/>
      <c r="T37" s="26"/>
      <c r="U37" s="32"/>
      <c r="V37" s="26"/>
      <c r="W37" s="32"/>
      <c r="X37" s="26"/>
      <c r="Y37" s="32"/>
      <c r="Z37" s="26"/>
      <c r="AA37" s="32"/>
      <c r="AB37" s="26"/>
      <c r="AC37" s="32"/>
    </row>
    <row r="38" spans="1:29" ht="16.5" customHeight="1">
      <c r="A38" s="119"/>
      <c r="B38" s="16" t="s">
        <v>4</v>
      </c>
      <c r="C38" s="16" t="s">
        <v>568</v>
      </c>
      <c r="D38" s="11" t="s">
        <v>453</v>
      </c>
      <c r="E38" s="10">
        <v>1650</v>
      </c>
      <c r="F38" s="26"/>
      <c r="G38" s="32"/>
      <c r="H38" s="26">
        <v>15</v>
      </c>
      <c r="I38" s="32"/>
      <c r="J38" s="26"/>
      <c r="K38" s="32"/>
      <c r="L38" s="26">
        <v>12.5</v>
      </c>
      <c r="M38" s="32"/>
      <c r="N38" s="26">
        <f>36.5+4.5</f>
        <v>41</v>
      </c>
      <c r="O38" s="32"/>
      <c r="P38" s="26">
        <f>38.5+9</f>
        <v>47.5</v>
      </c>
      <c r="Q38" s="32"/>
      <c r="R38" s="26"/>
      <c r="S38" s="32"/>
      <c r="T38" s="26"/>
      <c r="U38" s="32"/>
      <c r="V38" s="26"/>
      <c r="W38" s="32"/>
      <c r="X38" s="26"/>
      <c r="Y38" s="32"/>
      <c r="Z38" s="26"/>
      <c r="AA38" s="32"/>
      <c r="AB38" s="26"/>
      <c r="AC38" s="32"/>
    </row>
    <row r="39" spans="1:29" ht="16.5" customHeight="1">
      <c r="A39" s="119"/>
      <c r="B39" s="16" t="s">
        <v>4</v>
      </c>
      <c r="C39" s="16" t="s">
        <v>263</v>
      </c>
      <c r="D39" s="146" t="s">
        <v>569</v>
      </c>
      <c r="E39" s="143">
        <v>1650</v>
      </c>
      <c r="F39" s="26"/>
      <c r="G39" s="32"/>
      <c r="H39" s="144">
        <v>22</v>
      </c>
      <c r="I39" s="32" t="s">
        <v>539</v>
      </c>
      <c r="J39" s="26"/>
      <c r="K39" s="32"/>
      <c r="L39" s="26"/>
      <c r="M39" s="32"/>
      <c r="N39" s="26"/>
      <c r="O39" s="32"/>
      <c r="P39" s="26"/>
      <c r="Q39" s="32"/>
      <c r="R39" s="26"/>
      <c r="S39" s="32"/>
      <c r="T39" s="26"/>
      <c r="U39" s="32"/>
      <c r="V39" s="26"/>
      <c r="W39" s="32"/>
      <c r="X39" s="26"/>
      <c r="Y39" s="32"/>
      <c r="Z39" s="26"/>
      <c r="AA39" s="32"/>
      <c r="AB39" s="26"/>
      <c r="AC39" s="32"/>
    </row>
    <row r="40" spans="1:29" ht="16.5" customHeight="1">
      <c r="A40" s="119"/>
      <c r="B40" s="16" t="s">
        <v>4</v>
      </c>
      <c r="C40" s="16" t="s">
        <v>263</v>
      </c>
      <c r="D40" s="146" t="s">
        <v>570</v>
      </c>
      <c r="E40" s="143">
        <v>1650</v>
      </c>
      <c r="F40" s="26"/>
      <c r="G40" s="32"/>
      <c r="H40" s="144">
        <v>16</v>
      </c>
      <c r="I40" s="32" t="s">
        <v>539</v>
      </c>
      <c r="J40" s="26">
        <v>12.5</v>
      </c>
      <c r="K40" s="32"/>
      <c r="L40" s="26"/>
      <c r="M40" s="32"/>
      <c r="N40" s="26"/>
      <c r="O40" s="32"/>
      <c r="P40" s="26"/>
      <c r="Q40" s="32"/>
      <c r="R40" s="26"/>
      <c r="S40" s="32"/>
      <c r="T40" s="26"/>
      <c r="U40" s="32"/>
      <c r="V40" s="26"/>
      <c r="W40" s="32"/>
      <c r="X40" s="26"/>
      <c r="Y40" s="32"/>
      <c r="Z40" s="26"/>
      <c r="AA40" s="32"/>
      <c r="AB40" s="26"/>
      <c r="AC40" s="32"/>
    </row>
    <row r="41" spans="1:29" ht="16.5" customHeight="1">
      <c r="A41" s="119"/>
      <c r="B41" s="16" t="s">
        <v>4</v>
      </c>
      <c r="C41" s="16" t="s">
        <v>263</v>
      </c>
      <c r="D41" s="146" t="s">
        <v>571</v>
      </c>
      <c r="E41" s="143">
        <v>1650</v>
      </c>
      <c r="F41" s="26"/>
      <c r="G41" s="32"/>
      <c r="H41" s="144">
        <v>34.25</v>
      </c>
      <c r="I41" s="32" t="s">
        <v>539</v>
      </c>
      <c r="J41" s="26">
        <v>17</v>
      </c>
      <c r="K41" s="32"/>
      <c r="L41" s="26">
        <v>5</v>
      </c>
      <c r="M41" s="32"/>
      <c r="N41" s="26"/>
      <c r="O41" s="32"/>
      <c r="P41" s="26"/>
      <c r="Q41" s="32"/>
      <c r="R41" s="26"/>
      <c r="S41" s="32"/>
      <c r="T41" s="26"/>
      <c r="U41" s="32"/>
      <c r="V41" s="26"/>
      <c r="W41" s="32"/>
      <c r="X41" s="26"/>
      <c r="Y41" s="32"/>
      <c r="Z41" s="26"/>
      <c r="AA41" s="32"/>
      <c r="AB41" s="26"/>
      <c r="AC41" s="32"/>
    </row>
    <row r="42" spans="1:29" ht="16.5" customHeight="1">
      <c r="A42" s="119"/>
      <c r="B42" s="16" t="s">
        <v>4</v>
      </c>
      <c r="C42" s="16" t="s">
        <v>263</v>
      </c>
      <c r="D42" s="146" t="s">
        <v>572</v>
      </c>
      <c r="E42" s="143">
        <v>1650</v>
      </c>
      <c r="F42" s="26"/>
      <c r="G42" s="32"/>
      <c r="H42" s="144">
        <v>23.5</v>
      </c>
      <c r="I42" s="32" t="s">
        <v>539</v>
      </c>
      <c r="J42" s="26"/>
      <c r="K42" s="32"/>
      <c r="L42" s="26"/>
      <c r="M42" s="32"/>
      <c r="N42" s="26"/>
      <c r="O42" s="32"/>
      <c r="P42" s="26"/>
      <c r="Q42" s="32"/>
      <c r="R42" s="26"/>
      <c r="S42" s="32"/>
      <c r="T42" s="26"/>
      <c r="U42" s="32"/>
      <c r="V42" s="26"/>
      <c r="W42" s="32"/>
      <c r="X42" s="26"/>
      <c r="Y42" s="32"/>
      <c r="Z42" s="26"/>
      <c r="AA42" s="32"/>
      <c r="AB42" s="26"/>
      <c r="AC42" s="32"/>
    </row>
    <row r="43" spans="1:29" ht="16.5" customHeight="1">
      <c r="A43" s="119"/>
      <c r="B43" s="16" t="s">
        <v>4</v>
      </c>
      <c r="C43" s="16" t="s">
        <v>263</v>
      </c>
      <c r="D43" s="146" t="s">
        <v>573</v>
      </c>
      <c r="E43" s="143">
        <v>1650</v>
      </c>
      <c r="F43" s="26"/>
      <c r="G43" s="32"/>
      <c r="H43" s="144">
        <v>24</v>
      </c>
      <c r="I43" s="32" t="s">
        <v>539</v>
      </c>
      <c r="J43" s="26"/>
      <c r="K43" s="32"/>
      <c r="L43" s="26"/>
      <c r="M43" s="32"/>
      <c r="N43" s="26"/>
      <c r="O43" s="32"/>
      <c r="P43" s="26"/>
      <c r="Q43" s="32"/>
      <c r="R43" s="26"/>
      <c r="S43" s="32"/>
      <c r="T43" s="26"/>
      <c r="U43" s="32"/>
      <c r="V43" s="26"/>
      <c r="W43" s="32"/>
      <c r="X43" s="26"/>
      <c r="Y43" s="32"/>
      <c r="Z43" s="26"/>
      <c r="AA43" s="32"/>
      <c r="AB43" s="26"/>
      <c r="AC43" s="32"/>
    </row>
    <row r="44" spans="1:29" ht="16.5" customHeight="1">
      <c r="A44" s="119"/>
      <c r="B44" s="16" t="s">
        <v>4</v>
      </c>
      <c r="C44" s="16" t="s">
        <v>568</v>
      </c>
      <c r="D44" s="142" t="s">
        <v>597</v>
      </c>
      <c r="E44" s="143">
        <v>1650</v>
      </c>
      <c r="F44" s="26"/>
      <c r="G44" s="32"/>
      <c r="H44" s="26"/>
      <c r="I44" s="32"/>
      <c r="J44" s="26"/>
      <c r="K44" s="32"/>
      <c r="L44" s="144">
        <v>15</v>
      </c>
      <c r="M44" s="32" t="s">
        <v>539</v>
      </c>
      <c r="N44" s="26"/>
      <c r="O44" s="32"/>
      <c r="P44" s="26">
        <v>22.5</v>
      </c>
      <c r="Q44" s="32"/>
      <c r="R44" s="26"/>
      <c r="S44" s="32"/>
      <c r="T44" s="26"/>
      <c r="U44" s="32"/>
      <c r="V44" s="26"/>
      <c r="W44" s="32"/>
      <c r="X44" s="26"/>
      <c r="Y44" s="32"/>
      <c r="Z44" s="26"/>
      <c r="AA44" s="32"/>
      <c r="AB44" s="26"/>
      <c r="AC44" s="32"/>
    </row>
    <row r="45" spans="1:29" ht="16.5" customHeight="1">
      <c r="A45" s="119"/>
      <c r="B45" s="16" t="s">
        <v>4</v>
      </c>
      <c r="C45" s="16" t="s">
        <v>568</v>
      </c>
      <c r="D45" s="142" t="s">
        <v>598</v>
      </c>
      <c r="E45" s="143">
        <v>1650</v>
      </c>
      <c r="F45" s="26"/>
      <c r="G45" s="32"/>
      <c r="H45" s="26"/>
      <c r="I45" s="32"/>
      <c r="J45" s="26"/>
      <c r="K45" s="32"/>
      <c r="L45" s="144">
        <v>3</v>
      </c>
      <c r="M45" s="32" t="s">
        <v>539</v>
      </c>
      <c r="N45" s="26"/>
      <c r="O45" s="32"/>
      <c r="P45" s="26"/>
      <c r="Q45" s="32"/>
      <c r="R45" s="26"/>
      <c r="S45" s="32"/>
      <c r="T45" s="26"/>
      <c r="U45" s="32"/>
      <c r="V45" s="26"/>
      <c r="W45" s="32"/>
      <c r="X45" s="26"/>
      <c r="Y45" s="32"/>
      <c r="Z45" s="26"/>
      <c r="AA45" s="32"/>
      <c r="AB45" s="26"/>
      <c r="AC45" s="32"/>
    </row>
    <row r="46" spans="1:29" ht="16.5" customHeight="1">
      <c r="A46" s="119"/>
      <c r="B46" s="16" t="s">
        <v>4</v>
      </c>
      <c r="C46" s="16" t="s">
        <v>568</v>
      </c>
      <c r="D46" s="142" t="s">
        <v>581</v>
      </c>
      <c r="E46" s="143">
        <v>1650</v>
      </c>
      <c r="F46" s="26"/>
      <c r="G46" s="32"/>
      <c r="H46" s="26"/>
      <c r="I46" s="32"/>
      <c r="J46" s="26"/>
      <c r="K46" s="32"/>
      <c r="L46" s="144">
        <v>6</v>
      </c>
      <c r="M46" s="32" t="s">
        <v>539</v>
      </c>
      <c r="N46" s="26">
        <f>30+13.5</f>
        <v>43.5</v>
      </c>
      <c r="O46" s="32"/>
      <c r="P46" s="26">
        <f>16+8</f>
        <v>24</v>
      </c>
      <c r="Q46" s="32"/>
      <c r="R46" s="26"/>
      <c r="S46" s="32"/>
      <c r="T46" s="26"/>
      <c r="U46" s="32"/>
      <c r="V46" s="26"/>
      <c r="W46" s="32"/>
      <c r="X46" s="26"/>
      <c r="Y46" s="32"/>
      <c r="Z46" s="26"/>
      <c r="AA46" s="32"/>
      <c r="AB46" s="26"/>
      <c r="AC46" s="32"/>
    </row>
    <row r="47" spans="1:29" ht="16.5" customHeight="1">
      <c r="A47" s="119"/>
      <c r="B47" s="16" t="s">
        <v>4</v>
      </c>
      <c r="C47" s="16" t="s">
        <v>568</v>
      </c>
      <c r="D47" s="142" t="s">
        <v>514</v>
      </c>
      <c r="E47" s="143">
        <v>1650</v>
      </c>
      <c r="F47" s="26"/>
      <c r="G47" s="32"/>
      <c r="H47" s="26"/>
      <c r="I47" s="32"/>
      <c r="J47" s="26"/>
      <c r="K47" s="32"/>
      <c r="L47" s="144">
        <v>5.5</v>
      </c>
      <c r="M47" s="32" t="s">
        <v>539</v>
      </c>
      <c r="N47" s="26"/>
      <c r="O47" s="32"/>
      <c r="P47" s="26"/>
      <c r="Q47" s="32"/>
      <c r="R47" s="26"/>
      <c r="S47" s="32"/>
      <c r="T47" s="26"/>
      <c r="U47" s="32"/>
      <c r="V47" s="26"/>
      <c r="W47" s="32"/>
      <c r="X47" s="26"/>
      <c r="Y47" s="32"/>
      <c r="Z47" s="26"/>
      <c r="AA47" s="106"/>
      <c r="AB47" s="26"/>
      <c r="AC47" s="32"/>
    </row>
    <row r="48" spans="1:29" ht="16.5" customHeight="1">
      <c r="A48" s="119"/>
      <c r="B48" s="16" t="s">
        <v>4</v>
      </c>
      <c r="C48" s="16" t="s">
        <v>568</v>
      </c>
      <c r="D48" s="142" t="s">
        <v>617</v>
      </c>
      <c r="E48" s="143">
        <v>1650</v>
      </c>
      <c r="F48" s="26"/>
      <c r="G48" s="32"/>
      <c r="H48" s="26"/>
      <c r="I48" s="32"/>
      <c r="J48" s="26"/>
      <c r="K48" s="32"/>
      <c r="L48" s="26"/>
      <c r="M48" s="32"/>
      <c r="N48" s="144">
        <f>38+17</f>
        <v>55</v>
      </c>
      <c r="O48" s="32" t="s">
        <v>539</v>
      </c>
      <c r="P48" s="26">
        <f>14+4.5</f>
        <v>18.5</v>
      </c>
      <c r="Q48" s="32"/>
      <c r="R48" s="26"/>
      <c r="S48" s="32"/>
      <c r="T48" s="26"/>
      <c r="U48" s="32"/>
      <c r="V48" s="26"/>
      <c r="W48" s="32"/>
      <c r="X48" s="26"/>
      <c r="Y48" s="32"/>
      <c r="Z48" s="26"/>
      <c r="AA48" s="106"/>
      <c r="AB48" s="26"/>
      <c r="AC48" s="32"/>
    </row>
    <row r="49" spans="1:29" ht="16.5" customHeight="1">
      <c r="A49" s="119"/>
      <c r="B49" s="16" t="s">
        <v>4</v>
      </c>
      <c r="C49" s="16" t="s">
        <v>568</v>
      </c>
      <c r="D49" s="142" t="s">
        <v>626</v>
      </c>
      <c r="E49" s="143">
        <v>1650</v>
      </c>
      <c r="F49" s="26"/>
      <c r="G49" s="32"/>
      <c r="H49" s="26"/>
      <c r="I49" s="32"/>
      <c r="J49" s="26"/>
      <c r="K49" s="32"/>
      <c r="L49" s="26"/>
      <c r="M49" s="32"/>
      <c r="N49" s="26"/>
      <c r="O49" s="32"/>
      <c r="P49" s="144">
        <v>15.5</v>
      </c>
      <c r="Q49" s="32" t="s">
        <v>539</v>
      </c>
      <c r="R49" s="26"/>
      <c r="S49" s="32"/>
      <c r="T49" s="26"/>
      <c r="U49" s="32"/>
      <c r="V49" s="26"/>
      <c r="W49" s="32"/>
      <c r="X49" s="26"/>
      <c r="Y49" s="32"/>
      <c r="Z49" s="26"/>
      <c r="AA49" s="106"/>
      <c r="AB49" s="26"/>
      <c r="AC49" s="32"/>
    </row>
    <row r="50" spans="1:29" ht="16.5" customHeight="1">
      <c r="A50" s="119"/>
      <c r="B50" s="16" t="s">
        <v>20</v>
      </c>
      <c r="C50" s="16" t="s">
        <v>263</v>
      </c>
      <c r="D50" s="11" t="s">
        <v>278</v>
      </c>
      <c r="E50" s="10">
        <v>1650</v>
      </c>
      <c r="F50" s="26">
        <f>70.75+92.5+126.5+22.5</f>
        <v>312.25</v>
      </c>
      <c r="G50" s="32"/>
      <c r="H50" s="26">
        <f>65.75+86.25+124.75+19.25</f>
        <v>296</v>
      </c>
      <c r="I50" s="32"/>
      <c r="J50" s="26">
        <f>72+96+128+22</f>
        <v>318</v>
      </c>
      <c r="K50" s="32"/>
      <c r="L50" s="26">
        <f>55.75+68.5+96.25+17.75</f>
        <v>238.25</v>
      </c>
      <c r="M50" s="32"/>
      <c r="N50" s="26">
        <f>72+89.75+120+24</f>
        <v>305.75</v>
      </c>
      <c r="O50" s="32"/>
      <c r="P50" s="26">
        <f>67.75+86.75+124.25+19.75</f>
        <v>298.5</v>
      </c>
      <c r="Q50" s="32"/>
      <c r="R50" s="26"/>
      <c r="S50" s="32"/>
      <c r="T50" s="26"/>
      <c r="U50" s="32"/>
      <c r="V50" s="26"/>
      <c r="W50" s="32"/>
      <c r="X50" s="26"/>
      <c r="Y50" s="32"/>
      <c r="Z50" s="26"/>
      <c r="AA50" s="32"/>
      <c r="AB50" s="26"/>
      <c r="AC50" s="32"/>
    </row>
    <row r="51" spans="1:29" ht="16.5" customHeight="1">
      <c r="A51" s="119"/>
      <c r="B51" s="16" t="s">
        <v>20</v>
      </c>
      <c r="C51" s="16" t="s">
        <v>263</v>
      </c>
      <c r="D51" s="11" t="s">
        <v>279</v>
      </c>
      <c r="E51" s="10">
        <v>1650</v>
      </c>
      <c r="F51" s="26">
        <f>51.75+53+140.25+3.75</f>
        <v>248.75</v>
      </c>
      <c r="G51" s="32"/>
      <c r="H51" s="26">
        <f>51.25+52+140.75+3.25</f>
        <v>247.25</v>
      </c>
      <c r="I51" s="32"/>
      <c r="J51" s="26">
        <f>52.25+56.25+139.75+4.25</f>
        <v>252.5</v>
      </c>
      <c r="K51" s="32"/>
      <c r="L51" s="26">
        <f>50.5+52.25+133.5+4.5</f>
        <v>240.75</v>
      </c>
      <c r="M51" s="32"/>
      <c r="N51" s="26">
        <f>52+55.75+132+6</f>
        <v>245.75</v>
      </c>
      <c r="O51" s="32"/>
      <c r="P51" s="26">
        <f>50+51+134+4</f>
        <v>239</v>
      </c>
      <c r="Q51" s="32"/>
      <c r="R51" s="26"/>
      <c r="S51" s="32"/>
      <c r="T51" s="26"/>
      <c r="U51" s="32"/>
      <c r="V51" s="26"/>
      <c r="W51" s="32"/>
      <c r="X51" s="26"/>
      <c r="Y51" s="32"/>
      <c r="Z51" s="26"/>
      <c r="AA51" s="32"/>
      <c r="AB51" s="26"/>
      <c r="AC51" s="32"/>
    </row>
    <row r="52" spans="1:29" ht="16.5" customHeight="1">
      <c r="A52" s="119"/>
      <c r="B52" s="16" t="s">
        <v>20</v>
      </c>
      <c r="C52" s="16" t="s">
        <v>263</v>
      </c>
      <c r="D52" s="11" t="s">
        <v>280</v>
      </c>
      <c r="E52" s="10">
        <v>1650</v>
      </c>
      <c r="F52" s="26">
        <f>3.25+3.75+4.75+1.25</f>
        <v>13</v>
      </c>
      <c r="G52" s="32"/>
      <c r="H52" s="26"/>
      <c r="I52" s="32"/>
      <c r="J52" s="26"/>
      <c r="K52" s="32"/>
      <c r="L52" s="26"/>
      <c r="M52" s="32"/>
      <c r="N52" s="26">
        <f>2.75+3.75+5.25+0.75</f>
        <v>12.5</v>
      </c>
      <c r="O52" s="32"/>
      <c r="P52" s="26"/>
      <c r="Q52" s="32"/>
      <c r="R52" s="26"/>
      <c r="S52" s="32"/>
      <c r="T52" s="26"/>
      <c r="U52" s="32"/>
      <c r="V52" s="26"/>
      <c r="W52" s="32"/>
      <c r="X52" s="26"/>
      <c r="Y52" s="32"/>
      <c r="Z52" s="26"/>
      <c r="AA52" s="32"/>
      <c r="AB52" s="26"/>
      <c r="AC52" s="32"/>
    </row>
    <row r="53" spans="1:29" ht="16.5" customHeight="1">
      <c r="A53" s="119"/>
      <c r="B53" s="16" t="s">
        <v>20</v>
      </c>
      <c r="C53" s="16" t="s">
        <v>263</v>
      </c>
      <c r="D53" s="11" t="s">
        <v>281</v>
      </c>
      <c r="E53" s="10">
        <v>1650</v>
      </c>
      <c r="F53" s="26">
        <f>46.25+39+137.75+0.25</f>
        <v>223.25</v>
      </c>
      <c r="G53" s="32"/>
      <c r="H53" s="26">
        <f>42+37.5+126</f>
        <v>205.5</v>
      </c>
      <c r="I53" s="32"/>
      <c r="J53" s="26">
        <f>47.5+43+144</f>
        <v>234.5</v>
      </c>
      <c r="K53" s="32"/>
      <c r="L53" s="26">
        <f>47.75+42.25+135.75+2.25</f>
        <v>228</v>
      </c>
      <c r="M53" s="32"/>
      <c r="N53" s="26">
        <f>50.25+45+141.8+2.25</f>
        <v>239.3</v>
      </c>
      <c r="O53" s="32"/>
      <c r="P53" s="26">
        <f>48.25+39.75+143.8+0.25</f>
        <v>232.05</v>
      </c>
      <c r="Q53" s="32"/>
      <c r="R53" s="26"/>
      <c r="S53" s="32"/>
      <c r="T53" s="26"/>
      <c r="U53" s="32"/>
      <c r="V53" s="26"/>
      <c r="W53" s="32"/>
      <c r="X53" s="26"/>
      <c r="Y53" s="32"/>
      <c r="Z53" s="26"/>
      <c r="AA53" s="32"/>
      <c r="AB53" s="26"/>
      <c r="AC53" s="32"/>
    </row>
    <row r="54" spans="1:29" ht="16.5" customHeight="1">
      <c r="A54" s="119"/>
      <c r="B54" s="16" t="s">
        <v>20</v>
      </c>
      <c r="C54" s="16" t="s">
        <v>263</v>
      </c>
      <c r="D54" s="11" t="s">
        <v>282</v>
      </c>
      <c r="E54" s="10">
        <v>1650</v>
      </c>
      <c r="F54" s="26">
        <f>43+39+125+1</f>
        <v>208</v>
      </c>
      <c r="G54" s="32"/>
      <c r="H54" s="26">
        <f>42.75+42.75+125.25+0.75</f>
        <v>211.5</v>
      </c>
      <c r="I54" s="32"/>
      <c r="J54" s="26">
        <f>42.75+44.75+125.25+0.75</f>
        <v>213.5</v>
      </c>
      <c r="K54" s="32"/>
      <c r="L54" s="26">
        <f>42.25+40+117.75+2.25</f>
        <v>202.25</v>
      </c>
      <c r="M54" s="32"/>
      <c r="N54" s="26">
        <f>10+9.25+30</f>
        <v>49.25</v>
      </c>
      <c r="O54" s="32"/>
      <c r="P54" s="26">
        <f>20+20.75+60</f>
        <v>100.75</v>
      </c>
      <c r="Q54" s="32"/>
      <c r="R54" s="26"/>
      <c r="S54" s="32"/>
      <c r="T54" s="26"/>
      <c r="U54" s="32"/>
      <c r="V54" s="26"/>
      <c r="W54" s="32"/>
      <c r="X54" s="26"/>
      <c r="Y54" s="32"/>
      <c r="Z54" s="26"/>
      <c r="AA54" s="32"/>
      <c r="AB54" s="26"/>
      <c r="AC54" s="32"/>
    </row>
    <row r="55" spans="1:29" ht="16.5" customHeight="1">
      <c r="A55" s="119"/>
      <c r="B55" s="16" t="s">
        <v>20</v>
      </c>
      <c r="C55" s="16" t="s">
        <v>263</v>
      </c>
      <c r="D55" s="11" t="s">
        <v>283</v>
      </c>
      <c r="E55" s="10">
        <v>1650</v>
      </c>
      <c r="F55" s="26">
        <f>44.75+41.75+131.25+0.75</f>
        <v>218.5</v>
      </c>
      <c r="G55" s="32"/>
      <c r="H55" s="26">
        <f>42.75+43.75+125.25+0.75</f>
        <v>212.5</v>
      </c>
      <c r="I55" s="32"/>
      <c r="J55" s="26">
        <f>47+43+127.25+0.75</f>
        <v>218</v>
      </c>
      <c r="K55" s="32"/>
      <c r="L55" s="26">
        <f>48.25+43.75+135.75+2.25</f>
        <v>230</v>
      </c>
      <c r="M55" s="32"/>
      <c r="N55" s="26">
        <f>48.5+43.5+135.5+2.5</f>
        <v>230</v>
      </c>
      <c r="O55" s="32"/>
      <c r="P55" s="26">
        <f>44.25+36.5+131.8+0.25</f>
        <v>212.8</v>
      </c>
      <c r="Q55" s="32"/>
      <c r="R55" s="26"/>
      <c r="S55" s="32"/>
      <c r="T55" s="26"/>
      <c r="U55" s="32"/>
      <c r="V55" s="26"/>
      <c r="W55" s="32"/>
      <c r="X55" s="26"/>
      <c r="Y55" s="32"/>
      <c r="Z55" s="26"/>
      <c r="AA55" s="32"/>
      <c r="AB55" s="26"/>
      <c r="AC55" s="32"/>
    </row>
    <row r="56" spans="1:29" ht="16.5" customHeight="1">
      <c r="A56" s="119"/>
      <c r="B56" s="16" t="s">
        <v>20</v>
      </c>
      <c r="C56" s="16" t="s">
        <v>263</v>
      </c>
      <c r="D56" s="11" t="s">
        <v>284</v>
      </c>
      <c r="E56" s="10">
        <v>1650</v>
      </c>
      <c r="F56" s="26">
        <f>50.25+73+141.75+2.25</f>
        <v>267.25</v>
      </c>
      <c r="G56" s="32"/>
      <c r="H56" s="26">
        <f>50+71+142+2</f>
        <v>265</v>
      </c>
      <c r="I56" s="32"/>
      <c r="J56" s="26">
        <f>52.75+76.25+147.25+2.75</f>
        <v>279</v>
      </c>
      <c r="K56" s="32"/>
      <c r="L56" s="26">
        <f>48.5+59.5+127+3.75</f>
        <v>238.75</v>
      </c>
      <c r="M56" s="32"/>
      <c r="N56" s="26">
        <f>58+80+142+8</f>
        <v>288</v>
      </c>
      <c r="O56" s="32"/>
      <c r="P56" s="26">
        <f>23.5+27.5+65.5+0.5</f>
        <v>117</v>
      </c>
      <c r="Q56" s="32"/>
      <c r="R56" s="26"/>
      <c r="S56" s="32"/>
      <c r="T56" s="26"/>
      <c r="U56" s="32"/>
      <c r="V56" s="26"/>
      <c r="W56" s="32"/>
      <c r="X56" s="26"/>
      <c r="Y56" s="32"/>
      <c r="Z56" s="26"/>
      <c r="AA56" s="32"/>
      <c r="AB56" s="26"/>
      <c r="AC56" s="32"/>
    </row>
    <row r="57" spans="1:29" ht="16.5" customHeight="1">
      <c r="A57" s="119"/>
      <c r="B57" s="16" t="s">
        <v>20</v>
      </c>
      <c r="C57" s="16" t="s">
        <v>263</v>
      </c>
      <c r="D57" s="11" t="s">
        <v>304</v>
      </c>
      <c r="E57" s="10">
        <v>1650</v>
      </c>
      <c r="F57" s="26"/>
      <c r="G57" s="32"/>
      <c r="H57" s="26"/>
      <c r="I57" s="32"/>
      <c r="J57" s="26"/>
      <c r="K57" s="32"/>
      <c r="L57" s="26"/>
      <c r="M57" s="32"/>
      <c r="N57" s="26"/>
      <c r="O57" s="32"/>
      <c r="P57" s="26"/>
      <c r="Q57" s="32"/>
      <c r="R57" s="26"/>
      <c r="S57" s="32"/>
      <c r="T57" s="26"/>
      <c r="U57" s="32"/>
      <c r="V57" s="26"/>
      <c r="W57" s="32"/>
      <c r="X57" s="26"/>
      <c r="Y57" s="32"/>
      <c r="Z57" s="26"/>
      <c r="AA57" s="32"/>
      <c r="AB57" s="26"/>
      <c r="AC57" s="32"/>
    </row>
    <row r="58" spans="1:29" ht="16.5" customHeight="1">
      <c r="A58" s="119"/>
      <c r="B58" s="16" t="s">
        <v>20</v>
      </c>
      <c r="C58" s="16" t="s">
        <v>263</v>
      </c>
      <c r="D58" s="11" t="s">
        <v>285</v>
      </c>
      <c r="E58" s="10">
        <v>1650</v>
      </c>
      <c r="F58" s="26">
        <f>13+0+68.25</f>
        <v>81.25</v>
      </c>
      <c r="G58" s="32"/>
      <c r="H58" s="26">
        <f>10+48</f>
        <v>58</v>
      </c>
      <c r="I58" s="32"/>
      <c r="J58" s="26">
        <f>13+58</f>
        <v>71</v>
      </c>
      <c r="K58" s="32"/>
      <c r="L58" s="26">
        <f>13+54.75</f>
        <v>67.75</v>
      </c>
      <c r="M58" s="32"/>
      <c r="N58" s="26">
        <f>11+52.75</f>
        <v>63.75</v>
      </c>
      <c r="O58" s="32"/>
      <c r="P58" s="26">
        <f>12.5+57</f>
        <v>69.5</v>
      </c>
      <c r="Q58" s="32"/>
      <c r="R58" s="26"/>
      <c r="S58" s="32"/>
      <c r="T58" s="26"/>
      <c r="U58" s="32"/>
      <c r="V58" s="26"/>
      <c r="W58" s="32"/>
      <c r="X58" s="26"/>
      <c r="Y58" s="32"/>
      <c r="Z58" s="26"/>
      <c r="AA58" s="32"/>
      <c r="AB58" s="26"/>
      <c r="AC58" s="32"/>
    </row>
    <row r="59" spans="1:29" ht="16.5" customHeight="1">
      <c r="A59" s="119"/>
      <c r="B59" s="16" t="s">
        <v>20</v>
      </c>
      <c r="C59" s="16" t="s">
        <v>263</v>
      </c>
      <c r="D59" s="11" t="s">
        <v>286</v>
      </c>
      <c r="E59" s="10">
        <v>1650</v>
      </c>
      <c r="F59" s="26">
        <f>102.75+79.5+105.25+50.75</f>
        <v>338.25</v>
      </c>
      <c r="G59" s="32"/>
      <c r="H59" s="26">
        <f>102.5+70.25+105.5+50.5</f>
        <v>328.75</v>
      </c>
      <c r="I59" s="32"/>
      <c r="J59" s="26">
        <f>108.5+64.5+99.5+56.5</f>
        <v>329</v>
      </c>
      <c r="K59" s="32"/>
      <c r="L59" s="26">
        <f>113.25+61.75+90.75+59.25</f>
        <v>325</v>
      </c>
      <c r="M59" s="32"/>
      <c r="N59" s="26">
        <f>107.75+63.25+92.25+57.75</f>
        <v>321</v>
      </c>
      <c r="O59" s="32"/>
      <c r="P59" s="26">
        <f>108.25+63+91.75+58.25</f>
        <v>321.25</v>
      </c>
      <c r="Q59" s="32"/>
      <c r="R59" s="26"/>
      <c r="S59" s="32"/>
      <c r="T59" s="26"/>
      <c r="U59" s="32"/>
      <c r="V59" s="26"/>
      <c r="W59" s="32"/>
      <c r="X59" s="26"/>
      <c r="Y59" s="32"/>
      <c r="Z59" s="26"/>
      <c r="AA59" s="32"/>
      <c r="AB59" s="26"/>
      <c r="AC59" s="32"/>
    </row>
    <row r="60" spans="1:29" ht="16.5" customHeight="1">
      <c r="A60" s="119"/>
      <c r="B60" s="188" t="s">
        <v>20</v>
      </c>
      <c r="C60" s="188" t="s">
        <v>263</v>
      </c>
      <c r="D60" s="189" t="s">
        <v>287</v>
      </c>
      <c r="E60" s="190">
        <v>1650</v>
      </c>
      <c r="F60" s="26"/>
      <c r="G60" s="32"/>
      <c r="H60" s="26"/>
      <c r="I60" s="32"/>
      <c r="J60" s="26"/>
      <c r="K60" s="32"/>
      <c r="L60" s="26"/>
      <c r="M60" s="32"/>
      <c r="N60" s="26"/>
      <c r="O60" s="32"/>
      <c r="P60" s="26"/>
      <c r="Q60" s="32"/>
      <c r="R60" s="26"/>
      <c r="S60" s="32"/>
      <c r="T60" s="26"/>
      <c r="U60" s="32"/>
      <c r="V60" s="26"/>
      <c r="W60" s="32"/>
      <c r="X60" s="26"/>
      <c r="Y60" s="32"/>
      <c r="Z60" s="26"/>
      <c r="AA60" s="32"/>
      <c r="AB60" s="26"/>
      <c r="AC60" s="32"/>
    </row>
    <row r="61" spans="1:29" ht="16.5" customHeight="1">
      <c r="A61" s="119"/>
      <c r="B61" s="16" t="s">
        <v>20</v>
      </c>
      <c r="C61" s="16" t="s">
        <v>263</v>
      </c>
      <c r="D61" s="11" t="s">
        <v>288</v>
      </c>
      <c r="E61" s="10">
        <v>1650</v>
      </c>
      <c r="F61" s="26">
        <f>55.25+84+144.75+5.25</f>
        <v>289.25</v>
      </c>
      <c r="G61" s="32"/>
      <c r="H61" s="26">
        <f>48.25+76.5+135.75+2.25</f>
        <v>262.75</v>
      </c>
      <c r="I61" s="32"/>
      <c r="J61" s="26">
        <f>40.25+57.75+118.5+1.5</f>
        <v>218</v>
      </c>
      <c r="K61" s="32"/>
      <c r="L61" s="26">
        <f>44.5+53.5+109.5+4.5</f>
        <v>212</v>
      </c>
      <c r="M61" s="32"/>
      <c r="N61" s="26">
        <f>60.5+83.75+139.5+10.5</f>
        <v>294.25</v>
      </c>
      <c r="O61" s="32"/>
      <c r="P61" s="26">
        <f>56.5+73+135.5+8.5</f>
        <v>273.5</v>
      </c>
      <c r="Q61" s="32"/>
      <c r="R61" s="26"/>
      <c r="S61" s="32"/>
      <c r="T61" s="26"/>
      <c r="U61" s="32"/>
      <c r="V61" s="26"/>
      <c r="W61" s="32"/>
      <c r="X61" s="26"/>
      <c r="Y61" s="32"/>
      <c r="Z61" s="26"/>
      <c r="AA61" s="32"/>
      <c r="AB61" s="26"/>
      <c r="AC61" s="32"/>
    </row>
    <row r="62" spans="1:29" ht="16.5" customHeight="1">
      <c r="A62" s="119"/>
      <c r="B62" s="16" t="s">
        <v>4</v>
      </c>
      <c r="C62" s="16" t="s">
        <v>568</v>
      </c>
      <c r="D62" s="142" t="s">
        <v>617</v>
      </c>
      <c r="E62" s="143">
        <v>1650</v>
      </c>
      <c r="F62" s="26"/>
      <c r="G62" s="32"/>
      <c r="H62" s="26"/>
      <c r="I62" s="32"/>
      <c r="J62" s="26"/>
      <c r="K62" s="32"/>
      <c r="L62" s="26"/>
      <c r="M62" s="32"/>
      <c r="N62" s="144">
        <f>7.5+0.5+4.5</f>
        <v>12.5</v>
      </c>
      <c r="O62" s="32" t="s">
        <v>539</v>
      </c>
      <c r="P62" s="26">
        <f>11.75+3.25+2.5</f>
        <v>17.5</v>
      </c>
      <c r="Q62" s="32"/>
      <c r="R62" s="26"/>
      <c r="S62" s="32"/>
      <c r="T62" s="26"/>
      <c r="U62" s="32"/>
      <c r="V62" s="26"/>
      <c r="W62" s="32"/>
      <c r="X62" s="26"/>
      <c r="Y62" s="32"/>
      <c r="Z62" s="26"/>
      <c r="AA62" s="106"/>
      <c r="AB62" s="26"/>
      <c r="AC62" s="32"/>
    </row>
    <row r="63" spans="1:29" ht="16.5" customHeight="1">
      <c r="A63" s="119"/>
      <c r="B63" s="16" t="s">
        <v>497</v>
      </c>
      <c r="C63" s="16" t="s">
        <v>263</v>
      </c>
      <c r="D63" s="11" t="s">
        <v>498</v>
      </c>
      <c r="E63" s="10">
        <v>1650</v>
      </c>
      <c r="F63" s="26">
        <f>52.5+70.75+139.5+4.5</f>
        <v>267.25</v>
      </c>
      <c r="G63" s="32"/>
      <c r="H63" s="26">
        <f>46.75+46.75+129.25+2.75</f>
        <v>225.5</v>
      </c>
      <c r="I63" s="32"/>
      <c r="J63" s="26">
        <f>48.25+48+135.75+2.25</f>
        <v>234.25</v>
      </c>
      <c r="K63" s="32"/>
      <c r="L63" s="26">
        <f>52.25+51+139.75+4.25</f>
        <v>247.25</v>
      </c>
      <c r="M63" s="32"/>
      <c r="N63" s="26">
        <f>54.25+55.25+137.75+6.25</f>
        <v>253.5</v>
      </c>
      <c r="O63" s="32"/>
      <c r="P63" s="26">
        <f>49.25+44.5+134.75+3.25</f>
        <v>231.75</v>
      </c>
      <c r="Q63" s="32"/>
      <c r="R63" s="26"/>
      <c r="S63" s="32"/>
      <c r="T63" s="26"/>
      <c r="U63" s="32"/>
      <c r="V63" s="26"/>
      <c r="W63" s="32"/>
      <c r="X63" s="26"/>
      <c r="Y63" s="32"/>
      <c r="Z63" s="26"/>
      <c r="AA63" s="32"/>
      <c r="AB63" s="26"/>
      <c r="AC63" s="32"/>
    </row>
    <row r="64" spans="1:29" ht="16.5" customHeight="1">
      <c r="A64" s="119"/>
      <c r="B64" s="16" t="s">
        <v>20</v>
      </c>
      <c r="C64" s="16" t="s">
        <v>263</v>
      </c>
      <c r="D64" s="11" t="s">
        <v>289</v>
      </c>
      <c r="E64" s="10">
        <v>1650</v>
      </c>
      <c r="F64" s="26">
        <f>27.5+40+76.5+1.5</f>
        <v>145.5</v>
      </c>
      <c r="G64" s="32"/>
      <c r="H64" s="26">
        <f>48+60.75+131+2</f>
        <v>241.75</v>
      </c>
      <c r="I64" s="32"/>
      <c r="J64" s="26">
        <f>49+64.25+135+3</f>
        <v>251.25</v>
      </c>
      <c r="K64" s="32"/>
      <c r="L64" s="26">
        <f>47.75+54.5+128.25+3.75</f>
        <v>234.25</v>
      </c>
      <c r="M64" s="32"/>
      <c r="N64" s="26">
        <f>54.25+68.25+137.75+6.25</f>
        <v>266.5</v>
      </c>
      <c r="O64" s="32"/>
      <c r="P64" s="26">
        <f>50.5+62.75+141.5+2.5</f>
        <v>257.25</v>
      </c>
      <c r="Q64" s="32"/>
      <c r="R64" s="26"/>
      <c r="S64" s="32"/>
      <c r="T64" s="26"/>
      <c r="U64" s="32"/>
      <c r="V64" s="26"/>
      <c r="W64" s="32"/>
      <c r="X64" s="26"/>
      <c r="Y64" s="32"/>
      <c r="Z64" s="26"/>
      <c r="AA64" s="32"/>
      <c r="AB64" s="26"/>
      <c r="AC64" s="32"/>
    </row>
    <row r="65" spans="1:29" ht="16.5" customHeight="1">
      <c r="A65" s="119"/>
      <c r="B65" s="16" t="s">
        <v>20</v>
      </c>
      <c r="C65" s="16" t="s">
        <v>263</v>
      </c>
      <c r="D65" s="11" t="s">
        <v>499</v>
      </c>
      <c r="E65" s="10">
        <v>1650</v>
      </c>
      <c r="F65" s="26"/>
      <c r="G65" s="32"/>
      <c r="H65" s="26"/>
      <c r="I65" s="32"/>
      <c r="J65" s="26"/>
      <c r="K65" s="32"/>
      <c r="L65" s="26"/>
      <c r="M65" s="32"/>
      <c r="N65" s="26"/>
      <c r="O65" s="32"/>
      <c r="P65" s="26"/>
      <c r="Q65" s="32"/>
      <c r="R65" s="26"/>
      <c r="S65" s="32"/>
      <c r="T65" s="26"/>
      <c r="U65" s="32"/>
      <c r="V65" s="26"/>
      <c r="W65" s="32"/>
      <c r="X65" s="26"/>
      <c r="Y65" s="32"/>
      <c r="Z65" s="26"/>
      <c r="AA65" s="32"/>
      <c r="AB65" s="26"/>
      <c r="AC65" s="32"/>
    </row>
    <row r="66" spans="1:29" ht="16.5" customHeight="1">
      <c r="A66" s="119"/>
      <c r="B66" s="16" t="s">
        <v>20</v>
      </c>
      <c r="C66" s="16" t="s">
        <v>568</v>
      </c>
      <c r="D66" s="142" t="s">
        <v>599</v>
      </c>
      <c r="E66" s="143">
        <v>1650</v>
      </c>
      <c r="F66" s="26"/>
      <c r="G66" s="32"/>
      <c r="H66" s="26"/>
      <c r="I66" s="32"/>
      <c r="J66" s="144">
        <v>43</v>
      </c>
      <c r="K66" s="32" t="s">
        <v>539</v>
      </c>
      <c r="L66" s="26">
        <v>84.75</v>
      </c>
      <c r="M66" s="32"/>
      <c r="N66" s="26">
        <f>125.5+4.5</f>
        <v>130</v>
      </c>
      <c r="O66" s="32"/>
      <c r="P66" s="26">
        <v>103.75</v>
      </c>
      <c r="Q66" s="32"/>
      <c r="R66" s="26"/>
      <c r="S66" s="32"/>
      <c r="T66" s="26"/>
      <c r="U66" s="32"/>
      <c r="V66" s="26"/>
      <c r="W66" s="32"/>
      <c r="X66" s="26"/>
      <c r="Y66" s="32"/>
      <c r="Z66" s="26"/>
      <c r="AA66" s="32"/>
      <c r="AB66" s="26"/>
      <c r="AC66" s="32"/>
    </row>
    <row r="67" spans="1:29" ht="16.5" customHeight="1">
      <c r="A67" s="119"/>
      <c r="B67" s="16" t="s">
        <v>20</v>
      </c>
      <c r="C67" s="16" t="s">
        <v>568</v>
      </c>
      <c r="D67" s="142" t="s">
        <v>582</v>
      </c>
      <c r="E67" s="143">
        <v>1650</v>
      </c>
      <c r="F67" s="26"/>
      <c r="G67" s="32"/>
      <c r="H67" s="26"/>
      <c r="I67" s="32"/>
      <c r="J67" s="144">
        <f>45+14.5+7.5</f>
        <v>67</v>
      </c>
      <c r="K67" s="32"/>
      <c r="L67" s="26">
        <f>42.5+13.5+15.75</f>
        <v>71.75</v>
      </c>
      <c r="M67" s="32"/>
      <c r="N67" s="26">
        <f>54.75+16.25+19.5</f>
        <v>90.5</v>
      </c>
      <c r="O67" s="32"/>
      <c r="P67" s="26">
        <f>48.25+12.75+20.25</f>
        <v>81.25</v>
      </c>
      <c r="Q67" s="32"/>
      <c r="R67" s="26"/>
      <c r="S67" s="32"/>
      <c r="T67" s="26"/>
      <c r="U67" s="32"/>
      <c r="V67" s="26"/>
      <c r="W67" s="32"/>
      <c r="X67" s="26"/>
      <c r="Y67" s="32"/>
      <c r="Z67" s="26"/>
      <c r="AA67" s="32"/>
      <c r="AB67" s="26"/>
      <c r="AC67" s="32"/>
    </row>
    <row r="68" spans="1:29" ht="16.5" customHeight="1">
      <c r="A68" s="119"/>
      <c r="B68" s="16" t="s">
        <v>20</v>
      </c>
      <c r="C68" s="16" t="s">
        <v>264</v>
      </c>
      <c r="D68" s="11" t="s">
        <v>277</v>
      </c>
      <c r="E68" s="10">
        <v>1650</v>
      </c>
      <c r="F68" s="26">
        <f>110.5+23.25+57.75+42.5</f>
        <v>234</v>
      </c>
      <c r="G68" s="32"/>
      <c r="H68" s="26">
        <f>61.75+12.5+40.75+24</f>
        <v>139</v>
      </c>
      <c r="I68" s="32"/>
      <c r="J68" s="26">
        <f>97+51.75+21.25</f>
        <v>170</v>
      </c>
      <c r="K68" s="32"/>
      <c r="L68" s="26">
        <f>77+32.75+19.25</f>
        <v>129</v>
      </c>
      <c r="M68" s="32"/>
      <c r="N68" s="26">
        <f>134+4.5+57.5+54</f>
        <v>250</v>
      </c>
      <c r="O68" s="32"/>
      <c r="P68" s="26">
        <f>110.75+12.5+61.5+34</f>
        <v>218.75</v>
      </c>
      <c r="Q68" s="32"/>
      <c r="R68" s="26"/>
      <c r="S68" s="32"/>
      <c r="T68" s="26"/>
      <c r="U68" s="32"/>
      <c r="V68" s="26"/>
      <c r="W68" s="32"/>
      <c r="X68" s="26"/>
      <c r="Y68" s="32"/>
      <c r="Z68" s="26"/>
      <c r="AA68" s="32"/>
      <c r="AB68" s="26"/>
      <c r="AC68" s="32"/>
    </row>
    <row r="69" spans="1:29" ht="16.5" customHeight="1">
      <c r="A69" s="119"/>
      <c r="B69" s="16" t="s">
        <v>20</v>
      </c>
      <c r="C69" s="16" t="s">
        <v>264</v>
      </c>
      <c r="D69" s="11" t="s">
        <v>400</v>
      </c>
      <c r="E69" s="10">
        <v>1650</v>
      </c>
      <c r="F69" s="26">
        <f>152+0+38.25+55.5</f>
        <v>245.75</v>
      </c>
      <c r="G69" s="32"/>
      <c r="H69" s="26">
        <f>162.5+0.5+39.75+70.25</f>
        <v>273</v>
      </c>
      <c r="I69" s="32"/>
      <c r="J69" s="26">
        <f>110+24.5+58</f>
        <v>192.5</v>
      </c>
      <c r="K69" s="32"/>
      <c r="L69" s="26"/>
      <c r="M69" s="32"/>
      <c r="N69" s="26">
        <f>110.5+25.25+61.5</f>
        <v>197.25</v>
      </c>
      <c r="O69" s="32"/>
      <c r="P69" s="26">
        <f>110.5+22.5+51</f>
        <v>184</v>
      </c>
      <c r="Q69" s="32"/>
      <c r="R69" s="26"/>
      <c r="S69" s="32"/>
      <c r="T69" s="26"/>
      <c r="U69" s="32"/>
      <c r="V69" s="26"/>
      <c r="W69" s="32"/>
      <c r="X69" s="26"/>
      <c r="Y69" s="32"/>
      <c r="Z69" s="26"/>
      <c r="AA69" s="32"/>
      <c r="AB69" s="26"/>
      <c r="AC69" s="32"/>
    </row>
    <row r="70" spans="1:29" ht="16.5" customHeight="1">
      <c r="A70" s="119"/>
      <c r="B70" s="16" t="s">
        <v>20</v>
      </c>
      <c r="C70" s="16" t="s">
        <v>264</v>
      </c>
      <c r="D70" s="11" t="s">
        <v>401</v>
      </c>
      <c r="E70" s="10">
        <v>1650</v>
      </c>
      <c r="F70" s="26">
        <f>89.25+30.25+57+46.75</f>
        <v>223.25</v>
      </c>
      <c r="G70" s="32"/>
      <c r="H70" s="26">
        <f>96.75+29.25+61.5+49.5</f>
        <v>237</v>
      </c>
      <c r="I70" s="32"/>
      <c r="J70" s="26">
        <f>95+33.25+65+55</f>
        <v>248.25</v>
      </c>
      <c r="K70" s="32"/>
      <c r="L70" s="26">
        <f>98.5+32.5+58.5+49.5</f>
        <v>239</v>
      </c>
      <c r="M70" s="32"/>
      <c r="N70" s="26">
        <f>95+38.25+65+54.5</f>
        <v>252.75</v>
      </c>
      <c r="O70" s="32"/>
      <c r="P70" s="26">
        <f>85.5+22.25+58.5+49.5</f>
        <v>215.75</v>
      </c>
      <c r="Q70" s="32"/>
      <c r="R70" s="26"/>
      <c r="S70" s="32"/>
      <c r="T70" s="26"/>
      <c r="U70" s="32"/>
      <c r="V70" s="26"/>
      <c r="W70" s="32"/>
      <c r="X70" s="26"/>
      <c r="Y70" s="32"/>
      <c r="Z70" s="26"/>
      <c r="AA70" s="32"/>
      <c r="AB70" s="26"/>
      <c r="AC70" s="32"/>
    </row>
    <row r="71" spans="1:29" ht="16.5" customHeight="1">
      <c r="A71" s="119"/>
      <c r="B71" s="16" t="s">
        <v>20</v>
      </c>
      <c r="C71" s="16" t="s">
        <v>264</v>
      </c>
      <c r="D71" s="11" t="s">
        <v>290</v>
      </c>
      <c r="E71" s="10">
        <v>1650</v>
      </c>
      <c r="F71" s="26"/>
      <c r="G71" s="32"/>
      <c r="H71" s="26"/>
      <c r="I71" s="32"/>
      <c r="J71" s="26"/>
      <c r="K71" s="32"/>
      <c r="L71" s="26"/>
      <c r="M71" s="32"/>
      <c r="N71" s="26"/>
      <c r="O71" s="32"/>
      <c r="P71" s="26"/>
      <c r="Q71" s="32"/>
      <c r="R71" s="26"/>
      <c r="S71" s="32"/>
      <c r="T71" s="26"/>
      <c r="U71" s="32"/>
      <c r="V71" s="26"/>
      <c r="W71" s="32"/>
      <c r="X71" s="26"/>
      <c r="Y71" s="32"/>
      <c r="Z71" s="26"/>
      <c r="AA71" s="32"/>
      <c r="AB71" s="26"/>
      <c r="AC71" s="32"/>
    </row>
    <row r="72" spans="1:29" ht="16.5" customHeight="1">
      <c r="A72" s="119"/>
      <c r="B72" s="16" t="s">
        <v>20</v>
      </c>
      <c r="C72" s="16" t="s">
        <v>264</v>
      </c>
      <c r="D72" s="11" t="s">
        <v>291</v>
      </c>
      <c r="E72" s="10">
        <v>1650</v>
      </c>
      <c r="F72" s="26"/>
      <c r="G72" s="32"/>
      <c r="H72" s="26"/>
      <c r="I72" s="32"/>
      <c r="J72" s="26"/>
      <c r="K72" s="32"/>
      <c r="L72" s="26"/>
      <c r="M72" s="32"/>
      <c r="N72" s="26"/>
      <c r="O72" s="32"/>
      <c r="P72" s="26"/>
      <c r="Q72" s="32"/>
      <c r="R72" s="26"/>
      <c r="S72" s="32"/>
      <c r="T72" s="26"/>
      <c r="U72" s="32"/>
      <c r="V72" s="26"/>
      <c r="W72" s="32"/>
      <c r="X72" s="26"/>
      <c r="Y72" s="32"/>
      <c r="Z72" s="26"/>
      <c r="AA72" s="32"/>
      <c r="AB72" s="26"/>
      <c r="AC72" s="32"/>
    </row>
    <row r="73" spans="1:29" ht="16.5" customHeight="1">
      <c r="A73" s="119"/>
      <c r="B73" s="68" t="s">
        <v>20</v>
      </c>
      <c r="C73" s="68" t="s">
        <v>264</v>
      </c>
      <c r="D73" s="97" t="s">
        <v>270</v>
      </c>
      <c r="E73" s="72">
        <v>1650</v>
      </c>
      <c r="F73" s="53"/>
      <c r="G73" s="54"/>
      <c r="H73" s="53"/>
      <c r="I73" s="54"/>
      <c r="J73" s="53">
        <f>16.25+7.25+5</f>
        <v>28.5</v>
      </c>
      <c r="K73" s="54"/>
      <c r="L73" s="53">
        <f>123.5+33.25+50.75</f>
        <v>207.5</v>
      </c>
      <c r="M73" s="54"/>
      <c r="N73" s="53">
        <f>167+40.25+81</f>
        <v>288.25</v>
      </c>
      <c r="O73" s="54"/>
      <c r="P73" s="53">
        <f>153+35+66.5</f>
        <v>254.5</v>
      </c>
      <c r="Q73" s="54"/>
      <c r="R73" s="53"/>
      <c r="S73" s="54"/>
      <c r="T73" s="53"/>
      <c r="U73" s="54"/>
      <c r="V73" s="53"/>
      <c r="W73" s="54"/>
      <c r="X73" s="53"/>
      <c r="Y73" s="54"/>
      <c r="Z73" s="53"/>
      <c r="AA73" s="54"/>
      <c r="AB73" s="53"/>
      <c r="AC73" s="54"/>
    </row>
    <row r="74" spans="1:29" ht="16.5" customHeight="1">
      <c r="A74" s="119"/>
      <c r="B74" s="16" t="s">
        <v>20</v>
      </c>
      <c r="C74" s="16" t="s">
        <v>435</v>
      </c>
      <c r="D74" s="11" t="s">
        <v>379</v>
      </c>
      <c r="E74" s="10">
        <v>1650</v>
      </c>
      <c r="F74" s="26">
        <f>4.75+10</f>
        <v>14.75</v>
      </c>
      <c r="G74" s="32"/>
      <c r="H74" s="26">
        <f>29.5+1+16.5+7.75</f>
        <v>54.75</v>
      </c>
      <c r="I74" s="32"/>
      <c r="J74" s="26">
        <f>35.25+20.75+9.25</f>
        <v>65.25</v>
      </c>
      <c r="K74" s="32"/>
      <c r="L74" s="26">
        <f>32.25+15.75+7.5</f>
        <v>55.5</v>
      </c>
      <c r="M74" s="32"/>
      <c r="N74" s="26">
        <f>35.25+20.25+10.5</f>
        <v>66</v>
      </c>
      <c r="O74" s="32"/>
      <c r="P74" s="26"/>
      <c r="Q74" s="32"/>
      <c r="R74" s="26"/>
      <c r="S74" s="32"/>
      <c r="T74" s="26"/>
      <c r="U74" s="32"/>
      <c r="V74" s="26"/>
      <c r="W74" s="32"/>
      <c r="X74" s="26"/>
      <c r="Y74" s="32"/>
      <c r="Z74" s="26"/>
      <c r="AA74" s="32"/>
      <c r="AB74" s="26"/>
      <c r="AC74" s="32"/>
    </row>
    <row r="75" spans="1:29" ht="16.5" customHeight="1">
      <c r="A75" s="119"/>
      <c r="B75" s="16" t="s">
        <v>20</v>
      </c>
      <c r="C75" s="16" t="s">
        <v>264</v>
      </c>
      <c r="D75" s="11" t="s">
        <v>292</v>
      </c>
      <c r="E75" s="10">
        <v>1650</v>
      </c>
      <c r="F75" s="26">
        <f>28.75+9+9.75</f>
        <v>47.5</v>
      </c>
      <c r="G75" s="32"/>
      <c r="H75" s="26">
        <f>51.75+0.5+19.75+24.25</f>
        <v>96.25</v>
      </c>
      <c r="I75" s="32"/>
      <c r="J75" s="26">
        <f>57.5+22+20.25</f>
        <v>99.75</v>
      </c>
      <c r="K75" s="32"/>
      <c r="L75" s="26">
        <f>51.75+20.25+20</f>
        <v>92</v>
      </c>
      <c r="M75" s="32"/>
      <c r="N75" s="26">
        <f>57.5+22.5+27.25</f>
        <v>107.25</v>
      </c>
      <c r="O75" s="32"/>
      <c r="P75" s="26">
        <f>46+18+20</f>
        <v>84</v>
      </c>
      <c r="Q75" s="32"/>
      <c r="R75" s="26"/>
      <c r="S75" s="32"/>
      <c r="T75" s="26"/>
      <c r="U75" s="32"/>
      <c r="V75" s="26"/>
      <c r="W75" s="32"/>
      <c r="X75" s="26"/>
      <c r="Y75" s="32"/>
      <c r="Z75" s="26"/>
      <c r="AA75" s="32"/>
      <c r="AB75" s="26"/>
      <c r="AC75" s="32"/>
    </row>
    <row r="76" spans="1:29" ht="16.5" customHeight="1">
      <c r="A76" s="119"/>
      <c r="B76" s="16" t="s">
        <v>20</v>
      </c>
      <c r="C76" s="16" t="s">
        <v>264</v>
      </c>
      <c r="D76" s="11" t="s">
        <v>293</v>
      </c>
      <c r="E76" s="10">
        <v>1650</v>
      </c>
      <c r="F76" s="26"/>
      <c r="G76" s="32"/>
      <c r="H76" s="26"/>
      <c r="I76" s="32"/>
      <c r="J76" s="26"/>
      <c r="K76" s="32"/>
      <c r="L76" s="26"/>
      <c r="M76" s="32"/>
      <c r="N76" s="26"/>
      <c r="O76" s="32"/>
      <c r="P76" s="26"/>
      <c r="Q76" s="32"/>
      <c r="R76" s="26"/>
      <c r="S76" s="32"/>
      <c r="T76" s="26"/>
      <c r="U76" s="32"/>
      <c r="V76" s="26"/>
      <c r="W76" s="32"/>
      <c r="X76" s="26"/>
      <c r="Y76" s="32"/>
      <c r="Z76" s="26"/>
      <c r="AA76" s="32"/>
      <c r="AB76" s="26"/>
      <c r="AC76" s="32"/>
    </row>
    <row r="77" spans="1:29" ht="16.5" customHeight="1">
      <c r="A77" s="119"/>
      <c r="B77" s="16" t="s">
        <v>20</v>
      </c>
      <c r="C77" s="16" t="s">
        <v>264</v>
      </c>
      <c r="D77" s="11" t="s">
        <v>294</v>
      </c>
      <c r="E77" s="10">
        <v>1650</v>
      </c>
      <c r="F77" s="26"/>
      <c r="G77" s="32"/>
      <c r="H77" s="26"/>
      <c r="I77" s="32"/>
      <c r="J77" s="26"/>
      <c r="K77" s="32"/>
      <c r="L77" s="26"/>
      <c r="M77" s="32"/>
      <c r="N77" s="26"/>
      <c r="O77" s="32"/>
      <c r="P77" s="26"/>
      <c r="Q77" s="32"/>
      <c r="R77" s="26"/>
      <c r="S77" s="32"/>
      <c r="T77" s="26"/>
      <c r="U77" s="32"/>
      <c r="V77" s="26"/>
      <c r="W77" s="32"/>
      <c r="X77" s="26"/>
      <c r="Y77" s="32"/>
      <c r="Z77" s="26"/>
      <c r="AA77" s="32"/>
      <c r="AB77" s="26"/>
      <c r="AC77" s="32"/>
    </row>
    <row r="78" spans="1:29" ht="16.5" customHeight="1">
      <c r="A78" s="119"/>
      <c r="B78" s="16" t="s">
        <v>20</v>
      </c>
      <c r="C78" s="16" t="s">
        <v>264</v>
      </c>
      <c r="D78" s="11" t="s">
        <v>295</v>
      </c>
      <c r="E78" s="10">
        <v>1650</v>
      </c>
      <c r="F78" s="26"/>
      <c r="G78" s="32"/>
      <c r="H78" s="26"/>
      <c r="I78" s="32"/>
      <c r="J78" s="26"/>
      <c r="K78" s="32"/>
      <c r="L78" s="26"/>
      <c r="M78" s="32"/>
      <c r="N78" s="26"/>
      <c r="O78" s="32"/>
      <c r="P78" s="26"/>
      <c r="Q78" s="32"/>
      <c r="R78" s="26"/>
      <c r="S78" s="32"/>
      <c r="T78" s="26"/>
      <c r="U78" s="32"/>
      <c r="V78" s="26"/>
      <c r="W78" s="32"/>
      <c r="X78" s="26"/>
      <c r="Y78" s="32"/>
      <c r="Z78" s="26"/>
      <c r="AA78" s="32"/>
      <c r="AB78" s="26"/>
      <c r="AC78" s="32"/>
    </row>
    <row r="79" spans="1:29" ht="16.5" customHeight="1">
      <c r="A79" s="119"/>
      <c r="B79" s="16" t="s">
        <v>20</v>
      </c>
      <c r="C79" s="16" t="s">
        <v>264</v>
      </c>
      <c r="D79" s="11" t="s">
        <v>336</v>
      </c>
      <c r="E79" s="10">
        <v>1650</v>
      </c>
      <c r="F79" s="26"/>
      <c r="G79" s="32"/>
      <c r="H79" s="26"/>
      <c r="I79" s="32"/>
      <c r="J79" s="26"/>
      <c r="K79" s="32"/>
      <c r="L79" s="26"/>
      <c r="M79" s="32"/>
      <c r="N79" s="26"/>
      <c r="O79" s="32"/>
      <c r="P79" s="26"/>
      <c r="Q79" s="32"/>
      <c r="R79" s="26"/>
      <c r="S79" s="32"/>
      <c r="T79" s="26"/>
      <c r="U79" s="32"/>
      <c r="V79" s="26"/>
      <c r="W79" s="32"/>
      <c r="X79" s="26"/>
      <c r="Y79" s="32"/>
      <c r="Z79" s="26"/>
      <c r="AA79" s="32"/>
      <c r="AB79" s="26"/>
      <c r="AC79" s="32"/>
    </row>
    <row r="80" spans="1:29" ht="16.5" customHeight="1">
      <c r="A80" s="119"/>
      <c r="B80" s="16" t="s">
        <v>20</v>
      </c>
      <c r="C80" s="16" t="s">
        <v>264</v>
      </c>
      <c r="D80" s="11" t="s">
        <v>335</v>
      </c>
      <c r="E80" s="10">
        <v>1650</v>
      </c>
      <c r="F80" s="26"/>
      <c r="G80" s="32"/>
      <c r="H80" s="26"/>
      <c r="I80" s="32"/>
      <c r="J80" s="26"/>
      <c r="K80" s="32"/>
      <c r="L80" s="26"/>
      <c r="M80" s="32"/>
      <c r="N80" s="26"/>
      <c r="O80" s="32"/>
      <c r="P80" s="26"/>
      <c r="Q80" s="32"/>
      <c r="R80" s="26"/>
      <c r="S80" s="32"/>
      <c r="T80" s="26"/>
      <c r="U80" s="32"/>
      <c r="V80" s="26"/>
      <c r="W80" s="32"/>
      <c r="X80" s="26"/>
      <c r="Y80" s="32"/>
      <c r="Z80" s="26"/>
      <c r="AA80" s="32"/>
      <c r="AB80" s="26"/>
      <c r="AC80" s="32"/>
    </row>
    <row r="81" spans="1:29" ht="16.5" customHeight="1">
      <c r="A81" s="119"/>
      <c r="B81" s="16" t="s">
        <v>20</v>
      </c>
      <c r="C81" s="16" t="s">
        <v>264</v>
      </c>
      <c r="D81" s="11" t="s">
        <v>272</v>
      </c>
      <c r="E81" s="10">
        <v>1650</v>
      </c>
      <c r="F81" s="26"/>
      <c r="G81" s="32"/>
      <c r="H81" s="26"/>
      <c r="I81" s="32"/>
      <c r="J81" s="26"/>
      <c r="K81" s="32"/>
      <c r="L81" s="26"/>
      <c r="M81" s="32"/>
      <c r="N81" s="26"/>
      <c r="O81" s="32"/>
      <c r="P81" s="26"/>
      <c r="Q81" s="32"/>
      <c r="R81" s="26"/>
      <c r="S81" s="32"/>
      <c r="T81" s="26"/>
      <c r="U81" s="32"/>
      <c r="V81" s="26"/>
      <c r="W81" s="32"/>
      <c r="X81" s="26"/>
      <c r="Y81" s="32"/>
      <c r="Z81" s="26"/>
      <c r="AA81" s="32"/>
      <c r="AB81" s="26"/>
      <c r="AC81" s="32"/>
    </row>
    <row r="82" spans="1:29" ht="16.5" customHeight="1">
      <c r="A82" s="119"/>
      <c r="B82" s="16" t="s">
        <v>20</v>
      </c>
      <c r="C82" s="16" t="s">
        <v>264</v>
      </c>
      <c r="D82" s="11" t="s">
        <v>273</v>
      </c>
      <c r="E82" s="10">
        <v>1650</v>
      </c>
      <c r="F82" s="26">
        <f>99.75+32+65+54.5</f>
        <v>251.25</v>
      </c>
      <c r="G82" s="32"/>
      <c r="H82" s="26"/>
      <c r="I82" s="32"/>
      <c r="J82" s="26"/>
      <c r="K82" s="32"/>
      <c r="L82" s="26"/>
      <c r="M82" s="32"/>
      <c r="N82" s="26"/>
      <c r="O82" s="32"/>
      <c r="P82" s="26"/>
      <c r="Q82" s="32"/>
      <c r="R82" s="26"/>
      <c r="S82" s="32"/>
      <c r="T82" s="26"/>
      <c r="U82" s="32"/>
      <c r="V82" s="26"/>
      <c r="W82" s="32"/>
      <c r="X82" s="26"/>
      <c r="Y82" s="32"/>
      <c r="Z82" s="26"/>
      <c r="AA82" s="32"/>
      <c r="AB82" s="26"/>
      <c r="AC82" s="32"/>
    </row>
    <row r="83" spans="1:29" ht="16.5" customHeight="1">
      <c r="A83" s="119"/>
      <c r="B83" s="16" t="s">
        <v>20</v>
      </c>
      <c r="C83" s="16" t="s">
        <v>264</v>
      </c>
      <c r="D83" s="11" t="s">
        <v>275</v>
      </c>
      <c r="E83" s="10">
        <v>1650</v>
      </c>
      <c r="F83" s="26"/>
      <c r="G83" s="32"/>
      <c r="H83" s="26"/>
      <c r="I83" s="32"/>
      <c r="J83" s="26">
        <f>90.25+18.75+50.75+30.5</f>
        <v>190.25</v>
      </c>
      <c r="K83" s="32"/>
      <c r="L83" s="26">
        <f>112.25+25.5+61.25+40.75</f>
        <v>239.75</v>
      </c>
      <c r="M83" s="32"/>
      <c r="N83" s="26">
        <f>107.5+30.75+67.5+44</f>
        <v>249.75</v>
      </c>
      <c r="O83" s="32"/>
      <c r="P83" s="26">
        <f>78+12.75+47+28</f>
        <v>165.75</v>
      </c>
      <c r="Q83" s="32"/>
      <c r="R83" s="26"/>
      <c r="S83" s="32"/>
      <c r="T83" s="26"/>
      <c r="U83" s="32"/>
      <c r="V83" s="26"/>
      <c r="W83" s="32"/>
      <c r="X83" s="26"/>
      <c r="Y83" s="32"/>
      <c r="Z83" s="26"/>
      <c r="AA83" s="32"/>
      <c r="AB83" s="26"/>
      <c r="AC83" s="32"/>
    </row>
    <row r="84" spans="1:29" ht="16.5" customHeight="1">
      <c r="A84" s="119"/>
      <c r="B84" s="16" t="s">
        <v>20</v>
      </c>
      <c r="C84" s="16" t="s">
        <v>264</v>
      </c>
      <c r="D84" s="11" t="s">
        <v>296</v>
      </c>
      <c r="E84" s="10">
        <v>1650</v>
      </c>
      <c r="F84" s="26"/>
      <c r="G84" s="32"/>
      <c r="H84" s="26"/>
      <c r="I84" s="32"/>
      <c r="J84" s="26"/>
      <c r="K84" s="32"/>
      <c r="L84" s="26"/>
      <c r="M84" s="32"/>
      <c r="N84" s="26"/>
      <c r="O84" s="32"/>
      <c r="P84" s="26"/>
      <c r="Q84" s="32"/>
      <c r="R84" s="26"/>
      <c r="S84" s="32"/>
      <c r="T84" s="26"/>
      <c r="U84" s="32"/>
      <c r="V84" s="26"/>
      <c r="W84" s="32"/>
      <c r="X84" s="26"/>
      <c r="Y84" s="32"/>
      <c r="Z84" s="26"/>
      <c r="AA84" s="32"/>
      <c r="AB84" s="26"/>
      <c r="AC84" s="32"/>
    </row>
    <row r="85" spans="1:29" ht="16.5" customHeight="1">
      <c r="A85" s="119"/>
      <c r="B85" s="16" t="s">
        <v>20</v>
      </c>
      <c r="C85" s="16" t="s">
        <v>264</v>
      </c>
      <c r="D85" s="11" t="s">
        <v>276</v>
      </c>
      <c r="E85" s="10">
        <v>1650</v>
      </c>
      <c r="F85" s="26"/>
      <c r="G85" s="32"/>
      <c r="H85" s="26"/>
      <c r="I85" s="32"/>
      <c r="J85" s="26"/>
      <c r="K85" s="32"/>
      <c r="L85" s="26"/>
      <c r="M85" s="32"/>
      <c r="N85" s="26"/>
      <c r="O85" s="32"/>
      <c r="P85" s="26"/>
      <c r="Q85" s="32"/>
      <c r="R85" s="26"/>
      <c r="S85" s="32"/>
      <c r="T85" s="26"/>
      <c r="U85" s="32"/>
      <c r="V85" s="26"/>
      <c r="W85" s="32"/>
      <c r="X85" s="26"/>
      <c r="Y85" s="32"/>
      <c r="Z85" s="26"/>
      <c r="AA85" s="32"/>
      <c r="AB85" s="26"/>
      <c r="AC85" s="32"/>
    </row>
    <row r="86" spans="1:29" ht="16.5" customHeight="1">
      <c r="A86" s="119"/>
      <c r="B86" s="16" t="s">
        <v>20</v>
      </c>
      <c r="C86" s="16" t="s">
        <v>264</v>
      </c>
      <c r="D86" s="11" t="s">
        <v>332</v>
      </c>
      <c r="E86" s="10">
        <v>1650</v>
      </c>
      <c r="F86" s="26">
        <f>69+1+26+15.25</f>
        <v>111.25</v>
      </c>
      <c r="G86" s="32"/>
      <c r="H86" s="26">
        <f>160+4.5+44.5+73.25</f>
        <v>282.25</v>
      </c>
      <c r="I86" s="32"/>
      <c r="J86" s="26">
        <f>152+44+61</f>
        <v>257</v>
      </c>
      <c r="K86" s="32"/>
      <c r="L86" s="26">
        <f>139.25+9.5+47.75+52.5</f>
        <v>249</v>
      </c>
      <c r="M86" s="32"/>
      <c r="N86" s="26">
        <f>114.75+29.75+68.5+49.25</f>
        <v>262.25</v>
      </c>
      <c r="O86" s="32"/>
      <c r="P86" s="26">
        <f>109.25+10.25+46.25+34.75</f>
        <v>200.5</v>
      </c>
      <c r="Q86" s="32"/>
      <c r="R86" s="26"/>
      <c r="S86" s="32"/>
      <c r="T86" s="26"/>
      <c r="U86" s="32"/>
      <c r="V86" s="26"/>
      <c r="W86" s="32"/>
      <c r="X86" s="26"/>
      <c r="Y86" s="32"/>
      <c r="Z86" s="26"/>
      <c r="AA86" s="32"/>
      <c r="AB86" s="26"/>
      <c r="AC86" s="32"/>
    </row>
    <row r="87" spans="1:29" ht="16.5" customHeight="1">
      <c r="A87" s="119"/>
      <c r="B87" s="16" t="s">
        <v>20</v>
      </c>
      <c r="C87" s="16" t="s">
        <v>264</v>
      </c>
      <c r="D87" s="11" t="s">
        <v>297</v>
      </c>
      <c r="E87" s="10">
        <v>1650</v>
      </c>
      <c r="F87" s="26">
        <f>125.5+37.25+35.5</f>
        <v>198.25</v>
      </c>
      <c r="G87" s="32"/>
      <c r="H87" s="26">
        <f>132.25+2+43+40</f>
        <v>217.25</v>
      </c>
      <c r="I87" s="32"/>
      <c r="J87" s="26">
        <f>108.5+2.5+37+35.5</f>
        <v>183.5</v>
      </c>
      <c r="K87" s="32"/>
      <c r="L87" s="26">
        <f>116.5+3+41+35.25</f>
        <v>195.75</v>
      </c>
      <c r="M87" s="32"/>
      <c r="N87" s="26">
        <f>87.75+18.25+47.75+46</f>
        <v>199.75</v>
      </c>
      <c r="O87" s="32"/>
      <c r="P87" s="26">
        <f>84.5+7.5+43.5+39.5</f>
        <v>175</v>
      </c>
      <c r="Q87" s="32"/>
      <c r="R87" s="26"/>
      <c r="S87" s="32"/>
      <c r="T87" s="26"/>
      <c r="U87" s="32"/>
      <c r="V87" s="26"/>
      <c r="W87" s="32"/>
      <c r="X87" s="26"/>
      <c r="Y87" s="32"/>
      <c r="Z87" s="26"/>
      <c r="AA87" s="32"/>
      <c r="AB87" s="26"/>
      <c r="AC87" s="32"/>
    </row>
    <row r="88" spans="1:29" ht="16.5" customHeight="1">
      <c r="A88" s="119"/>
      <c r="B88" s="16" t="s">
        <v>20</v>
      </c>
      <c r="C88" s="16" t="s">
        <v>264</v>
      </c>
      <c r="D88" s="11" t="s">
        <v>346</v>
      </c>
      <c r="E88" s="10">
        <v>1650</v>
      </c>
      <c r="F88" s="26">
        <v>84.5</v>
      </c>
      <c r="G88" s="32"/>
      <c r="H88" s="26">
        <f>117.5+23.5+70.75+47</f>
        <v>258.75</v>
      </c>
      <c r="I88" s="32"/>
      <c r="J88" s="26">
        <f>99+23.5+66.75+41.25</f>
        <v>230.5</v>
      </c>
      <c r="K88" s="32"/>
      <c r="L88" s="26">
        <f>96.5+21.5+62.75+39.75</f>
        <v>220.5</v>
      </c>
      <c r="M88" s="32"/>
      <c r="N88" s="26">
        <f>101.75+30.5+71.75+47.25</f>
        <v>251.25</v>
      </c>
      <c r="O88" s="32"/>
      <c r="P88" s="26">
        <f>107.25+17+72+39.25</f>
        <v>235.5</v>
      </c>
      <c r="Q88" s="32"/>
      <c r="R88" s="26"/>
      <c r="S88" s="32"/>
      <c r="T88" s="26"/>
      <c r="U88" s="32"/>
      <c r="V88" s="26"/>
      <c r="W88" s="32"/>
      <c r="X88" s="26"/>
      <c r="Y88" s="32"/>
      <c r="Z88" s="26"/>
      <c r="AA88" s="32"/>
      <c r="AC88" s="32"/>
    </row>
    <row r="89" spans="1:29" ht="16.5" customHeight="1">
      <c r="A89" s="119"/>
      <c r="B89" s="16" t="s">
        <v>20</v>
      </c>
      <c r="C89" s="16" t="s">
        <v>264</v>
      </c>
      <c r="D89" s="11" t="s">
        <v>367</v>
      </c>
      <c r="E89" s="10">
        <v>1650</v>
      </c>
      <c r="F89" s="26">
        <f>102.25+13+53.5+27.25</f>
        <v>196</v>
      </c>
      <c r="G89" s="32"/>
      <c r="H89" s="26">
        <f>93.5+14.75+49+30.25</f>
        <v>187.5</v>
      </c>
      <c r="I89" s="32"/>
      <c r="J89" s="26"/>
      <c r="K89" s="32"/>
      <c r="L89" s="26"/>
      <c r="M89" s="32"/>
      <c r="N89" s="26"/>
      <c r="O89" s="32"/>
      <c r="P89" s="26"/>
      <c r="Q89" s="32"/>
      <c r="R89" s="26"/>
      <c r="S89" s="32"/>
      <c r="T89" s="26"/>
      <c r="U89" s="32"/>
      <c r="V89" s="26"/>
      <c r="W89" s="32"/>
      <c r="X89" s="26"/>
      <c r="Y89" s="32"/>
      <c r="Z89" s="26"/>
      <c r="AA89" s="32"/>
      <c r="AB89" s="26"/>
      <c r="AC89" s="32"/>
    </row>
    <row r="90" spans="1:29" ht="16.5" customHeight="1">
      <c r="A90" s="119"/>
      <c r="B90" s="16" t="s">
        <v>20</v>
      </c>
      <c r="C90" s="16" t="s">
        <v>264</v>
      </c>
      <c r="D90" s="11" t="s">
        <v>368</v>
      </c>
      <c r="E90" s="10">
        <v>1650</v>
      </c>
      <c r="F90" s="26">
        <f>97.25+16.75+67.25+37.5</f>
        <v>218.75</v>
      </c>
      <c r="G90" s="32"/>
      <c r="H90" s="26">
        <f>93+17+62+36.25</f>
        <v>208.25</v>
      </c>
      <c r="I90" s="32"/>
      <c r="J90" s="26">
        <f>96.5+21.5+78.5+36.25</f>
        <v>232.75</v>
      </c>
      <c r="K90" s="32"/>
      <c r="L90" s="26">
        <f>97.25+20.25+78+40.25</f>
        <v>235.75</v>
      </c>
      <c r="M90" s="32"/>
      <c r="N90" s="26">
        <f>106+26+79+54</f>
        <v>265</v>
      </c>
      <c r="O90" s="32"/>
      <c r="P90" s="26">
        <f>107+7+62.5+29.75</f>
        <v>206.25</v>
      </c>
      <c r="Q90" s="32"/>
      <c r="R90" s="26"/>
      <c r="S90" s="32"/>
      <c r="T90" s="26"/>
      <c r="U90" s="32"/>
      <c r="V90" s="26"/>
      <c r="W90" s="32"/>
      <c r="X90" s="26"/>
      <c r="Y90" s="32"/>
      <c r="Z90" s="26"/>
      <c r="AA90" s="32"/>
      <c r="AB90" s="26"/>
      <c r="AC90" s="32"/>
    </row>
    <row r="91" spans="1:29" ht="16.5" customHeight="1">
      <c r="A91" s="119"/>
      <c r="B91" s="16" t="s">
        <v>20</v>
      </c>
      <c r="C91" s="16" t="s">
        <v>264</v>
      </c>
      <c r="D91" s="11" t="s">
        <v>369</v>
      </c>
      <c r="E91" s="10">
        <v>1650</v>
      </c>
      <c r="F91" s="26">
        <f>123.25+21.5+30.25</f>
        <v>175</v>
      </c>
      <c r="G91" s="32"/>
      <c r="H91" s="26">
        <f>89.5+21.25+36.5</f>
        <v>147.25</v>
      </c>
      <c r="I91" s="32"/>
      <c r="J91" s="26"/>
      <c r="K91" s="32"/>
      <c r="L91" s="26"/>
      <c r="M91" s="32"/>
      <c r="N91" s="26"/>
      <c r="O91" s="32"/>
      <c r="P91" s="26"/>
      <c r="Q91" s="32"/>
      <c r="R91" s="26"/>
      <c r="S91" s="32"/>
      <c r="T91" s="26"/>
      <c r="U91" s="32"/>
      <c r="V91" s="26"/>
      <c r="W91" s="32"/>
      <c r="X91" s="26"/>
      <c r="Y91" s="32"/>
      <c r="Z91" s="26"/>
      <c r="AA91" s="32"/>
      <c r="AB91" s="26"/>
      <c r="AC91" s="32"/>
    </row>
    <row r="92" spans="1:29" ht="16.5" customHeight="1">
      <c r="A92" s="119"/>
      <c r="B92" s="16" t="s">
        <v>20</v>
      </c>
      <c r="C92" s="16" t="s">
        <v>264</v>
      </c>
      <c r="D92" s="43" t="s">
        <v>465</v>
      </c>
      <c r="E92" s="10">
        <v>1650</v>
      </c>
      <c r="F92" s="26"/>
      <c r="G92" s="32"/>
      <c r="H92" s="26"/>
      <c r="I92" s="32"/>
      <c r="J92" s="26"/>
      <c r="K92" s="32"/>
      <c r="L92" s="26"/>
      <c r="M92" s="32"/>
      <c r="N92" s="26"/>
      <c r="O92" s="32"/>
      <c r="P92" s="26"/>
      <c r="Q92" s="32"/>
      <c r="R92" s="26"/>
      <c r="S92" s="32"/>
      <c r="T92" s="26"/>
      <c r="U92" s="32"/>
      <c r="V92" s="26"/>
      <c r="W92" s="32"/>
      <c r="X92" s="26"/>
      <c r="Y92" s="32"/>
      <c r="Z92" s="26"/>
      <c r="AA92" s="32"/>
      <c r="AB92" s="26"/>
      <c r="AC92" s="32"/>
    </row>
    <row r="93" spans="1:29" ht="16.5" customHeight="1">
      <c r="A93" s="119"/>
      <c r="B93" s="16" t="s">
        <v>20</v>
      </c>
      <c r="C93" s="16" t="s">
        <v>264</v>
      </c>
      <c r="D93" s="11" t="s">
        <v>370</v>
      </c>
      <c r="E93" s="10">
        <v>1650</v>
      </c>
      <c r="F93" s="26">
        <f>45.5+1+32.25+6.5</f>
        <v>85.25</v>
      </c>
      <c r="G93" s="32"/>
      <c r="H93" s="26">
        <f>93+1+57.25+16.5</f>
        <v>167.75</v>
      </c>
      <c r="I93" s="32"/>
      <c r="J93" s="26">
        <v>109</v>
      </c>
      <c r="K93" s="32"/>
      <c r="L93" s="26"/>
      <c r="M93" s="32"/>
      <c r="N93" s="26"/>
      <c r="O93" s="32"/>
      <c r="P93" s="26"/>
      <c r="Q93" s="32"/>
      <c r="R93" s="26"/>
      <c r="S93" s="32"/>
      <c r="T93" s="26"/>
      <c r="U93" s="32"/>
      <c r="V93" s="26"/>
      <c r="W93" s="32"/>
      <c r="X93" s="26"/>
      <c r="Y93" s="32"/>
      <c r="Z93" s="26"/>
      <c r="AA93" s="32"/>
      <c r="AB93" s="26"/>
      <c r="AC93" s="32"/>
    </row>
    <row r="94" spans="1:29" ht="16.5" customHeight="1">
      <c r="A94" s="119"/>
      <c r="B94" s="16" t="s">
        <v>20</v>
      </c>
      <c r="C94" s="16" t="s">
        <v>264</v>
      </c>
      <c r="D94" s="11" t="s">
        <v>308</v>
      </c>
      <c r="E94" s="10">
        <v>1650</v>
      </c>
      <c r="F94" s="26"/>
      <c r="G94" s="32"/>
      <c r="H94" s="26"/>
      <c r="I94" s="32"/>
      <c r="J94" s="26"/>
      <c r="K94" s="32"/>
      <c r="L94" s="26"/>
      <c r="M94" s="32"/>
      <c r="N94" s="26"/>
      <c r="O94" s="32"/>
      <c r="P94" s="26"/>
      <c r="Q94" s="32"/>
      <c r="R94" s="26"/>
      <c r="S94" s="32"/>
      <c r="T94" s="26"/>
      <c r="U94" s="32"/>
      <c r="V94" s="26"/>
      <c r="W94" s="32"/>
      <c r="X94" s="26"/>
      <c r="Y94" s="32"/>
      <c r="Z94" s="26"/>
      <c r="AA94" s="32"/>
      <c r="AB94" s="26"/>
      <c r="AC94" s="32"/>
    </row>
    <row r="95" spans="1:29" ht="16.5" customHeight="1">
      <c r="A95" s="119"/>
      <c r="B95" s="16" t="s">
        <v>20</v>
      </c>
      <c r="C95" s="16" t="s">
        <v>264</v>
      </c>
      <c r="D95" s="11" t="s">
        <v>389</v>
      </c>
      <c r="E95" s="10">
        <v>1650</v>
      </c>
      <c r="F95" s="26"/>
      <c r="G95" s="32"/>
      <c r="H95" s="26"/>
      <c r="I95" s="32"/>
      <c r="J95" s="26"/>
      <c r="K95" s="32"/>
      <c r="L95" s="26"/>
      <c r="M95" s="32"/>
      <c r="N95" s="26"/>
      <c r="O95" s="32"/>
      <c r="P95" s="26"/>
      <c r="Q95" s="32"/>
      <c r="R95" s="26"/>
      <c r="S95" s="32"/>
      <c r="T95" s="26"/>
      <c r="U95" s="32"/>
      <c r="V95" s="26"/>
      <c r="W95" s="32"/>
      <c r="X95" s="26"/>
      <c r="Y95" s="32"/>
      <c r="Z95" s="26"/>
      <c r="AA95" s="32"/>
      <c r="AB95" s="26"/>
      <c r="AC95" s="32"/>
    </row>
    <row r="96" spans="1:29" ht="16.5" customHeight="1">
      <c r="A96" s="119"/>
      <c r="B96" s="16" t="s">
        <v>20</v>
      </c>
      <c r="C96" s="16" t="s">
        <v>264</v>
      </c>
      <c r="D96" s="11" t="s">
        <v>268</v>
      </c>
      <c r="E96" s="10">
        <v>1650</v>
      </c>
      <c r="F96" s="26"/>
      <c r="G96" s="32"/>
      <c r="H96" s="26"/>
      <c r="I96" s="32"/>
      <c r="J96" s="26"/>
      <c r="K96" s="32"/>
      <c r="L96" s="26"/>
      <c r="M96" s="32"/>
      <c r="N96" s="26"/>
      <c r="O96" s="32"/>
      <c r="P96" s="26"/>
      <c r="Q96" s="32"/>
      <c r="R96" s="26"/>
      <c r="S96" s="32"/>
      <c r="T96" s="26"/>
      <c r="U96" s="32"/>
      <c r="V96" s="26"/>
      <c r="W96" s="32"/>
      <c r="X96" s="26"/>
      <c r="Y96" s="32"/>
      <c r="Z96" s="26"/>
      <c r="AA96" s="32"/>
      <c r="AB96" s="26"/>
      <c r="AC96" s="32"/>
    </row>
    <row r="97" spans="1:29" ht="16.5" customHeight="1">
      <c r="A97" s="119"/>
      <c r="B97" s="16" t="s">
        <v>20</v>
      </c>
      <c r="C97" s="16" t="s">
        <v>264</v>
      </c>
      <c r="D97" s="11" t="s">
        <v>371</v>
      </c>
      <c r="E97" s="10">
        <v>1650</v>
      </c>
      <c r="F97" s="26"/>
      <c r="G97" s="32"/>
      <c r="H97" s="26"/>
      <c r="I97" s="32"/>
      <c r="J97" s="26"/>
      <c r="K97" s="32"/>
      <c r="L97" s="26"/>
      <c r="M97" s="32"/>
      <c r="N97" s="26"/>
      <c r="O97" s="32"/>
      <c r="P97" s="26"/>
      <c r="Q97" s="32"/>
      <c r="R97" s="26"/>
      <c r="S97" s="32"/>
      <c r="T97" s="26"/>
      <c r="U97" s="32"/>
      <c r="V97" s="26"/>
      <c r="W97" s="32"/>
      <c r="X97" s="26"/>
      <c r="Y97" s="32"/>
      <c r="Z97" s="26"/>
      <c r="AA97" s="32"/>
      <c r="AB97" s="26"/>
      <c r="AC97" s="32"/>
    </row>
    <row r="98" spans="1:29" ht="16.5" customHeight="1">
      <c r="A98" s="119"/>
      <c r="B98" s="16" t="s">
        <v>20</v>
      </c>
      <c r="C98" s="16" t="s">
        <v>264</v>
      </c>
      <c r="D98" s="11" t="s">
        <v>387</v>
      </c>
      <c r="E98" s="10">
        <v>1650</v>
      </c>
      <c r="F98" s="26"/>
      <c r="G98" s="32"/>
      <c r="H98" s="26"/>
      <c r="I98" s="32"/>
      <c r="J98" s="26"/>
      <c r="K98" s="32"/>
      <c r="L98" s="26"/>
      <c r="M98" s="32"/>
      <c r="N98" s="26"/>
      <c r="O98" s="32"/>
      <c r="P98" s="26"/>
      <c r="Q98" s="32"/>
      <c r="R98" s="26"/>
      <c r="S98" s="32"/>
      <c r="T98" s="26"/>
      <c r="U98" s="32"/>
      <c r="V98" s="26"/>
      <c r="W98" s="32"/>
      <c r="X98" s="26"/>
      <c r="Y98" s="32"/>
      <c r="Z98" s="26"/>
      <c r="AA98" s="32"/>
      <c r="AB98" s="26"/>
      <c r="AC98" s="32"/>
    </row>
    <row r="99" spans="1:29" ht="16.5" customHeight="1">
      <c r="A99" s="119"/>
      <c r="B99" s="16" t="s">
        <v>20</v>
      </c>
      <c r="C99" s="16" t="s">
        <v>264</v>
      </c>
      <c r="D99" s="11" t="s">
        <v>471</v>
      </c>
      <c r="E99" s="10">
        <v>1650</v>
      </c>
      <c r="F99" s="26"/>
      <c r="G99" s="32"/>
      <c r="H99" s="26"/>
      <c r="I99" s="32"/>
      <c r="J99" s="26"/>
      <c r="K99" s="32"/>
      <c r="L99" s="26"/>
      <c r="M99" s="32"/>
      <c r="N99" s="26"/>
      <c r="O99" s="32"/>
      <c r="P99" s="26"/>
      <c r="Q99" s="32"/>
      <c r="R99" s="26"/>
      <c r="S99" s="32"/>
      <c r="T99" s="26"/>
      <c r="U99" s="32"/>
      <c r="V99" s="26"/>
      <c r="W99" s="32"/>
      <c r="X99" s="26"/>
      <c r="Y99" s="32"/>
      <c r="Z99" s="26"/>
      <c r="AA99" s="32"/>
      <c r="AB99" s="26"/>
      <c r="AC99" s="32"/>
    </row>
    <row r="100" spans="1:29" ht="16.5" customHeight="1">
      <c r="A100" s="119"/>
      <c r="B100" s="16" t="s">
        <v>20</v>
      </c>
      <c r="C100" s="16" t="s">
        <v>264</v>
      </c>
      <c r="D100" s="11" t="s">
        <v>399</v>
      </c>
      <c r="E100" s="10">
        <v>1650</v>
      </c>
      <c r="F100" s="26">
        <f>31.5+46+88.5+1.5</f>
        <v>167.5</v>
      </c>
      <c r="G100" s="32"/>
      <c r="H100" s="26">
        <f>50+65.25+142+2</f>
        <v>259.25</v>
      </c>
      <c r="I100" s="32"/>
      <c r="J100" s="26">
        <f>49.25+64+134.75+3</f>
        <v>251</v>
      </c>
      <c r="K100" s="32"/>
      <c r="L100" s="26">
        <f>49.75+56.75+134.25+3.75</f>
        <v>244.5</v>
      </c>
      <c r="M100" s="32"/>
      <c r="N100" s="26">
        <f>56.5+68.25+143.5+6.5</f>
        <v>274.75</v>
      </c>
      <c r="O100" s="32"/>
      <c r="P100" s="26">
        <f>49.25+60.75+134.3+3.75</f>
        <v>248.05</v>
      </c>
      <c r="Q100" s="32"/>
      <c r="R100" s="26"/>
      <c r="S100" s="32"/>
      <c r="T100" s="26"/>
      <c r="U100" s="32"/>
      <c r="V100" s="26"/>
      <c r="W100" s="32"/>
      <c r="X100" s="26"/>
      <c r="Y100" s="32"/>
      <c r="Z100" s="26"/>
      <c r="AA100" s="32"/>
      <c r="AB100" s="26"/>
      <c r="AC100" s="32"/>
    </row>
    <row r="101" spans="1:29" ht="16.5" customHeight="1">
      <c r="A101" s="119"/>
      <c r="B101" s="16" t="s">
        <v>20</v>
      </c>
      <c r="C101" s="16" t="s">
        <v>264</v>
      </c>
      <c r="D101" s="11" t="s">
        <v>453</v>
      </c>
      <c r="E101" s="10">
        <v>1650</v>
      </c>
      <c r="F101" s="26">
        <f>86.25+7.25+48.5+29.5</f>
        <v>171.5</v>
      </c>
      <c r="G101" s="32"/>
      <c r="H101" s="26">
        <f>97.25+14+53.25+35</f>
        <v>199.5</v>
      </c>
      <c r="I101" s="32"/>
      <c r="J101" s="26">
        <v>208.25</v>
      </c>
      <c r="K101" s="32"/>
      <c r="L101" s="26">
        <f>119.25+9+54.75+40.5</f>
        <v>223.5</v>
      </c>
      <c r="M101" s="32"/>
      <c r="N101" s="26">
        <f>94.75+6.5+46.5+35.5</f>
        <v>183.25</v>
      </c>
      <c r="O101" s="32"/>
      <c r="P101" s="26">
        <f>77.25+1+40.5+12.25</f>
        <v>131</v>
      </c>
      <c r="Q101" s="32"/>
      <c r="R101" s="26"/>
      <c r="S101" s="32"/>
      <c r="T101" s="26"/>
      <c r="U101" s="32"/>
      <c r="V101" s="26"/>
      <c r="W101" s="32"/>
      <c r="X101" s="26"/>
      <c r="Y101" s="32"/>
      <c r="Z101" s="26"/>
      <c r="AA101" s="32"/>
      <c r="AB101" s="26"/>
      <c r="AC101" s="32"/>
    </row>
    <row r="102" spans="1:29" ht="16.5" customHeight="1">
      <c r="A102" s="119"/>
      <c r="B102" s="16" t="s">
        <v>20</v>
      </c>
      <c r="C102" s="16" t="s">
        <v>264</v>
      </c>
      <c r="D102" s="11" t="s">
        <v>472</v>
      </c>
      <c r="E102" s="10">
        <v>1650</v>
      </c>
      <c r="F102" s="26">
        <f>36+20+4.25</f>
        <v>60.25</v>
      </c>
      <c r="G102" s="32"/>
      <c r="H102" s="26">
        <f>129+46</f>
        <v>175</v>
      </c>
      <c r="I102" s="32"/>
      <c r="J102" s="26">
        <f>146.75+34.25+59.5</f>
        <v>240.5</v>
      </c>
      <c r="K102" s="32"/>
      <c r="L102" s="26">
        <f>151.5+34+54.5</f>
        <v>240</v>
      </c>
      <c r="M102" s="32"/>
      <c r="N102" s="26">
        <f>144.5+35.75+65.25</f>
        <v>245.5</v>
      </c>
      <c r="O102" s="32"/>
      <c r="P102" s="26">
        <f>127.75+30.75+38</f>
        <v>196.5</v>
      </c>
      <c r="Q102" s="32"/>
      <c r="R102" s="26"/>
      <c r="S102" s="32"/>
      <c r="T102" s="26"/>
      <c r="U102" s="32"/>
      <c r="V102" s="26"/>
      <c r="W102" s="32"/>
      <c r="X102" s="26"/>
      <c r="Y102" s="32"/>
      <c r="Z102" s="26"/>
      <c r="AA102" s="32"/>
      <c r="AB102" s="26"/>
      <c r="AC102" s="32"/>
    </row>
    <row r="103" spans="1:29" ht="16.5" customHeight="1">
      <c r="A103" s="119"/>
      <c r="B103" s="16" t="s">
        <v>20</v>
      </c>
      <c r="C103" s="16" t="s">
        <v>264</v>
      </c>
      <c r="D103" s="11" t="s">
        <v>525</v>
      </c>
      <c r="E103" s="10">
        <v>1650</v>
      </c>
      <c r="F103" s="26">
        <f>122+19+9</f>
        <v>150</v>
      </c>
      <c r="G103" s="32"/>
      <c r="H103" s="26">
        <f>116.75+19.75+2.25</f>
        <v>138.75</v>
      </c>
      <c r="I103" s="32"/>
      <c r="J103" s="26">
        <f>58.5+11.25+4.75</f>
        <v>74.5</v>
      </c>
      <c r="K103" s="32"/>
      <c r="L103" s="26"/>
      <c r="M103" s="32"/>
      <c r="N103" s="26"/>
      <c r="O103" s="32"/>
      <c r="P103" s="26"/>
      <c r="Q103" s="32"/>
      <c r="R103" s="26"/>
      <c r="S103" s="32"/>
      <c r="T103" s="26"/>
      <c r="U103" s="32"/>
      <c r="V103" s="26"/>
      <c r="W103" s="32"/>
      <c r="X103" s="26"/>
      <c r="Y103" s="32"/>
      <c r="Z103" s="26"/>
      <c r="AA103" s="32"/>
      <c r="AB103" s="26"/>
      <c r="AC103" s="113"/>
    </row>
    <row r="104" spans="1:29" ht="16.5" customHeight="1">
      <c r="A104" s="119"/>
      <c r="B104" s="16" t="s">
        <v>20</v>
      </c>
      <c r="C104" s="16" t="s">
        <v>526</v>
      </c>
      <c r="D104" s="11" t="s">
        <v>513</v>
      </c>
      <c r="E104" s="10">
        <v>1650</v>
      </c>
      <c r="F104" s="26">
        <f>28.5+19.5+3</f>
        <v>51</v>
      </c>
      <c r="G104" s="32"/>
      <c r="H104" s="26">
        <f>47.5+3.5+32.5+14.5</f>
        <v>98</v>
      </c>
      <c r="I104" s="32"/>
      <c r="J104" s="26">
        <f>57+37.5+10.75</f>
        <v>105.25</v>
      </c>
      <c r="K104" s="32"/>
      <c r="L104" s="26">
        <f>36.25+16+3</f>
        <v>55.25</v>
      </c>
      <c r="M104" s="32"/>
      <c r="N104" s="26">
        <f>28.5+19+3.25</f>
        <v>50.75</v>
      </c>
      <c r="O104" s="32"/>
      <c r="P104" s="26">
        <f>33.25+20.25+0.25</f>
        <v>53.75</v>
      </c>
      <c r="Q104" s="32"/>
      <c r="R104" s="26"/>
      <c r="S104" s="32"/>
      <c r="T104" s="26"/>
      <c r="U104" s="32"/>
      <c r="V104" s="26"/>
      <c r="W104" s="32"/>
      <c r="X104" s="26"/>
      <c r="Y104" s="32"/>
      <c r="Z104" s="26"/>
      <c r="AA104" s="106"/>
      <c r="AB104" s="26"/>
      <c r="AC104" s="32"/>
    </row>
    <row r="105" spans="1:29" ht="16.5" customHeight="1">
      <c r="A105" s="119"/>
      <c r="B105" s="16" t="s">
        <v>20</v>
      </c>
      <c r="C105" s="16" t="s">
        <v>526</v>
      </c>
      <c r="D105" s="146" t="s">
        <v>570</v>
      </c>
      <c r="E105" s="143">
        <v>1650</v>
      </c>
      <c r="F105" s="26"/>
      <c r="G105" s="32"/>
      <c r="H105" s="144">
        <f>13.75+8.5+26.25+3.75</f>
        <v>52.25</v>
      </c>
      <c r="I105" s="32" t="s">
        <v>539</v>
      </c>
      <c r="J105" s="26">
        <f>29.75+18.25+42.25+11.75</f>
        <v>102</v>
      </c>
      <c r="K105" s="32"/>
      <c r="L105" s="26">
        <f>16.5+6.5+29+3.75</f>
        <v>55.75</v>
      </c>
      <c r="M105" s="32"/>
      <c r="N105" s="26"/>
      <c r="O105" s="32"/>
      <c r="P105" s="26"/>
      <c r="Q105" s="32"/>
      <c r="R105" s="26"/>
      <c r="S105" s="32"/>
      <c r="T105" s="26"/>
      <c r="U105" s="32"/>
      <c r="V105" s="26"/>
      <c r="W105" s="32"/>
      <c r="X105" s="26"/>
      <c r="Y105" s="32"/>
      <c r="Z105" s="26"/>
      <c r="AA105" s="32"/>
      <c r="AB105" s="26"/>
      <c r="AC105" s="32"/>
    </row>
    <row r="106" spans="1:29" ht="16.5" customHeight="1">
      <c r="A106" s="119"/>
      <c r="B106" s="16" t="s">
        <v>20</v>
      </c>
      <c r="C106" s="16" t="s">
        <v>526</v>
      </c>
      <c r="D106" s="146" t="s">
        <v>572</v>
      </c>
      <c r="E106" s="143">
        <v>1650</v>
      </c>
      <c r="F106" s="26"/>
      <c r="G106" s="32"/>
      <c r="H106" s="144">
        <f>2.75+5.25+0.25</f>
        <v>8.25</v>
      </c>
      <c r="I106" s="32" t="s">
        <v>539</v>
      </c>
      <c r="J106" s="26"/>
      <c r="K106" s="32"/>
      <c r="L106" s="26"/>
      <c r="M106" s="32"/>
      <c r="N106" s="26"/>
      <c r="O106" s="32"/>
      <c r="P106" s="26"/>
      <c r="Q106" s="32"/>
      <c r="R106" s="26"/>
      <c r="S106" s="32"/>
      <c r="T106" s="26"/>
      <c r="U106" s="32"/>
      <c r="V106" s="26"/>
      <c r="W106" s="32"/>
      <c r="X106" s="26"/>
      <c r="Y106" s="32"/>
      <c r="Z106" s="26"/>
      <c r="AA106" s="32"/>
      <c r="AB106" s="26"/>
      <c r="AC106" s="32"/>
    </row>
    <row r="107" spans="1:29" ht="16.5" customHeight="1">
      <c r="A107" s="119"/>
      <c r="B107" s="16" t="s">
        <v>20</v>
      </c>
      <c r="C107" s="16" t="s">
        <v>526</v>
      </c>
      <c r="D107" s="146" t="s">
        <v>573</v>
      </c>
      <c r="E107" s="143">
        <v>1650</v>
      </c>
      <c r="F107" s="26"/>
      <c r="G107" s="32"/>
      <c r="H107" s="144">
        <f>2.75+5.25+0.25</f>
        <v>8.25</v>
      </c>
      <c r="I107" s="32" t="s">
        <v>539</v>
      </c>
      <c r="J107" s="26"/>
      <c r="K107" s="32"/>
      <c r="L107" s="26"/>
      <c r="M107" s="32"/>
      <c r="N107" s="26"/>
      <c r="O107" s="32"/>
      <c r="P107" s="26"/>
      <c r="Q107" s="32"/>
      <c r="R107" s="26"/>
      <c r="S107" s="32"/>
      <c r="T107" s="26"/>
      <c r="U107" s="32"/>
      <c r="V107" s="26"/>
      <c r="W107" s="32"/>
      <c r="X107" s="26"/>
      <c r="Y107" s="32"/>
      <c r="Z107" s="26"/>
      <c r="AA107" s="32"/>
      <c r="AB107" s="26"/>
      <c r="AC107" s="32"/>
    </row>
    <row r="108" spans="1:29" ht="16.5" customHeight="1">
      <c r="A108" s="119"/>
      <c r="B108" s="16" t="s">
        <v>20</v>
      </c>
      <c r="C108" s="16" t="s">
        <v>526</v>
      </c>
      <c r="D108" s="146" t="s">
        <v>545</v>
      </c>
      <c r="E108" s="143">
        <v>1650</v>
      </c>
      <c r="F108" s="144">
        <f>26.5+21.5+1.5</f>
        <v>49.5</v>
      </c>
      <c r="G108" s="32" t="s">
        <v>539</v>
      </c>
      <c r="H108" s="26">
        <f>47.75+1+22.5+7</f>
        <v>78.25</v>
      </c>
      <c r="I108" s="32"/>
      <c r="J108" s="26">
        <f>97.25+59+13</f>
        <v>169.25</v>
      </c>
      <c r="K108" s="32"/>
      <c r="L108" s="26">
        <f>81.5+45+11.5</f>
        <v>138</v>
      </c>
      <c r="M108" s="32"/>
      <c r="N108" s="26">
        <f>109+63.5+30.25</f>
        <v>202.75</v>
      </c>
      <c r="O108" s="32"/>
      <c r="P108" s="26">
        <f>78.25+30.75+14.75</f>
        <v>123.75</v>
      </c>
      <c r="Q108" s="32"/>
      <c r="R108" s="26"/>
      <c r="S108" s="32"/>
      <c r="T108" s="26"/>
      <c r="U108" s="32"/>
      <c r="V108" s="26"/>
      <c r="W108" s="32"/>
      <c r="X108" s="26"/>
      <c r="Y108" s="32"/>
      <c r="Z108" s="26"/>
      <c r="AA108" s="32"/>
      <c r="AB108" s="26"/>
      <c r="AC108" s="32"/>
    </row>
    <row r="109" spans="1:29" ht="16.5" customHeight="1">
      <c r="A109" s="119"/>
      <c r="B109" s="16" t="s">
        <v>20</v>
      </c>
      <c r="C109" s="16" t="s">
        <v>264</v>
      </c>
      <c r="D109" s="11" t="s">
        <v>580</v>
      </c>
      <c r="E109" s="10">
        <v>1650</v>
      </c>
      <c r="F109" s="26">
        <v>71.25</v>
      </c>
      <c r="G109" s="32"/>
      <c r="H109" s="26">
        <v>287</v>
      </c>
      <c r="I109" s="32"/>
      <c r="J109" s="26">
        <f>51.5+83.5+140.5+3.5</f>
        <v>279</v>
      </c>
      <c r="K109" s="32"/>
      <c r="L109" s="26">
        <f>54.25+74+129.75+8.25</f>
        <v>266.25</v>
      </c>
      <c r="M109" s="32"/>
      <c r="N109" s="26">
        <v>296.75</v>
      </c>
      <c r="O109" s="32"/>
      <c r="P109" s="26">
        <f>57.75+75.5+134.25+9.75</f>
        <v>277.25</v>
      </c>
      <c r="Q109" s="32"/>
      <c r="R109" s="26"/>
      <c r="S109" s="32"/>
      <c r="T109" s="26"/>
      <c r="U109" s="32"/>
      <c r="V109" s="26"/>
      <c r="W109" s="32"/>
      <c r="X109" s="26"/>
      <c r="Y109" s="32"/>
      <c r="Z109" s="26"/>
      <c r="AA109" s="32"/>
      <c r="AB109" s="26"/>
      <c r="AC109" s="32"/>
    </row>
    <row r="110" spans="1:29" ht="16.5" customHeight="1">
      <c r="A110" s="119"/>
      <c r="B110" s="16" t="s">
        <v>20</v>
      </c>
      <c r="C110" s="16" t="s">
        <v>435</v>
      </c>
      <c r="D110" s="142" t="s">
        <v>581</v>
      </c>
      <c r="E110" s="143">
        <v>1650</v>
      </c>
      <c r="F110" s="26"/>
      <c r="G110" s="32"/>
      <c r="H110" s="26"/>
      <c r="I110" s="32"/>
      <c r="J110" s="144">
        <f>70.5+42.75+2.5</f>
        <v>115.75</v>
      </c>
      <c r="K110" s="32" t="s">
        <v>539</v>
      </c>
      <c r="L110" s="26">
        <f>88.75+53+6.25</f>
        <v>148</v>
      </c>
      <c r="M110" s="32"/>
      <c r="N110" s="26">
        <f>86.75+3+55+15.5</f>
        <v>160.25</v>
      </c>
      <c r="O110" s="32"/>
      <c r="P110" s="26">
        <f>78.5+42.75+5</f>
        <v>126.25</v>
      </c>
      <c r="Q110" s="32"/>
      <c r="R110" s="26"/>
      <c r="S110" s="32"/>
      <c r="T110" s="26"/>
      <c r="U110" s="32"/>
      <c r="V110" s="26"/>
      <c r="W110" s="32"/>
      <c r="X110" s="26"/>
      <c r="Y110" s="32"/>
      <c r="Z110" s="26"/>
      <c r="AA110" s="32"/>
      <c r="AB110" s="26"/>
      <c r="AC110" s="32"/>
    </row>
    <row r="111" spans="1:29" ht="16.5" customHeight="1">
      <c r="A111" s="119"/>
      <c r="B111" s="16" t="s">
        <v>20</v>
      </c>
      <c r="C111" s="16" t="s">
        <v>435</v>
      </c>
      <c r="D111" s="142" t="s">
        <v>514</v>
      </c>
      <c r="E111" s="143">
        <v>1650</v>
      </c>
      <c r="F111" s="26"/>
      <c r="G111" s="32"/>
      <c r="H111" s="26"/>
      <c r="I111" s="32"/>
      <c r="J111" s="144">
        <f>4.75+3.25+0.75</f>
        <v>8.75</v>
      </c>
      <c r="K111" s="32" t="s">
        <v>539</v>
      </c>
      <c r="L111" s="26">
        <f>9.5+6.25+1.25</f>
        <v>17</v>
      </c>
      <c r="M111" s="32"/>
      <c r="N111" s="26"/>
      <c r="O111" s="32"/>
      <c r="P111" s="26">
        <f>30+39.75+0</f>
        <v>69.75</v>
      </c>
      <c r="Q111" s="32"/>
      <c r="R111" s="26"/>
      <c r="S111" s="32"/>
      <c r="T111" s="26"/>
      <c r="U111" s="32"/>
      <c r="V111" s="26"/>
      <c r="W111" s="32"/>
      <c r="X111" s="26"/>
      <c r="Y111" s="32"/>
      <c r="Z111" s="26"/>
      <c r="AA111" s="106"/>
      <c r="AB111" s="26"/>
      <c r="AC111" s="32"/>
    </row>
    <row r="112" spans="1:29" ht="16.5" customHeight="1">
      <c r="A112" s="119"/>
      <c r="B112" s="16" t="s">
        <v>20</v>
      </c>
      <c r="C112" s="16" t="s">
        <v>435</v>
      </c>
      <c r="D112" s="142" t="s">
        <v>597</v>
      </c>
      <c r="E112" s="143">
        <v>1650</v>
      </c>
      <c r="F112" s="26"/>
      <c r="G112" s="32"/>
      <c r="H112" s="26"/>
      <c r="I112" s="32"/>
      <c r="J112" s="26"/>
      <c r="K112" s="32"/>
      <c r="L112" s="144">
        <f>39.5+34+0.25</f>
        <v>73.75</v>
      </c>
      <c r="M112" s="32" t="s">
        <v>539</v>
      </c>
      <c r="N112" s="26">
        <f>54.25+52+1</f>
        <v>107.25</v>
      </c>
      <c r="O112" s="32"/>
      <c r="P112" s="26">
        <f>55.25+52.75+0.5</f>
        <v>108.5</v>
      </c>
      <c r="Q112" s="32"/>
      <c r="R112" s="26"/>
      <c r="S112" s="32"/>
      <c r="T112" s="26"/>
      <c r="U112" s="32"/>
      <c r="V112" s="26"/>
      <c r="W112" s="32"/>
      <c r="X112" s="26"/>
      <c r="Y112" s="32"/>
      <c r="Z112" s="26"/>
      <c r="AA112" s="32"/>
      <c r="AB112" s="26"/>
      <c r="AC112" s="32"/>
    </row>
    <row r="113" spans="1:29" ht="16.5" customHeight="1">
      <c r="A113" s="119"/>
      <c r="B113" s="16" t="s">
        <v>20</v>
      </c>
      <c r="C113" s="16" t="s">
        <v>435</v>
      </c>
      <c r="D113" s="142" t="s">
        <v>598</v>
      </c>
      <c r="E113" s="143">
        <v>1650</v>
      </c>
      <c r="F113" s="26"/>
      <c r="G113" s="32"/>
      <c r="H113" s="26"/>
      <c r="I113" s="32"/>
      <c r="J113" s="26"/>
      <c r="K113" s="32"/>
      <c r="L113" s="144">
        <f>4.75+6.5</f>
        <v>11.25</v>
      </c>
      <c r="M113" s="32" t="s">
        <v>539</v>
      </c>
      <c r="N113" s="26"/>
      <c r="O113" s="32"/>
      <c r="P113" s="26">
        <f>24+26.75</f>
        <v>50.75</v>
      </c>
      <c r="Q113" s="32"/>
      <c r="R113" s="26"/>
      <c r="S113" s="32"/>
      <c r="T113" s="26"/>
      <c r="U113" s="32"/>
      <c r="V113" s="26"/>
      <c r="W113" s="32"/>
      <c r="X113" s="26"/>
      <c r="Y113" s="32"/>
      <c r="Z113" s="26"/>
      <c r="AA113" s="32"/>
      <c r="AB113" s="26"/>
      <c r="AC113" s="32"/>
    </row>
    <row r="114" spans="1:29" ht="16.5" customHeight="1">
      <c r="A114" s="119"/>
      <c r="B114" s="16" t="s">
        <v>20</v>
      </c>
      <c r="C114" s="16" t="s">
        <v>435</v>
      </c>
      <c r="D114" s="142" t="s">
        <v>627</v>
      </c>
      <c r="E114" s="143">
        <v>1650</v>
      </c>
      <c r="F114" s="26"/>
      <c r="G114" s="32"/>
      <c r="H114" s="26"/>
      <c r="I114" s="32"/>
      <c r="J114" s="26"/>
      <c r="K114" s="32"/>
      <c r="L114" s="26"/>
      <c r="M114" s="32"/>
      <c r="N114" s="26"/>
      <c r="O114" s="32"/>
      <c r="P114" s="144">
        <f>14.5+13.75</f>
        <v>28.25</v>
      </c>
      <c r="Q114" s="32" t="s">
        <v>539</v>
      </c>
      <c r="R114" s="26"/>
      <c r="S114" s="32"/>
      <c r="T114" s="26"/>
      <c r="U114" s="32"/>
      <c r="V114" s="26"/>
      <c r="W114" s="32"/>
      <c r="X114" s="26"/>
      <c r="Y114" s="32"/>
      <c r="Z114" s="26"/>
      <c r="AA114" s="32"/>
      <c r="AB114" s="26"/>
      <c r="AC114" s="32"/>
    </row>
    <row r="115" spans="1:29" ht="16.5" customHeight="1">
      <c r="A115" s="119"/>
      <c r="B115" s="16" t="s">
        <v>20</v>
      </c>
      <c r="C115" s="16" t="s">
        <v>435</v>
      </c>
      <c r="D115" s="142" t="s">
        <v>626</v>
      </c>
      <c r="E115" s="143">
        <v>1650</v>
      </c>
      <c r="F115" s="26"/>
      <c r="G115" s="32"/>
      <c r="H115" s="26"/>
      <c r="I115" s="32"/>
      <c r="J115" s="26"/>
      <c r="K115" s="32"/>
      <c r="L115" s="26"/>
      <c r="M115" s="32"/>
      <c r="N115" s="26"/>
      <c r="O115" s="32"/>
      <c r="P115" s="144">
        <f>14+14.75+0.25</f>
        <v>29</v>
      </c>
      <c r="Q115" s="32" t="s">
        <v>539</v>
      </c>
      <c r="R115" s="26"/>
      <c r="S115" s="32"/>
      <c r="T115" s="26"/>
      <c r="U115" s="32"/>
      <c r="V115" s="26"/>
      <c r="W115" s="32"/>
      <c r="X115" s="26"/>
      <c r="Y115" s="32"/>
      <c r="Z115" s="26"/>
      <c r="AA115" s="106"/>
      <c r="AB115" s="26"/>
      <c r="AC115" s="32"/>
    </row>
    <row r="116" spans="1:29" ht="16.5" customHeight="1">
      <c r="A116" s="119"/>
      <c r="B116" s="16" t="s">
        <v>20</v>
      </c>
      <c r="C116" s="16" t="s">
        <v>435</v>
      </c>
      <c r="D116" s="142" t="s">
        <v>377</v>
      </c>
      <c r="E116" s="143">
        <v>1650</v>
      </c>
      <c r="F116" s="26"/>
      <c r="G116" s="32"/>
      <c r="H116" s="26"/>
      <c r="I116" s="32"/>
      <c r="J116" s="26"/>
      <c r="K116" s="32"/>
      <c r="L116" s="26"/>
      <c r="M116" s="32"/>
      <c r="N116" s="26"/>
      <c r="O116" s="32"/>
      <c r="P116" s="144">
        <f>26+30.5</f>
        <v>56.5</v>
      </c>
      <c r="Q116" s="32" t="s">
        <v>539</v>
      </c>
      <c r="R116" s="26"/>
      <c r="S116" s="32"/>
      <c r="T116" s="26"/>
      <c r="U116" s="32"/>
      <c r="V116" s="26"/>
      <c r="W116" s="32"/>
      <c r="X116" s="26"/>
      <c r="Y116" s="32"/>
      <c r="Z116" s="26"/>
      <c r="AA116" s="32"/>
      <c r="AB116" s="26"/>
      <c r="AC116" s="32"/>
    </row>
    <row r="117" spans="1:29" ht="16.5" customHeight="1">
      <c r="A117" s="119"/>
      <c r="B117" s="16" t="s">
        <v>20</v>
      </c>
      <c r="C117" s="16" t="s">
        <v>372</v>
      </c>
      <c r="D117" s="11" t="s">
        <v>373</v>
      </c>
      <c r="E117" s="10">
        <v>1650</v>
      </c>
      <c r="F117" s="26"/>
      <c r="G117" s="32"/>
      <c r="H117" s="26"/>
      <c r="I117" s="32"/>
      <c r="J117" s="26"/>
      <c r="K117" s="32"/>
      <c r="L117" s="26"/>
      <c r="M117" s="32"/>
      <c r="N117" s="26"/>
      <c r="O117" s="32"/>
      <c r="P117" s="26"/>
      <c r="Q117" s="32"/>
      <c r="R117" s="26"/>
      <c r="S117" s="32"/>
      <c r="T117" s="26"/>
      <c r="U117" s="32"/>
      <c r="V117" s="26"/>
      <c r="W117" s="32"/>
      <c r="X117" s="26"/>
      <c r="Y117" s="32"/>
      <c r="Z117" s="26"/>
      <c r="AA117" s="32"/>
      <c r="AB117" s="26"/>
      <c r="AC117" s="32"/>
    </row>
    <row r="118" spans="1:29" ht="16.5" customHeight="1">
      <c r="A118" s="119"/>
      <c r="B118" s="16" t="s">
        <v>20</v>
      </c>
      <c r="C118" s="16" t="s">
        <v>372</v>
      </c>
      <c r="D118" s="11" t="s">
        <v>367</v>
      </c>
      <c r="E118" s="10">
        <v>1650</v>
      </c>
      <c r="F118" s="26"/>
      <c r="G118" s="32"/>
      <c r="H118" s="26"/>
      <c r="I118" s="32"/>
      <c r="J118" s="26"/>
      <c r="K118" s="32"/>
      <c r="L118" s="26"/>
      <c r="M118" s="32"/>
      <c r="N118" s="26"/>
      <c r="O118" s="32"/>
      <c r="P118" s="26"/>
      <c r="Q118" s="32"/>
      <c r="R118" s="26"/>
      <c r="S118" s="32"/>
      <c r="T118" s="26"/>
      <c r="U118" s="32"/>
      <c r="V118" s="26"/>
      <c r="W118" s="32"/>
      <c r="X118" s="26"/>
      <c r="Y118" s="32"/>
      <c r="Z118" s="26"/>
      <c r="AA118" s="32"/>
      <c r="AB118" s="26"/>
      <c r="AC118" s="32"/>
    </row>
    <row r="119" spans="1:29" ht="16.5" customHeight="1">
      <c r="A119" s="119"/>
      <c r="B119" s="16" t="s">
        <v>20</v>
      </c>
      <c r="C119" s="16" t="s">
        <v>372</v>
      </c>
      <c r="D119" s="11" t="s">
        <v>368</v>
      </c>
      <c r="E119" s="10">
        <v>1650</v>
      </c>
      <c r="F119" s="26"/>
      <c r="G119" s="32"/>
      <c r="H119" s="26"/>
      <c r="I119" s="32"/>
      <c r="J119" s="26"/>
      <c r="K119" s="32"/>
      <c r="L119" s="26"/>
      <c r="M119" s="32"/>
      <c r="N119" s="26"/>
      <c r="O119" s="32"/>
      <c r="P119" s="26"/>
      <c r="Q119" s="32"/>
      <c r="R119" s="26"/>
      <c r="S119" s="32"/>
      <c r="T119" s="26"/>
      <c r="U119" s="32"/>
      <c r="V119" s="26"/>
      <c r="W119" s="32"/>
      <c r="X119" s="26"/>
      <c r="Y119" s="32"/>
      <c r="Z119" s="26"/>
      <c r="AA119" s="32"/>
      <c r="AB119" s="26"/>
      <c r="AC119" s="32"/>
    </row>
    <row r="120" spans="1:29" ht="16.5" customHeight="1">
      <c r="A120" s="119"/>
      <c r="B120" s="16" t="s">
        <v>20</v>
      </c>
      <c r="C120" s="16" t="s">
        <v>372</v>
      </c>
      <c r="D120" s="11" t="s">
        <v>374</v>
      </c>
      <c r="E120" s="10">
        <v>1650</v>
      </c>
      <c r="F120" s="26"/>
      <c r="G120" s="32"/>
      <c r="H120" s="26"/>
      <c r="I120" s="32"/>
      <c r="J120" s="26"/>
      <c r="K120" s="32"/>
      <c r="L120" s="26"/>
      <c r="M120" s="32"/>
      <c r="N120" s="26"/>
      <c r="O120" s="32"/>
      <c r="P120" s="26"/>
      <c r="Q120" s="32"/>
      <c r="R120" s="26"/>
      <c r="S120" s="32"/>
      <c r="T120" s="26"/>
      <c r="U120" s="32"/>
      <c r="V120" s="26"/>
      <c r="W120" s="32"/>
      <c r="X120" s="26"/>
      <c r="Y120" s="32"/>
      <c r="Z120" s="26"/>
      <c r="AA120" s="32"/>
      <c r="AB120" s="26"/>
      <c r="AC120" s="32"/>
    </row>
    <row r="121" spans="1:29" ht="16.5" customHeight="1">
      <c r="A121" s="119"/>
      <c r="B121" s="16" t="s">
        <v>20</v>
      </c>
      <c r="C121" s="16" t="s">
        <v>372</v>
      </c>
      <c r="D121" s="11" t="s">
        <v>375</v>
      </c>
      <c r="E121" s="10">
        <v>1650</v>
      </c>
      <c r="F121" s="26"/>
      <c r="G121" s="32"/>
      <c r="H121" s="26"/>
      <c r="I121" s="32"/>
      <c r="J121" s="26"/>
      <c r="K121" s="32"/>
      <c r="L121" s="26"/>
      <c r="M121" s="32"/>
      <c r="N121" s="26"/>
      <c r="O121" s="32"/>
      <c r="P121" s="26"/>
      <c r="Q121" s="32"/>
      <c r="R121" s="26"/>
      <c r="S121" s="32"/>
      <c r="T121" s="26"/>
      <c r="U121" s="32"/>
      <c r="V121" s="26"/>
      <c r="W121" s="32"/>
      <c r="X121" s="26"/>
      <c r="Y121" s="32"/>
      <c r="Z121" s="26"/>
      <c r="AA121" s="32"/>
      <c r="AB121" s="26"/>
      <c r="AC121" s="32"/>
    </row>
    <row r="122" spans="1:29" ht="16.5" customHeight="1">
      <c r="A122" s="119"/>
      <c r="B122" s="16" t="s">
        <v>20</v>
      </c>
      <c r="C122" s="16" t="s">
        <v>372</v>
      </c>
      <c r="D122" s="11" t="s">
        <v>376</v>
      </c>
      <c r="E122" s="10">
        <v>1650</v>
      </c>
      <c r="F122" s="26"/>
      <c r="G122" s="32"/>
      <c r="H122" s="26"/>
      <c r="I122" s="32"/>
      <c r="J122" s="26"/>
      <c r="K122" s="32"/>
      <c r="L122" s="26"/>
      <c r="M122" s="32"/>
      <c r="N122" s="26"/>
      <c r="O122" s="32"/>
      <c r="P122" s="26"/>
      <c r="Q122" s="32"/>
      <c r="R122" s="26"/>
      <c r="S122" s="32"/>
      <c r="T122" s="26"/>
      <c r="U122" s="32"/>
      <c r="V122" s="26"/>
      <c r="W122" s="32"/>
      <c r="X122" s="26"/>
      <c r="Y122" s="32"/>
      <c r="Z122" s="26"/>
      <c r="AA122" s="32"/>
      <c r="AB122" s="26"/>
      <c r="AC122" s="32"/>
    </row>
    <row r="123" spans="1:29" ht="16.5" customHeight="1">
      <c r="A123" s="119"/>
      <c r="B123" s="16" t="s">
        <v>20</v>
      </c>
      <c r="C123" s="16" t="s">
        <v>372</v>
      </c>
      <c r="D123" s="11" t="s">
        <v>377</v>
      </c>
      <c r="E123" s="10">
        <v>1650</v>
      </c>
      <c r="F123" s="26"/>
      <c r="G123" s="32"/>
      <c r="H123" s="26"/>
      <c r="I123" s="32"/>
      <c r="J123" s="26"/>
      <c r="K123" s="32"/>
      <c r="L123" s="26"/>
      <c r="M123" s="32"/>
      <c r="N123" s="26"/>
      <c r="O123" s="32"/>
      <c r="P123" s="26"/>
      <c r="Q123" s="32"/>
      <c r="R123" s="26"/>
      <c r="S123" s="32"/>
      <c r="T123" s="26"/>
      <c r="U123" s="32"/>
      <c r="V123" s="26"/>
      <c r="W123" s="32"/>
      <c r="X123" s="26"/>
      <c r="Y123" s="32"/>
      <c r="Z123" s="26"/>
      <c r="AA123" s="32"/>
      <c r="AB123" s="26"/>
      <c r="AC123" s="32"/>
    </row>
    <row r="124" spans="1:29" ht="16.5" customHeight="1">
      <c r="A124" s="119"/>
      <c r="B124" s="16" t="s">
        <v>20</v>
      </c>
      <c r="C124" s="16" t="s">
        <v>372</v>
      </c>
      <c r="D124" s="11" t="s">
        <v>378</v>
      </c>
      <c r="E124" s="10">
        <v>1650</v>
      </c>
      <c r="F124" s="26"/>
      <c r="G124" s="32"/>
      <c r="H124" s="26"/>
      <c r="I124" s="32"/>
      <c r="J124" s="26"/>
      <c r="K124" s="32"/>
      <c r="L124" s="26"/>
      <c r="M124" s="32"/>
      <c r="N124" s="26"/>
      <c r="O124" s="32"/>
      <c r="P124" s="26"/>
      <c r="Q124" s="32"/>
      <c r="R124" s="26"/>
      <c r="S124" s="32"/>
      <c r="T124" s="26"/>
      <c r="U124" s="32"/>
      <c r="V124" s="26"/>
      <c r="W124" s="32"/>
      <c r="X124" s="26"/>
      <c r="Y124" s="32"/>
      <c r="Z124" s="26"/>
      <c r="AA124" s="32"/>
      <c r="AB124" s="26"/>
      <c r="AC124" s="32"/>
    </row>
    <row r="125" spans="1:29" ht="16.5" customHeight="1">
      <c r="A125" s="119"/>
      <c r="B125" s="16" t="s">
        <v>20</v>
      </c>
      <c r="C125" s="16" t="s">
        <v>372</v>
      </c>
      <c r="D125" s="11" t="s">
        <v>379</v>
      </c>
      <c r="E125" s="10">
        <v>1650</v>
      </c>
      <c r="F125" s="26"/>
      <c r="G125" s="32"/>
      <c r="H125" s="26"/>
      <c r="I125" s="32"/>
      <c r="J125" s="26"/>
      <c r="K125" s="32"/>
      <c r="L125" s="26"/>
      <c r="M125" s="32"/>
      <c r="N125" s="26"/>
      <c r="O125" s="32"/>
      <c r="P125" s="26">
        <f>31.5+16.5+11</f>
        <v>59</v>
      </c>
      <c r="Q125" s="32"/>
      <c r="R125" s="26"/>
      <c r="S125" s="32"/>
      <c r="T125" s="26"/>
      <c r="U125" s="32"/>
      <c r="V125" s="26"/>
      <c r="W125" s="32"/>
      <c r="X125" s="26"/>
      <c r="Y125" s="32"/>
      <c r="Z125" s="26"/>
      <c r="AA125" s="32"/>
      <c r="AB125" s="26"/>
      <c r="AC125" s="32"/>
    </row>
    <row r="126" spans="1:29" ht="16.5" customHeight="1">
      <c r="A126" s="119"/>
      <c r="B126" s="16" t="s">
        <v>20</v>
      </c>
      <c r="C126" s="16" t="s">
        <v>372</v>
      </c>
      <c r="D126" s="11" t="s">
        <v>454</v>
      </c>
      <c r="E126" s="10">
        <v>1650</v>
      </c>
      <c r="F126" s="26"/>
      <c r="G126" s="32"/>
      <c r="H126" s="26"/>
      <c r="I126" s="32"/>
      <c r="J126" s="26"/>
      <c r="K126" s="32"/>
      <c r="L126" s="26"/>
      <c r="M126" s="32"/>
      <c r="N126" s="26"/>
      <c r="O126" s="32"/>
      <c r="P126" s="26"/>
      <c r="Q126" s="32"/>
      <c r="R126" s="26"/>
      <c r="S126" s="32"/>
      <c r="T126" s="26"/>
      <c r="U126" s="32"/>
      <c r="V126" s="26"/>
      <c r="W126" s="32"/>
      <c r="X126" s="26"/>
      <c r="Y126" s="32"/>
      <c r="Z126" s="26"/>
      <c r="AA126" s="32"/>
      <c r="AB126" s="26"/>
      <c r="AC126" s="32"/>
    </row>
    <row r="127" spans="1:29" ht="16.5" customHeight="1">
      <c r="A127" s="119"/>
      <c r="B127" s="16" t="s">
        <v>20</v>
      </c>
      <c r="C127" s="16" t="s">
        <v>372</v>
      </c>
      <c r="D127" s="11" t="s">
        <v>455</v>
      </c>
      <c r="E127" s="10">
        <v>1650</v>
      </c>
      <c r="F127" s="26"/>
      <c r="G127" s="32"/>
      <c r="H127" s="26"/>
      <c r="I127" s="32"/>
      <c r="J127" s="26"/>
      <c r="K127" s="32"/>
      <c r="L127" s="26"/>
      <c r="M127" s="32"/>
      <c r="N127" s="26"/>
      <c r="O127" s="32"/>
      <c r="P127" s="26"/>
      <c r="Q127" s="32"/>
      <c r="R127" s="26"/>
      <c r="S127" s="32"/>
      <c r="T127" s="26"/>
      <c r="U127" s="32"/>
      <c r="V127" s="26"/>
      <c r="W127" s="32"/>
      <c r="X127" s="26"/>
      <c r="Y127" s="32"/>
      <c r="Z127" s="26"/>
      <c r="AA127" s="32"/>
      <c r="AB127" s="26"/>
      <c r="AC127" s="32"/>
    </row>
    <row r="128" spans="1:29" ht="16.5" customHeight="1">
      <c r="A128" s="119"/>
      <c r="B128" s="16" t="s">
        <v>20</v>
      </c>
      <c r="C128" s="16" t="s">
        <v>372</v>
      </c>
      <c r="D128" s="11" t="s">
        <v>299</v>
      </c>
      <c r="E128" s="10">
        <v>1450</v>
      </c>
      <c r="F128" s="26"/>
      <c r="G128" s="32"/>
      <c r="H128" s="26"/>
      <c r="I128" s="32"/>
      <c r="J128" s="26"/>
      <c r="K128" s="32"/>
      <c r="L128" s="26"/>
      <c r="M128" s="32"/>
      <c r="N128" s="26"/>
      <c r="O128" s="32"/>
      <c r="P128" s="26"/>
      <c r="Q128" s="32"/>
      <c r="R128" s="26"/>
      <c r="S128" s="32"/>
      <c r="T128" s="26"/>
      <c r="U128" s="32"/>
      <c r="V128" s="26"/>
      <c r="W128" s="32"/>
      <c r="X128" s="26"/>
      <c r="Y128" s="32"/>
      <c r="Z128" s="26"/>
      <c r="AA128" s="32"/>
      <c r="AB128" s="26"/>
      <c r="AC128" s="32"/>
    </row>
    <row r="129" spans="1:29" ht="16.5" customHeight="1">
      <c r="A129" s="119"/>
      <c r="B129" s="16" t="s">
        <v>20</v>
      </c>
      <c r="C129" s="16" t="s">
        <v>372</v>
      </c>
      <c r="D129" s="11" t="s">
        <v>377</v>
      </c>
      <c r="E129" s="10">
        <v>1450</v>
      </c>
      <c r="F129" s="26">
        <f>18+21</f>
        <v>39</v>
      </c>
      <c r="G129" s="32"/>
      <c r="H129" s="26">
        <f>30.75+48.75</f>
        <v>79.5</v>
      </c>
      <c r="I129" s="32"/>
      <c r="J129" s="26">
        <f>30+47.5</f>
        <v>77.5</v>
      </c>
      <c r="K129" s="32"/>
      <c r="L129" s="26">
        <f>30.75+43.25</f>
        <v>74</v>
      </c>
      <c r="M129" s="32"/>
      <c r="N129" s="26">
        <f>28+32.5+0</f>
        <v>60.5</v>
      </c>
      <c r="O129" s="32"/>
      <c r="P129" s="26"/>
      <c r="Q129" s="32"/>
      <c r="R129" s="26"/>
      <c r="S129" s="32"/>
      <c r="T129" s="26"/>
      <c r="U129" s="32"/>
      <c r="V129" s="26"/>
      <c r="W129" s="32"/>
      <c r="X129" s="26"/>
      <c r="Y129" s="32"/>
      <c r="Z129" s="26"/>
      <c r="AA129" s="32"/>
      <c r="AB129" s="26"/>
      <c r="AC129" s="32"/>
    </row>
    <row r="130" spans="1:29" ht="16.5" customHeight="1">
      <c r="A130" s="119"/>
      <c r="B130" s="16" t="s">
        <v>20</v>
      </c>
      <c r="C130" s="16" t="s">
        <v>372</v>
      </c>
      <c r="D130" s="11" t="s">
        <v>470</v>
      </c>
      <c r="E130" s="10">
        <v>1450</v>
      </c>
      <c r="F130" s="26"/>
      <c r="G130" s="32"/>
      <c r="H130" s="26"/>
      <c r="I130" s="32"/>
      <c r="J130" s="26"/>
      <c r="K130" s="32"/>
      <c r="L130" s="26"/>
      <c r="M130" s="32"/>
      <c r="N130" s="26"/>
      <c r="O130" s="32"/>
      <c r="P130" s="26"/>
      <c r="Q130" s="32"/>
      <c r="R130" s="26"/>
      <c r="S130" s="32"/>
      <c r="T130" s="26"/>
      <c r="U130" s="32"/>
      <c r="V130" s="26"/>
      <c r="W130" s="32"/>
      <c r="X130" s="26"/>
      <c r="Y130" s="32"/>
      <c r="Z130" s="26"/>
      <c r="AA130" s="32"/>
      <c r="AB130" s="26"/>
      <c r="AC130" s="32"/>
    </row>
    <row r="131" spans="1:29" ht="16.5" customHeight="1">
      <c r="A131" s="119"/>
      <c r="B131" s="16" t="s">
        <v>20</v>
      </c>
      <c r="C131" s="16" t="s">
        <v>372</v>
      </c>
      <c r="D131" s="11" t="s">
        <v>402</v>
      </c>
      <c r="E131" s="10">
        <v>1450</v>
      </c>
      <c r="F131" s="26"/>
      <c r="G131" s="32"/>
      <c r="H131" s="26"/>
      <c r="I131" s="32"/>
      <c r="J131" s="26"/>
      <c r="K131" s="32"/>
      <c r="L131" s="26"/>
      <c r="M131" s="32"/>
      <c r="N131" s="26"/>
      <c r="O131" s="32"/>
      <c r="P131" s="26"/>
      <c r="Q131" s="32"/>
      <c r="R131" s="26"/>
      <c r="S131" s="32"/>
      <c r="T131" s="26"/>
      <c r="U131" s="32"/>
      <c r="V131" s="26"/>
      <c r="W131" s="32"/>
      <c r="X131" s="26"/>
      <c r="Y131" s="32"/>
      <c r="Z131" s="26"/>
      <c r="AA131" s="32"/>
      <c r="AB131" s="26"/>
      <c r="AC131" s="32"/>
    </row>
    <row r="132" spans="1:29" ht="16.5" customHeight="1">
      <c r="A132" s="119"/>
      <c r="B132" s="16" t="s">
        <v>20</v>
      </c>
      <c r="C132" s="16" t="s">
        <v>372</v>
      </c>
      <c r="D132" s="11" t="s">
        <v>374</v>
      </c>
      <c r="E132" s="10">
        <v>1450</v>
      </c>
      <c r="F132" s="26"/>
      <c r="G132" s="32"/>
      <c r="H132" s="26"/>
      <c r="I132" s="32"/>
      <c r="J132" s="26"/>
      <c r="K132" s="32"/>
      <c r="L132" s="26"/>
      <c r="M132" s="32"/>
      <c r="N132" s="26"/>
      <c r="O132" s="32"/>
      <c r="P132" s="26"/>
      <c r="Q132" s="32"/>
      <c r="R132" s="26"/>
      <c r="S132" s="32"/>
      <c r="T132" s="26"/>
      <c r="U132" s="32"/>
      <c r="V132" s="26"/>
      <c r="W132" s="32"/>
      <c r="X132" s="26"/>
      <c r="Y132" s="32"/>
      <c r="Z132" s="26"/>
      <c r="AA132" s="32"/>
      <c r="AB132" s="26"/>
      <c r="AC132" s="32"/>
    </row>
    <row r="133" spans="1:29" ht="16.5" customHeight="1">
      <c r="A133" s="119"/>
      <c r="B133" s="16" t="s">
        <v>20</v>
      </c>
      <c r="C133" s="16" t="s">
        <v>372</v>
      </c>
      <c r="D133" s="11" t="s">
        <v>370</v>
      </c>
      <c r="E133" s="10">
        <v>1450</v>
      </c>
      <c r="F133" s="26"/>
      <c r="G133" s="32"/>
      <c r="H133" s="26"/>
      <c r="I133" s="32"/>
      <c r="J133" s="26"/>
      <c r="K133" s="32"/>
      <c r="L133" s="26"/>
      <c r="M133" s="32"/>
      <c r="N133" s="26"/>
      <c r="O133" s="32"/>
      <c r="P133" s="26"/>
      <c r="Q133" s="32"/>
      <c r="R133" s="26"/>
      <c r="S133" s="32"/>
      <c r="T133" s="26"/>
      <c r="U133" s="32"/>
      <c r="V133" s="26"/>
      <c r="W133" s="32"/>
      <c r="X133" s="26"/>
      <c r="Y133" s="32"/>
      <c r="Z133" s="26"/>
      <c r="AA133" s="32"/>
      <c r="AB133" s="26"/>
      <c r="AC133" s="32"/>
    </row>
    <row r="134" spans="1:29" ht="16.5" customHeight="1">
      <c r="A134" s="119"/>
      <c r="B134" s="16" t="s">
        <v>20</v>
      </c>
      <c r="C134" s="16" t="s">
        <v>372</v>
      </c>
      <c r="D134" s="11" t="s">
        <v>454</v>
      </c>
      <c r="E134" s="10">
        <v>1450</v>
      </c>
      <c r="F134" s="26"/>
      <c r="G134" s="32"/>
      <c r="H134" s="26"/>
      <c r="I134" s="32"/>
      <c r="J134" s="26"/>
      <c r="K134" s="32"/>
      <c r="L134" s="26"/>
      <c r="M134" s="32"/>
      <c r="N134" s="26"/>
      <c r="O134" s="32"/>
      <c r="P134" s="26"/>
      <c r="Q134" s="32"/>
      <c r="R134" s="26"/>
      <c r="S134" s="32"/>
      <c r="T134" s="26"/>
      <c r="U134" s="32"/>
      <c r="V134" s="26"/>
      <c r="W134" s="32"/>
      <c r="X134" s="26"/>
      <c r="Y134" s="32"/>
      <c r="Z134" s="26"/>
      <c r="AA134" s="32"/>
      <c r="AB134" s="26"/>
      <c r="AC134" s="32"/>
    </row>
    <row r="135" spans="1:29" ht="16.5" customHeight="1">
      <c r="A135" s="119"/>
      <c r="B135" s="16" t="s">
        <v>20</v>
      </c>
      <c r="C135" s="16" t="s">
        <v>372</v>
      </c>
      <c r="D135" s="11" t="s">
        <v>378</v>
      </c>
      <c r="E135" s="10">
        <v>1450</v>
      </c>
      <c r="F135" s="26"/>
      <c r="G135" s="32"/>
      <c r="H135" s="26"/>
      <c r="I135" s="32"/>
      <c r="J135" s="26"/>
      <c r="K135" s="32"/>
      <c r="L135" s="26"/>
      <c r="M135" s="32"/>
      <c r="N135" s="26"/>
      <c r="O135" s="32"/>
      <c r="P135" s="26"/>
      <c r="Q135" s="32"/>
      <c r="R135" s="26"/>
      <c r="S135" s="32"/>
      <c r="T135" s="26"/>
      <c r="U135" s="32"/>
      <c r="V135" s="26"/>
      <c r="W135" s="32"/>
      <c r="X135" s="26"/>
      <c r="Y135" s="32"/>
      <c r="Z135" s="26"/>
      <c r="AA135" s="32"/>
      <c r="AB135" s="26"/>
      <c r="AC135" s="32"/>
    </row>
    <row r="136" spans="1:29" ht="16.5" customHeight="1">
      <c r="A136" s="119"/>
      <c r="B136" s="16" t="s">
        <v>20</v>
      </c>
      <c r="C136" s="16" t="s">
        <v>372</v>
      </c>
      <c r="D136" s="11" t="s">
        <v>514</v>
      </c>
      <c r="E136" s="10">
        <v>1450</v>
      </c>
      <c r="F136" s="26">
        <f>24+31.5</f>
        <v>55.5</v>
      </c>
      <c r="G136" s="32"/>
      <c r="H136" s="26">
        <f>36.75+55.75</f>
        <v>92.5</v>
      </c>
      <c r="I136" s="32"/>
      <c r="J136" s="26">
        <f>36+59.5+0</f>
        <v>95.5</v>
      </c>
      <c r="K136" s="32"/>
      <c r="L136" s="26">
        <f>28.75+40</f>
        <v>68.75</v>
      </c>
      <c r="M136" s="32"/>
      <c r="N136" s="26">
        <f>32+46</f>
        <v>78</v>
      </c>
      <c r="O136" s="32"/>
      <c r="P136" s="26"/>
      <c r="Q136" s="32"/>
      <c r="R136" s="26"/>
      <c r="S136" s="32"/>
      <c r="T136" s="26"/>
      <c r="U136" s="32"/>
      <c r="V136" s="26"/>
      <c r="W136" s="32"/>
      <c r="X136" s="26"/>
      <c r="Y136" s="32"/>
      <c r="Z136" s="26"/>
      <c r="AA136" s="106"/>
      <c r="AB136" s="26"/>
      <c r="AC136" s="32"/>
    </row>
    <row r="137" spans="1:29" ht="16.5" customHeight="1">
      <c r="A137" s="119"/>
      <c r="B137" s="16" t="s">
        <v>20</v>
      </c>
      <c r="C137" s="16" t="s">
        <v>372</v>
      </c>
      <c r="D137" s="146" t="s">
        <v>545</v>
      </c>
      <c r="E137" s="143">
        <v>1450</v>
      </c>
      <c r="F137" s="26"/>
      <c r="G137" s="32"/>
      <c r="H137" s="144">
        <f>18+34</f>
        <v>52</v>
      </c>
      <c r="I137" s="32" t="s">
        <v>539</v>
      </c>
      <c r="J137" s="26"/>
      <c r="K137" s="32"/>
      <c r="L137" s="26"/>
      <c r="M137" s="32"/>
      <c r="N137" s="26"/>
      <c r="O137" s="32"/>
      <c r="P137" s="26"/>
      <c r="Q137" s="32"/>
      <c r="R137" s="26"/>
      <c r="S137" s="32"/>
      <c r="T137" s="26"/>
      <c r="U137" s="32"/>
      <c r="V137" s="26"/>
      <c r="W137" s="32"/>
      <c r="X137" s="26"/>
      <c r="Y137" s="32"/>
      <c r="Z137" s="26"/>
      <c r="AA137" s="32"/>
      <c r="AB137" s="26"/>
      <c r="AC137" s="32"/>
    </row>
    <row r="138" spans="1:29" ht="16.5" customHeight="1">
      <c r="A138" s="119"/>
      <c r="B138" s="16" t="s">
        <v>20</v>
      </c>
      <c r="C138" s="16" t="s">
        <v>372</v>
      </c>
      <c r="D138" s="142" t="s">
        <v>598</v>
      </c>
      <c r="E138" s="143">
        <v>1450</v>
      </c>
      <c r="F138" s="26"/>
      <c r="G138" s="32"/>
      <c r="H138" s="26"/>
      <c r="I138" s="32"/>
      <c r="J138" s="26"/>
      <c r="K138" s="32"/>
      <c r="L138" s="26"/>
      <c r="M138" s="32"/>
      <c r="N138" s="144">
        <f>32+40</f>
        <v>72</v>
      </c>
      <c r="O138" s="32" t="s">
        <v>539</v>
      </c>
      <c r="P138" s="26"/>
      <c r="Q138" s="32"/>
      <c r="R138" s="26"/>
      <c r="S138" s="32"/>
      <c r="T138" s="26"/>
      <c r="U138" s="32"/>
      <c r="V138" s="26"/>
      <c r="W138" s="32"/>
      <c r="X138" s="26"/>
      <c r="Y138" s="32"/>
      <c r="Z138" s="26"/>
      <c r="AA138" s="32"/>
      <c r="AB138" s="26"/>
      <c r="AC138" s="32"/>
    </row>
    <row r="139" spans="1:29" ht="16.5" customHeight="1">
      <c r="A139" s="119"/>
      <c r="B139" s="16" t="s">
        <v>20</v>
      </c>
      <c r="C139" s="16" t="s">
        <v>265</v>
      </c>
      <c r="D139" s="11" t="s">
        <v>300</v>
      </c>
      <c r="E139" s="10">
        <v>1450</v>
      </c>
      <c r="F139" s="26"/>
      <c r="G139" s="32"/>
      <c r="H139" s="26"/>
      <c r="I139" s="32"/>
      <c r="J139" s="26"/>
      <c r="K139" s="32"/>
      <c r="L139" s="26"/>
      <c r="M139" s="32"/>
      <c r="N139" s="26"/>
      <c r="O139" s="32"/>
      <c r="P139" s="26"/>
      <c r="Q139" s="32"/>
      <c r="R139" s="26"/>
      <c r="S139" s="32"/>
      <c r="T139" s="26"/>
      <c r="U139" s="32"/>
      <c r="V139" s="26"/>
      <c r="W139" s="32"/>
      <c r="X139" s="26"/>
      <c r="Y139" s="32"/>
      <c r="Z139" s="26"/>
      <c r="AA139" s="32"/>
      <c r="AB139" s="26"/>
      <c r="AC139" s="32"/>
    </row>
    <row r="140" spans="1:29" ht="16.5" customHeight="1">
      <c r="A140" s="119"/>
      <c r="B140" s="16" t="s">
        <v>20</v>
      </c>
      <c r="C140" s="16" t="s">
        <v>265</v>
      </c>
      <c r="D140" s="11" t="s">
        <v>346</v>
      </c>
      <c r="E140" s="10">
        <v>1450</v>
      </c>
      <c r="F140" s="26"/>
      <c r="G140" s="32"/>
      <c r="H140" s="26"/>
      <c r="I140" s="32"/>
      <c r="J140" s="26"/>
      <c r="K140" s="32"/>
      <c r="L140" s="26"/>
      <c r="M140" s="32"/>
      <c r="N140" s="26"/>
      <c r="O140" s="32"/>
      <c r="P140" s="26"/>
      <c r="Q140" s="32"/>
      <c r="R140" s="26"/>
      <c r="S140" s="32"/>
      <c r="T140" s="26"/>
      <c r="U140" s="32"/>
      <c r="V140" s="26"/>
      <c r="W140" s="32"/>
      <c r="X140" s="26"/>
      <c r="Y140" s="32"/>
      <c r="Z140" s="26"/>
      <c r="AA140" s="32"/>
      <c r="AB140" s="26"/>
      <c r="AC140" s="32"/>
    </row>
    <row r="141" spans="1:29" ht="16.5" customHeight="1">
      <c r="A141" s="119"/>
      <c r="B141" s="39" t="s">
        <v>20</v>
      </c>
      <c r="C141" s="39" t="s">
        <v>266</v>
      </c>
      <c r="D141" s="40" t="s">
        <v>298</v>
      </c>
      <c r="E141" s="20">
        <v>1650</v>
      </c>
      <c r="F141" s="44"/>
      <c r="G141" s="45"/>
      <c r="H141" s="44"/>
      <c r="I141" s="45"/>
      <c r="J141" s="44"/>
      <c r="K141" s="45"/>
      <c r="L141" s="44"/>
      <c r="M141" s="45"/>
      <c r="N141" s="44"/>
      <c r="O141" s="45"/>
      <c r="P141" s="44"/>
      <c r="Q141" s="45"/>
      <c r="R141" s="44"/>
      <c r="S141" s="45"/>
      <c r="T141" s="44"/>
      <c r="U141" s="45"/>
      <c r="V141" s="44"/>
      <c r="W141" s="45"/>
      <c r="X141" s="44"/>
      <c r="Y141" s="45"/>
      <c r="Z141" s="44"/>
      <c r="AA141" s="45"/>
      <c r="AB141" s="44"/>
      <c r="AC141" s="45"/>
    </row>
    <row r="142" spans="1:29" ht="16.5" customHeight="1">
      <c r="A142" s="119"/>
      <c r="B142" s="68" t="s">
        <v>20</v>
      </c>
      <c r="C142" s="68" t="s">
        <v>436</v>
      </c>
      <c r="D142" s="97" t="s">
        <v>273</v>
      </c>
      <c r="E142" s="72">
        <v>1450</v>
      </c>
      <c r="F142" s="53"/>
      <c r="G142" s="54"/>
      <c r="H142" s="53"/>
      <c r="I142" s="54"/>
      <c r="J142" s="53"/>
      <c r="K142" s="54"/>
      <c r="L142" s="53"/>
      <c r="M142" s="54"/>
      <c r="N142" s="53"/>
      <c r="O142" s="54"/>
      <c r="P142" s="53"/>
      <c r="Q142" s="54"/>
      <c r="R142" s="53"/>
      <c r="S142" s="54"/>
      <c r="T142" s="53"/>
      <c r="U142" s="54"/>
      <c r="V142" s="53"/>
      <c r="W142" s="54"/>
      <c r="X142" s="53"/>
      <c r="Y142" s="54"/>
      <c r="Z142" s="53"/>
      <c r="AA142" s="54"/>
      <c r="AB142" s="53"/>
      <c r="AC142" s="54"/>
    </row>
    <row r="143" spans="1:29" ht="16.5" customHeight="1">
      <c r="A143" s="120"/>
      <c r="B143" s="59" t="s">
        <v>20</v>
      </c>
      <c r="C143" s="59" t="s">
        <v>436</v>
      </c>
      <c r="D143" s="42" t="s">
        <v>379</v>
      </c>
      <c r="E143" s="7">
        <v>1450</v>
      </c>
      <c r="F143" s="25"/>
      <c r="G143" s="31"/>
      <c r="H143" s="25"/>
      <c r="I143" s="31"/>
      <c r="J143" s="25"/>
      <c r="K143" s="31"/>
      <c r="L143" s="25"/>
      <c r="M143" s="31"/>
      <c r="N143" s="25"/>
      <c r="O143" s="31"/>
      <c r="P143" s="25"/>
      <c r="Q143" s="31"/>
      <c r="R143" s="25"/>
      <c r="S143" s="31"/>
      <c r="T143" s="25"/>
      <c r="U143" s="31"/>
      <c r="V143" s="25"/>
      <c r="W143" s="31"/>
      <c r="X143" s="25"/>
      <c r="Y143" s="31"/>
      <c r="Z143" s="25"/>
      <c r="AA143" s="31"/>
      <c r="AB143" s="25"/>
      <c r="AC143" s="31"/>
    </row>
    <row r="144" spans="1:29" ht="16.5" customHeight="1">
      <c r="A144" s="196" t="s">
        <v>57</v>
      </c>
      <c r="B144" s="14" t="s">
        <v>4</v>
      </c>
      <c r="C144" s="14"/>
      <c r="D144" s="9" t="s">
        <v>166</v>
      </c>
      <c r="E144" s="6">
        <v>1720</v>
      </c>
      <c r="F144" s="24">
        <f>93+11</f>
        <v>104</v>
      </c>
      <c r="G144" s="30"/>
      <c r="H144" s="24">
        <f>156.75+23</f>
        <v>179.75</v>
      </c>
      <c r="I144" s="30"/>
      <c r="J144" s="24">
        <f>159.25+28.25</f>
        <v>187.5</v>
      </c>
      <c r="K144" s="30"/>
      <c r="L144" s="24">
        <f>151.75+24</f>
        <v>175.75</v>
      </c>
      <c r="M144" s="30"/>
      <c r="N144" s="24">
        <f>150.5+25.75+0</f>
        <v>176.25</v>
      </c>
      <c r="O144" s="30"/>
      <c r="P144" s="24">
        <f>147.5+12.5+0</f>
        <v>160</v>
      </c>
      <c r="Q144" s="30"/>
      <c r="R144" s="24"/>
      <c r="S144" s="30"/>
      <c r="T144" s="24"/>
      <c r="U144" s="30"/>
      <c r="V144" s="24"/>
      <c r="W144" s="30"/>
      <c r="X144" s="24"/>
      <c r="Y144" s="30"/>
      <c r="Z144" s="24"/>
      <c r="AA144" s="30"/>
      <c r="AB144" s="24"/>
      <c r="AC144" s="30"/>
    </row>
    <row r="145" spans="1:29" ht="16.5" customHeight="1">
      <c r="A145" s="196"/>
      <c r="B145" s="16" t="s">
        <v>4</v>
      </c>
      <c r="C145" s="16"/>
      <c r="D145" s="11" t="s">
        <v>167</v>
      </c>
      <c r="E145" s="10">
        <v>1720</v>
      </c>
      <c r="F145" s="26">
        <f>165+27+0.25</f>
        <v>192.25</v>
      </c>
      <c r="G145" s="32"/>
      <c r="H145" s="26">
        <f>173.75+25.5+1</f>
        <v>200.25</v>
      </c>
      <c r="I145" s="32"/>
      <c r="J145" s="26">
        <f>176+46.5+1</f>
        <v>223.5</v>
      </c>
      <c r="K145" s="32"/>
      <c r="L145" s="26">
        <f>183.75+48.75+0.75</f>
        <v>233.25</v>
      </c>
      <c r="M145" s="32"/>
      <c r="N145" s="26">
        <f>184+59+8.75</f>
        <v>251.75</v>
      </c>
      <c r="O145" s="32"/>
      <c r="P145" s="26">
        <f>158.75+28.5</f>
        <v>187.25</v>
      </c>
      <c r="Q145" s="32"/>
      <c r="R145" s="26"/>
      <c r="S145" s="32"/>
      <c r="T145" s="26"/>
      <c r="U145" s="32"/>
      <c r="V145" s="26"/>
      <c r="W145" s="32"/>
      <c r="X145" s="26"/>
      <c r="Y145" s="32"/>
      <c r="Z145" s="26"/>
      <c r="AA145" s="32"/>
      <c r="AB145" s="26"/>
      <c r="AC145" s="32"/>
    </row>
    <row r="146" spans="1:29" ht="16.5" customHeight="1">
      <c r="A146" s="196"/>
      <c r="B146" s="16" t="s">
        <v>4</v>
      </c>
      <c r="C146" s="16" t="s">
        <v>261</v>
      </c>
      <c r="D146" s="11" t="s">
        <v>168</v>
      </c>
      <c r="E146" s="10">
        <v>1720</v>
      </c>
      <c r="F146" s="26">
        <f>156.5+17.5</f>
        <v>174</v>
      </c>
      <c r="G146" s="32"/>
      <c r="H146" s="26">
        <f>160.25+15</f>
        <v>175.25</v>
      </c>
      <c r="I146" s="32"/>
      <c r="J146" s="26">
        <f>147.75+21.25</f>
        <v>169</v>
      </c>
      <c r="K146" s="32"/>
      <c r="L146" s="26">
        <f>139.75+30.5+0.5</f>
        <v>170.75</v>
      </c>
      <c r="M146" s="32"/>
      <c r="N146" s="26">
        <f>160+39.25+1.75</f>
        <v>201</v>
      </c>
      <c r="O146" s="32"/>
      <c r="P146" s="26">
        <f>143+18.25</f>
        <v>161.25</v>
      </c>
      <c r="Q146" s="32"/>
      <c r="R146" s="26"/>
      <c r="S146" s="32"/>
      <c r="T146" s="26"/>
      <c r="U146" s="32"/>
      <c r="V146" s="26"/>
      <c r="W146" s="32"/>
      <c r="X146" s="26"/>
      <c r="Y146" s="32"/>
      <c r="Z146" s="26"/>
      <c r="AA146" s="32"/>
      <c r="AB146" s="26"/>
      <c r="AC146" s="32"/>
    </row>
    <row r="147" spans="1:29" ht="16.5" customHeight="1">
      <c r="A147" s="196"/>
      <c r="B147" s="16" t="s">
        <v>4</v>
      </c>
      <c r="C147" s="16"/>
      <c r="D147" s="11" t="s">
        <v>169</v>
      </c>
      <c r="E147" s="10">
        <v>1720</v>
      </c>
      <c r="F147" s="26"/>
      <c r="G147" s="32"/>
      <c r="H147" s="26"/>
      <c r="I147" s="32"/>
      <c r="J147" s="26"/>
      <c r="K147" s="32"/>
      <c r="L147" s="26"/>
      <c r="M147" s="32"/>
      <c r="N147" s="26"/>
      <c r="O147" s="32"/>
      <c r="P147" s="26"/>
      <c r="Q147" s="32"/>
      <c r="R147" s="26"/>
      <c r="S147" s="32"/>
      <c r="T147" s="26"/>
      <c r="U147" s="32"/>
      <c r="V147" s="26"/>
      <c r="W147" s="32"/>
      <c r="X147" s="26"/>
      <c r="Y147" s="32"/>
      <c r="Z147" s="26"/>
      <c r="AA147" s="32"/>
      <c r="AB147" s="26"/>
      <c r="AC147" s="32"/>
    </row>
    <row r="148" spans="1:29" ht="16.5" customHeight="1">
      <c r="A148" s="196"/>
      <c r="B148" s="16" t="s">
        <v>4</v>
      </c>
      <c r="C148" s="16"/>
      <c r="D148" s="11" t="s">
        <v>170</v>
      </c>
      <c r="E148" s="10">
        <v>1720</v>
      </c>
      <c r="F148" s="26">
        <f>138.25+16.25</f>
        <v>154.5</v>
      </c>
      <c r="G148" s="32"/>
      <c r="H148" s="26">
        <f>116+18.25</f>
        <v>134.25</v>
      </c>
      <c r="I148" s="32"/>
      <c r="J148" s="26">
        <f>153+13</f>
        <v>166</v>
      </c>
      <c r="K148" s="32"/>
      <c r="L148" s="26">
        <f>146.25+11.75</f>
        <v>158</v>
      </c>
      <c r="M148" s="32"/>
      <c r="N148" s="26">
        <f>110+18</f>
        <v>128</v>
      </c>
      <c r="O148" s="32"/>
      <c r="P148" s="26"/>
      <c r="Q148" s="32"/>
      <c r="R148" s="26"/>
      <c r="S148" s="32"/>
      <c r="T148" s="26"/>
      <c r="U148" s="32"/>
      <c r="V148" s="26"/>
      <c r="W148" s="32"/>
      <c r="X148" s="26"/>
      <c r="Y148" s="32"/>
      <c r="Z148" s="26"/>
      <c r="AA148" s="32"/>
      <c r="AB148" s="26"/>
      <c r="AC148" s="32"/>
    </row>
    <row r="149" spans="1:29" ht="16.5" customHeight="1">
      <c r="A149" s="196"/>
      <c r="B149" s="16" t="s">
        <v>4</v>
      </c>
      <c r="C149" s="16"/>
      <c r="D149" s="11" t="s">
        <v>62</v>
      </c>
      <c r="E149" s="10">
        <v>1770</v>
      </c>
      <c r="F149" s="26">
        <f>124.75+17</f>
        <v>141.75</v>
      </c>
      <c r="G149" s="32"/>
      <c r="H149" s="26">
        <f>165+24.75+1.25</f>
        <v>191</v>
      </c>
      <c r="I149" s="32"/>
      <c r="J149" s="26">
        <f>159+35</f>
        <v>194</v>
      </c>
      <c r="K149" s="32"/>
      <c r="L149" s="26">
        <f>166.75+34.75+2.25</f>
        <v>203.75</v>
      </c>
      <c r="M149" s="32"/>
      <c r="N149" s="26">
        <f>159+48+2.75</f>
        <v>209.75</v>
      </c>
      <c r="O149" s="32"/>
      <c r="P149" s="26">
        <f>161.5+14</f>
        <v>175.5</v>
      </c>
      <c r="Q149" s="32"/>
      <c r="R149" s="26"/>
      <c r="S149" s="32"/>
      <c r="T149" s="26"/>
      <c r="U149" s="32"/>
      <c r="V149" s="26"/>
      <c r="W149" s="32"/>
      <c r="X149" s="26"/>
      <c r="Y149" s="106"/>
      <c r="Z149" s="26"/>
      <c r="AA149" s="32"/>
      <c r="AB149" s="26"/>
      <c r="AC149" s="32"/>
    </row>
    <row r="150" spans="1:29" ht="16.5" customHeight="1">
      <c r="A150" s="196"/>
      <c r="B150" s="16" t="s">
        <v>4</v>
      </c>
      <c r="C150" s="16"/>
      <c r="D150" s="11" t="s">
        <v>171</v>
      </c>
      <c r="E150" s="10">
        <v>2000</v>
      </c>
      <c r="F150" s="26">
        <f>160+14.5</f>
        <v>174.5</v>
      </c>
      <c r="G150" s="32"/>
      <c r="H150" s="26">
        <f>168+3.5</f>
        <v>171.5</v>
      </c>
      <c r="I150" s="32"/>
      <c r="J150" s="26">
        <f>176+3.5</f>
        <v>179.5</v>
      </c>
      <c r="K150" s="32"/>
      <c r="L150" s="26">
        <f>160+3.75</f>
        <v>163.75</v>
      </c>
      <c r="M150" s="32"/>
      <c r="N150" s="26">
        <f>168+3.5+0</f>
        <v>171.5</v>
      </c>
      <c r="O150" s="32"/>
      <c r="P150" s="26">
        <f>144+3+0</f>
        <v>147</v>
      </c>
      <c r="Q150" s="32"/>
      <c r="R150" s="26"/>
      <c r="S150" s="32"/>
      <c r="T150" s="26"/>
      <c r="U150" s="32"/>
      <c r="V150" s="26"/>
      <c r="W150" s="32"/>
      <c r="X150" s="26"/>
      <c r="Y150" s="32"/>
      <c r="Z150" s="26"/>
      <c r="AA150" s="32"/>
      <c r="AB150" s="26"/>
      <c r="AC150" s="32"/>
    </row>
    <row r="151" spans="1:29" ht="16.5" customHeight="1">
      <c r="A151" s="196"/>
      <c r="B151" s="39" t="s">
        <v>4</v>
      </c>
      <c r="C151" s="39"/>
      <c r="D151" s="40" t="s">
        <v>172</v>
      </c>
      <c r="E151" s="20">
        <v>2000</v>
      </c>
      <c r="F151" s="44">
        <f>96+0.75</f>
        <v>96.75</v>
      </c>
      <c r="G151" s="45"/>
      <c r="H151" s="44">
        <f>120+1</f>
        <v>121</v>
      </c>
      <c r="I151" s="45"/>
      <c r="J151" s="44"/>
      <c r="K151" s="45"/>
      <c r="L151" s="44"/>
      <c r="M151" s="45"/>
      <c r="N151" s="44"/>
      <c r="O151" s="45"/>
      <c r="P151" s="44"/>
      <c r="Q151" s="45"/>
      <c r="R151" s="44"/>
      <c r="S151" s="45"/>
      <c r="T151" s="44"/>
      <c r="U151" s="45"/>
      <c r="V151" s="44"/>
      <c r="W151" s="45"/>
      <c r="X151" s="44"/>
      <c r="Y151" s="45"/>
      <c r="Z151" s="44"/>
      <c r="AA151" s="45"/>
      <c r="AB151" s="44"/>
      <c r="AC151" s="45"/>
    </row>
    <row r="152" spans="1:29" ht="16.5" customHeight="1">
      <c r="A152" s="196"/>
      <c r="B152" s="39" t="s">
        <v>4</v>
      </c>
      <c r="C152" s="39"/>
      <c r="D152" s="40" t="s">
        <v>59</v>
      </c>
      <c r="E152" s="20">
        <v>1720</v>
      </c>
      <c r="F152" s="44"/>
      <c r="G152" s="45"/>
      <c r="H152" s="44"/>
      <c r="I152" s="45"/>
      <c r="J152" s="44">
        <f>162.25+43.25</f>
        <v>205.5</v>
      </c>
      <c r="K152" s="45"/>
      <c r="L152" s="44">
        <f>176+35.25</f>
        <v>211.25</v>
      </c>
      <c r="M152" s="45"/>
      <c r="N152" s="44"/>
      <c r="O152" s="45"/>
      <c r="P152" s="44">
        <v>112.75</v>
      </c>
      <c r="Q152" s="45"/>
      <c r="R152" s="44"/>
      <c r="S152" s="45"/>
      <c r="T152" s="44"/>
      <c r="U152" s="45"/>
      <c r="V152" s="44"/>
      <c r="W152" s="45"/>
      <c r="X152" s="44"/>
      <c r="Y152" s="45"/>
      <c r="Z152" s="44"/>
      <c r="AA152" s="45"/>
      <c r="AB152" s="44"/>
      <c r="AC152" s="45"/>
    </row>
    <row r="153" spans="1:29" ht="16.5" customHeight="1">
      <c r="A153" s="196"/>
      <c r="B153" s="59" t="s">
        <v>4</v>
      </c>
      <c r="C153" s="59"/>
      <c r="D153" s="171" t="s">
        <v>583</v>
      </c>
      <c r="E153" s="174">
        <v>2000</v>
      </c>
      <c r="F153" s="25"/>
      <c r="G153" s="31"/>
      <c r="H153" s="25"/>
      <c r="I153" s="31"/>
      <c r="J153" s="175">
        <v>145</v>
      </c>
      <c r="K153" s="31" t="s">
        <v>539</v>
      </c>
      <c r="L153" s="25">
        <v>140</v>
      </c>
      <c r="M153" s="31"/>
      <c r="N153" s="25">
        <v>147</v>
      </c>
      <c r="O153" s="31"/>
      <c r="P153" s="25">
        <v>126</v>
      </c>
      <c r="Q153" s="31"/>
      <c r="R153" s="25"/>
      <c r="S153" s="31"/>
      <c r="T153" s="25"/>
      <c r="U153" s="31"/>
      <c r="V153" s="25"/>
      <c r="W153" s="31"/>
      <c r="X153" s="25"/>
      <c r="Y153" s="31"/>
      <c r="Z153" s="25"/>
      <c r="AA153" s="31"/>
      <c r="AB153" s="25"/>
      <c r="AC153" s="31"/>
    </row>
    <row r="154" spans="1:29">
      <c r="A154" s="196" t="s">
        <v>55</v>
      </c>
      <c r="B154" s="14" t="s">
        <v>4</v>
      </c>
      <c r="C154" s="14" t="s">
        <v>440</v>
      </c>
      <c r="D154" s="9" t="s">
        <v>65</v>
      </c>
      <c r="E154" s="6">
        <v>2500</v>
      </c>
      <c r="F154" s="24">
        <f>129.75+17.25</f>
        <v>147</v>
      </c>
      <c r="G154" s="30"/>
      <c r="H154" s="46">
        <f>156+15</f>
        <v>171</v>
      </c>
      <c r="I154" s="30"/>
      <c r="J154" s="46">
        <f>135.75+13.5+23.5</f>
        <v>172.75</v>
      </c>
      <c r="K154" s="30"/>
      <c r="L154" s="46">
        <f>157.5+30+9</f>
        <v>196.5</v>
      </c>
      <c r="M154" s="30"/>
      <c r="N154" s="46">
        <f>132+10.3+36+2</f>
        <v>180.3</v>
      </c>
      <c r="O154" s="30"/>
      <c r="P154" s="46">
        <f>152.75+6.5+27.25</f>
        <v>186.5</v>
      </c>
      <c r="Q154" s="30"/>
      <c r="R154" s="46"/>
      <c r="S154" s="30"/>
      <c r="T154" s="46"/>
      <c r="U154" s="30"/>
      <c r="V154" s="46"/>
      <c r="W154" s="30"/>
      <c r="X154" s="46"/>
      <c r="Y154" s="30"/>
      <c r="Z154" s="46"/>
      <c r="AA154" s="30"/>
      <c r="AB154" s="46"/>
      <c r="AC154" s="30"/>
    </row>
    <row r="155" spans="1:29">
      <c r="A155" s="196"/>
      <c r="B155" s="16" t="s">
        <v>4</v>
      </c>
      <c r="C155" s="16" t="s">
        <v>437</v>
      </c>
      <c r="D155" s="11" t="s">
        <v>65</v>
      </c>
      <c r="E155" s="10">
        <v>2500</v>
      </c>
      <c r="F155" s="26"/>
      <c r="G155" s="32"/>
      <c r="H155" s="47"/>
      <c r="I155" s="32"/>
      <c r="J155" s="47"/>
      <c r="K155" s="32"/>
      <c r="L155" s="47"/>
      <c r="M155" s="32"/>
      <c r="N155" s="47"/>
      <c r="O155" s="32"/>
      <c r="P155" s="47"/>
      <c r="Q155" s="32"/>
      <c r="R155" s="47"/>
      <c r="S155" s="32"/>
      <c r="T155" s="47"/>
      <c r="U155" s="32"/>
      <c r="V155" s="47"/>
      <c r="W155" s="32"/>
      <c r="X155" s="47"/>
      <c r="Y155" s="32"/>
      <c r="Z155" s="47"/>
      <c r="AA155" s="32"/>
      <c r="AB155" s="47"/>
      <c r="AC155" s="32"/>
    </row>
    <row r="156" spans="1:29">
      <c r="A156" s="196"/>
      <c r="B156" s="16" t="s">
        <v>4</v>
      </c>
      <c r="C156" s="16" t="s">
        <v>18</v>
      </c>
      <c r="D156" s="16" t="s">
        <v>173</v>
      </c>
      <c r="E156" s="10">
        <v>2000</v>
      </c>
      <c r="F156" s="26">
        <f>149.5+24</f>
        <v>173.5</v>
      </c>
      <c r="G156" s="32"/>
      <c r="H156" s="47">
        <f>150+3</f>
        <v>153</v>
      </c>
      <c r="I156" s="32"/>
      <c r="J156" s="47">
        <f>160+15</f>
        <v>175</v>
      </c>
      <c r="K156" s="32"/>
      <c r="L156" s="47">
        <f>172+11</f>
        <v>183</v>
      </c>
      <c r="M156" s="32"/>
      <c r="N156" s="47">
        <f>176+20.25</f>
        <v>196.25</v>
      </c>
      <c r="O156" s="32"/>
      <c r="P156" s="47">
        <f>157.5+4.75</f>
        <v>162.25</v>
      </c>
      <c r="Q156" s="32"/>
      <c r="R156" s="47"/>
      <c r="S156" s="32"/>
      <c r="T156" s="47"/>
      <c r="U156" s="32"/>
      <c r="V156" s="47"/>
      <c r="W156" s="32"/>
      <c r="X156" s="47"/>
      <c r="Y156" s="32"/>
      <c r="Z156" s="47"/>
      <c r="AA156" s="32"/>
      <c r="AB156" s="47"/>
      <c r="AC156" s="32"/>
    </row>
    <row r="157" spans="1:29">
      <c r="A157" s="196"/>
      <c r="B157" s="16" t="s">
        <v>4</v>
      </c>
      <c r="C157" s="16" t="s">
        <v>412</v>
      </c>
      <c r="D157" s="16" t="s">
        <v>174</v>
      </c>
      <c r="E157" s="10">
        <v>2000</v>
      </c>
      <c r="F157" s="26">
        <f>142.25+20.25</f>
        <v>162.5</v>
      </c>
      <c r="G157" s="32"/>
      <c r="H157" s="48">
        <f>173.75+21.25</f>
        <v>195</v>
      </c>
      <c r="I157" s="32"/>
      <c r="J157" s="48">
        <f>163.5+27.25+26.75</f>
        <v>217.5</v>
      </c>
      <c r="K157" s="32"/>
      <c r="L157" s="48">
        <f>159.75+8.25+39.5</f>
        <v>207.5</v>
      </c>
      <c r="M157" s="32"/>
      <c r="N157" s="48">
        <f>175.25+26.5+61.25+1.75</f>
        <v>264.75</v>
      </c>
      <c r="O157" s="32"/>
      <c r="P157" s="48">
        <f>158.5+23.5</f>
        <v>182</v>
      </c>
      <c r="Q157" s="32"/>
      <c r="R157" s="48"/>
      <c r="S157" s="32"/>
      <c r="T157" s="48"/>
      <c r="U157" s="32"/>
      <c r="V157" s="48"/>
      <c r="W157" s="32"/>
      <c r="X157" s="48"/>
      <c r="Y157" s="32"/>
      <c r="Z157" s="48"/>
      <c r="AA157" s="32"/>
      <c r="AB157" s="48"/>
      <c r="AC157" s="32"/>
    </row>
    <row r="158" spans="1:29">
      <c r="A158" s="196"/>
      <c r="B158" s="16" t="s">
        <v>4</v>
      </c>
      <c r="C158" s="16" t="s">
        <v>413</v>
      </c>
      <c r="D158" s="16" t="s">
        <v>174</v>
      </c>
      <c r="E158" s="10">
        <v>2000</v>
      </c>
      <c r="F158" s="26"/>
      <c r="G158" s="32"/>
      <c r="H158" s="48"/>
      <c r="I158" s="32"/>
      <c r="J158" s="48"/>
      <c r="K158" s="32"/>
      <c r="L158" s="48"/>
      <c r="M158" s="32"/>
      <c r="N158" s="48"/>
      <c r="O158" s="32"/>
      <c r="P158" s="48"/>
      <c r="Q158" s="32"/>
      <c r="R158" s="48"/>
      <c r="S158" s="32"/>
      <c r="T158" s="48"/>
      <c r="U158" s="32"/>
      <c r="V158" s="48"/>
      <c r="W158" s="32"/>
      <c r="X158" s="48"/>
      <c r="Y158" s="32"/>
      <c r="Z158" s="48"/>
      <c r="AA158" s="32"/>
      <c r="AB158" s="48"/>
      <c r="AC158" s="32"/>
    </row>
    <row r="159" spans="1:29">
      <c r="A159" s="196"/>
      <c r="B159" s="16" t="s">
        <v>4</v>
      </c>
      <c r="C159" s="16" t="s">
        <v>18</v>
      </c>
      <c r="D159" s="16" t="s">
        <v>175</v>
      </c>
      <c r="E159" s="10">
        <v>2000</v>
      </c>
      <c r="F159" s="26"/>
      <c r="G159" s="32"/>
      <c r="H159" s="47"/>
      <c r="I159" s="32"/>
      <c r="J159" s="47"/>
      <c r="K159" s="32"/>
      <c r="L159" s="47"/>
      <c r="M159" s="32"/>
      <c r="N159" s="48"/>
      <c r="O159" s="32"/>
      <c r="P159" s="47"/>
      <c r="Q159" s="32"/>
      <c r="R159" s="47"/>
      <c r="S159" s="32"/>
      <c r="T159" s="47"/>
      <c r="U159" s="32"/>
      <c r="V159" s="47"/>
      <c r="W159" s="32"/>
      <c r="X159" s="47"/>
      <c r="Y159" s="32"/>
      <c r="Z159" s="47"/>
      <c r="AA159" s="32"/>
      <c r="AB159" s="47"/>
      <c r="AC159" s="32"/>
    </row>
    <row r="160" spans="1:29">
      <c r="A160" s="196"/>
      <c r="B160" s="16" t="s">
        <v>4</v>
      </c>
      <c r="C160" s="16" t="s">
        <v>439</v>
      </c>
      <c r="D160" s="16" t="s">
        <v>176</v>
      </c>
      <c r="E160" s="10">
        <v>2000</v>
      </c>
      <c r="F160" s="26">
        <f>150+17</f>
        <v>167</v>
      </c>
      <c r="G160" s="32"/>
      <c r="H160" s="47">
        <f>165+22.75</f>
        <v>187.75</v>
      </c>
      <c r="I160" s="32"/>
      <c r="J160" s="47">
        <f>151.5+9.5+31.75</f>
        <v>192.75</v>
      </c>
      <c r="K160" s="32"/>
      <c r="L160" s="47">
        <f>162.25+17+36</f>
        <v>215.25</v>
      </c>
      <c r="M160" s="32"/>
      <c r="N160" s="47">
        <f>175.25+31.75+60.5+2.25</f>
        <v>269.75</v>
      </c>
      <c r="O160" s="32"/>
      <c r="P160" s="47">
        <f>162.5+16+30</f>
        <v>208.5</v>
      </c>
      <c r="Q160" s="32"/>
      <c r="R160" s="47"/>
      <c r="S160" s="32"/>
      <c r="T160" s="47"/>
      <c r="U160" s="32"/>
      <c r="V160" s="47"/>
      <c r="W160" s="32"/>
      <c r="X160" s="47"/>
      <c r="Y160" s="32"/>
      <c r="Z160" s="47"/>
      <c r="AA160" s="32"/>
      <c r="AB160" s="47"/>
      <c r="AC160" s="32"/>
    </row>
    <row r="161" spans="1:29">
      <c r="A161" s="196"/>
      <c r="B161" s="16" t="s">
        <v>4</v>
      </c>
      <c r="C161" s="16" t="s">
        <v>438</v>
      </c>
      <c r="D161" s="16" t="s">
        <v>176</v>
      </c>
      <c r="E161" s="10">
        <v>2000</v>
      </c>
      <c r="F161" s="26"/>
      <c r="G161" s="32"/>
      <c r="H161" s="47"/>
      <c r="I161" s="32"/>
      <c r="J161" s="47"/>
      <c r="K161" s="32"/>
      <c r="L161" s="47"/>
      <c r="M161" s="32"/>
      <c r="N161" s="47"/>
      <c r="O161" s="32"/>
      <c r="P161" s="47"/>
      <c r="Q161" s="32"/>
      <c r="R161" s="47"/>
      <c r="S161" s="32"/>
      <c r="T161" s="47"/>
      <c r="U161" s="32"/>
      <c r="V161" s="47"/>
      <c r="W161" s="32"/>
      <c r="X161" s="47"/>
      <c r="Y161" s="32"/>
      <c r="Z161" s="47"/>
      <c r="AA161" s="32"/>
      <c r="AB161" s="47"/>
      <c r="AC161" s="32"/>
    </row>
    <row r="162" spans="1:29">
      <c r="A162" s="196"/>
      <c r="B162" s="16" t="s">
        <v>4</v>
      </c>
      <c r="C162" s="16" t="s">
        <v>18</v>
      </c>
      <c r="D162" s="16" t="s">
        <v>177</v>
      </c>
      <c r="E162" s="10">
        <v>2000</v>
      </c>
      <c r="F162" s="26">
        <f>133.75+14.25</f>
        <v>148</v>
      </c>
      <c r="G162" s="32"/>
      <c r="H162" s="47">
        <f>164.25+8+20.5</f>
        <v>192.75</v>
      </c>
      <c r="I162" s="32"/>
      <c r="J162" s="47">
        <f>171.5+18.5+28.5</f>
        <v>218.5</v>
      </c>
      <c r="K162" s="32"/>
      <c r="L162" s="47">
        <f>146.25+32</f>
        <v>178.25</v>
      </c>
      <c r="M162" s="32"/>
      <c r="N162" s="47">
        <f>174+26.5+59.25+1.75</f>
        <v>261.5</v>
      </c>
      <c r="O162" s="32"/>
      <c r="P162" s="47">
        <f>142.75+22.25</f>
        <v>165</v>
      </c>
      <c r="Q162" s="32"/>
      <c r="R162" s="47"/>
      <c r="S162" s="32"/>
      <c r="T162" s="47"/>
      <c r="U162" s="32"/>
      <c r="V162" s="47"/>
      <c r="W162" s="32"/>
      <c r="X162" s="47"/>
      <c r="Y162" s="32"/>
      <c r="Z162" s="47"/>
      <c r="AA162" s="32"/>
      <c r="AB162" s="47"/>
      <c r="AC162" s="32"/>
    </row>
    <row r="163" spans="1:29">
      <c r="A163" s="196"/>
      <c r="B163" s="16" t="s">
        <v>4</v>
      </c>
      <c r="C163" s="16" t="s">
        <v>18</v>
      </c>
      <c r="D163" s="16" t="s">
        <v>178</v>
      </c>
      <c r="E163" s="10">
        <v>2000</v>
      </c>
      <c r="F163" s="26"/>
      <c r="G163" s="32"/>
      <c r="H163" s="47"/>
      <c r="I163" s="32"/>
      <c r="J163" s="47"/>
      <c r="K163" s="32"/>
      <c r="L163" s="47"/>
      <c r="M163" s="32"/>
      <c r="N163" s="47"/>
      <c r="O163" s="32"/>
      <c r="P163" s="47"/>
      <c r="Q163" s="32"/>
      <c r="R163" s="47"/>
      <c r="S163" s="32"/>
      <c r="T163" s="47"/>
      <c r="U163" s="32"/>
      <c r="V163" s="47"/>
      <c r="W163" s="32"/>
      <c r="X163" s="47"/>
      <c r="Y163" s="32"/>
      <c r="Z163" s="47"/>
      <c r="AA163" s="32"/>
      <c r="AB163" s="47"/>
      <c r="AC163" s="32"/>
    </row>
    <row r="164" spans="1:29">
      <c r="A164" s="196"/>
      <c r="B164" s="16" t="s">
        <v>4</v>
      </c>
      <c r="C164" s="16" t="s">
        <v>18</v>
      </c>
      <c r="D164" s="16" t="s">
        <v>179</v>
      </c>
      <c r="E164" s="10">
        <v>2000</v>
      </c>
      <c r="F164" s="26"/>
      <c r="G164" s="32"/>
      <c r="H164" s="47"/>
      <c r="I164" s="32"/>
      <c r="J164" s="47"/>
      <c r="K164" s="32"/>
      <c r="L164" s="47"/>
      <c r="M164" s="32"/>
      <c r="N164" s="47"/>
      <c r="O164" s="32"/>
      <c r="P164" s="47"/>
      <c r="Q164" s="32"/>
      <c r="R164" s="47"/>
      <c r="S164" s="32"/>
      <c r="T164" s="47"/>
      <c r="U164" s="32"/>
      <c r="V164" s="47"/>
      <c r="W164" s="32"/>
      <c r="X164" s="47"/>
      <c r="Y164" s="32"/>
      <c r="Z164" s="47"/>
      <c r="AA164" s="32"/>
      <c r="AB164" s="47"/>
      <c r="AC164" s="32"/>
    </row>
    <row r="165" spans="1:29">
      <c r="A165" s="196"/>
      <c r="B165" s="16" t="s">
        <v>4</v>
      </c>
      <c r="C165" s="16" t="s">
        <v>18</v>
      </c>
      <c r="D165" s="16" t="s">
        <v>180</v>
      </c>
      <c r="E165" s="10">
        <v>2000</v>
      </c>
      <c r="F165" s="26">
        <f>160+46.75</f>
        <v>206.75</v>
      </c>
      <c r="G165" s="32"/>
      <c r="H165" s="47">
        <f>158.5+38.5+1.25</f>
        <v>198.25</v>
      </c>
      <c r="I165" s="32"/>
      <c r="J165" s="47">
        <f>168+8+54.25</f>
        <v>230.25</v>
      </c>
      <c r="K165" s="32"/>
      <c r="L165" s="47">
        <f>157.5+39+2.5</f>
        <v>199</v>
      </c>
      <c r="M165" s="32"/>
      <c r="N165" s="47">
        <f>175.25+4+48.25+6.25</f>
        <v>233.75</v>
      </c>
      <c r="O165" s="32"/>
      <c r="P165" s="47">
        <f>150+24</f>
        <v>174</v>
      </c>
      <c r="Q165" s="32"/>
      <c r="R165" s="47"/>
      <c r="S165" s="32"/>
      <c r="T165" s="47"/>
      <c r="U165" s="32"/>
      <c r="V165" s="47"/>
      <c r="W165" s="32"/>
      <c r="X165" s="47"/>
      <c r="Y165" s="32"/>
      <c r="Z165" s="47"/>
      <c r="AA165" s="32"/>
      <c r="AB165" s="47"/>
      <c r="AC165" s="32"/>
    </row>
    <row r="166" spans="1:29">
      <c r="A166" s="196"/>
      <c r="B166" s="16" t="s">
        <v>4</v>
      </c>
      <c r="C166" s="16" t="s">
        <v>18</v>
      </c>
      <c r="D166" s="16" t="s">
        <v>423</v>
      </c>
      <c r="E166" s="10">
        <v>2000</v>
      </c>
      <c r="F166" s="26">
        <f>118.5+14.75+0.25</f>
        <v>133.5</v>
      </c>
      <c r="G166" s="32"/>
      <c r="H166" s="47">
        <f>164.25+8+16.75+0.75</f>
        <v>189.75</v>
      </c>
      <c r="I166" s="32"/>
      <c r="J166" s="47">
        <f>172.5+9+27.5</f>
        <v>209</v>
      </c>
      <c r="K166" s="32"/>
      <c r="L166" s="47">
        <f>170.5+8.5+32.5+0</f>
        <v>211.5</v>
      </c>
      <c r="M166" s="32"/>
      <c r="N166" s="47">
        <f>175.25+26.5+49.25+4.25</f>
        <v>255.25</v>
      </c>
      <c r="O166" s="32"/>
      <c r="P166" s="47">
        <f>166.25+17.75</f>
        <v>184</v>
      </c>
      <c r="Q166" s="32"/>
      <c r="R166" s="47"/>
      <c r="S166" s="32"/>
      <c r="T166" s="47"/>
      <c r="U166" s="32"/>
      <c r="V166" s="47"/>
      <c r="W166" s="32"/>
      <c r="X166" s="47"/>
      <c r="Y166" s="32"/>
      <c r="Z166" s="47"/>
      <c r="AA166" s="32"/>
      <c r="AB166" s="47"/>
      <c r="AC166" s="32"/>
    </row>
    <row r="167" spans="1:29">
      <c r="A167" s="196"/>
      <c r="B167" s="16" t="s">
        <v>4</v>
      </c>
      <c r="C167" s="16" t="s">
        <v>18</v>
      </c>
      <c r="D167" s="16" t="s">
        <v>181</v>
      </c>
      <c r="E167" s="10">
        <v>2000</v>
      </c>
      <c r="F167" s="26"/>
      <c r="G167" s="32"/>
      <c r="H167" s="47"/>
      <c r="I167" s="32"/>
      <c r="J167" s="47"/>
      <c r="K167" s="32"/>
      <c r="L167" s="47"/>
      <c r="M167" s="32"/>
      <c r="N167" s="47"/>
      <c r="O167" s="32"/>
      <c r="P167" s="47"/>
      <c r="Q167" s="32"/>
      <c r="R167" s="47"/>
      <c r="S167" s="32"/>
      <c r="T167" s="47"/>
      <c r="U167" s="32"/>
      <c r="V167" s="47"/>
      <c r="W167" s="32"/>
      <c r="X167" s="47"/>
      <c r="Y167" s="32"/>
      <c r="Z167" s="47"/>
      <c r="AA167" s="32"/>
      <c r="AB167" s="47"/>
      <c r="AC167" s="32"/>
    </row>
    <row r="168" spans="1:29">
      <c r="A168" s="196"/>
      <c r="B168" s="16" t="s">
        <v>4</v>
      </c>
      <c r="C168" s="16" t="s">
        <v>18</v>
      </c>
      <c r="D168" s="16" t="s">
        <v>67</v>
      </c>
      <c r="E168" s="10">
        <v>2000</v>
      </c>
      <c r="F168" s="26">
        <f>157.75+23.75</f>
        <v>181.5</v>
      </c>
      <c r="G168" s="32"/>
      <c r="H168" s="47">
        <f>172+8+16</f>
        <v>196</v>
      </c>
      <c r="I168" s="32"/>
      <c r="J168" s="47">
        <f>162.5+16.75+27</f>
        <v>206.25</v>
      </c>
      <c r="K168" s="32"/>
      <c r="L168" s="47">
        <f>170.25+8.25+36.5</f>
        <v>215</v>
      </c>
      <c r="M168" s="32"/>
      <c r="N168" s="47">
        <f>175.25+18+50.5+4.25</f>
        <v>248</v>
      </c>
      <c r="O168" s="32"/>
      <c r="P168" s="47">
        <f>143.75+7.75+13.25</f>
        <v>164.75</v>
      </c>
      <c r="Q168" s="32"/>
      <c r="R168" s="47"/>
      <c r="S168" s="32"/>
      <c r="T168" s="47"/>
      <c r="U168" s="32"/>
      <c r="V168" s="47"/>
      <c r="W168" s="32"/>
      <c r="X168" s="47"/>
      <c r="Y168" s="32"/>
      <c r="Z168" s="47"/>
      <c r="AA168" s="32"/>
      <c r="AB168" s="47"/>
      <c r="AC168" s="32"/>
    </row>
    <row r="169" spans="1:29">
      <c r="A169" s="196"/>
      <c r="B169" s="16" t="s">
        <v>4</v>
      </c>
      <c r="C169" s="16" t="s">
        <v>18</v>
      </c>
      <c r="D169" s="16" t="s">
        <v>469</v>
      </c>
      <c r="E169" s="10">
        <v>2000</v>
      </c>
      <c r="F169" s="26">
        <f>144.75+23.5+0.25</f>
        <v>168.5</v>
      </c>
      <c r="G169" s="32"/>
      <c r="H169" s="47">
        <f>157.5+8+15.75+0.75</f>
        <v>182</v>
      </c>
      <c r="I169" s="32"/>
      <c r="J169" s="47"/>
      <c r="K169" s="32"/>
      <c r="L169" s="47"/>
      <c r="M169" s="32"/>
      <c r="N169" s="47"/>
      <c r="O169" s="32"/>
      <c r="P169" s="47"/>
      <c r="Q169" s="32"/>
      <c r="R169" s="47"/>
      <c r="S169" s="32"/>
      <c r="T169" s="47"/>
      <c r="U169" s="32"/>
      <c r="V169" s="47"/>
      <c r="W169" s="32"/>
      <c r="X169" s="47"/>
      <c r="Y169" s="32"/>
      <c r="Z169" s="47"/>
      <c r="AA169" s="32"/>
      <c r="AB169" s="47"/>
      <c r="AC169" s="32"/>
    </row>
    <row r="170" spans="1:29">
      <c r="A170" s="196"/>
      <c r="B170" s="16" t="s">
        <v>4</v>
      </c>
      <c r="C170" s="16" t="s">
        <v>18</v>
      </c>
      <c r="D170" s="16" t="s">
        <v>468</v>
      </c>
      <c r="E170" s="10">
        <v>2000</v>
      </c>
      <c r="F170" s="26">
        <f>157.75+22.5+0.25</f>
        <v>180.5</v>
      </c>
      <c r="G170" s="32"/>
      <c r="H170" s="47">
        <f>172.5+15.25</f>
        <v>187.75</v>
      </c>
      <c r="I170" s="32"/>
      <c r="J170" s="47">
        <f>159.5+20.5</f>
        <v>180</v>
      </c>
      <c r="K170" s="32"/>
      <c r="L170" s="47">
        <f>167+24.5</f>
        <v>191.5</v>
      </c>
      <c r="M170" s="32"/>
      <c r="N170" s="47">
        <f>175+6+46.25+3</f>
        <v>230.25</v>
      </c>
      <c r="O170" s="32"/>
      <c r="P170" s="47">
        <f>153.25+17</f>
        <v>170.25</v>
      </c>
      <c r="Q170" s="32"/>
      <c r="R170" s="47"/>
      <c r="S170" s="32"/>
      <c r="T170" s="47"/>
      <c r="U170" s="32"/>
      <c r="V170" s="47"/>
      <c r="W170" s="32"/>
      <c r="X170" s="47"/>
      <c r="Y170" s="32"/>
      <c r="Z170" s="47"/>
      <c r="AA170" s="32"/>
      <c r="AB170" s="47"/>
      <c r="AC170" s="32"/>
    </row>
    <row r="171" spans="1:29">
      <c r="A171" s="196"/>
      <c r="B171" s="16" t="s">
        <v>4</v>
      </c>
      <c r="C171" s="16" t="s">
        <v>18</v>
      </c>
      <c r="D171" s="16" t="s">
        <v>182</v>
      </c>
      <c r="E171" s="10">
        <v>2000</v>
      </c>
      <c r="F171" s="26">
        <f>155.75+28.5</f>
        <v>184.25</v>
      </c>
      <c r="G171" s="32"/>
      <c r="H171" s="47">
        <f>175.5+72+2.25</f>
        <v>249.75</v>
      </c>
      <c r="I171" s="32"/>
      <c r="J171" s="47">
        <f>166.5+9.25+52</f>
        <v>227.75</v>
      </c>
      <c r="K171" s="32"/>
      <c r="L171" s="47">
        <f>164+53+2</f>
        <v>219</v>
      </c>
      <c r="M171" s="32"/>
      <c r="N171" s="47">
        <f>158+6+58.25+4</f>
        <v>226.25</v>
      </c>
      <c r="O171" s="32"/>
      <c r="P171" s="47">
        <f>158.5+20.5+0.75</f>
        <v>179.75</v>
      </c>
      <c r="Q171" s="32"/>
      <c r="R171" s="47"/>
      <c r="S171" s="32"/>
      <c r="T171" s="47"/>
      <c r="U171" s="32"/>
      <c r="V171" s="47"/>
      <c r="W171" s="32"/>
      <c r="X171" s="47"/>
      <c r="Y171" s="32"/>
      <c r="Z171" s="47"/>
      <c r="AA171" s="32"/>
      <c r="AB171" s="47"/>
      <c r="AC171" s="32"/>
    </row>
    <row r="172" spans="1:29">
      <c r="A172" s="196"/>
      <c r="B172" s="16" t="s">
        <v>20</v>
      </c>
      <c r="C172" s="16" t="s">
        <v>66</v>
      </c>
      <c r="D172" s="16" t="s">
        <v>67</v>
      </c>
      <c r="E172" s="10">
        <v>2000</v>
      </c>
      <c r="F172" s="26"/>
      <c r="G172" s="32"/>
      <c r="H172" s="47"/>
      <c r="I172" s="32"/>
      <c r="J172" s="47"/>
      <c r="K172" s="32"/>
      <c r="L172" s="47"/>
      <c r="M172" s="32"/>
      <c r="N172" s="47"/>
      <c r="O172" s="32"/>
      <c r="P172" s="47"/>
      <c r="Q172" s="32"/>
      <c r="R172" s="47"/>
      <c r="S172" s="32"/>
      <c r="T172" s="47"/>
      <c r="U172" s="32"/>
      <c r="V172" s="47"/>
      <c r="W172" s="32"/>
      <c r="X172" s="47"/>
      <c r="Y172" s="32"/>
      <c r="Z172" s="47"/>
      <c r="AA172" s="32"/>
      <c r="AB172" s="47"/>
      <c r="AC172" s="32"/>
    </row>
    <row r="173" spans="1:29">
      <c r="A173" s="196"/>
      <c r="B173" s="39" t="s">
        <v>4</v>
      </c>
      <c r="C173" s="39" t="s">
        <v>18</v>
      </c>
      <c r="D173" s="40" t="s">
        <v>68</v>
      </c>
      <c r="E173" s="20">
        <v>1800</v>
      </c>
      <c r="F173" s="44">
        <f>136+24.25</f>
        <v>160.25</v>
      </c>
      <c r="G173" s="45"/>
      <c r="H173" s="49">
        <f>64+12.25</f>
        <v>76.25</v>
      </c>
      <c r="I173" s="45"/>
      <c r="J173" s="49">
        <f>128+25.5+0.5</f>
        <v>154</v>
      </c>
      <c r="K173" s="45"/>
      <c r="L173" s="49">
        <f>152+35.5+0.25</f>
        <v>187.75</v>
      </c>
      <c r="M173" s="45"/>
      <c r="N173" s="49">
        <f>144+50.5+3.15</f>
        <v>197.65</v>
      </c>
      <c r="O173" s="45"/>
      <c r="P173" s="49">
        <f>151+36.75+0.75</f>
        <v>188.5</v>
      </c>
      <c r="Q173" s="45"/>
      <c r="R173" s="49"/>
      <c r="S173" s="45"/>
      <c r="T173" s="49"/>
      <c r="U173" s="45"/>
      <c r="V173" s="49"/>
      <c r="W173" s="45"/>
      <c r="X173" s="49"/>
      <c r="Y173" s="45"/>
      <c r="Z173" s="49"/>
      <c r="AA173" s="45"/>
      <c r="AB173" s="49"/>
      <c r="AC173" s="45"/>
    </row>
    <row r="174" spans="1:29">
      <c r="A174" s="196"/>
      <c r="B174" s="59" t="s">
        <v>4</v>
      </c>
      <c r="C174" s="59" t="s">
        <v>69</v>
      </c>
      <c r="D174" s="42" t="s">
        <v>38</v>
      </c>
      <c r="E174" s="7">
        <v>1800</v>
      </c>
      <c r="F174" s="25"/>
      <c r="G174" s="31"/>
      <c r="H174" s="50"/>
      <c r="I174" s="31"/>
      <c r="J174" s="50"/>
      <c r="K174" s="31"/>
      <c r="L174" s="50"/>
      <c r="M174" s="31"/>
      <c r="N174" s="50"/>
      <c r="O174" s="31"/>
      <c r="P174" s="50"/>
      <c r="Q174" s="31"/>
      <c r="R174" s="50"/>
      <c r="S174" s="31"/>
      <c r="T174" s="50"/>
      <c r="U174" s="31"/>
      <c r="V174" s="50"/>
      <c r="W174" s="31"/>
      <c r="X174" s="50"/>
      <c r="Y174" s="31"/>
      <c r="Z174" s="50"/>
      <c r="AA174" s="31"/>
      <c r="AB174" s="50"/>
      <c r="AC174" s="31"/>
    </row>
    <row r="175" spans="1:29" ht="18" customHeight="1">
      <c r="A175" s="197" t="s">
        <v>71</v>
      </c>
      <c r="B175" s="63" t="s">
        <v>4</v>
      </c>
      <c r="C175" s="63" t="s">
        <v>301</v>
      </c>
      <c r="D175" s="64"/>
      <c r="E175" s="6" t="s">
        <v>72</v>
      </c>
      <c r="F175" s="24"/>
      <c r="G175" s="30" t="s">
        <v>544</v>
      </c>
      <c r="H175" s="24"/>
      <c r="I175" s="51" t="s">
        <v>574</v>
      </c>
      <c r="J175" s="24"/>
      <c r="K175" s="51" t="s">
        <v>574</v>
      </c>
      <c r="L175" s="24"/>
      <c r="M175" s="51" t="s">
        <v>574</v>
      </c>
      <c r="N175" s="24"/>
      <c r="O175" s="51" t="s">
        <v>574</v>
      </c>
      <c r="P175" s="24"/>
      <c r="Q175" s="51" t="s">
        <v>628</v>
      </c>
      <c r="R175" s="24"/>
      <c r="S175" s="51"/>
      <c r="T175" s="24"/>
      <c r="U175" s="51"/>
      <c r="V175" s="24"/>
      <c r="W175" s="51"/>
      <c r="X175" s="24"/>
      <c r="Y175" s="51"/>
      <c r="Z175" s="24"/>
      <c r="AA175" s="51"/>
      <c r="AB175" s="24"/>
      <c r="AC175" s="51"/>
    </row>
    <row r="176" spans="1:29">
      <c r="A176" s="197"/>
      <c r="B176" s="65"/>
      <c r="C176" s="65"/>
      <c r="D176" s="66"/>
      <c r="E176" s="7"/>
      <c r="F176" s="25"/>
      <c r="G176" s="31"/>
      <c r="H176" s="25"/>
      <c r="I176" s="31"/>
      <c r="J176" s="25"/>
      <c r="K176" s="31"/>
      <c r="L176" s="25"/>
      <c r="M176" s="31"/>
      <c r="N176" s="25"/>
      <c r="O176" s="31"/>
      <c r="P176" s="25"/>
      <c r="Q176" s="31"/>
      <c r="R176" s="25"/>
      <c r="S176" s="31"/>
      <c r="T176" s="25"/>
      <c r="U176" s="31"/>
      <c r="V176" s="25"/>
      <c r="W176" s="31"/>
      <c r="X176" s="25"/>
      <c r="Y176" s="31"/>
      <c r="Z176" s="25"/>
      <c r="AA176" s="31"/>
      <c r="AB176" s="25"/>
      <c r="AC176" s="31"/>
    </row>
    <row r="177" spans="1:29">
      <c r="A177" s="80" t="s">
        <v>385</v>
      </c>
      <c r="B177" s="73"/>
      <c r="C177" s="73" t="s">
        <v>386</v>
      </c>
      <c r="D177" s="76"/>
      <c r="E177" s="8">
        <v>1400</v>
      </c>
      <c r="F177" s="27"/>
      <c r="G177" s="33" t="s">
        <v>541</v>
      </c>
      <c r="H177" s="27"/>
      <c r="I177" s="33"/>
      <c r="J177" s="27"/>
      <c r="K177" s="33"/>
      <c r="L177" s="27"/>
      <c r="M177" s="33"/>
      <c r="N177" s="27" t="s">
        <v>541</v>
      </c>
      <c r="O177" s="33"/>
      <c r="P177" s="27" t="s">
        <v>596</v>
      </c>
      <c r="Q177" s="33"/>
      <c r="R177" s="27"/>
      <c r="S177" s="33"/>
      <c r="T177" s="27"/>
      <c r="U177" s="33"/>
      <c r="V177" s="27"/>
      <c r="W177" s="33"/>
      <c r="X177" s="27"/>
      <c r="Y177" s="33"/>
      <c r="Z177" s="27"/>
      <c r="AA177" s="33"/>
      <c r="AB177" s="27"/>
      <c r="AC177" s="33"/>
    </row>
    <row r="178" spans="1:29">
      <c r="A178" s="80" t="s">
        <v>73</v>
      </c>
      <c r="B178" s="67" t="s">
        <v>302</v>
      </c>
      <c r="C178" s="67" t="s">
        <v>74</v>
      </c>
      <c r="D178" s="58"/>
      <c r="E178" s="5" t="s">
        <v>75</v>
      </c>
      <c r="F178" s="28"/>
      <c r="G178" s="98">
        <v>91729</v>
      </c>
      <c r="H178" s="28"/>
      <c r="I178" s="52">
        <v>107864</v>
      </c>
      <c r="J178" s="28"/>
      <c r="K178" s="79"/>
      <c r="L178" s="28"/>
      <c r="M178" s="79">
        <v>117498</v>
      </c>
      <c r="N178" s="28"/>
      <c r="O178" s="79"/>
      <c r="P178" s="28"/>
      <c r="Q178" s="98">
        <v>113317</v>
      </c>
      <c r="R178" s="28"/>
      <c r="S178" s="79"/>
      <c r="T178" s="28"/>
      <c r="U178" s="79"/>
      <c r="V178" s="28"/>
      <c r="W178" s="79"/>
      <c r="X178" s="28"/>
      <c r="Y178" s="79"/>
      <c r="Z178" s="28"/>
      <c r="AA178" s="79"/>
      <c r="AB178" s="28"/>
      <c r="AC178" s="52"/>
    </row>
  </sheetData>
  <autoFilter ref="A3:AC179" xr:uid="{F672CF4A-A701-4598-8883-B56BEF571C0A}"/>
  <mergeCells count="21">
    <mergeCell ref="AB2:AC2"/>
    <mergeCell ref="A144:A153"/>
    <mergeCell ref="A154:A174"/>
    <mergeCell ref="A175:A176"/>
    <mergeCell ref="R2:S2"/>
    <mergeCell ref="F2:G2"/>
    <mergeCell ref="H2:I2"/>
    <mergeCell ref="J2:K2"/>
    <mergeCell ref="L2:M2"/>
    <mergeCell ref="N2:O2"/>
    <mergeCell ref="P2:Q2"/>
    <mergeCell ref="A2:A3"/>
    <mergeCell ref="B2:B3"/>
    <mergeCell ref="C2:C3"/>
    <mergeCell ref="D2:D3"/>
    <mergeCell ref="Z2:AA2"/>
    <mergeCell ref="X2:Y2"/>
    <mergeCell ref="E2:E3"/>
    <mergeCell ref="A1:C1"/>
    <mergeCell ref="T2:U2"/>
    <mergeCell ref="V2:W2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  <rowBreaks count="1" manualBreakCount="1">
    <brk id="143" max="28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A31B-FC42-4D4E-A34B-02D817CC3EC3}">
  <sheetPr>
    <tabColor theme="9" tint="0.79998168889431442"/>
    <pageSetUpPr fitToPage="1"/>
  </sheetPr>
  <dimension ref="A1:AC8"/>
  <sheetViews>
    <sheetView view="pageBreakPreview" zoomScale="115" zoomScaleNormal="85" zoomScaleSheetLayoutView="115" workbookViewId="0">
      <pane xSplit="5" ySplit="3" topLeftCell="O4" activePane="bottomRight" state="frozen"/>
      <selection activeCell="Z95" sqref="Z95"/>
      <selection pane="topRight" activeCell="Z95" sqref="Z95"/>
      <selection pane="bottomLeft" activeCell="Z95" sqref="Z95"/>
      <selection pane="bottomRight" activeCell="A4" sqref="A4:E8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6.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415</v>
      </c>
      <c r="B1" s="195"/>
      <c r="C1" s="195"/>
    </row>
    <row r="2" spans="1:29" s="86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7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196" t="s">
        <v>85</v>
      </c>
      <c r="B4" s="14"/>
      <c r="C4" s="9" t="s">
        <v>86</v>
      </c>
      <c r="D4" s="62" t="s">
        <v>190</v>
      </c>
      <c r="E4" s="6">
        <v>1500</v>
      </c>
      <c r="F4" s="24">
        <f>154.75+43.5+130</f>
        <v>328.25</v>
      </c>
      <c r="G4" s="30"/>
      <c r="H4" s="24">
        <f>166.25+70.5+164.25</f>
        <v>401</v>
      </c>
      <c r="I4" s="30"/>
      <c r="J4" s="24">
        <f>167.5+54.25+158.5</f>
        <v>380.25</v>
      </c>
      <c r="K4" s="30"/>
      <c r="L4" s="24">
        <f>166.5+75.75+179.5</f>
        <v>421.75</v>
      </c>
      <c r="M4" s="30"/>
      <c r="N4" s="24">
        <f>166.75+65.75+165.5</f>
        <v>398</v>
      </c>
      <c r="O4" s="30"/>
      <c r="P4" s="24">
        <f>155.5+23.25+141.5</f>
        <v>320.25</v>
      </c>
      <c r="Q4" s="30"/>
      <c r="R4" s="24"/>
      <c r="S4" s="30"/>
      <c r="T4" s="24"/>
      <c r="U4" s="30"/>
      <c r="V4" s="24"/>
      <c r="W4" s="30"/>
      <c r="X4" s="24"/>
      <c r="Y4" s="30"/>
      <c r="Z4" s="24"/>
      <c r="AA4" s="30"/>
      <c r="AB4" s="24"/>
      <c r="AC4" s="30"/>
    </row>
    <row r="5" spans="1:29">
      <c r="A5" s="196"/>
      <c r="B5" s="16"/>
      <c r="C5" s="11" t="s">
        <v>86</v>
      </c>
      <c r="D5" s="70" t="s">
        <v>608</v>
      </c>
      <c r="E5" s="10">
        <v>1500</v>
      </c>
      <c r="F5" s="26">
        <v>353.25</v>
      </c>
      <c r="G5" s="32"/>
      <c r="H5" s="26">
        <v>387.25</v>
      </c>
      <c r="I5" s="32"/>
      <c r="J5" s="26">
        <v>376</v>
      </c>
      <c r="K5" s="32"/>
      <c r="L5" s="26">
        <v>421.5</v>
      </c>
      <c r="M5" s="32"/>
      <c r="N5" s="26">
        <f>172.5+64.25+169.25</f>
        <v>406</v>
      </c>
      <c r="O5" s="32"/>
      <c r="P5" s="26">
        <f>155.5+21.75+134</f>
        <v>311.25</v>
      </c>
      <c r="Q5" s="32"/>
      <c r="R5" s="26"/>
      <c r="S5" s="32"/>
      <c r="T5" s="26"/>
      <c r="U5" s="32"/>
      <c r="V5" s="26"/>
      <c r="W5" s="32"/>
      <c r="X5" s="26"/>
      <c r="Y5" s="32"/>
      <c r="Z5" s="26"/>
      <c r="AA5" s="32"/>
      <c r="AB5" s="26"/>
      <c r="AC5" s="32"/>
    </row>
    <row r="6" spans="1:29">
      <c r="A6" s="196"/>
      <c r="B6" s="59"/>
      <c r="C6" s="171" t="s">
        <v>86</v>
      </c>
      <c r="D6" s="178" t="s">
        <v>609</v>
      </c>
      <c r="E6" s="174">
        <v>1500</v>
      </c>
      <c r="F6" s="25"/>
      <c r="G6" s="31"/>
      <c r="H6" s="25"/>
      <c r="I6" s="31"/>
      <c r="J6" s="25"/>
      <c r="K6" s="31"/>
      <c r="L6" s="25"/>
      <c r="M6" s="31"/>
      <c r="N6" s="175">
        <f>172.5+65.75+169.25</f>
        <v>407.5</v>
      </c>
      <c r="O6" s="31" t="s">
        <v>539</v>
      </c>
      <c r="P6" s="25"/>
      <c r="Q6" s="31"/>
      <c r="R6" s="25"/>
      <c r="S6" s="31"/>
      <c r="T6" s="25"/>
      <c r="U6" s="31"/>
      <c r="V6" s="25"/>
      <c r="W6" s="31"/>
      <c r="X6" s="25"/>
      <c r="Y6" s="31"/>
      <c r="Z6" s="25"/>
      <c r="AA6" s="31"/>
      <c r="AB6" s="25"/>
      <c r="AC6" s="31"/>
    </row>
    <row r="7" spans="1:29">
      <c r="A7" s="203" t="s">
        <v>40</v>
      </c>
      <c r="B7" s="39" t="s">
        <v>20</v>
      </c>
      <c r="C7" s="40" t="s">
        <v>501</v>
      </c>
      <c r="D7" s="141" t="s">
        <v>502</v>
      </c>
      <c r="E7" s="20">
        <v>1500</v>
      </c>
      <c r="F7" s="44">
        <f>176+123.5+15.75+46.25</f>
        <v>361.5</v>
      </c>
      <c r="G7" s="45"/>
      <c r="H7" s="44">
        <f>8+7.25+8+8+8+8+7+8+8+8+8+8+8+8+8+8+6+5.25+6+6+6+6+5+6+6+6+6+6+6+6+6+6+1+1+1+1+1+1+1+1+1+1+1+1+1+1+1+1+0.25+4.25+2+2.75+3.5+3.5+2.25+1+3.5+3.75+5.25+3.25+3.25+3.25+0.25</f>
        <v>278.5</v>
      </c>
      <c r="I7" s="45"/>
      <c r="J7" s="44">
        <f>8+8+8+8+8+8+8+8+8+8+8+8+8+8+8+7.5+8+8+8+8+8+8+8+6+6+6+6+6+6+6+6+6+6+6+6+6+6+6+6+6+6+6+6+6+6+6+1+1+1+1+1+1+1+1+1+0.75+1+1+1+1+1+1+1+1+1+0.25+1+1+3+4+2.75+4.75+3.25+6+1+2.5+4+0.75+1.5+2.5+3.5+1.25+2.75+2+3.25+3.25+3.75+0.25+2.25+4.25</f>
        <v>405</v>
      </c>
      <c r="K7" s="45"/>
      <c r="L7" s="44"/>
      <c r="M7" s="45"/>
      <c r="N7" s="44"/>
      <c r="O7" s="45"/>
      <c r="P7" s="44"/>
      <c r="Q7" s="45"/>
      <c r="R7" s="44"/>
      <c r="S7" s="45"/>
      <c r="T7" s="44"/>
      <c r="U7" s="45"/>
      <c r="V7" s="44"/>
      <c r="W7" s="45"/>
      <c r="X7" s="44"/>
      <c r="Y7" s="45"/>
      <c r="Z7" s="44"/>
      <c r="AA7" s="45"/>
      <c r="AB7" s="44"/>
      <c r="AC7" s="45"/>
    </row>
    <row r="8" spans="1:29">
      <c r="A8" s="205"/>
      <c r="B8" s="59" t="s">
        <v>20</v>
      </c>
      <c r="C8" s="59" t="s">
        <v>24</v>
      </c>
      <c r="D8" s="42" t="s">
        <v>87</v>
      </c>
      <c r="E8" s="7">
        <v>1500</v>
      </c>
      <c r="F8" s="25"/>
      <c r="G8" s="31"/>
      <c r="H8" s="25"/>
      <c r="I8" s="31"/>
      <c r="J8" s="25"/>
      <c r="K8" s="31"/>
      <c r="L8" s="25"/>
      <c r="M8" s="31"/>
      <c r="N8" s="25"/>
      <c r="O8" s="31"/>
      <c r="P8" s="25"/>
      <c r="Q8" s="31"/>
      <c r="R8" s="25"/>
      <c r="S8" s="31"/>
      <c r="T8" s="25"/>
      <c r="U8" s="31"/>
      <c r="V8" s="25"/>
      <c r="W8" s="31"/>
      <c r="X8" s="25"/>
      <c r="Y8" s="31"/>
      <c r="Z8" s="25"/>
      <c r="AA8" s="31"/>
      <c r="AB8" s="25"/>
      <c r="AC8" s="31"/>
    </row>
  </sheetData>
  <mergeCells count="20">
    <mergeCell ref="X2:Y2"/>
    <mergeCell ref="Z2:AA2"/>
    <mergeCell ref="AB2:AC2"/>
    <mergeCell ref="F2:G2"/>
    <mergeCell ref="H2:I2"/>
    <mergeCell ref="J2:K2"/>
    <mergeCell ref="L2:M2"/>
    <mergeCell ref="N2:O2"/>
    <mergeCell ref="P2:Q2"/>
    <mergeCell ref="V2:W2"/>
    <mergeCell ref="A7:A8"/>
    <mergeCell ref="A1:C1"/>
    <mergeCell ref="A4:A6"/>
    <mergeCell ref="R2:S2"/>
    <mergeCell ref="T2:U2"/>
    <mergeCell ref="A2:A3"/>
    <mergeCell ref="B2:B3"/>
    <mergeCell ref="C2:C3"/>
    <mergeCell ref="D2:D3"/>
    <mergeCell ref="E2:E3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EB90-07BB-441F-AF26-AAD1F3B1DAF5}">
  <sheetPr>
    <tabColor theme="9" tint="0.79998168889431442"/>
    <pageSetUpPr fitToPage="1"/>
  </sheetPr>
  <dimension ref="A1:AC110"/>
  <sheetViews>
    <sheetView view="pageBreakPreview" zoomScale="115" zoomScaleNormal="85" zoomScaleSheetLayoutView="115" workbookViewId="0">
      <pane xSplit="5" ySplit="3" topLeftCell="N106" activePane="bottomRight" state="frozen"/>
      <selection activeCell="Z95" sqref="Z95"/>
      <selection pane="topRight" activeCell="Z95" sqref="Z95"/>
      <selection pane="bottomLeft" activeCell="Z95" sqref="Z95"/>
      <selection pane="bottomRight" activeCell="A4" sqref="A4:E110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6.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416</v>
      </c>
      <c r="B1" s="195"/>
      <c r="C1" s="195"/>
    </row>
    <row r="2" spans="1:29" s="86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7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203" t="s">
        <v>119</v>
      </c>
      <c r="B4" s="14" t="s">
        <v>4</v>
      </c>
      <c r="C4" s="14" t="s">
        <v>120</v>
      </c>
      <c r="D4" s="14" t="s">
        <v>121</v>
      </c>
      <c r="E4" s="6">
        <v>1700</v>
      </c>
      <c r="F4" s="24">
        <f>169.25+9.25</f>
        <v>178.5</v>
      </c>
      <c r="G4" s="30"/>
      <c r="H4" s="24">
        <f>156.75+5.75</f>
        <v>162.5</v>
      </c>
      <c r="I4" s="30"/>
      <c r="J4" s="24">
        <f>157.75+6</f>
        <v>163.75</v>
      </c>
      <c r="K4" s="30"/>
      <c r="L4" s="24">
        <f>118.25+5.5</f>
        <v>123.75</v>
      </c>
      <c r="M4" s="30"/>
      <c r="N4" s="24">
        <f>157.25+6.5</f>
        <v>163.75</v>
      </c>
      <c r="O4" s="30"/>
      <c r="P4" s="24">
        <f>157+7.25</f>
        <v>164.25</v>
      </c>
      <c r="Q4" s="30"/>
      <c r="R4" s="24"/>
      <c r="S4" s="30"/>
      <c r="T4" s="24"/>
      <c r="U4" s="30"/>
      <c r="V4" s="24"/>
      <c r="W4" s="30"/>
      <c r="X4" s="24"/>
      <c r="Y4" s="30"/>
      <c r="Z4" s="24"/>
      <c r="AA4" s="30"/>
      <c r="AB4" s="24"/>
      <c r="AC4" s="30"/>
    </row>
    <row r="5" spans="1:29">
      <c r="A5" s="205"/>
      <c r="B5" s="59" t="s">
        <v>4</v>
      </c>
      <c r="C5" s="59" t="s">
        <v>120</v>
      </c>
      <c r="D5" s="59" t="s">
        <v>122</v>
      </c>
      <c r="E5" s="7">
        <v>1550</v>
      </c>
      <c r="F5" s="25">
        <f>163.75+4.75</f>
        <v>168.5</v>
      </c>
      <c r="G5" s="31"/>
      <c r="H5" s="25">
        <f>149.5+6.5</f>
        <v>156</v>
      </c>
      <c r="I5" s="31"/>
      <c r="J5" s="25">
        <f>153+6.25</f>
        <v>159.25</v>
      </c>
      <c r="K5" s="31"/>
      <c r="L5" s="25">
        <f>155.5+3</f>
        <v>158.5</v>
      </c>
      <c r="M5" s="31"/>
      <c r="N5" s="25">
        <f>160.25+4</f>
        <v>164.25</v>
      </c>
      <c r="O5" s="31"/>
      <c r="P5" s="25">
        <f>140.25+1.75</f>
        <v>142</v>
      </c>
      <c r="Q5" s="31"/>
      <c r="R5" s="25"/>
      <c r="S5" s="31"/>
      <c r="T5" s="25"/>
      <c r="U5" s="31"/>
      <c r="V5" s="25"/>
      <c r="W5" s="31"/>
      <c r="X5" s="25"/>
      <c r="Y5" s="31"/>
      <c r="Z5" s="25"/>
      <c r="AA5" s="31"/>
      <c r="AB5" s="25"/>
      <c r="AC5" s="31"/>
    </row>
    <row r="6" spans="1:29">
      <c r="A6" s="196" t="s">
        <v>123</v>
      </c>
      <c r="B6" s="14" t="s">
        <v>4</v>
      </c>
      <c r="C6" s="14" t="s">
        <v>78</v>
      </c>
      <c r="D6" s="14" t="s">
        <v>201</v>
      </c>
      <c r="E6" s="6">
        <v>1710</v>
      </c>
      <c r="F6" s="24"/>
      <c r="G6" s="30"/>
      <c r="H6" s="24"/>
      <c r="I6" s="30"/>
      <c r="J6" s="24"/>
      <c r="K6" s="30"/>
      <c r="L6" s="24"/>
      <c r="M6" s="30"/>
      <c r="N6" s="24"/>
      <c r="O6" s="30"/>
      <c r="P6" s="24"/>
      <c r="Q6" s="30"/>
      <c r="R6" s="24"/>
      <c r="S6" s="30"/>
      <c r="T6" s="24"/>
      <c r="U6" s="30"/>
      <c r="V6" s="24"/>
      <c r="W6" s="30"/>
      <c r="X6" s="24"/>
      <c r="Y6" s="30"/>
      <c r="Z6" s="24"/>
      <c r="AA6" s="30"/>
      <c r="AB6" s="24"/>
      <c r="AC6" s="30"/>
    </row>
    <row r="7" spans="1:29">
      <c r="A7" s="196"/>
      <c r="B7" s="16" t="s">
        <v>4</v>
      </c>
      <c r="C7" s="16" t="s">
        <v>78</v>
      </c>
      <c r="D7" s="16" t="s">
        <v>201</v>
      </c>
      <c r="E7" s="10">
        <v>1695</v>
      </c>
      <c r="F7" s="26">
        <v>128.5</v>
      </c>
      <c r="G7" s="32"/>
      <c r="H7" s="26">
        <v>121.25</v>
      </c>
      <c r="I7" s="32"/>
      <c r="J7" s="26">
        <v>122</v>
      </c>
      <c r="K7" s="32"/>
      <c r="L7" s="26">
        <v>128.75</v>
      </c>
      <c r="M7" s="32"/>
      <c r="N7" s="26">
        <v>129</v>
      </c>
      <c r="O7" s="32"/>
      <c r="P7" s="26">
        <v>102</v>
      </c>
      <c r="Q7" s="32"/>
      <c r="R7" s="44"/>
      <c r="S7" s="45"/>
      <c r="T7" s="44"/>
      <c r="U7" s="45"/>
      <c r="V7" s="44"/>
      <c r="W7" s="45"/>
      <c r="X7" s="44"/>
      <c r="Y7" s="45"/>
      <c r="Z7" s="44"/>
      <c r="AA7" s="45"/>
      <c r="AB7" s="44"/>
      <c r="AC7" s="45"/>
    </row>
    <row r="8" spans="1:29">
      <c r="A8" s="196"/>
      <c r="B8" s="16" t="s">
        <v>4</v>
      </c>
      <c r="C8" s="16" t="s">
        <v>78</v>
      </c>
      <c r="D8" s="16" t="s">
        <v>447</v>
      </c>
      <c r="E8" s="10">
        <v>1695</v>
      </c>
      <c r="F8" s="26">
        <f>118.25+13.25</f>
        <v>131.5</v>
      </c>
      <c r="G8" s="32"/>
      <c r="H8" s="26">
        <f>129.5+8</f>
        <v>137.5</v>
      </c>
      <c r="I8" s="32"/>
      <c r="J8" s="26">
        <f>156+14</f>
        <v>170</v>
      </c>
      <c r="K8" s="32"/>
      <c r="L8" s="26"/>
      <c r="M8" s="32"/>
      <c r="N8" s="26"/>
      <c r="O8" s="32"/>
      <c r="P8" s="26"/>
      <c r="Q8" s="32"/>
      <c r="R8" s="44"/>
      <c r="S8" s="45"/>
      <c r="T8" s="44"/>
      <c r="U8" s="45"/>
      <c r="V8" s="44"/>
      <c r="W8" s="45"/>
      <c r="X8" s="44"/>
      <c r="Y8" s="45"/>
      <c r="Z8" s="44"/>
      <c r="AA8" s="45"/>
      <c r="AB8" s="44"/>
      <c r="AC8" s="45"/>
    </row>
    <row r="9" spans="1:29">
      <c r="A9" s="196"/>
      <c r="B9" s="192" t="s">
        <v>4</v>
      </c>
      <c r="C9" s="192" t="s">
        <v>78</v>
      </c>
      <c r="D9" s="192" t="s">
        <v>202</v>
      </c>
      <c r="E9" s="190">
        <v>1680</v>
      </c>
      <c r="F9" s="26"/>
      <c r="G9" s="32"/>
      <c r="H9" s="26"/>
      <c r="I9" s="32"/>
      <c r="J9" s="26"/>
      <c r="K9" s="32"/>
      <c r="L9" s="26"/>
      <c r="M9" s="32"/>
      <c r="N9" s="26"/>
      <c r="O9" s="32"/>
      <c r="P9" s="26"/>
      <c r="Q9" s="32"/>
      <c r="R9" s="26"/>
      <c r="S9" s="32"/>
      <c r="T9" s="26"/>
      <c r="U9" s="32"/>
      <c r="V9" s="26"/>
      <c r="W9" s="32"/>
      <c r="X9" s="26"/>
      <c r="Y9" s="32"/>
      <c r="Z9" s="26"/>
      <c r="AA9" s="32"/>
      <c r="AB9" s="26"/>
      <c r="AC9" s="32"/>
    </row>
    <row r="10" spans="1:29">
      <c r="A10" s="196"/>
      <c r="B10" s="16" t="s">
        <v>4</v>
      </c>
      <c r="C10" s="16" t="s">
        <v>78</v>
      </c>
      <c r="D10" s="16" t="s">
        <v>202</v>
      </c>
      <c r="E10" s="10">
        <v>1780</v>
      </c>
      <c r="F10" s="26">
        <v>128</v>
      </c>
      <c r="G10" s="32"/>
      <c r="H10" s="26">
        <v>120.5</v>
      </c>
      <c r="I10" s="32"/>
      <c r="J10" s="26">
        <v>117.5</v>
      </c>
      <c r="K10" s="32"/>
      <c r="L10" s="26">
        <v>79.25</v>
      </c>
      <c r="M10" s="32"/>
      <c r="N10" s="26">
        <v>131.25</v>
      </c>
      <c r="O10" s="32"/>
      <c r="P10" s="26">
        <v>110.25</v>
      </c>
      <c r="Q10" s="32"/>
      <c r="R10" s="26"/>
      <c r="S10" s="32"/>
      <c r="T10" s="26"/>
      <c r="U10" s="32"/>
      <c r="V10" s="26"/>
      <c r="W10" s="32"/>
      <c r="X10" s="26"/>
      <c r="Y10" s="32"/>
      <c r="Z10" s="26"/>
      <c r="AA10" s="32"/>
      <c r="AB10" s="26"/>
      <c r="AC10" s="32"/>
    </row>
    <row r="11" spans="1:29">
      <c r="A11" s="196"/>
      <c r="B11" s="192" t="s">
        <v>4</v>
      </c>
      <c r="C11" s="192" t="s">
        <v>78</v>
      </c>
      <c r="D11" s="192" t="s">
        <v>203</v>
      </c>
      <c r="E11" s="190">
        <v>1695</v>
      </c>
      <c r="F11" s="26">
        <v>129.75</v>
      </c>
      <c r="G11" s="32"/>
      <c r="H11" s="26">
        <v>119.25</v>
      </c>
      <c r="I11" s="32"/>
      <c r="J11" s="26">
        <v>126.5</v>
      </c>
      <c r="K11" s="32"/>
      <c r="L11" s="26">
        <v>119.25</v>
      </c>
      <c r="M11" s="32"/>
      <c r="N11" s="26">
        <v>134</v>
      </c>
      <c r="O11" s="32"/>
      <c r="P11" s="26"/>
      <c r="Q11" s="32"/>
      <c r="R11" s="26"/>
      <c r="S11" s="32"/>
      <c r="T11" s="26"/>
      <c r="U11" s="32"/>
      <c r="V11" s="26"/>
      <c r="W11" s="32"/>
      <c r="X11" s="26"/>
      <c r="Y11" s="32"/>
      <c r="Z11" s="26"/>
      <c r="AA11" s="32"/>
      <c r="AB11" s="26"/>
      <c r="AC11" s="32"/>
    </row>
    <row r="12" spans="1:29">
      <c r="A12" s="196"/>
      <c r="B12" s="16" t="s">
        <v>4</v>
      </c>
      <c r="C12" s="16" t="s">
        <v>78</v>
      </c>
      <c r="D12" s="16" t="s">
        <v>203</v>
      </c>
      <c r="E12" s="10">
        <v>1710</v>
      </c>
      <c r="F12" s="26"/>
      <c r="G12" s="32"/>
      <c r="H12" s="26"/>
      <c r="I12" s="32"/>
      <c r="J12" s="26"/>
      <c r="K12" s="32"/>
      <c r="L12" s="26"/>
      <c r="M12" s="32"/>
      <c r="N12" s="26"/>
      <c r="O12" s="32"/>
      <c r="P12" s="26">
        <v>124.5</v>
      </c>
      <c r="Q12" s="32"/>
      <c r="R12" s="26"/>
      <c r="S12" s="32"/>
      <c r="T12" s="26"/>
      <c r="U12" s="32"/>
      <c r="V12" s="26"/>
      <c r="W12" s="32"/>
      <c r="X12" s="26"/>
      <c r="Y12" s="32"/>
      <c r="Z12" s="26"/>
      <c r="AA12" s="32"/>
      <c r="AB12" s="26"/>
      <c r="AC12" s="32"/>
    </row>
    <row r="13" spans="1:29">
      <c r="A13" s="196"/>
      <c r="B13" s="192" t="s">
        <v>4</v>
      </c>
      <c r="C13" s="192" t="s">
        <v>78</v>
      </c>
      <c r="D13" s="192" t="s">
        <v>204</v>
      </c>
      <c r="E13" s="190">
        <v>1695</v>
      </c>
      <c r="F13" s="26"/>
      <c r="G13" s="32"/>
      <c r="H13" s="26"/>
      <c r="I13" s="32"/>
      <c r="J13" s="26"/>
      <c r="K13" s="32"/>
      <c r="L13" s="26"/>
      <c r="M13" s="32"/>
      <c r="N13" s="26"/>
      <c r="O13" s="32"/>
      <c r="P13" s="26"/>
      <c r="Q13" s="32"/>
      <c r="R13" s="26"/>
      <c r="S13" s="32"/>
      <c r="T13" s="26"/>
      <c r="U13" s="32"/>
      <c r="V13" s="26"/>
      <c r="W13" s="32"/>
      <c r="X13" s="26"/>
      <c r="Y13" s="32"/>
      <c r="Z13" s="26"/>
      <c r="AA13" s="32"/>
      <c r="AB13" s="26"/>
      <c r="AC13" s="32"/>
    </row>
    <row r="14" spans="1:29">
      <c r="A14" s="196"/>
      <c r="B14" s="192" t="s">
        <v>4</v>
      </c>
      <c r="C14" s="192" t="s">
        <v>78</v>
      </c>
      <c r="D14" s="192" t="s">
        <v>204</v>
      </c>
      <c r="E14" s="190">
        <v>1710</v>
      </c>
      <c r="F14" s="26"/>
      <c r="G14" s="32"/>
      <c r="H14" s="26"/>
      <c r="I14" s="32"/>
      <c r="J14" s="26"/>
      <c r="K14" s="32"/>
      <c r="L14" s="26"/>
      <c r="M14" s="32"/>
      <c r="N14" s="26"/>
      <c r="O14" s="32"/>
      <c r="P14" s="26"/>
      <c r="Q14" s="32"/>
      <c r="R14" s="26"/>
      <c r="S14" s="32"/>
      <c r="T14" s="26"/>
      <c r="U14" s="32"/>
      <c r="V14" s="26"/>
      <c r="W14" s="32"/>
      <c r="X14" s="26"/>
      <c r="Y14" s="32"/>
      <c r="Z14" s="26"/>
      <c r="AA14" s="32"/>
      <c r="AB14" s="26"/>
      <c r="AC14" s="32"/>
    </row>
    <row r="15" spans="1:29">
      <c r="A15" s="196"/>
      <c r="B15" s="16" t="s">
        <v>4</v>
      </c>
      <c r="C15" s="16" t="s">
        <v>78</v>
      </c>
      <c r="D15" s="16" t="s">
        <v>204</v>
      </c>
      <c r="E15" s="10">
        <v>1780</v>
      </c>
      <c r="F15" s="26">
        <v>115.75</v>
      </c>
      <c r="G15" s="32"/>
      <c r="H15" s="26">
        <v>114.5</v>
      </c>
      <c r="I15" s="32"/>
      <c r="J15" s="26">
        <v>117.5</v>
      </c>
      <c r="K15" s="32"/>
      <c r="L15" s="26">
        <v>121.25</v>
      </c>
      <c r="M15" s="32"/>
      <c r="N15" s="26">
        <v>119</v>
      </c>
      <c r="O15" s="32"/>
      <c r="P15" s="26">
        <v>115.75</v>
      </c>
      <c r="Q15" s="32"/>
      <c r="R15" s="26"/>
      <c r="S15" s="32"/>
      <c r="T15" s="26"/>
      <c r="U15" s="32"/>
      <c r="V15" s="26"/>
      <c r="W15" s="32"/>
      <c r="X15" s="26"/>
      <c r="Y15" s="32"/>
      <c r="Z15" s="26"/>
      <c r="AA15" s="32"/>
      <c r="AB15" s="26"/>
      <c r="AC15" s="32"/>
    </row>
    <row r="16" spans="1:29">
      <c r="A16" s="196"/>
      <c r="B16" s="16" t="s">
        <v>4</v>
      </c>
      <c r="C16" s="16" t="s">
        <v>78</v>
      </c>
      <c r="D16" s="16" t="s">
        <v>361</v>
      </c>
      <c r="E16" s="10">
        <v>1680</v>
      </c>
      <c r="F16" s="26"/>
      <c r="G16" s="32"/>
      <c r="H16" s="26"/>
      <c r="I16" s="32"/>
      <c r="J16" s="26"/>
      <c r="K16" s="32"/>
      <c r="L16" s="26"/>
      <c r="M16" s="32"/>
      <c r="N16" s="26"/>
      <c r="O16" s="32"/>
      <c r="P16" s="26"/>
      <c r="Q16" s="32"/>
      <c r="R16" s="26"/>
      <c r="S16" s="32"/>
      <c r="T16" s="26"/>
      <c r="U16" s="32"/>
      <c r="V16" s="26"/>
      <c r="W16" s="32"/>
      <c r="X16" s="26"/>
      <c r="Y16" s="32"/>
      <c r="Z16" s="26"/>
      <c r="AA16" s="32"/>
      <c r="AB16" s="26"/>
      <c r="AC16" s="32"/>
    </row>
    <row r="17" spans="1:29">
      <c r="A17" s="196"/>
      <c r="B17" s="16" t="s">
        <v>4</v>
      </c>
      <c r="C17" s="16" t="s">
        <v>78</v>
      </c>
      <c r="D17" s="16" t="s">
        <v>362</v>
      </c>
      <c r="E17" s="10">
        <v>1680</v>
      </c>
      <c r="F17" s="26"/>
      <c r="G17" s="32"/>
      <c r="H17" s="26"/>
      <c r="I17" s="32"/>
      <c r="J17" s="26"/>
      <c r="K17" s="32"/>
      <c r="L17" s="26"/>
      <c r="M17" s="32"/>
      <c r="N17" s="26"/>
      <c r="O17" s="32"/>
      <c r="P17" s="26"/>
      <c r="Q17" s="32"/>
      <c r="R17" s="26"/>
      <c r="S17" s="32"/>
      <c r="T17" s="26"/>
      <c r="U17" s="32"/>
      <c r="V17" s="26"/>
      <c r="W17" s="32"/>
      <c r="X17" s="26"/>
      <c r="Y17" s="32"/>
      <c r="Z17" s="26"/>
      <c r="AA17" s="32"/>
      <c r="AB17" s="26"/>
      <c r="AC17" s="32"/>
    </row>
    <row r="18" spans="1:29">
      <c r="A18" s="196"/>
      <c r="B18" s="16" t="s">
        <v>4</v>
      </c>
      <c r="C18" s="16"/>
      <c r="D18" s="16" t="s">
        <v>417</v>
      </c>
      <c r="E18" s="10">
        <v>1680</v>
      </c>
      <c r="F18" s="26"/>
      <c r="G18" s="32"/>
      <c r="H18" s="26"/>
      <c r="I18" s="32"/>
      <c r="J18" s="26"/>
      <c r="K18" s="32"/>
      <c r="L18" s="26"/>
      <c r="M18" s="32"/>
      <c r="N18" s="26"/>
      <c r="O18" s="32"/>
      <c r="P18" s="26"/>
      <c r="Q18" s="32"/>
      <c r="R18" s="26"/>
      <c r="S18" s="32"/>
      <c r="T18" s="26"/>
      <c r="U18" s="32"/>
      <c r="V18" s="26"/>
      <c r="W18" s="32"/>
      <c r="X18" s="26"/>
      <c r="Y18" s="32"/>
      <c r="Z18" s="26"/>
      <c r="AA18" s="32"/>
      <c r="AB18" s="26"/>
      <c r="AC18" s="32"/>
    </row>
    <row r="19" spans="1:29">
      <c r="A19" s="196"/>
      <c r="B19" s="16" t="s">
        <v>4</v>
      </c>
      <c r="C19" s="16" t="s">
        <v>124</v>
      </c>
      <c r="D19" s="70" t="s">
        <v>205</v>
      </c>
      <c r="E19" s="10">
        <v>2149</v>
      </c>
      <c r="F19" s="26"/>
      <c r="G19" s="32"/>
      <c r="H19" s="26"/>
      <c r="I19" s="32"/>
      <c r="J19" s="26"/>
      <c r="K19" s="32"/>
      <c r="L19" s="26"/>
      <c r="M19" s="32"/>
      <c r="N19" s="26"/>
      <c r="O19" s="32"/>
      <c r="P19" s="26"/>
      <c r="Q19" s="32"/>
      <c r="R19" s="26"/>
      <c r="S19" s="32"/>
      <c r="T19" s="26"/>
      <c r="U19" s="32"/>
      <c r="V19" s="26"/>
      <c r="W19" s="32"/>
      <c r="X19" s="26"/>
      <c r="Y19" s="32"/>
      <c r="Z19" s="26"/>
      <c r="AA19" s="32"/>
      <c r="AB19" s="26"/>
      <c r="AC19" s="32"/>
    </row>
    <row r="20" spans="1:29">
      <c r="A20" s="196"/>
      <c r="B20" s="16" t="s">
        <v>4</v>
      </c>
      <c r="C20" s="16"/>
      <c r="D20" s="70" t="s">
        <v>493</v>
      </c>
      <c r="E20" s="10">
        <v>1695</v>
      </c>
      <c r="F20" s="26"/>
      <c r="G20" s="32"/>
      <c r="H20" s="26"/>
      <c r="I20" s="32"/>
      <c r="J20" s="26"/>
      <c r="K20" s="32"/>
      <c r="L20" s="26"/>
      <c r="M20" s="32"/>
      <c r="N20" s="26"/>
      <c r="O20" s="32"/>
      <c r="P20" s="26"/>
      <c r="Q20" s="32"/>
      <c r="R20" s="26"/>
      <c r="S20" s="32"/>
      <c r="T20" s="26"/>
      <c r="U20" s="32"/>
      <c r="V20" s="26"/>
      <c r="W20" s="32"/>
      <c r="X20" s="26"/>
      <c r="Y20" s="32"/>
      <c r="Z20" s="26"/>
      <c r="AA20" s="32"/>
      <c r="AB20" s="26"/>
      <c r="AC20" s="32"/>
    </row>
    <row r="21" spans="1:29">
      <c r="A21" s="196"/>
      <c r="B21" s="16" t="s">
        <v>4</v>
      </c>
      <c r="C21" s="16"/>
      <c r="D21" s="70" t="s">
        <v>494</v>
      </c>
      <c r="E21" s="10">
        <v>1695</v>
      </c>
      <c r="F21" s="26">
        <v>129.25</v>
      </c>
      <c r="G21" s="32"/>
      <c r="H21" s="26">
        <v>118.75</v>
      </c>
      <c r="I21" s="32"/>
      <c r="J21" s="26">
        <v>107</v>
      </c>
      <c r="K21" s="32"/>
      <c r="L21" s="26"/>
      <c r="M21" s="32"/>
      <c r="N21" s="26"/>
      <c r="O21" s="32"/>
      <c r="P21" s="26"/>
      <c r="Q21" s="32"/>
      <c r="R21" s="26"/>
      <c r="S21" s="32"/>
      <c r="T21" s="26"/>
      <c r="U21" s="32"/>
      <c r="V21" s="26"/>
      <c r="W21" s="32"/>
      <c r="X21" s="26"/>
      <c r="Y21" s="32"/>
      <c r="Z21" s="26"/>
      <c r="AA21" s="32"/>
      <c r="AB21" s="26"/>
      <c r="AC21" s="32"/>
    </row>
    <row r="22" spans="1:29">
      <c r="A22" s="196"/>
      <c r="B22" s="16" t="s">
        <v>4</v>
      </c>
      <c r="C22" s="16"/>
      <c r="D22" s="70" t="s">
        <v>425</v>
      </c>
      <c r="E22" s="10">
        <v>1690</v>
      </c>
      <c r="F22" s="26">
        <f>108+10</f>
        <v>118</v>
      </c>
      <c r="G22" s="32"/>
      <c r="H22" s="26">
        <f>175.5+6.25</f>
        <v>181.75</v>
      </c>
      <c r="I22" s="32"/>
      <c r="J22" s="26">
        <v>8</v>
      </c>
      <c r="K22" s="32"/>
      <c r="L22" s="26"/>
      <c r="M22" s="32"/>
      <c r="N22" s="26"/>
      <c r="O22" s="32"/>
      <c r="P22" s="26"/>
      <c r="Q22" s="32"/>
      <c r="R22" s="26"/>
      <c r="S22" s="32"/>
      <c r="T22" s="26"/>
      <c r="U22" s="32"/>
      <c r="V22" s="26"/>
      <c r="W22" s="32"/>
      <c r="X22" s="26"/>
      <c r="Y22" s="32"/>
      <c r="Z22" s="26"/>
      <c r="AA22" s="32"/>
      <c r="AB22" s="26"/>
      <c r="AC22" s="32"/>
    </row>
    <row r="23" spans="1:29">
      <c r="A23" s="196"/>
      <c r="B23" s="16" t="s">
        <v>4</v>
      </c>
      <c r="C23" s="16"/>
      <c r="D23" s="16" t="s">
        <v>125</v>
      </c>
      <c r="E23" s="10">
        <v>1965</v>
      </c>
      <c r="F23" s="26"/>
      <c r="G23" s="32"/>
      <c r="H23" s="26"/>
      <c r="I23" s="32"/>
      <c r="J23" s="26"/>
      <c r="K23" s="32"/>
      <c r="L23" s="26"/>
      <c r="M23" s="32"/>
      <c r="N23" s="26"/>
      <c r="O23" s="32"/>
      <c r="P23" s="26"/>
      <c r="Q23" s="32"/>
      <c r="R23" s="26"/>
      <c r="S23" s="32"/>
      <c r="T23" s="26"/>
      <c r="U23" s="32"/>
      <c r="V23" s="26"/>
      <c r="W23" s="32"/>
      <c r="X23" s="26"/>
      <c r="Y23" s="32"/>
      <c r="Z23" s="26"/>
      <c r="AA23" s="32"/>
      <c r="AB23" s="26"/>
      <c r="AC23" s="32"/>
    </row>
    <row r="24" spans="1:29">
      <c r="A24" s="196"/>
      <c r="B24" s="16" t="s">
        <v>4</v>
      </c>
      <c r="C24" s="16"/>
      <c r="D24" s="16" t="s">
        <v>126</v>
      </c>
      <c r="E24" s="10">
        <v>1580</v>
      </c>
      <c r="F24" s="26"/>
      <c r="G24" s="32"/>
      <c r="H24" s="26"/>
      <c r="I24" s="32"/>
      <c r="J24" s="26"/>
      <c r="K24" s="32"/>
      <c r="L24" s="26"/>
      <c r="M24" s="32"/>
      <c r="N24" s="26"/>
      <c r="O24" s="32"/>
      <c r="P24" s="26"/>
      <c r="Q24" s="32"/>
      <c r="R24" s="26"/>
      <c r="S24" s="32"/>
      <c r="T24" s="26"/>
      <c r="U24" s="32"/>
      <c r="V24" s="26"/>
      <c r="W24" s="32"/>
      <c r="X24" s="26"/>
      <c r="Y24" s="32"/>
      <c r="Z24" s="26"/>
      <c r="AA24" s="32"/>
      <c r="AB24" s="26"/>
      <c r="AC24" s="32"/>
    </row>
    <row r="25" spans="1:29">
      <c r="A25" s="196"/>
      <c r="B25" s="68" t="s">
        <v>4</v>
      </c>
      <c r="C25" s="39"/>
      <c r="D25" s="39" t="s">
        <v>475</v>
      </c>
      <c r="E25" s="20">
        <v>1695</v>
      </c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5"/>
      <c r="R25" s="44"/>
      <c r="S25" s="45"/>
      <c r="T25" s="44"/>
      <c r="U25" s="45"/>
      <c r="V25" s="44"/>
      <c r="W25" s="45"/>
      <c r="X25" s="44"/>
      <c r="Y25" s="45"/>
      <c r="Z25" s="44"/>
      <c r="AA25" s="45"/>
      <c r="AB25" s="44"/>
      <c r="AC25" s="45"/>
    </row>
    <row r="26" spans="1:29">
      <c r="A26" s="203"/>
      <c r="B26" s="16" t="s">
        <v>4</v>
      </c>
      <c r="C26" s="16"/>
      <c r="D26" s="16" t="s">
        <v>328</v>
      </c>
      <c r="E26" s="10">
        <v>1580</v>
      </c>
      <c r="F26" s="26"/>
      <c r="G26" s="32"/>
      <c r="H26" s="26"/>
      <c r="I26" s="32"/>
      <c r="J26" s="26"/>
      <c r="K26" s="32"/>
      <c r="L26" s="26"/>
      <c r="M26" s="32"/>
      <c r="N26" s="26"/>
      <c r="O26" s="32"/>
      <c r="P26" s="26"/>
      <c r="Q26" s="32"/>
      <c r="R26" s="26"/>
      <c r="S26" s="32"/>
      <c r="T26" s="26"/>
      <c r="U26" s="32"/>
      <c r="V26" s="26"/>
      <c r="W26" s="32"/>
      <c r="X26" s="26"/>
      <c r="Y26" s="32"/>
      <c r="Z26" s="26"/>
      <c r="AA26" s="32"/>
      <c r="AB26" s="26"/>
      <c r="AC26" s="32"/>
    </row>
    <row r="27" spans="1:29">
      <c r="A27" s="116"/>
      <c r="B27" s="68" t="s">
        <v>4</v>
      </c>
      <c r="C27" s="68"/>
      <c r="D27" s="68" t="s">
        <v>515</v>
      </c>
      <c r="E27" s="72">
        <v>1695</v>
      </c>
      <c r="F27" s="53">
        <f>175.25+21.25</f>
        <v>196.5</v>
      </c>
      <c r="G27" s="54"/>
      <c r="H27" s="53">
        <f>160.75+13.5</f>
        <v>174.25</v>
      </c>
      <c r="I27" s="54"/>
      <c r="J27" s="53">
        <f>173+8.75</f>
        <v>181.75</v>
      </c>
      <c r="K27" s="54"/>
      <c r="L27" s="53">
        <f>163+13</f>
        <v>176</v>
      </c>
      <c r="M27" s="54"/>
      <c r="N27" s="53">
        <f>119.5+9.75</f>
        <v>129.25</v>
      </c>
      <c r="O27" s="54"/>
      <c r="P27" s="53">
        <f>170+8</f>
        <v>178</v>
      </c>
      <c r="Q27" s="54"/>
      <c r="R27" s="53"/>
      <c r="S27" s="54"/>
      <c r="T27" s="53"/>
      <c r="U27" s="54"/>
      <c r="V27" s="53"/>
      <c r="W27" s="54"/>
      <c r="X27" s="53"/>
      <c r="Y27" s="54"/>
      <c r="Z27" s="53"/>
      <c r="AA27" s="54"/>
      <c r="AB27" s="53"/>
      <c r="AC27" s="54"/>
    </row>
    <row r="28" spans="1:29">
      <c r="A28" s="116"/>
      <c r="B28" s="68" t="s">
        <v>4</v>
      </c>
      <c r="C28" s="68"/>
      <c r="D28" s="68" t="s">
        <v>516</v>
      </c>
      <c r="E28" s="72">
        <v>1695</v>
      </c>
      <c r="F28" s="53">
        <f>175.75+28.5</f>
        <v>204.25</v>
      </c>
      <c r="G28" s="54"/>
      <c r="H28" s="53">
        <f>165+14.5</f>
        <v>179.5</v>
      </c>
      <c r="I28" s="54"/>
      <c r="J28" s="53">
        <f>170.75+19.75</f>
        <v>190.5</v>
      </c>
      <c r="K28" s="54"/>
      <c r="L28" s="53">
        <f>156.25+10</f>
        <v>166.25</v>
      </c>
      <c r="M28" s="54"/>
      <c r="N28" s="53">
        <f>165.25+5</f>
        <v>170.25</v>
      </c>
      <c r="O28" s="54"/>
      <c r="P28" s="53"/>
      <c r="Q28" s="54"/>
      <c r="R28" s="53"/>
      <c r="S28" s="54"/>
      <c r="T28" s="53"/>
      <c r="U28" s="54"/>
      <c r="V28" s="53"/>
      <c r="W28" s="54"/>
      <c r="X28" s="53"/>
      <c r="Y28" s="54"/>
      <c r="Z28" s="53"/>
      <c r="AA28" s="54"/>
      <c r="AB28" s="53"/>
      <c r="AC28" s="54"/>
    </row>
    <row r="29" spans="1:29">
      <c r="A29" s="116"/>
      <c r="B29" s="68" t="s">
        <v>4</v>
      </c>
      <c r="C29" s="68"/>
      <c r="D29" s="68" t="s">
        <v>522</v>
      </c>
      <c r="E29" s="72">
        <v>1695</v>
      </c>
      <c r="F29" s="53"/>
      <c r="G29" s="54"/>
      <c r="H29" s="53"/>
      <c r="I29" s="54"/>
      <c r="J29" s="53"/>
      <c r="K29" s="54"/>
      <c r="L29" s="53"/>
      <c r="M29" s="54"/>
      <c r="N29" s="53"/>
      <c r="O29" s="54"/>
      <c r="P29" s="53"/>
      <c r="Q29" s="54"/>
      <c r="R29" s="53"/>
      <c r="S29" s="54"/>
      <c r="T29" s="53"/>
      <c r="U29" s="54"/>
      <c r="V29" s="53"/>
      <c r="W29" s="54"/>
      <c r="X29" s="53"/>
      <c r="Y29" s="54"/>
      <c r="Z29" s="53"/>
      <c r="AA29" s="54"/>
      <c r="AB29" s="53"/>
      <c r="AC29" s="112"/>
    </row>
    <row r="30" spans="1:29">
      <c r="A30" s="116"/>
      <c r="B30" s="68" t="s">
        <v>4</v>
      </c>
      <c r="C30" s="68"/>
      <c r="D30" s="161" t="s">
        <v>567</v>
      </c>
      <c r="E30" s="93">
        <v>1695</v>
      </c>
      <c r="F30" s="53"/>
      <c r="G30" s="54"/>
      <c r="H30" s="41">
        <v>27.5</v>
      </c>
      <c r="I30" s="54" t="s">
        <v>539</v>
      </c>
      <c r="J30" s="53">
        <v>124.5</v>
      </c>
      <c r="K30" s="54"/>
      <c r="L30" s="53">
        <v>81.5</v>
      </c>
      <c r="M30" s="54"/>
      <c r="N30" s="53"/>
      <c r="O30" s="54"/>
      <c r="P30" s="53"/>
      <c r="Q30" s="54"/>
      <c r="R30" s="53"/>
      <c r="S30" s="54"/>
      <c r="T30" s="53"/>
      <c r="U30" s="54"/>
      <c r="V30" s="53"/>
      <c r="W30" s="54"/>
      <c r="X30" s="53"/>
      <c r="Y30" s="54"/>
      <c r="Z30" s="53"/>
      <c r="AA30" s="54"/>
      <c r="AB30" s="53"/>
      <c r="AC30" s="112"/>
    </row>
    <row r="31" spans="1:29">
      <c r="A31" s="116"/>
      <c r="B31" s="68" t="s">
        <v>4</v>
      </c>
      <c r="C31" s="68"/>
      <c r="D31" s="68" t="s">
        <v>524</v>
      </c>
      <c r="E31" s="72">
        <v>1695</v>
      </c>
      <c r="F31" s="53">
        <v>44.5</v>
      </c>
      <c r="G31" s="54"/>
      <c r="H31" s="53"/>
      <c r="I31" s="54"/>
      <c r="J31" s="53"/>
      <c r="K31" s="54"/>
      <c r="L31" s="53"/>
      <c r="M31" s="54"/>
      <c r="N31" s="53"/>
      <c r="O31" s="54"/>
      <c r="P31" s="53"/>
      <c r="Q31" s="54"/>
      <c r="R31" s="53"/>
      <c r="S31" s="54"/>
      <c r="T31" s="53"/>
      <c r="U31" s="54"/>
      <c r="V31" s="53"/>
      <c r="W31" s="54"/>
      <c r="X31" s="53"/>
      <c r="Y31" s="54"/>
      <c r="Z31" s="53"/>
      <c r="AA31" s="54"/>
      <c r="AB31" s="53"/>
      <c r="AC31" s="112"/>
    </row>
    <row r="32" spans="1:29">
      <c r="A32" s="116"/>
      <c r="B32" s="68" t="s">
        <v>4</v>
      </c>
      <c r="C32" s="68"/>
      <c r="D32" s="68" t="s">
        <v>523</v>
      </c>
      <c r="E32" s="72">
        <v>1695</v>
      </c>
      <c r="F32" s="53">
        <v>176.25</v>
      </c>
      <c r="G32" s="54"/>
      <c r="H32" s="53">
        <v>136</v>
      </c>
      <c r="I32" s="54"/>
      <c r="J32" s="53">
        <v>166.75</v>
      </c>
      <c r="K32" s="54"/>
      <c r="L32" s="53">
        <v>22.25</v>
      </c>
      <c r="M32" s="54"/>
      <c r="N32" s="53"/>
      <c r="O32" s="54"/>
      <c r="P32" s="53"/>
      <c r="Q32" s="54"/>
      <c r="R32" s="53"/>
      <c r="S32" s="54"/>
      <c r="T32" s="53"/>
      <c r="U32" s="54"/>
      <c r="V32" s="53"/>
      <c r="W32" s="54"/>
      <c r="X32" s="53"/>
      <c r="Y32" s="54"/>
      <c r="Z32" s="53"/>
      <c r="AA32" s="54"/>
      <c r="AB32" s="53"/>
      <c r="AC32" s="112"/>
    </row>
    <row r="33" spans="1:29">
      <c r="A33" s="116"/>
      <c r="B33" s="68" t="s">
        <v>4</v>
      </c>
      <c r="C33" s="68"/>
      <c r="D33" s="161" t="s">
        <v>622</v>
      </c>
      <c r="E33" s="93">
        <v>1695</v>
      </c>
      <c r="F33" s="53"/>
      <c r="G33" s="54"/>
      <c r="H33" s="53"/>
      <c r="I33" s="54"/>
      <c r="J33" s="53"/>
      <c r="K33" s="54"/>
      <c r="L33" s="53"/>
      <c r="M33" s="54"/>
      <c r="N33" s="41">
        <f>86+8.75</f>
        <v>94.75</v>
      </c>
      <c r="O33" s="54"/>
      <c r="P33" s="53"/>
      <c r="Q33" s="54"/>
      <c r="R33" s="53"/>
      <c r="S33" s="54"/>
      <c r="T33" s="53"/>
      <c r="U33" s="54"/>
      <c r="V33" s="53"/>
      <c r="W33" s="54"/>
      <c r="X33" s="53"/>
      <c r="Y33" s="54"/>
      <c r="Z33" s="53"/>
      <c r="AA33" s="54"/>
      <c r="AB33" s="53"/>
      <c r="AC33" s="112"/>
    </row>
    <row r="34" spans="1:29">
      <c r="A34" s="116"/>
      <c r="B34" s="68" t="s">
        <v>4</v>
      </c>
      <c r="C34" s="68"/>
      <c r="D34" s="161" t="s">
        <v>624</v>
      </c>
      <c r="E34" s="93">
        <v>1695</v>
      </c>
      <c r="F34" s="53"/>
      <c r="G34" s="54"/>
      <c r="H34" s="53"/>
      <c r="I34" s="54"/>
      <c r="J34" s="53"/>
      <c r="K34" s="54"/>
      <c r="L34" s="53"/>
      <c r="M34" s="54"/>
      <c r="N34" s="41">
        <f>47.75+5.5</f>
        <v>53.25</v>
      </c>
      <c r="O34" s="54"/>
      <c r="P34" s="53"/>
      <c r="Q34" s="54"/>
      <c r="R34" s="53"/>
      <c r="S34" s="54"/>
      <c r="T34" s="53"/>
      <c r="U34" s="54"/>
      <c r="V34" s="53"/>
      <c r="W34" s="54"/>
      <c r="X34" s="53"/>
      <c r="Y34" s="54"/>
      <c r="Z34" s="53"/>
      <c r="AA34" s="54"/>
      <c r="AB34" s="53"/>
      <c r="AC34" s="112"/>
    </row>
    <row r="35" spans="1:29">
      <c r="A35" s="115"/>
      <c r="B35" s="59" t="s">
        <v>4</v>
      </c>
      <c r="C35" s="59"/>
      <c r="D35" s="183" t="s">
        <v>623</v>
      </c>
      <c r="E35" s="93">
        <v>1695</v>
      </c>
      <c r="F35" s="25"/>
      <c r="G35" s="31"/>
      <c r="H35" s="25"/>
      <c r="I35" s="31"/>
      <c r="J35" s="25"/>
      <c r="K35" s="31"/>
      <c r="L35" s="25"/>
      <c r="M35" s="31"/>
      <c r="N35" s="175">
        <f>165.25+5</f>
        <v>170.25</v>
      </c>
      <c r="O35" s="31"/>
      <c r="P35" s="25">
        <f>151.75+1.75</f>
        <v>153.5</v>
      </c>
      <c r="Q35" s="31"/>
      <c r="R35" s="25"/>
      <c r="S35" s="31"/>
      <c r="T35" s="25"/>
      <c r="U35" s="31"/>
      <c r="V35" s="25"/>
      <c r="W35" s="31"/>
      <c r="X35" s="25"/>
      <c r="Y35" s="31"/>
      <c r="Z35" s="25"/>
      <c r="AA35" s="31"/>
      <c r="AB35" s="25"/>
      <c r="AC35" s="111"/>
    </row>
    <row r="36" spans="1:29">
      <c r="A36" s="196" t="s">
        <v>127</v>
      </c>
      <c r="B36" s="14" t="s">
        <v>4</v>
      </c>
      <c r="C36" s="14" t="s">
        <v>78</v>
      </c>
      <c r="D36" s="14" t="s">
        <v>128</v>
      </c>
      <c r="E36" s="6">
        <v>1680</v>
      </c>
      <c r="F36" s="24">
        <v>85.25</v>
      </c>
      <c r="G36" s="30"/>
      <c r="H36" s="24">
        <v>73</v>
      </c>
      <c r="I36" s="30"/>
      <c r="J36" s="24">
        <v>75.25</v>
      </c>
      <c r="K36" s="30"/>
      <c r="L36" s="24">
        <v>78</v>
      </c>
      <c r="M36" s="30"/>
      <c r="N36" s="24">
        <v>80.5</v>
      </c>
      <c r="O36" s="30"/>
      <c r="P36" s="24">
        <v>80</v>
      </c>
      <c r="Q36" s="30"/>
      <c r="R36" s="24"/>
      <c r="S36" s="30"/>
      <c r="T36" s="24"/>
      <c r="U36" s="30"/>
      <c r="V36" s="24"/>
      <c r="W36" s="30"/>
      <c r="X36" s="24"/>
      <c r="Y36" s="30"/>
      <c r="Z36" s="24"/>
      <c r="AA36" s="30"/>
      <c r="AB36" s="24"/>
      <c r="AC36" s="30"/>
    </row>
    <row r="37" spans="1:29">
      <c r="A37" s="196"/>
      <c r="B37" s="16" t="s">
        <v>4</v>
      </c>
      <c r="C37" s="16" t="s">
        <v>78</v>
      </c>
      <c r="D37" s="16" t="s">
        <v>129</v>
      </c>
      <c r="E37" s="10">
        <v>1680</v>
      </c>
      <c r="F37" s="26">
        <f>151.75+19</f>
        <v>170.75</v>
      </c>
      <c r="G37" s="32"/>
      <c r="H37" s="26">
        <f>175.75+19</f>
        <v>194.75</v>
      </c>
      <c r="I37" s="32"/>
      <c r="J37" s="26">
        <f>167.25+11.5</f>
        <v>178.75</v>
      </c>
      <c r="K37" s="32"/>
      <c r="L37" s="26">
        <f>151.5+13.5</f>
        <v>165</v>
      </c>
      <c r="M37" s="32"/>
      <c r="N37" s="26">
        <f>176+23</f>
        <v>199</v>
      </c>
      <c r="O37" s="32"/>
      <c r="P37" s="26">
        <f>162+12.5</f>
        <v>174.5</v>
      </c>
      <c r="Q37" s="32"/>
      <c r="R37" s="26"/>
      <c r="S37" s="32"/>
      <c r="T37" s="26"/>
      <c r="U37" s="32"/>
      <c r="V37" s="26"/>
      <c r="W37" s="32"/>
      <c r="X37" s="26"/>
      <c r="Y37" s="32"/>
      <c r="Z37" s="26"/>
      <c r="AA37" s="32"/>
      <c r="AB37" s="26"/>
      <c r="AC37" s="32"/>
    </row>
    <row r="38" spans="1:29">
      <c r="A38" s="196"/>
      <c r="B38" s="15" t="s">
        <v>4</v>
      </c>
      <c r="C38" s="15" t="s">
        <v>78</v>
      </c>
      <c r="D38" s="15" t="s">
        <v>130</v>
      </c>
      <c r="E38" s="8">
        <v>1500</v>
      </c>
      <c r="F38" s="27"/>
      <c r="G38" s="33"/>
      <c r="H38" s="27"/>
      <c r="I38" s="33"/>
      <c r="J38" s="27"/>
      <c r="K38" s="33"/>
      <c r="L38" s="27"/>
      <c r="M38" s="33"/>
      <c r="N38" s="27"/>
      <c r="O38" s="33"/>
      <c r="P38" s="27"/>
      <c r="Q38" s="33"/>
      <c r="R38" s="27"/>
      <c r="S38" s="33"/>
      <c r="T38" s="27"/>
      <c r="U38" s="33"/>
      <c r="V38" s="27"/>
      <c r="W38" s="33"/>
      <c r="X38" s="27"/>
      <c r="Y38" s="33"/>
      <c r="Z38" s="27"/>
      <c r="AA38" s="33"/>
      <c r="AB38" s="27"/>
      <c r="AC38" s="33"/>
    </row>
    <row r="39" spans="1:29">
      <c r="A39" s="203" t="s">
        <v>131</v>
      </c>
      <c r="B39" s="14" t="s">
        <v>4</v>
      </c>
      <c r="C39" s="14" t="s">
        <v>78</v>
      </c>
      <c r="D39" s="14" t="s">
        <v>130</v>
      </c>
      <c r="E39" s="6">
        <v>1500</v>
      </c>
      <c r="F39" s="24"/>
      <c r="G39" s="30"/>
      <c r="H39" s="24"/>
      <c r="I39" s="30"/>
      <c r="J39" s="24"/>
      <c r="K39" s="30"/>
      <c r="L39" s="24"/>
      <c r="M39" s="30"/>
      <c r="N39" s="24"/>
      <c r="O39" s="30"/>
      <c r="P39" s="24"/>
      <c r="Q39" s="30"/>
      <c r="R39" s="24"/>
      <c r="S39" s="30"/>
      <c r="T39" s="24"/>
      <c r="U39" s="30"/>
      <c r="V39" s="24"/>
      <c r="W39" s="30"/>
      <c r="X39" s="24"/>
      <c r="Y39" s="30"/>
      <c r="Z39" s="24"/>
      <c r="AA39" s="30"/>
      <c r="AB39" s="24"/>
      <c r="AC39" s="30"/>
    </row>
    <row r="40" spans="1:29">
      <c r="A40" s="205"/>
      <c r="B40" s="59" t="s">
        <v>4</v>
      </c>
      <c r="C40" s="59" t="s">
        <v>78</v>
      </c>
      <c r="D40" s="59" t="s">
        <v>329</v>
      </c>
      <c r="E40" s="7">
        <v>1500</v>
      </c>
      <c r="F40" s="25">
        <v>81.25</v>
      </c>
      <c r="G40" s="31"/>
      <c r="H40" s="25">
        <v>79.75</v>
      </c>
      <c r="I40" s="31"/>
      <c r="J40" s="25">
        <v>63.25</v>
      </c>
      <c r="K40" s="31"/>
      <c r="L40" s="25">
        <v>73.75</v>
      </c>
      <c r="M40" s="31"/>
      <c r="N40" s="25">
        <v>80.75</v>
      </c>
      <c r="O40" s="31"/>
      <c r="P40" s="25">
        <v>70.25</v>
      </c>
      <c r="Q40" s="31"/>
      <c r="R40" s="25"/>
      <c r="S40" s="31"/>
      <c r="T40" s="25"/>
      <c r="U40" s="31"/>
      <c r="V40" s="25"/>
      <c r="W40" s="31"/>
      <c r="X40" s="25"/>
      <c r="Y40" s="31"/>
      <c r="Z40" s="25"/>
      <c r="AA40" s="31"/>
      <c r="AB40" s="25"/>
      <c r="AC40" s="31"/>
    </row>
    <row r="41" spans="1:29">
      <c r="A41" s="36" t="s">
        <v>132</v>
      </c>
      <c r="B41" s="57" t="s">
        <v>4</v>
      </c>
      <c r="C41" s="57" t="s">
        <v>78</v>
      </c>
      <c r="D41" s="57" t="s">
        <v>133</v>
      </c>
      <c r="E41" s="5">
        <v>1540</v>
      </c>
      <c r="F41" s="28">
        <v>132.5</v>
      </c>
      <c r="G41" s="34"/>
      <c r="H41" s="28">
        <v>124.25</v>
      </c>
      <c r="I41" s="34"/>
      <c r="J41" s="28">
        <v>126.5</v>
      </c>
      <c r="K41" s="34"/>
      <c r="L41" s="28">
        <v>131.75</v>
      </c>
      <c r="M41" s="34"/>
      <c r="N41" s="28">
        <v>133.5</v>
      </c>
      <c r="O41" s="34"/>
      <c r="P41" s="28">
        <v>122.75</v>
      </c>
      <c r="Q41" s="34"/>
      <c r="R41" s="28"/>
      <c r="S41" s="34"/>
      <c r="T41" s="28"/>
      <c r="U41" s="34"/>
      <c r="V41" s="28"/>
      <c r="W41" s="34"/>
      <c r="X41" s="28"/>
      <c r="Y41" s="34"/>
      <c r="Z41" s="28"/>
      <c r="AA41" s="34"/>
      <c r="AB41" s="28"/>
      <c r="AC41" s="34"/>
    </row>
    <row r="42" spans="1:29">
      <c r="A42" s="203" t="s">
        <v>80</v>
      </c>
      <c r="B42" s="14" t="s">
        <v>4</v>
      </c>
      <c r="C42" s="14" t="s">
        <v>78</v>
      </c>
      <c r="D42" s="14" t="s">
        <v>206</v>
      </c>
      <c r="E42" s="6">
        <v>1450</v>
      </c>
      <c r="F42" s="24">
        <v>67.25</v>
      </c>
      <c r="G42" s="30"/>
      <c r="H42" s="24">
        <v>69</v>
      </c>
      <c r="I42" s="30"/>
      <c r="J42" s="24">
        <v>70</v>
      </c>
      <c r="K42" s="30"/>
      <c r="L42" s="24">
        <v>67.75</v>
      </c>
      <c r="M42" s="30"/>
      <c r="N42" s="24">
        <v>61.5</v>
      </c>
      <c r="O42" s="30"/>
      <c r="P42" s="24">
        <v>61.75</v>
      </c>
      <c r="Q42" s="30"/>
      <c r="R42" s="24"/>
      <c r="S42" s="30"/>
      <c r="T42" s="24"/>
      <c r="U42" s="30"/>
      <c r="V42" s="24"/>
      <c r="W42" s="30"/>
      <c r="X42" s="24"/>
      <c r="Y42" s="30"/>
      <c r="Z42" s="24"/>
      <c r="AA42" s="30"/>
      <c r="AB42" s="24"/>
      <c r="AC42" s="30"/>
    </row>
    <row r="43" spans="1:29">
      <c r="A43" s="204"/>
      <c r="B43" s="16" t="s">
        <v>4</v>
      </c>
      <c r="C43" s="16" t="s">
        <v>78</v>
      </c>
      <c r="D43" s="16" t="s">
        <v>359</v>
      </c>
      <c r="E43" s="10">
        <v>1460</v>
      </c>
      <c r="F43" s="26">
        <v>88</v>
      </c>
      <c r="G43" s="32"/>
      <c r="H43" s="26">
        <v>93.5</v>
      </c>
      <c r="I43" s="32"/>
      <c r="J43" s="26">
        <v>99.25</v>
      </c>
      <c r="K43" s="32"/>
      <c r="L43" s="26">
        <v>93.75</v>
      </c>
      <c r="M43" s="32"/>
      <c r="N43" s="26">
        <v>85</v>
      </c>
      <c r="O43" s="32"/>
      <c r="P43" s="26">
        <v>83.5</v>
      </c>
      <c r="Q43" s="32"/>
      <c r="R43" s="26"/>
      <c r="S43" s="32"/>
      <c r="T43" s="26"/>
      <c r="U43" s="32"/>
      <c r="V43" s="26"/>
      <c r="W43" s="32"/>
      <c r="X43" s="26"/>
      <c r="Y43" s="32"/>
      <c r="Z43" s="26"/>
      <c r="AA43" s="32"/>
      <c r="AB43" s="26"/>
      <c r="AC43" s="32"/>
    </row>
    <row r="44" spans="1:29">
      <c r="A44" s="204"/>
      <c r="B44" s="16" t="s">
        <v>4</v>
      </c>
      <c r="C44" s="16" t="s">
        <v>78</v>
      </c>
      <c r="D44" s="16" t="s">
        <v>207</v>
      </c>
      <c r="E44" s="10">
        <v>1450</v>
      </c>
      <c r="F44" s="26">
        <v>87.5</v>
      </c>
      <c r="G44" s="32"/>
      <c r="H44" s="26">
        <v>87.25</v>
      </c>
      <c r="I44" s="32"/>
      <c r="J44" s="26">
        <v>97.25</v>
      </c>
      <c r="K44" s="32"/>
      <c r="L44" s="26">
        <v>93</v>
      </c>
      <c r="M44" s="32"/>
      <c r="N44" s="26">
        <v>84.75</v>
      </c>
      <c r="O44" s="32"/>
      <c r="P44" s="26">
        <v>84.75</v>
      </c>
      <c r="Q44" s="32"/>
      <c r="R44" s="26"/>
      <c r="S44" s="32"/>
      <c r="T44" s="26"/>
      <c r="U44" s="32"/>
      <c r="V44" s="26"/>
      <c r="W44" s="32"/>
      <c r="X44" s="26"/>
      <c r="Y44" s="32"/>
      <c r="Z44" s="26"/>
      <c r="AA44" s="32"/>
      <c r="AB44" s="26"/>
      <c r="AC44" s="32"/>
    </row>
    <row r="45" spans="1:29">
      <c r="A45" s="204"/>
      <c r="B45" s="16" t="s">
        <v>4</v>
      </c>
      <c r="C45" s="16" t="s">
        <v>78</v>
      </c>
      <c r="D45" s="71" t="s">
        <v>208</v>
      </c>
      <c r="E45" s="10">
        <v>1460</v>
      </c>
      <c r="F45" s="26"/>
      <c r="G45" s="32"/>
      <c r="H45" s="26"/>
      <c r="I45" s="32"/>
      <c r="J45" s="26"/>
      <c r="K45" s="32"/>
      <c r="L45" s="26"/>
      <c r="M45" s="32"/>
      <c r="N45" s="26"/>
      <c r="O45" s="32"/>
      <c r="P45" s="26"/>
      <c r="Q45" s="32"/>
      <c r="R45" s="26"/>
      <c r="S45" s="32"/>
      <c r="T45" s="26"/>
      <c r="U45" s="32"/>
      <c r="V45" s="26"/>
      <c r="W45" s="32"/>
      <c r="X45" s="26"/>
      <c r="Y45" s="32"/>
      <c r="Z45" s="26"/>
      <c r="AA45" s="32"/>
      <c r="AB45" s="26"/>
      <c r="AC45" s="32"/>
    </row>
    <row r="46" spans="1:29">
      <c r="A46" s="204"/>
      <c r="B46" s="16" t="s">
        <v>4</v>
      </c>
      <c r="C46" s="16" t="s">
        <v>78</v>
      </c>
      <c r="D46" s="71" t="s">
        <v>209</v>
      </c>
      <c r="E46" s="10">
        <v>1430</v>
      </c>
      <c r="F46" s="26"/>
      <c r="G46" s="32"/>
      <c r="H46" s="26"/>
      <c r="I46" s="32"/>
      <c r="J46" s="26"/>
      <c r="K46" s="32"/>
      <c r="L46" s="26"/>
      <c r="M46" s="32"/>
      <c r="N46" s="26"/>
      <c r="O46" s="32"/>
      <c r="P46" s="26"/>
      <c r="Q46" s="32"/>
      <c r="R46" s="26"/>
      <c r="S46" s="32"/>
      <c r="T46" s="26"/>
      <c r="U46" s="32"/>
      <c r="V46" s="26"/>
      <c r="W46" s="32"/>
      <c r="X46" s="26"/>
      <c r="Y46" s="32"/>
      <c r="Z46" s="26"/>
      <c r="AA46" s="32"/>
      <c r="AB46" s="26"/>
      <c r="AC46" s="32"/>
    </row>
    <row r="47" spans="1:29">
      <c r="A47" s="204"/>
      <c r="B47" s="16" t="s">
        <v>4</v>
      </c>
      <c r="C47" s="16" t="s">
        <v>78</v>
      </c>
      <c r="D47" s="71" t="s">
        <v>134</v>
      </c>
      <c r="E47" s="10">
        <v>1430</v>
      </c>
      <c r="F47" s="26"/>
      <c r="G47" s="32"/>
      <c r="H47" s="26"/>
      <c r="I47" s="32"/>
      <c r="J47" s="26"/>
      <c r="K47" s="32"/>
      <c r="L47" s="26"/>
      <c r="M47" s="32"/>
      <c r="N47" s="26"/>
      <c r="O47" s="32"/>
      <c r="P47" s="26"/>
      <c r="Q47" s="32"/>
      <c r="R47" s="26"/>
      <c r="S47" s="32"/>
      <c r="T47" s="26"/>
      <c r="U47" s="32"/>
      <c r="V47" s="26"/>
      <c r="W47" s="32"/>
      <c r="X47" s="26"/>
      <c r="Y47" s="32"/>
      <c r="Z47" s="26"/>
      <c r="AA47" s="32"/>
      <c r="AB47" s="26"/>
      <c r="AC47" s="32"/>
    </row>
    <row r="48" spans="1:29">
      <c r="A48" s="204"/>
      <c r="B48" s="16" t="s">
        <v>4</v>
      </c>
      <c r="C48" s="16" t="s">
        <v>78</v>
      </c>
      <c r="D48" s="71" t="s">
        <v>210</v>
      </c>
      <c r="E48" s="10">
        <v>1390</v>
      </c>
      <c r="F48" s="26"/>
      <c r="G48" s="32"/>
      <c r="H48" s="26"/>
      <c r="I48" s="32"/>
      <c r="J48" s="26"/>
      <c r="K48" s="32"/>
      <c r="L48" s="26"/>
      <c r="M48" s="32"/>
      <c r="N48" s="26"/>
      <c r="O48" s="32"/>
      <c r="P48" s="26"/>
      <c r="Q48" s="32"/>
      <c r="R48" s="26"/>
      <c r="S48" s="32"/>
      <c r="T48" s="26"/>
      <c r="U48" s="32"/>
      <c r="V48" s="26"/>
      <c r="W48" s="32"/>
      <c r="X48" s="26"/>
      <c r="Y48" s="32"/>
      <c r="Z48" s="26"/>
      <c r="AA48" s="32"/>
      <c r="AB48" s="26"/>
      <c r="AC48" s="32"/>
    </row>
    <row r="49" spans="1:29">
      <c r="A49" s="204"/>
      <c r="B49" s="16" t="s">
        <v>4</v>
      </c>
      <c r="C49" s="16" t="s">
        <v>78</v>
      </c>
      <c r="D49" s="71" t="s">
        <v>211</v>
      </c>
      <c r="E49" s="10">
        <v>1420</v>
      </c>
      <c r="F49" s="26">
        <f>79.25+11</f>
        <v>90.25</v>
      </c>
      <c r="G49" s="32"/>
      <c r="H49" s="26">
        <f>92+4.25</f>
        <v>96.25</v>
      </c>
      <c r="I49" s="32"/>
      <c r="J49" s="26">
        <f>78.25+7</f>
        <v>85.25</v>
      </c>
      <c r="K49" s="32"/>
      <c r="L49" s="26">
        <f>94.25+6+7.5</f>
        <v>107.75</v>
      </c>
      <c r="M49" s="32"/>
      <c r="N49" s="26">
        <f>94.75+11.5</f>
        <v>106.25</v>
      </c>
      <c r="O49" s="32"/>
      <c r="P49" s="26">
        <f>77+5.5</f>
        <v>82.5</v>
      </c>
      <c r="Q49" s="32"/>
      <c r="R49" s="26"/>
      <c r="S49" s="32"/>
      <c r="T49" s="26"/>
      <c r="U49" s="32"/>
      <c r="V49" s="26"/>
      <c r="W49" s="32"/>
      <c r="X49" s="26"/>
      <c r="Y49" s="32"/>
      <c r="Z49" s="26"/>
      <c r="AA49" s="32"/>
      <c r="AB49" s="26"/>
      <c r="AC49" s="32"/>
    </row>
    <row r="50" spans="1:29">
      <c r="A50" s="204"/>
      <c r="B50" s="16" t="s">
        <v>4</v>
      </c>
      <c r="C50" s="16" t="s">
        <v>78</v>
      </c>
      <c r="D50" s="71" t="s">
        <v>212</v>
      </c>
      <c r="E50" s="10">
        <v>1420</v>
      </c>
      <c r="F50" s="26">
        <f>94.5+10.75</f>
        <v>105.25</v>
      </c>
      <c r="G50" s="32"/>
      <c r="H50" s="26">
        <f>71.25+7.5</f>
        <v>78.75</v>
      </c>
      <c r="I50" s="32"/>
      <c r="J50" s="26">
        <f>94.75+4.25</f>
        <v>99</v>
      </c>
      <c r="K50" s="32"/>
      <c r="L50" s="26">
        <f>85.75+5.75</f>
        <v>91.5</v>
      </c>
      <c r="M50" s="32"/>
      <c r="N50" s="26">
        <f>62.5+5.75</f>
        <v>68.25</v>
      </c>
      <c r="O50" s="32"/>
      <c r="P50" s="26">
        <f>59+4</f>
        <v>63</v>
      </c>
      <c r="Q50" s="32"/>
      <c r="R50" s="26"/>
      <c r="S50" s="32"/>
      <c r="T50" s="26"/>
      <c r="U50" s="32"/>
      <c r="V50" s="26"/>
      <c r="W50" s="32"/>
      <c r="X50" s="26"/>
      <c r="Y50" s="32"/>
      <c r="Z50" s="26"/>
      <c r="AA50" s="32"/>
      <c r="AB50" s="26"/>
      <c r="AC50" s="32"/>
    </row>
    <row r="51" spans="1:29">
      <c r="A51" s="204"/>
      <c r="B51" s="16" t="s">
        <v>4</v>
      </c>
      <c r="C51" s="16" t="s">
        <v>78</v>
      </c>
      <c r="D51" s="71" t="s">
        <v>213</v>
      </c>
      <c r="E51" s="10">
        <v>1420</v>
      </c>
      <c r="F51" s="26">
        <f>68.5+3.25</f>
        <v>71.75</v>
      </c>
      <c r="G51" s="32"/>
      <c r="H51" s="26">
        <f>57.25+2.75</f>
        <v>60</v>
      </c>
      <c r="I51" s="32"/>
      <c r="J51" s="26">
        <f>57.75+4.25</f>
        <v>62</v>
      </c>
      <c r="K51" s="32"/>
      <c r="L51" s="26">
        <f>79+2.5</f>
        <v>81.5</v>
      </c>
      <c r="M51" s="32"/>
      <c r="N51" s="26">
        <f>78.5+3.75</f>
        <v>82.25</v>
      </c>
      <c r="O51" s="32"/>
      <c r="P51" s="26">
        <f>65.45+1.5</f>
        <v>66.95</v>
      </c>
      <c r="Q51" s="32"/>
      <c r="R51" s="26"/>
      <c r="S51" s="32"/>
      <c r="T51" s="26"/>
      <c r="U51" s="32"/>
      <c r="V51" s="26"/>
      <c r="W51" s="32"/>
      <c r="X51" s="26"/>
      <c r="Y51" s="32"/>
      <c r="Z51" s="26"/>
      <c r="AA51" s="32"/>
      <c r="AB51" s="26"/>
      <c r="AC51" s="32"/>
    </row>
    <row r="52" spans="1:29">
      <c r="A52" s="204"/>
      <c r="B52" s="16" t="s">
        <v>4</v>
      </c>
      <c r="C52" s="16" t="s">
        <v>78</v>
      </c>
      <c r="D52" s="71" t="s">
        <v>214</v>
      </c>
      <c r="E52" s="10">
        <v>1490</v>
      </c>
      <c r="F52" s="26">
        <v>120</v>
      </c>
      <c r="G52" s="32"/>
      <c r="H52" s="26">
        <v>116</v>
      </c>
      <c r="I52" s="32"/>
      <c r="J52" s="26">
        <v>108.25</v>
      </c>
      <c r="K52" s="32"/>
      <c r="L52" s="26">
        <v>109.25</v>
      </c>
      <c r="M52" s="32"/>
      <c r="N52" s="26">
        <v>95.25</v>
      </c>
      <c r="O52" s="32"/>
      <c r="P52" s="26">
        <v>91</v>
      </c>
      <c r="Q52" s="32"/>
      <c r="R52" s="26"/>
      <c r="S52" s="32"/>
      <c r="T52" s="26"/>
      <c r="U52" s="32"/>
      <c r="V52" s="26"/>
      <c r="W52" s="32"/>
      <c r="X52" s="26"/>
      <c r="Y52" s="32"/>
      <c r="Z52" s="26"/>
      <c r="AA52" s="32"/>
      <c r="AB52" s="26"/>
      <c r="AC52" s="32"/>
    </row>
    <row r="53" spans="1:29">
      <c r="A53" s="204"/>
      <c r="B53" s="16" t="s">
        <v>4</v>
      </c>
      <c r="C53" s="16" t="s">
        <v>78</v>
      </c>
      <c r="D53" s="71" t="s">
        <v>215</v>
      </c>
      <c r="E53" s="10">
        <v>1490</v>
      </c>
      <c r="F53" s="26">
        <v>81.25</v>
      </c>
      <c r="G53" s="32"/>
      <c r="H53" s="26">
        <v>72.25</v>
      </c>
      <c r="I53" s="32"/>
      <c r="J53" s="26">
        <v>73.5</v>
      </c>
      <c r="K53" s="32"/>
      <c r="L53" s="26">
        <v>71.25</v>
      </c>
      <c r="M53" s="32"/>
      <c r="N53" s="26">
        <v>60</v>
      </c>
      <c r="O53" s="32"/>
      <c r="P53" s="26"/>
      <c r="Q53" s="32"/>
      <c r="R53" s="26"/>
      <c r="S53" s="32"/>
      <c r="T53" s="26"/>
      <c r="U53" s="32"/>
      <c r="V53" s="26"/>
      <c r="W53" s="32"/>
      <c r="X53" s="26"/>
      <c r="Y53" s="32"/>
      <c r="Z53" s="26"/>
      <c r="AA53" s="32"/>
      <c r="AB53" s="26"/>
      <c r="AC53" s="32"/>
    </row>
    <row r="54" spans="1:29">
      <c r="A54" s="204"/>
      <c r="B54" s="16" t="s">
        <v>4</v>
      </c>
      <c r="C54" s="16" t="s">
        <v>78</v>
      </c>
      <c r="D54" s="71" t="s">
        <v>135</v>
      </c>
      <c r="E54" s="10">
        <v>1530</v>
      </c>
      <c r="F54" s="26">
        <v>102.5</v>
      </c>
      <c r="G54" s="32"/>
      <c r="H54" s="26">
        <v>102</v>
      </c>
      <c r="I54" s="32"/>
      <c r="J54" s="26">
        <v>106</v>
      </c>
      <c r="K54" s="32"/>
      <c r="L54" s="26">
        <v>102.5</v>
      </c>
      <c r="M54" s="32"/>
      <c r="N54" s="26">
        <v>110.5</v>
      </c>
      <c r="O54" s="32"/>
      <c r="P54" s="26">
        <v>94.25</v>
      </c>
      <c r="Q54" s="32"/>
      <c r="R54" s="26"/>
      <c r="S54" s="32"/>
      <c r="T54" s="26"/>
      <c r="U54" s="32"/>
      <c r="V54" s="26"/>
      <c r="W54" s="32"/>
      <c r="X54" s="26"/>
      <c r="Y54" s="32"/>
      <c r="Z54" s="26"/>
      <c r="AA54" s="32"/>
      <c r="AB54" s="26"/>
      <c r="AC54" s="32"/>
    </row>
    <row r="55" spans="1:29">
      <c r="A55" s="204"/>
      <c r="B55" s="16" t="s">
        <v>4</v>
      </c>
      <c r="C55" s="16" t="s">
        <v>78</v>
      </c>
      <c r="D55" s="71" t="s">
        <v>216</v>
      </c>
      <c r="E55" s="10">
        <v>1550</v>
      </c>
      <c r="F55" s="26"/>
      <c r="G55" s="32"/>
      <c r="H55" s="26"/>
      <c r="I55" s="32"/>
      <c r="J55" s="26"/>
      <c r="K55" s="32"/>
      <c r="L55" s="26"/>
      <c r="M55" s="32"/>
      <c r="N55" s="26"/>
      <c r="O55" s="32"/>
      <c r="P55" s="26"/>
      <c r="Q55" s="32"/>
      <c r="R55" s="26"/>
      <c r="S55" s="32"/>
      <c r="T55" s="26"/>
      <c r="U55" s="32"/>
      <c r="V55" s="26"/>
      <c r="W55" s="32"/>
      <c r="X55" s="26"/>
      <c r="Y55" s="32"/>
      <c r="Z55" s="26"/>
      <c r="AA55" s="32"/>
      <c r="AB55" s="26"/>
      <c r="AC55" s="32"/>
    </row>
    <row r="56" spans="1:29">
      <c r="A56" s="204"/>
      <c r="B56" s="16" t="s">
        <v>4</v>
      </c>
      <c r="C56" s="16" t="s">
        <v>78</v>
      </c>
      <c r="D56" s="71" t="s">
        <v>217</v>
      </c>
      <c r="E56" s="10">
        <v>1580</v>
      </c>
      <c r="F56" s="26">
        <f>133.75+17</f>
        <v>150.75</v>
      </c>
      <c r="G56" s="32"/>
      <c r="H56" s="26">
        <f>124+8.5</f>
        <v>132.5</v>
      </c>
      <c r="I56" s="32"/>
      <c r="J56" s="26">
        <f>141.75+10.75</f>
        <v>152.5</v>
      </c>
      <c r="K56" s="32"/>
      <c r="L56" s="26">
        <f>130.5+7.5</f>
        <v>138</v>
      </c>
      <c r="M56" s="32"/>
      <c r="N56" s="26">
        <f>102.25+8.75</f>
        <v>111</v>
      </c>
      <c r="O56" s="32"/>
      <c r="P56" s="26">
        <f>137.75+5</f>
        <v>142.75</v>
      </c>
      <c r="Q56" s="32"/>
      <c r="R56" s="26"/>
      <c r="S56" s="32"/>
      <c r="T56" s="26"/>
      <c r="U56" s="32"/>
      <c r="V56" s="26"/>
      <c r="W56" s="32"/>
      <c r="X56" s="26"/>
      <c r="Y56" s="32"/>
      <c r="Z56" s="26"/>
      <c r="AA56" s="32"/>
      <c r="AB56" s="26"/>
      <c r="AC56" s="32"/>
    </row>
    <row r="57" spans="1:29">
      <c r="A57" s="204"/>
      <c r="B57" s="16" t="s">
        <v>4</v>
      </c>
      <c r="C57" s="16" t="s">
        <v>78</v>
      </c>
      <c r="D57" s="71" t="s">
        <v>218</v>
      </c>
      <c r="E57" s="10">
        <v>1580</v>
      </c>
      <c r="F57" s="26">
        <f>79.75+8.75</f>
        <v>88.5</v>
      </c>
      <c r="G57" s="32"/>
      <c r="H57" s="26">
        <f>139.25+9.25</f>
        <v>148.5</v>
      </c>
      <c r="I57" s="32"/>
      <c r="J57" s="26">
        <f>149.25+13.25</f>
        <v>162.5</v>
      </c>
      <c r="K57" s="32"/>
      <c r="L57" s="26">
        <f>149.25+11.5</f>
        <v>160.75</v>
      </c>
      <c r="M57" s="32"/>
      <c r="N57" s="26">
        <f>143.5+16.75</f>
        <v>160.25</v>
      </c>
      <c r="O57" s="32"/>
      <c r="P57" s="26">
        <f>116+5.5</f>
        <v>121.5</v>
      </c>
      <c r="Q57" s="32"/>
      <c r="R57" s="26"/>
      <c r="S57" s="32"/>
      <c r="T57" s="26"/>
      <c r="U57" s="32"/>
      <c r="V57" s="26"/>
      <c r="W57" s="32"/>
      <c r="X57" s="26"/>
      <c r="Y57" s="32"/>
      <c r="Z57" s="26"/>
      <c r="AA57" s="32"/>
      <c r="AB57" s="26"/>
      <c r="AC57" s="32"/>
    </row>
    <row r="58" spans="1:29">
      <c r="A58" s="204"/>
      <c r="B58" s="16" t="s">
        <v>4</v>
      </c>
      <c r="C58" s="16" t="s">
        <v>78</v>
      </c>
      <c r="D58" s="71" t="s">
        <v>358</v>
      </c>
      <c r="E58" s="10">
        <v>1550</v>
      </c>
      <c r="F58" s="26"/>
      <c r="G58" s="32"/>
      <c r="H58" s="26"/>
      <c r="I58" s="32"/>
      <c r="J58" s="26"/>
      <c r="K58" s="32"/>
      <c r="L58" s="26"/>
      <c r="M58" s="32"/>
      <c r="N58" s="26"/>
      <c r="O58" s="32"/>
      <c r="P58" s="26"/>
      <c r="Q58" s="32"/>
      <c r="R58" s="26"/>
      <c r="S58" s="32"/>
      <c r="T58" s="26"/>
      <c r="U58" s="32"/>
      <c r="V58" s="26"/>
      <c r="W58" s="32"/>
      <c r="X58" s="26"/>
      <c r="Y58" s="32"/>
      <c r="Z58" s="26"/>
      <c r="AA58" s="32"/>
      <c r="AB58" s="26"/>
      <c r="AC58" s="32"/>
    </row>
    <row r="59" spans="1:29">
      <c r="A59" s="204"/>
      <c r="B59" s="16" t="s">
        <v>4</v>
      </c>
      <c r="C59" s="16" t="s">
        <v>78</v>
      </c>
      <c r="D59" s="71" t="s">
        <v>219</v>
      </c>
      <c r="E59" s="10">
        <v>1550</v>
      </c>
      <c r="F59" s="26"/>
      <c r="G59" s="32"/>
      <c r="H59" s="26"/>
      <c r="I59" s="32"/>
      <c r="J59" s="26"/>
      <c r="K59" s="32"/>
      <c r="L59" s="26"/>
      <c r="M59" s="32"/>
      <c r="N59" s="26"/>
      <c r="O59" s="32"/>
      <c r="P59" s="26"/>
      <c r="Q59" s="32"/>
      <c r="R59" s="26"/>
      <c r="S59" s="32"/>
      <c r="T59" s="26"/>
      <c r="U59" s="32"/>
      <c r="V59" s="26"/>
      <c r="W59" s="32"/>
      <c r="X59" s="26"/>
      <c r="Y59" s="32"/>
      <c r="Z59" s="26"/>
      <c r="AA59" s="32"/>
      <c r="AB59" s="26"/>
      <c r="AC59" s="32"/>
    </row>
    <row r="60" spans="1:29">
      <c r="A60" s="204"/>
      <c r="B60" s="16" t="s">
        <v>4</v>
      </c>
      <c r="C60" s="16" t="s">
        <v>78</v>
      </c>
      <c r="D60" s="71" t="s">
        <v>220</v>
      </c>
      <c r="E60" s="10">
        <v>1550</v>
      </c>
      <c r="F60" s="26"/>
      <c r="G60" s="32"/>
      <c r="H60" s="26"/>
      <c r="I60" s="32"/>
      <c r="J60" s="26"/>
      <c r="K60" s="32"/>
      <c r="L60" s="26"/>
      <c r="M60" s="32"/>
      <c r="N60" s="26"/>
      <c r="O60" s="32"/>
      <c r="P60" s="26"/>
      <c r="Q60" s="32"/>
      <c r="R60" s="26"/>
      <c r="S60" s="32"/>
      <c r="T60" s="26"/>
      <c r="U60" s="32"/>
      <c r="V60" s="26"/>
      <c r="W60" s="32"/>
      <c r="X60" s="26"/>
      <c r="Y60" s="32"/>
      <c r="Z60" s="26"/>
      <c r="AA60" s="32"/>
      <c r="AB60" s="26"/>
      <c r="AC60" s="32"/>
    </row>
    <row r="61" spans="1:29">
      <c r="A61" s="204"/>
      <c r="B61" s="16" t="s">
        <v>4</v>
      </c>
      <c r="C61" s="16" t="s">
        <v>78</v>
      </c>
      <c r="D61" s="71" t="s">
        <v>221</v>
      </c>
      <c r="E61" s="10">
        <v>1550</v>
      </c>
      <c r="F61" s="26"/>
      <c r="G61" s="32"/>
      <c r="H61" s="26"/>
      <c r="I61" s="32"/>
      <c r="J61" s="26"/>
      <c r="K61" s="32"/>
      <c r="L61" s="26"/>
      <c r="M61" s="32"/>
      <c r="N61" s="26"/>
      <c r="O61" s="32"/>
      <c r="P61" s="26"/>
      <c r="Q61" s="32"/>
      <c r="R61" s="26"/>
      <c r="S61" s="32"/>
      <c r="T61" s="26"/>
      <c r="U61" s="32"/>
      <c r="V61" s="26"/>
      <c r="W61" s="32"/>
      <c r="X61" s="26"/>
      <c r="Y61" s="32"/>
      <c r="Z61" s="26"/>
      <c r="AA61" s="32"/>
      <c r="AB61" s="26"/>
      <c r="AC61" s="32"/>
    </row>
    <row r="62" spans="1:29">
      <c r="A62" s="204"/>
      <c r="B62" s="16" t="s">
        <v>4</v>
      </c>
      <c r="C62" s="16" t="s">
        <v>78</v>
      </c>
      <c r="D62" s="71" t="s">
        <v>222</v>
      </c>
      <c r="E62" s="10">
        <v>1550</v>
      </c>
      <c r="F62" s="26"/>
      <c r="G62" s="32"/>
      <c r="H62" s="26"/>
      <c r="I62" s="32"/>
      <c r="J62" s="26"/>
      <c r="K62" s="32"/>
      <c r="L62" s="26"/>
      <c r="M62" s="32"/>
      <c r="N62" s="26"/>
      <c r="O62" s="32"/>
      <c r="P62" s="26"/>
      <c r="Q62" s="32"/>
      <c r="R62" s="26"/>
      <c r="S62" s="32"/>
      <c r="T62" s="26"/>
      <c r="U62" s="32"/>
      <c r="V62" s="26"/>
      <c r="W62" s="32"/>
      <c r="X62" s="26"/>
      <c r="Y62" s="32"/>
      <c r="Z62" s="26"/>
      <c r="AA62" s="32"/>
      <c r="AB62" s="26"/>
      <c r="AC62" s="32"/>
    </row>
    <row r="63" spans="1:29">
      <c r="A63" s="204"/>
      <c r="B63" s="16" t="s">
        <v>4</v>
      </c>
      <c r="C63" s="16" t="s">
        <v>78</v>
      </c>
      <c r="D63" s="71" t="s">
        <v>223</v>
      </c>
      <c r="E63" s="10">
        <v>1550</v>
      </c>
      <c r="F63" s="26"/>
      <c r="G63" s="32"/>
      <c r="H63" s="26"/>
      <c r="I63" s="32"/>
      <c r="J63" s="26"/>
      <c r="K63" s="32"/>
      <c r="L63" s="26"/>
      <c r="M63" s="32"/>
      <c r="N63" s="26"/>
      <c r="O63" s="32"/>
      <c r="P63" s="26"/>
      <c r="Q63" s="32"/>
      <c r="R63" s="26"/>
      <c r="S63" s="32"/>
      <c r="T63" s="26"/>
      <c r="U63" s="32"/>
      <c r="V63" s="26"/>
      <c r="W63" s="32"/>
      <c r="X63" s="26"/>
      <c r="Y63" s="32"/>
      <c r="Z63" s="26"/>
      <c r="AA63" s="32"/>
      <c r="AB63" s="26"/>
      <c r="AC63" s="32"/>
    </row>
    <row r="64" spans="1:29">
      <c r="A64" s="204"/>
      <c r="B64" s="16" t="s">
        <v>4</v>
      </c>
      <c r="C64" s="16" t="s">
        <v>78</v>
      </c>
      <c r="D64" s="71" t="s">
        <v>224</v>
      </c>
      <c r="E64" s="10">
        <v>1580</v>
      </c>
      <c r="F64" s="26">
        <f>159.75+27.5</f>
        <v>187.25</v>
      </c>
      <c r="G64" s="32"/>
      <c r="H64" s="26">
        <f>140.5+11.25</f>
        <v>151.75</v>
      </c>
      <c r="I64" s="32"/>
      <c r="J64" s="26">
        <f>133.75+12</f>
        <v>145.75</v>
      </c>
      <c r="K64" s="32"/>
      <c r="L64" s="26">
        <f>149.25+11.75</f>
        <v>161</v>
      </c>
      <c r="M64" s="32"/>
      <c r="N64" s="26">
        <f>143.5+19</f>
        <v>162.5</v>
      </c>
      <c r="O64" s="32"/>
      <c r="P64" s="26">
        <f>131.5+4.5</f>
        <v>136</v>
      </c>
      <c r="Q64" s="32"/>
      <c r="R64" s="26"/>
      <c r="S64" s="32"/>
      <c r="T64" s="26"/>
      <c r="U64" s="32"/>
      <c r="V64" s="26"/>
      <c r="W64" s="32"/>
      <c r="X64" s="26"/>
      <c r="Y64" s="32"/>
      <c r="Z64" s="26"/>
      <c r="AA64" s="32"/>
      <c r="AB64" s="26"/>
      <c r="AC64" s="32"/>
    </row>
    <row r="65" spans="1:29">
      <c r="A65" s="204"/>
      <c r="B65" s="16" t="s">
        <v>4</v>
      </c>
      <c r="C65" s="16" t="s">
        <v>78</v>
      </c>
      <c r="D65" s="71" t="s">
        <v>441</v>
      </c>
      <c r="E65" s="10">
        <v>1550</v>
      </c>
      <c r="F65" s="26">
        <f>175+20</f>
        <v>195</v>
      </c>
      <c r="G65" s="32"/>
      <c r="H65" s="26">
        <f>150+12</f>
        <v>162</v>
      </c>
      <c r="I65" s="32"/>
      <c r="J65" s="26">
        <f>140.75+7.75</f>
        <v>148.5</v>
      </c>
      <c r="K65" s="32"/>
      <c r="L65" s="26">
        <f>165.5+14.75</f>
        <v>180.25</v>
      </c>
      <c r="M65" s="32"/>
      <c r="N65" s="26">
        <f>159.75+20.25</f>
        <v>180</v>
      </c>
      <c r="O65" s="32"/>
      <c r="P65" s="26">
        <f>157+11</f>
        <v>168</v>
      </c>
      <c r="Q65" s="32"/>
      <c r="R65" s="26"/>
      <c r="S65" s="32"/>
      <c r="T65" s="26"/>
      <c r="U65" s="32"/>
      <c r="V65" s="26"/>
      <c r="W65" s="32"/>
      <c r="X65" s="26"/>
      <c r="Y65" s="32"/>
      <c r="Z65" s="26"/>
      <c r="AA65" s="32"/>
      <c r="AB65" s="26"/>
      <c r="AC65" s="32"/>
    </row>
    <row r="66" spans="1:29">
      <c r="A66" s="204"/>
      <c r="B66" s="16" t="s">
        <v>4</v>
      </c>
      <c r="C66" s="16" t="s">
        <v>78</v>
      </c>
      <c r="D66" s="71" t="s">
        <v>225</v>
      </c>
      <c r="E66" s="10">
        <v>1550</v>
      </c>
      <c r="F66" s="26"/>
      <c r="G66" s="32"/>
      <c r="H66" s="26"/>
      <c r="I66" s="32"/>
      <c r="J66" s="26"/>
      <c r="K66" s="32"/>
      <c r="L66" s="26"/>
      <c r="M66" s="32"/>
      <c r="N66" s="26"/>
      <c r="O66" s="32"/>
      <c r="P66" s="26"/>
      <c r="Q66" s="32"/>
      <c r="R66" s="26"/>
      <c r="S66" s="32"/>
      <c r="T66" s="26"/>
      <c r="U66" s="32"/>
      <c r="V66" s="26"/>
      <c r="W66" s="32"/>
      <c r="X66" s="26"/>
      <c r="Y66" s="32"/>
      <c r="Z66" s="26"/>
      <c r="AA66" s="32"/>
      <c r="AB66" s="26"/>
      <c r="AC66" s="32"/>
    </row>
    <row r="67" spans="1:29">
      <c r="A67" s="204"/>
      <c r="B67" s="16" t="s">
        <v>4</v>
      </c>
      <c r="C67" s="16" t="s">
        <v>78</v>
      </c>
      <c r="D67" s="16" t="s">
        <v>226</v>
      </c>
      <c r="E67" s="10">
        <v>1620</v>
      </c>
      <c r="F67" s="26">
        <f>126+6.5</f>
        <v>132.5</v>
      </c>
      <c r="G67" s="32"/>
      <c r="H67" s="26">
        <f>122.25+4</f>
        <v>126.25</v>
      </c>
      <c r="I67" s="32"/>
      <c r="J67" s="26">
        <f>139.25+3.75</f>
        <v>143</v>
      </c>
      <c r="K67" s="32"/>
      <c r="L67" s="26">
        <f>137.25+4.25</f>
        <v>141.5</v>
      </c>
      <c r="M67" s="32"/>
      <c r="N67" s="26">
        <f>127.5+4.25</f>
        <v>131.75</v>
      </c>
      <c r="O67" s="32"/>
      <c r="P67" s="26">
        <f>103+2.25</f>
        <v>105.25</v>
      </c>
      <c r="Q67" s="32"/>
      <c r="R67" s="26"/>
      <c r="S67" s="32"/>
      <c r="T67" s="26"/>
      <c r="U67" s="32"/>
      <c r="V67" s="26"/>
      <c r="W67" s="32"/>
      <c r="X67" s="26"/>
      <c r="Y67" s="32"/>
      <c r="Z67" s="26"/>
      <c r="AA67" s="32"/>
      <c r="AB67" s="26"/>
      <c r="AC67" s="32"/>
    </row>
    <row r="68" spans="1:29">
      <c r="A68" s="204"/>
      <c r="B68" s="16" t="s">
        <v>4</v>
      </c>
      <c r="C68" s="16" t="s">
        <v>78</v>
      </c>
      <c r="D68" s="16" t="s">
        <v>227</v>
      </c>
      <c r="E68" s="10">
        <v>1580</v>
      </c>
      <c r="F68" s="26"/>
      <c r="G68" s="32"/>
      <c r="H68" s="26"/>
      <c r="I68" s="32"/>
      <c r="J68" s="26"/>
      <c r="K68" s="32"/>
      <c r="L68" s="26"/>
      <c r="M68" s="32"/>
      <c r="N68" s="26"/>
      <c r="O68" s="32"/>
      <c r="P68" s="26"/>
      <c r="Q68" s="32"/>
      <c r="R68" s="26"/>
      <c r="S68" s="32"/>
      <c r="T68" s="26"/>
      <c r="U68" s="32"/>
      <c r="V68" s="26"/>
      <c r="W68" s="32"/>
      <c r="X68" s="26"/>
      <c r="Y68" s="32"/>
      <c r="Z68" s="26"/>
      <c r="AA68" s="32"/>
      <c r="AB68" s="26"/>
      <c r="AC68" s="32"/>
    </row>
    <row r="69" spans="1:29">
      <c r="A69" s="204"/>
      <c r="B69" s="16" t="s">
        <v>4</v>
      </c>
      <c r="C69" s="16" t="s">
        <v>78</v>
      </c>
      <c r="D69" s="16" t="s">
        <v>495</v>
      </c>
      <c r="E69" s="10">
        <v>1680</v>
      </c>
      <c r="F69" s="26">
        <v>129.25</v>
      </c>
      <c r="G69" s="32"/>
      <c r="H69" s="26">
        <v>127</v>
      </c>
      <c r="I69" s="32"/>
      <c r="J69" s="26">
        <v>123</v>
      </c>
      <c r="K69" s="32"/>
      <c r="L69" s="26">
        <v>123</v>
      </c>
      <c r="M69" s="32"/>
      <c r="N69" s="26">
        <v>137.25</v>
      </c>
      <c r="O69" s="32"/>
      <c r="P69" s="26">
        <v>114.75</v>
      </c>
      <c r="Q69" s="32"/>
      <c r="R69" s="26"/>
      <c r="S69" s="32"/>
      <c r="T69" s="26"/>
      <c r="U69" s="32"/>
      <c r="V69" s="26"/>
      <c r="W69" s="32"/>
      <c r="X69" s="26"/>
      <c r="Y69" s="32"/>
      <c r="Z69" s="26"/>
      <c r="AA69" s="32"/>
      <c r="AB69" s="26"/>
      <c r="AC69" s="32"/>
    </row>
    <row r="70" spans="1:29">
      <c r="A70" s="204"/>
      <c r="B70" s="16" t="s">
        <v>4</v>
      </c>
      <c r="C70" s="16" t="s">
        <v>78</v>
      </c>
      <c r="D70" s="16" t="s">
        <v>228</v>
      </c>
      <c r="E70" s="10">
        <v>1600</v>
      </c>
      <c r="F70" s="26"/>
      <c r="G70" s="32"/>
      <c r="H70" s="26"/>
      <c r="I70" s="32"/>
      <c r="J70" s="26"/>
      <c r="K70" s="32"/>
      <c r="L70" s="26"/>
      <c r="M70" s="32"/>
      <c r="N70" s="26"/>
      <c r="O70" s="32"/>
      <c r="P70" s="26"/>
      <c r="Q70" s="32"/>
      <c r="R70" s="26"/>
      <c r="S70" s="32"/>
      <c r="T70" s="26"/>
      <c r="U70" s="32"/>
      <c r="V70" s="26"/>
      <c r="W70" s="32"/>
      <c r="X70" s="26"/>
      <c r="Y70" s="32"/>
      <c r="Z70" s="26"/>
      <c r="AA70" s="32"/>
      <c r="AB70" s="26"/>
      <c r="AC70" s="32"/>
    </row>
    <row r="71" spans="1:29">
      <c r="A71" s="204"/>
      <c r="B71" s="16" t="s">
        <v>4</v>
      </c>
      <c r="C71" s="16" t="s">
        <v>78</v>
      </c>
      <c r="D71" s="16" t="s">
        <v>229</v>
      </c>
      <c r="E71" s="10">
        <v>1630</v>
      </c>
      <c r="F71" s="26">
        <v>71.5</v>
      </c>
      <c r="G71" s="32"/>
      <c r="H71" s="26">
        <v>70</v>
      </c>
      <c r="I71" s="32"/>
      <c r="J71" s="26">
        <v>77.75</v>
      </c>
      <c r="K71" s="32"/>
      <c r="L71" s="26">
        <v>71.75</v>
      </c>
      <c r="M71" s="32"/>
      <c r="N71" s="26">
        <v>55.5</v>
      </c>
      <c r="O71" s="32"/>
      <c r="P71" s="26">
        <f>44.75+0</f>
        <v>44.75</v>
      </c>
      <c r="Q71" s="32"/>
      <c r="R71" s="26"/>
      <c r="S71" s="32"/>
      <c r="T71" s="26"/>
      <c r="U71" s="32"/>
      <c r="V71" s="26"/>
      <c r="W71" s="32"/>
      <c r="X71" s="26"/>
      <c r="Y71" s="32"/>
      <c r="Z71" s="26"/>
      <c r="AA71" s="32"/>
      <c r="AB71" s="26"/>
      <c r="AC71" s="32"/>
    </row>
    <row r="72" spans="1:29">
      <c r="A72" s="204"/>
      <c r="B72" s="16" t="s">
        <v>4</v>
      </c>
      <c r="C72" s="16" t="s">
        <v>78</v>
      </c>
      <c r="D72" s="16" t="s">
        <v>230</v>
      </c>
      <c r="E72" s="10">
        <v>1630</v>
      </c>
      <c r="F72" s="26">
        <v>102.25</v>
      </c>
      <c r="G72" s="32"/>
      <c r="H72" s="26">
        <v>92.75</v>
      </c>
      <c r="I72" s="32"/>
      <c r="J72" s="26">
        <v>100.75</v>
      </c>
      <c r="K72" s="32"/>
      <c r="L72" s="26">
        <v>80.25</v>
      </c>
      <c r="M72" s="32"/>
      <c r="N72" s="26">
        <v>106.5</v>
      </c>
      <c r="O72" s="32"/>
      <c r="P72" s="26">
        <v>87.75</v>
      </c>
      <c r="Q72" s="32"/>
      <c r="R72" s="26"/>
      <c r="S72" s="32"/>
      <c r="T72" s="26"/>
      <c r="U72" s="32"/>
      <c r="V72" s="26"/>
      <c r="W72" s="32"/>
      <c r="X72" s="26"/>
      <c r="Y72" s="32"/>
      <c r="Z72" s="26"/>
      <c r="AA72" s="32"/>
      <c r="AB72" s="26"/>
      <c r="AC72" s="32"/>
    </row>
    <row r="73" spans="1:29">
      <c r="A73" s="204"/>
      <c r="B73" s="16" t="s">
        <v>4</v>
      </c>
      <c r="C73" s="16" t="s">
        <v>78</v>
      </c>
      <c r="D73" s="16" t="s">
        <v>231</v>
      </c>
      <c r="E73" s="10">
        <v>1600</v>
      </c>
      <c r="F73" s="26"/>
      <c r="G73" s="32"/>
      <c r="H73" s="26"/>
      <c r="I73" s="32"/>
      <c r="J73" s="26"/>
      <c r="K73" s="32"/>
      <c r="L73" s="26"/>
      <c r="M73" s="32"/>
      <c r="N73" s="26"/>
      <c r="O73" s="32"/>
      <c r="P73" s="26"/>
      <c r="Q73" s="32"/>
      <c r="R73" s="26"/>
      <c r="S73" s="32"/>
      <c r="T73" s="26"/>
      <c r="U73" s="32"/>
      <c r="V73" s="26"/>
      <c r="W73" s="32"/>
      <c r="X73" s="26"/>
      <c r="Y73" s="32"/>
      <c r="Z73" s="26"/>
      <c r="AA73" s="32"/>
      <c r="AB73" s="26"/>
      <c r="AC73" s="32"/>
    </row>
    <row r="74" spans="1:29">
      <c r="A74" s="204"/>
      <c r="B74" s="16" t="s">
        <v>4</v>
      </c>
      <c r="C74" s="16" t="s">
        <v>78</v>
      </c>
      <c r="D74" s="16" t="s">
        <v>232</v>
      </c>
      <c r="E74" s="10">
        <v>1600</v>
      </c>
      <c r="F74" s="26"/>
      <c r="G74" s="32"/>
      <c r="H74" s="26"/>
      <c r="I74" s="32"/>
      <c r="J74" s="26"/>
      <c r="K74" s="32"/>
      <c r="L74" s="26"/>
      <c r="M74" s="32"/>
      <c r="N74" s="26"/>
      <c r="O74" s="32"/>
      <c r="P74" s="26"/>
      <c r="Q74" s="32"/>
      <c r="R74" s="26"/>
      <c r="S74" s="32"/>
      <c r="T74" s="26"/>
      <c r="U74" s="32"/>
      <c r="V74" s="26"/>
      <c r="W74" s="32"/>
      <c r="X74" s="26"/>
      <c r="Y74" s="32"/>
      <c r="Z74" s="26"/>
      <c r="AA74" s="32"/>
      <c r="AB74" s="26"/>
      <c r="AC74" s="32"/>
    </row>
    <row r="75" spans="1:29">
      <c r="A75" s="204"/>
      <c r="B75" s="16" t="s">
        <v>4</v>
      </c>
      <c r="C75" s="16" t="s">
        <v>78</v>
      </c>
      <c r="D75" s="16" t="s">
        <v>233</v>
      </c>
      <c r="E75" s="10">
        <v>1600</v>
      </c>
      <c r="F75" s="26"/>
      <c r="G75" s="32"/>
      <c r="H75" s="26"/>
      <c r="I75" s="32"/>
      <c r="J75" s="26"/>
      <c r="K75" s="32"/>
      <c r="L75" s="26"/>
      <c r="M75" s="32"/>
      <c r="N75" s="26"/>
      <c r="O75" s="32"/>
      <c r="P75" s="26"/>
      <c r="Q75" s="32"/>
      <c r="R75" s="26"/>
      <c r="S75" s="32"/>
      <c r="T75" s="26"/>
      <c r="U75" s="32"/>
      <c r="V75" s="26"/>
      <c r="W75" s="32"/>
      <c r="X75" s="26"/>
      <c r="Y75" s="32"/>
      <c r="Z75" s="26"/>
      <c r="AA75" s="32"/>
      <c r="AB75" s="26"/>
      <c r="AC75" s="32"/>
    </row>
    <row r="76" spans="1:29">
      <c r="A76" s="204"/>
      <c r="B76" s="16" t="s">
        <v>4</v>
      </c>
      <c r="C76" s="16" t="s">
        <v>78</v>
      </c>
      <c r="D76" s="16" t="s">
        <v>234</v>
      </c>
      <c r="E76" s="10">
        <v>1680</v>
      </c>
      <c r="F76" s="26">
        <f>131.75+4</f>
        <v>135.75</v>
      </c>
      <c r="G76" s="32"/>
      <c r="H76" s="26">
        <f>121.5+6</f>
        <v>127.5</v>
      </c>
      <c r="I76" s="32"/>
      <c r="J76" s="26">
        <f>134.5+8.25</f>
        <v>142.75</v>
      </c>
      <c r="K76" s="32"/>
      <c r="L76" s="26">
        <f>142+7.25</f>
        <v>149.25</v>
      </c>
      <c r="M76" s="32"/>
      <c r="N76" s="26">
        <f>128+18.15</f>
        <v>146.15</v>
      </c>
      <c r="O76" s="32"/>
      <c r="P76" s="26">
        <f>124.75+2</f>
        <v>126.75</v>
      </c>
      <c r="Q76" s="32"/>
      <c r="R76" s="26"/>
      <c r="S76" s="32"/>
      <c r="T76" s="26"/>
      <c r="U76" s="32"/>
      <c r="V76" s="26"/>
      <c r="W76" s="32"/>
      <c r="X76" s="26"/>
      <c r="Y76" s="32"/>
      <c r="Z76" s="26"/>
      <c r="AA76" s="32"/>
      <c r="AB76" s="26"/>
      <c r="AC76" s="32"/>
    </row>
    <row r="77" spans="1:29">
      <c r="A77" s="204"/>
      <c r="B77" s="16" t="s">
        <v>4</v>
      </c>
      <c r="C77" s="16" t="s">
        <v>78</v>
      </c>
      <c r="D77" s="16" t="s">
        <v>235</v>
      </c>
      <c r="E77" s="10">
        <v>1680</v>
      </c>
      <c r="F77" s="26">
        <f>182.5+27.25</f>
        <v>209.75</v>
      </c>
      <c r="G77" s="32"/>
      <c r="H77" s="26">
        <f>161.5+9.75</f>
        <v>171.25</v>
      </c>
      <c r="I77" s="32"/>
      <c r="J77" s="26">
        <f>170.5+15.5</f>
        <v>186</v>
      </c>
      <c r="K77" s="32"/>
      <c r="L77" s="26">
        <f>179.25+13.75</f>
        <v>193</v>
      </c>
      <c r="M77" s="32"/>
      <c r="N77" s="26">
        <f>175.25+21</f>
        <v>196.25</v>
      </c>
      <c r="O77" s="32"/>
      <c r="P77" s="26">
        <f>163.75+9.5</f>
        <v>173.25</v>
      </c>
      <c r="Q77" s="32"/>
      <c r="R77" s="26"/>
      <c r="S77" s="32"/>
      <c r="T77" s="26"/>
      <c r="U77" s="32"/>
      <c r="V77" s="26"/>
      <c r="W77" s="32"/>
      <c r="X77" s="26"/>
      <c r="Y77" s="32"/>
      <c r="Z77" s="26"/>
      <c r="AA77" s="32"/>
      <c r="AB77" s="26"/>
      <c r="AC77" s="32"/>
    </row>
    <row r="78" spans="1:29">
      <c r="A78" s="204"/>
      <c r="B78" s="16" t="s">
        <v>4</v>
      </c>
      <c r="C78" s="16" t="s">
        <v>78</v>
      </c>
      <c r="D78" s="16" t="s">
        <v>330</v>
      </c>
      <c r="E78" s="10">
        <v>1600</v>
      </c>
      <c r="F78" s="26"/>
      <c r="G78" s="32"/>
      <c r="H78" s="26"/>
      <c r="I78" s="32"/>
      <c r="J78" s="26"/>
      <c r="K78" s="32"/>
      <c r="L78" s="26"/>
      <c r="M78" s="32"/>
      <c r="N78" s="26"/>
      <c r="O78" s="32"/>
      <c r="P78" s="26"/>
      <c r="Q78" s="32"/>
      <c r="R78" s="26"/>
      <c r="S78" s="32"/>
      <c r="T78" s="26"/>
      <c r="U78" s="32"/>
      <c r="V78" s="26"/>
      <c r="W78" s="32"/>
      <c r="X78" s="26"/>
      <c r="Y78" s="32"/>
      <c r="Z78" s="26"/>
      <c r="AA78" s="32"/>
      <c r="AB78" s="26"/>
      <c r="AC78" s="32"/>
    </row>
    <row r="79" spans="1:29">
      <c r="A79" s="204"/>
      <c r="B79" s="39" t="s">
        <v>4</v>
      </c>
      <c r="C79" s="39" t="s">
        <v>78</v>
      </c>
      <c r="D79" s="39" t="s">
        <v>331</v>
      </c>
      <c r="E79" s="20">
        <v>1600</v>
      </c>
      <c r="F79" s="44"/>
      <c r="G79" s="45"/>
      <c r="H79" s="44"/>
      <c r="I79" s="45"/>
      <c r="J79" s="44"/>
      <c r="K79" s="45"/>
      <c r="L79" s="44"/>
      <c r="M79" s="45"/>
      <c r="N79" s="44"/>
      <c r="O79" s="45"/>
      <c r="P79" s="44"/>
      <c r="Q79" s="45"/>
      <c r="R79" s="44"/>
      <c r="S79" s="45"/>
      <c r="T79" s="44"/>
      <c r="U79" s="45"/>
      <c r="V79" s="44"/>
      <c r="W79" s="45"/>
      <c r="X79" s="44"/>
      <c r="Y79" s="45"/>
      <c r="Z79" s="44"/>
      <c r="AA79" s="45"/>
      <c r="AB79" s="44"/>
      <c r="AC79" s="45"/>
    </row>
    <row r="80" spans="1:29">
      <c r="A80" s="204"/>
      <c r="B80" s="16" t="s">
        <v>4</v>
      </c>
      <c r="C80" s="16" t="s">
        <v>18</v>
      </c>
      <c r="D80" s="16" t="s">
        <v>391</v>
      </c>
      <c r="E80" s="10">
        <v>2070</v>
      </c>
      <c r="F80" s="26"/>
      <c r="G80" s="32"/>
      <c r="H80" s="26"/>
      <c r="I80" s="32"/>
      <c r="J80" s="26"/>
      <c r="K80" s="32"/>
      <c r="L80" s="26"/>
      <c r="M80" s="32"/>
      <c r="N80" s="26"/>
      <c r="O80" s="32"/>
      <c r="P80" s="26"/>
      <c r="Q80" s="32"/>
      <c r="R80" s="26"/>
      <c r="S80" s="32"/>
      <c r="T80" s="26"/>
      <c r="U80" s="32"/>
      <c r="V80" s="26"/>
      <c r="W80" s="32"/>
      <c r="X80" s="26"/>
      <c r="Y80" s="32"/>
      <c r="Z80" s="26"/>
      <c r="AA80" s="32"/>
      <c r="AB80" s="26"/>
      <c r="AC80" s="32"/>
    </row>
    <row r="81" spans="1:29">
      <c r="A81" s="204"/>
      <c r="B81" s="16" t="s">
        <v>4</v>
      </c>
      <c r="C81" s="16" t="s">
        <v>78</v>
      </c>
      <c r="D81" s="16" t="s">
        <v>392</v>
      </c>
      <c r="E81" s="10">
        <v>1550</v>
      </c>
      <c r="F81" s="26"/>
      <c r="G81" s="32"/>
      <c r="H81" s="26"/>
      <c r="I81" s="32"/>
      <c r="J81" s="26"/>
      <c r="K81" s="32"/>
      <c r="L81" s="26"/>
      <c r="M81" s="32"/>
      <c r="N81" s="26"/>
      <c r="O81" s="32"/>
      <c r="P81" s="26"/>
      <c r="Q81" s="32"/>
      <c r="R81" s="26"/>
      <c r="S81" s="32"/>
      <c r="T81" s="26"/>
      <c r="U81" s="32"/>
      <c r="V81" s="26"/>
      <c r="W81" s="32"/>
      <c r="X81" s="26"/>
      <c r="Y81" s="32"/>
      <c r="Z81" s="26"/>
      <c r="AA81" s="32"/>
      <c r="AB81" s="26"/>
      <c r="AC81" s="32"/>
    </row>
    <row r="82" spans="1:29">
      <c r="A82" s="204"/>
      <c r="B82" s="16" t="s">
        <v>4</v>
      </c>
      <c r="C82" s="16" t="s">
        <v>78</v>
      </c>
      <c r="D82" s="16" t="s">
        <v>390</v>
      </c>
      <c r="E82" s="10">
        <v>1550</v>
      </c>
      <c r="F82" s="26"/>
      <c r="G82" s="32"/>
      <c r="H82" s="26"/>
      <c r="I82" s="32"/>
      <c r="J82" s="26"/>
      <c r="K82" s="32"/>
      <c r="L82" s="26"/>
      <c r="M82" s="32"/>
      <c r="N82" s="26"/>
      <c r="O82" s="32"/>
      <c r="P82" s="26"/>
      <c r="Q82" s="32"/>
      <c r="R82" s="26"/>
      <c r="S82" s="32"/>
      <c r="T82" s="26"/>
      <c r="U82" s="32"/>
      <c r="V82" s="26"/>
      <c r="W82" s="32"/>
      <c r="X82" s="26"/>
      <c r="Y82" s="32"/>
      <c r="Z82" s="26"/>
      <c r="AA82" s="32"/>
      <c r="AB82" s="26"/>
      <c r="AC82" s="32"/>
    </row>
    <row r="83" spans="1:29">
      <c r="A83" s="204"/>
      <c r="B83" s="16" t="s">
        <v>4</v>
      </c>
      <c r="C83" s="16" t="s">
        <v>78</v>
      </c>
      <c r="D83" s="68" t="s">
        <v>418</v>
      </c>
      <c r="E83" s="72">
        <v>1550</v>
      </c>
      <c r="F83" s="53"/>
      <c r="G83" s="54"/>
      <c r="H83" s="53"/>
      <c r="I83" s="54"/>
      <c r="J83" s="53"/>
      <c r="K83" s="54"/>
      <c r="L83" s="53"/>
      <c r="M83" s="54"/>
      <c r="N83" s="53"/>
      <c r="O83" s="54"/>
      <c r="P83" s="53"/>
      <c r="Q83" s="54"/>
      <c r="R83" s="53"/>
      <c r="S83" s="54"/>
      <c r="T83" s="53"/>
      <c r="U83" s="54"/>
      <c r="V83" s="53"/>
      <c r="W83" s="54"/>
      <c r="X83" s="53"/>
      <c r="Y83" s="54"/>
      <c r="Z83" s="53"/>
      <c r="AA83" s="54"/>
      <c r="AB83" s="53"/>
      <c r="AC83" s="54"/>
    </row>
    <row r="84" spans="1:29">
      <c r="A84" s="204"/>
      <c r="B84" s="16" t="s">
        <v>4</v>
      </c>
      <c r="C84" s="16" t="s">
        <v>78</v>
      </c>
      <c r="D84" s="16" t="s">
        <v>424</v>
      </c>
      <c r="E84" s="10">
        <v>1580</v>
      </c>
      <c r="F84" s="26">
        <f>112.25+3.75</f>
        <v>116</v>
      </c>
      <c r="G84" s="32"/>
      <c r="H84" s="26">
        <f>120.5+2</f>
        <v>122.5</v>
      </c>
      <c r="I84" s="32"/>
      <c r="J84" s="26">
        <f>128.75+1.75</f>
        <v>130.5</v>
      </c>
      <c r="K84" s="32"/>
      <c r="L84" s="26">
        <f>134.5+4</f>
        <v>138.5</v>
      </c>
      <c r="M84" s="32"/>
      <c r="N84" s="26">
        <f>133.5+5.5</f>
        <v>139</v>
      </c>
      <c r="O84" s="32"/>
      <c r="P84" s="26">
        <f>136.25+6.75</f>
        <v>143</v>
      </c>
      <c r="Q84" s="32"/>
      <c r="R84" s="53"/>
      <c r="S84" s="54"/>
      <c r="T84" s="53"/>
      <c r="U84" s="54"/>
      <c r="V84" s="53"/>
      <c r="W84" s="54"/>
      <c r="X84" s="53"/>
      <c r="Y84" s="54"/>
      <c r="Z84" s="53"/>
      <c r="AA84" s="54"/>
      <c r="AB84" s="53"/>
      <c r="AC84" s="54"/>
    </row>
    <row r="85" spans="1:29">
      <c r="A85" s="204"/>
      <c r="B85" s="68" t="s">
        <v>4</v>
      </c>
      <c r="C85" s="68" t="s">
        <v>78</v>
      </c>
      <c r="D85" s="68" t="s">
        <v>360</v>
      </c>
      <c r="E85" s="72">
        <v>1550</v>
      </c>
      <c r="F85" s="53"/>
      <c r="G85" s="54"/>
      <c r="H85" s="53"/>
      <c r="I85" s="54"/>
      <c r="J85" s="53"/>
      <c r="K85" s="54"/>
      <c r="L85" s="53"/>
      <c r="M85" s="54"/>
      <c r="N85" s="53"/>
      <c r="O85" s="54"/>
      <c r="P85" s="53"/>
      <c r="Q85" s="54"/>
      <c r="R85" s="53"/>
      <c r="S85" s="54"/>
      <c r="T85" s="53"/>
      <c r="U85" s="54"/>
      <c r="V85" s="53"/>
      <c r="W85" s="54"/>
      <c r="X85" s="53"/>
      <c r="Y85" s="54"/>
      <c r="Z85" s="53"/>
      <c r="AA85" s="54"/>
      <c r="AB85" s="53"/>
      <c r="AC85" s="54"/>
    </row>
    <row r="86" spans="1:29">
      <c r="A86" s="204"/>
      <c r="B86" s="68" t="s">
        <v>4</v>
      </c>
      <c r="C86" s="68" t="s">
        <v>78</v>
      </c>
      <c r="D86" s="68" t="s">
        <v>463</v>
      </c>
      <c r="E86" s="72">
        <v>1580</v>
      </c>
      <c r="F86" s="53">
        <f>143.75+24.25</f>
        <v>168</v>
      </c>
      <c r="G86" s="54"/>
      <c r="H86" s="53">
        <f>140.5+12.5</f>
        <v>153</v>
      </c>
      <c r="I86" s="54"/>
      <c r="J86" s="53">
        <f>158.25+12.25</f>
        <v>170.5</v>
      </c>
      <c r="K86" s="54"/>
      <c r="L86" s="53">
        <f>147.5+9.5</f>
        <v>157</v>
      </c>
      <c r="M86" s="54"/>
      <c r="N86" s="53">
        <f>143.75+18.25</f>
        <v>162</v>
      </c>
      <c r="O86" s="54"/>
      <c r="P86" s="53">
        <f>148.25+6.25</f>
        <v>154.5</v>
      </c>
      <c r="Q86" s="54"/>
      <c r="R86" s="53"/>
      <c r="S86" s="54"/>
      <c r="T86" s="53"/>
      <c r="U86" s="54"/>
      <c r="V86" s="53"/>
      <c r="W86" s="54"/>
      <c r="X86" s="53"/>
      <c r="Y86" s="54"/>
      <c r="Z86" s="53"/>
      <c r="AA86" s="54"/>
      <c r="AB86" s="53"/>
      <c r="AC86" s="54"/>
    </row>
    <row r="87" spans="1:29">
      <c r="A87" s="204"/>
      <c r="B87" s="68" t="s">
        <v>4</v>
      </c>
      <c r="C87" s="68" t="s">
        <v>78</v>
      </c>
      <c r="D87" s="68" t="s">
        <v>473</v>
      </c>
      <c r="E87" s="72">
        <v>1450</v>
      </c>
      <c r="F87" s="53">
        <v>90.25</v>
      </c>
      <c r="G87" s="54"/>
      <c r="H87" s="53">
        <v>78.5</v>
      </c>
      <c r="I87" s="54"/>
      <c r="J87" s="53">
        <v>67.5</v>
      </c>
      <c r="K87" s="54"/>
      <c r="L87" s="53">
        <v>74.5</v>
      </c>
      <c r="M87" s="54"/>
      <c r="N87" s="53">
        <v>76</v>
      </c>
      <c r="O87" s="54"/>
      <c r="P87" s="53">
        <v>68.5</v>
      </c>
      <c r="Q87" s="54"/>
      <c r="R87" s="53"/>
      <c r="S87" s="54"/>
      <c r="T87" s="53"/>
      <c r="U87" s="54"/>
      <c r="V87" s="53"/>
      <c r="W87" s="54"/>
      <c r="X87" s="53"/>
      <c r="Y87" s="54"/>
      <c r="Z87" s="53"/>
      <c r="AA87" s="54"/>
      <c r="AB87" s="53"/>
      <c r="AC87" s="54"/>
    </row>
    <row r="88" spans="1:29">
      <c r="A88" s="204"/>
      <c r="B88" s="68" t="s">
        <v>4</v>
      </c>
      <c r="C88" s="68" t="s">
        <v>78</v>
      </c>
      <c r="D88" s="68" t="s">
        <v>474</v>
      </c>
      <c r="E88" s="72">
        <v>1580</v>
      </c>
      <c r="F88" s="53"/>
      <c r="G88" s="54"/>
      <c r="H88" s="53"/>
      <c r="I88" s="54"/>
      <c r="J88" s="53"/>
      <c r="K88" s="54"/>
      <c r="L88" s="53"/>
      <c r="M88" s="54"/>
      <c r="N88" s="53"/>
      <c r="O88" s="54"/>
      <c r="P88" s="53"/>
      <c r="Q88" s="54"/>
      <c r="R88" s="53"/>
      <c r="S88" s="54"/>
      <c r="T88" s="53"/>
      <c r="U88" s="54"/>
      <c r="V88" s="53"/>
      <c r="W88" s="54"/>
      <c r="X88" s="53"/>
      <c r="Y88" s="54"/>
      <c r="Z88" s="53"/>
      <c r="AA88" s="54"/>
      <c r="AB88" s="53"/>
      <c r="AC88" s="54"/>
    </row>
    <row r="89" spans="1:29">
      <c r="A89" s="204"/>
      <c r="B89" s="68" t="s">
        <v>4</v>
      </c>
      <c r="C89" s="68" t="s">
        <v>78</v>
      </c>
      <c r="D89" s="68" t="s">
        <v>462</v>
      </c>
      <c r="E89" s="72">
        <v>1550</v>
      </c>
      <c r="F89" s="53"/>
      <c r="G89" s="54"/>
      <c r="H89" s="53"/>
      <c r="I89" s="54"/>
      <c r="J89" s="53"/>
      <c r="K89" s="54"/>
      <c r="L89" s="53"/>
      <c r="M89" s="54"/>
      <c r="N89" s="53"/>
      <c r="O89" s="54"/>
      <c r="P89" s="53"/>
      <c r="Q89" s="54"/>
      <c r="R89" s="53"/>
      <c r="S89" s="54"/>
      <c r="T89" s="53"/>
      <c r="U89" s="54"/>
      <c r="V89" s="53"/>
      <c r="W89" s="54"/>
      <c r="X89" s="53"/>
      <c r="Y89" s="54"/>
      <c r="Z89" s="53"/>
      <c r="AA89" s="54"/>
      <c r="AB89" s="53"/>
      <c r="AC89" s="54"/>
    </row>
    <row r="90" spans="1:29">
      <c r="A90" s="204"/>
      <c r="B90" s="68" t="s">
        <v>4</v>
      </c>
      <c r="C90" s="68" t="s">
        <v>78</v>
      </c>
      <c r="D90" s="68" t="s">
        <v>444</v>
      </c>
      <c r="E90" s="72">
        <v>1580</v>
      </c>
      <c r="F90" s="53"/>
      <c r="G90" s="54"/>
      <c r="H90" s="53"/>
      <c r="I90" s="54"/>
      <c r="J90" s="53"/>
      <c r="K90" s="54"/>
      <c r="L90" s="53"/>
      <c r="M90" s="54"/>
      <c r="N90" s="53"/>
      <c r="O90" s="54"/>
      <c r="P90" s="53"/>
      <c r="Q90" s="54"/>
      <c r="R90" s="53"/>
      <c r="S90" s="54"/>
      <c r="T90" s="53"/>
      <c r="U90" s="54"/>
      <c r="V90" s="53"/>
      <c r="W90" s="54"/>
      <c r="X90" s="53"/>
      <c r="Y90" s="54"/>
      <c r="Z90" s="53"/>
      <c r="AA90" s="54"/>
      <c r="AB90" s="53"/>
      <c r="AC90" s="54"/>
    </row>
    <row r="91" spans="1:29">
      <c r="A91" s="204"/>
      <c r="B91" s="68" t="s">
        <v>4</v>
      </c>
      <c r="C91" s="68" t="s">
        <v>78</v>
      </c>
      <c r="D91" s="68" t="s">
        <v>445</v>
      </c>
      <c r="E91" s="72">
        <v>1550</v>
      </c>
      <c r="F91" s="53"/>
      <c r="G91" s="54"/>
      <c r="H91" s="53"/>
      <c r="I91" s="54"/>
      <c r="J91" s="53"/>
      <c r="K91" s="54"/>
      <c r="L91" s="53"/>
      <c r="M91" s="54"/>
      <c r="N91" s="53"/>
      <c r="O91" s="54"/>
      <c r="P91" s="53"/>
      <c r="Q91" s="54"/>
      <c r="R91" s="53"/>
      <c r="S91" s="54"/>
      <c r="T91" s="53"/>
      <c r="U91" s="54"/>
      <c r="V91" s="53"/>
      <c r="W91" s="54"/>
      <c r="X91" s="53"/>
      <c r="Y91" s="54"/>
      <c r="Z91" s="53"/>
      <c r="AA91" s="54"/>
      <c r="AB91" s="53"/>
      <c r="AC91" s="54"/>
    </row>
    <row r="92" spans="1:29">
      <c r="A92" s="204"/>
      <c r="B92" s="68" t="s">
        <v>4</v>
      </c>
      <c r="C92" s="68" t="s">
        <v>78</v>
      </c>
      <c r="D92" s="68" t="s">
        <v>446</v>
      </c>
      <c r="E92" s="72">
        <v>1550</v>
      </c>
      <c r="F92" s="53"/>
      <c r="G92" s="54"/>
      <c r="H92" s="53"/>
      <c r="I92" s="54"/>
      <c r="J92" s="53"/>
      <c r="K92" s="54"/>
      <c r="L92" s="53"/>
      <c r="M92" s="54"/>
      <c r="N92" s="53"/>
      <c r="O92" s="54"/>
      <c r="P92" s="53"/>
      <c r="Q92" s="54"/>
      <c r="R92" s="53"/>
      <c r="S92" s="54"/>
      <c r="T92" s="53"/>
      <c r="U92" s="54"/>
      <c r="V92" s="53"/>
      <c r="W92" s="54"/>
      <c r="X92" s="53"/>
      <c r="Y92" s="54"/>
      <c r="Z92" s="53"/>
      <c r="AA92" s="54"/>
      <c r="AB92" s="53"/>
      <c r="AC92" s="54"/>
    </row>
    <row r="93" spans="1:29">
      <c r="A93" s="204"/>
      <c r="B93" s="68" t="s">
        <v>4</v>
      </c>
      <c r="C93" s="68" t="s">
        <v>78</v>
      </c>
      <c r="D93" s="68" t="s">
        <v>442</v>
      </c>
      <c r="E93" s="72">
        <v>1550</v>
      </c>
      <c r="F93" s="53"/>
      <c r="G93" s="54"/>
      <c r="H93" s="53"/>
      <c r="I93" s="54"/>
      <c r="J93" s="53"/>
      <c r="K93" s="54"/>
      <c r="L93" s="53"/>
      <c r="M93" s="54"/>
      <c r="N93" s="53"/>
      <c r="O93" s="54"/>
      <c r="P93" s="53"/>
      <c r="Q93" s="54"/>
      <c r="R93" s="53"/>
      <c r="S93" s="54"/>
      <c r="T93" s="53"/>
      <c r="U93" s="54"/>
      <c r="V93" s="53"/>
      <c r="W93" s="54"/>
      <c r="X93" s="53"/>
      <c r="Y93" s="54"/>
      <c r="Z93" s="53"/>
      <c r="AA93" s="54"/>
      <c r="AB93" s="53"/>
      <c r="AC93" s="54"/>
    </row>
    <row r="94" spans="1:29">
      <c r="A94" s="116"/>
      <c r="B94" s="16" t="s">
        <v>4</v>
      </c>
      <c r="C94" s="16" t="s">
        <v>517</v>
      </c>
      <c r="D94" s="16" t="s">
        <v>518</v>
      </c>
      <c r="E94" s="10">
        <v>1580</v>
      </c>
      <c r="F94" s="26">
        <f>150.75+18.75</f>
        <v>169.5</v>
      </c>
      <c r="G94" s="32"/>
      <c r="H94" s="26">
        <f>168+13.25</f>
        <v>181.25</v>
      </c>
      <c r="I94" s="32"/>
      <c r="J94" s="26"/>
      <c r="K94" s="32"/>
      <c r="L94" s="26"/>
      <c r="M94" s="32"/>
      <c r="N94" s="26"/>
      <c r="O94" s="32"/>
      <c r="P94" s="26"/>
      <c r="Q94" s="32"/>
      <c r="R94" s="26"/>
      <c r="S94" s="32"/>
      <c r="T94" s="26"/>
      <c r="U94" s="32"/>
      <c r="V94" s="26"/>
      <c r="W94" s="32"/>
      <c r="X94" s="26"/>
      <c r="Y94" s="32"/>
      <c r="Z94" s="26"/>
      <c r="AA94" s="32"/>
      <c r="AB94" s="26"/>
      <c r="AC94" s="32"/>
    </row>
    <row r="95" spans="1:29">
      <c r="A95" s="116"/>
      <c r="B95" s="68" t="s">
        <v>4</v>
      </c>
      <c r="C95" s="68" t="s">
        <v>517</v>
      </c>
      <c r="D95" s="161" t="s">
        <v>518</v>
      </c>
      <c r="E95" s="93">
        <v>1580</v>
      </c>
      <c r="F95" s="53"/>
      <c r="G95" s="54"/>
      <c r="H95" s="53"/>
      <c r="I95" s="54"/>
      <c r="J95" s="41">
        <f>52.25+2</f>
        <v>54.25</v>
      </c>
      <c r="K95" s="54" t="s">
        <v>539</v>
      </c>
      <c r="L95" s="53"/>
      <c r="M95" s="54"/>
      <c r="N95" s="53"/>
      <c r="O95" s="54"/>
      <c r="P95" s="53"/>
      <c r="Q95" s="54"/>
      <c r="R95" s="53"/>
      <c r="S95" s="54"/>
      <c r="T95" s="53"/>
      <c r="U95" s="54"/>
      <c r="V95" s="53"/>
      <c r="W95" s="54"/>
      <c r="X95" s="53"/>
      <c r="Y95" s="54"/>
      <c r="Z95" s="53"/>
      <c r="AA95" s="54"/>
      <c r="AB95" s="53"/>
      <c r="AC95" s="54"/>
    </row>
    <row r="96" spans="1:29">
      <c r="A96" s="116"/>
      <c r="B96" s="68" t="s">
        <v>4</v>
      </c>
      <c r="C96" s="68" t="s">
        <v>517</v>
      </c>
      <c r="D96" s="68" t="s">
        <v>519</v>
      </c>
      <c r="E96" s="72">
        <v>1580</v>
      </c>
      <c r="F96" s="53">
        <f>89+2.75</f>
        <v>91.75</v>
      </c>
      <c r="G96" s="54"/>
      <c r="H96" s="53">
        <v>120</v>
      </c>
      <c r="I96" s="54"/>
      <c r="J96" s="53"/>
      <c r="K96" s="54"/>
      <c r="L96" s="53"/>
      <c r="M96" s="54"/>
      <c r="N96" s="53"/>
      <c r="O96" s="54"/>
      <c r="P96" s="53"/>
      <c r="Q96" s="54"/>
      <c r="R96" s="53"/>
      <c r="S96" s="54"/>
      <c r="T96" s="53"/>
      <c r="U96" s="54"/>
      <c r="V96" s="53"/>
      <c r="W96" s="54"/>
      <c r="X96" s="53"/>
      <c r="Y96" s="54"/>
      <c r="Z96" s="53"/>
      <c r="AA96" s="54"/>
      <c r="AB96" s="53"/>
      <c r="AC96" s="54"/>
    </row>
    <row r="97" spans="1:29">
      <c r="A97" s="116"/>
      <c r="B97" s="68" t="s">
        <v>4</v>
      </c>
      <c r="C97" s="68" t="s">
        <v>517</v>
      </c>
      <c r="D97" s="68" t="s">
        <v>520</v>
      </c>
      <c r="E97" s="93">
        <v>2250</v>
      </c>
      <c r="F97" s="41">
        <f>168+18</f>
        <v>186</v>
      </c>
      <c r="G97" s="54" t="s">
        <v>536</v>
      </c>
      <c r="H97" s="53">
        <f>170.75+15.5</f>
        <v>186.25</v>
      </c>
      <c r="I97" s="54"/>
      <c r="J97" s="53">
        <f>123.75+11.25</f>
        <v>135</v>
      </c>
      <c r="K97" s="54"/>
      <c r="L97" s="53">
        <v>176</v>
      </c>
      <c r="M97" s="54"/>
      <c r="N97" s="53">
        <f>151+21.5</f>
        <v>172.5</v>
      </c>
      <c r="O97" s="54"/>
      <c r="P97" s="53">
        <f>162.25+8</f>
        <v>170.25</v>
      </c>
      <c r="Q97" s="54"/>
      <c r="R97" s="53"/>
      <c r="S97" s="54"/>
      <c r="T97" s="53"/>
      <c r="U97" s="54"/>
      <c r="V97" s="53"/>
      <c r="W97" s="54"/>
      <c r="X97" s="53"/>
      <c r="Y97" s="54"/>
      <c r="Z97" s="53"/>
      <c r="AA97" s="54"/>
      <c r="AB97" s="53"/>
      <c r="AC97" s="54"/>
    </row>
    <row r="98" spans="1:29">
      <c r="A98" s="115"/>
      <c r="B98" s="59" t="s">
        <v>4</v>
      </c>
      <c r="C98" s="59" t="s">
        <v>517</v>
      </c>
      <c r="D98" s="59" t="s">
        <v>521</v>
      </c>
      <c r="E98" s="7">
        <v>1530</v>
      </c>
      <c r="F98" s="25"/>
      <c r="G98" s="31"/>
      <c r="H98" s="25"/>
      <c r="I98" s="31"/>
      <c r="J98" s="25"/>
      <c r="K98" s="31"/>
      <c r="L98" s="25"/>
      <c r="M98" s="31"/>
      <c r="N98" s="25"/>
      <c r="O98" s="31"/>
      <c r="P98" s="25"/>
      <c r="Q98" s="31"/>
      <c r="R98" s="25"/>
      <c r="S98" s="31"/>
      <c r="T98" s="25"/>
      <c r="U98" s="31"/>
      <c r="V98" s="25"/>
      <c r="W98" s="31"/>
      <c r="X98" s="25"/>
      <c r="Y98" s="31"/>
      <c r="Z98" s="25"/>
      <c r="AA98" s="31"/>
      <c r="AB98" s="25"/>
      <c r="AC98" s="110"/>
    </row>
    <row r="99" spans="1:29">
      <c r="A99" s="196" t="s">
        <v>136</v>
      </c>
      <c r="B99" s="14" t="s">
        <v>20</v>
      </c>
      <c r="C99" s="14" t="s">
        <v>137</v>
      </c>
      <c r="D99" s="9" t="s">
        <v>138</v>
      </c>
      <c r="E99" s="21">
        <v>2300</v>
      </c>
      <c r="F99" s="29"/>
      <c r="G99" s="35"/>
      <c r="H99" s="29"/>
      <c r="I99" s="35"/>
      <c r="J99" s="29"/>
      <c r="K99" s="35"/>
      <c r="L99" s="29"/>
      <c r="M99" s="35"/>
      <c r="N99" s="29"/>
      <c r="O99" s="35"/>
      <c r="P99" s="29"/>
      <c r="Q99" s="35"/>
      <c r="R99" s="29"/>
      <c r="S99" s="35"/>
      <c r="T99" s="29"/>
      <c r="U99" s="35"/>
      <c r="V99" s="29"/>
      <c r="W99" s="35"/>
      <c r="X99" s="29"/>
      <c r="Y99" s="35"/>
      <c r="Z99" s="29"/>
      <c r="AA99" s="35"/>
      <c r="AB99" s="29"/>
      <c r="AC99" s="35"/>
    </row>
    <row r="100" spans="1:29">
      <c r="A100" s="196"/>
      <c r="B100" s="16" t="s">
        <v>20</v>
      </c>
      <c r="C100" s="16" t="s">
        <v>426</v>
      </c>
      <c r="D100" s="11" t="s">
        <v>427</v>
      </c>
      <c r="E100" s="10">
        <v>2300</v>
      </c>
      <c r="F100" s="26"/>
      <c r="G100" s="32"/>
      <c r="H100" s="26"/>
      <c r="I100" s="32"/>
      <c r="J100" s="26"/>
      <c r="K100" s="32"/>
      <c r="L100" s="26"/>
      <c r="M100" s="32"/>
      <c r="N100" s="26"/>
      <c r="O100" s="32"/>
      <c r="P100" s="26"/>
      <c r="Q100" s="32"/>
      <c r="R100" s="26"/>
      <c r="S100" s="32"/>
      <c r="T100" s="26"/>
      <c r="U100" s="32"/>
      <c r="V100" s="26"/>
      <c r="W100" s="32"/>
      <c r="X100" s="26"/>
      <c r="Y100" s="32"/>
      <c r="Z100" s="26"/>
      <c r="AA100" s="32"/>
      <c r="AB100" s="26"/>
      <c r="AC100" s="32"/>
    </row>
    <row r="101" spans="1:29">
      <c r="A101" s="196"/>
      <c r="B101" s="16" t="s">
        <v>20</v>
      </c>
      <c r="C101" s="16" t="s">
        <v>137</v>
      </c>
      <c r="D101" s="11" t="s">
        <v>461</v>
      </c>
      <c r="E101" s="10">
        <v>2200</v>
      </c>
      <c r="F101" s="26">
        <f>176+77+67</f>
        <v>320</v>
      </c>
      <c r="G101" s="32"/>
      <c r="H101" s="26">
        <f>184+65.15+69+8</f>
        <v>326.14999999999998</v>
      </c>
      <c r="I101" s="32"/>
      <c r="J101" s="26">
        <f>184+55+69</f>
        <v>308</v>
      </c>
      <c r="K101" s="32"/>
      <c r="L101" s="26">
        <f>136+41.5+51.5+0</f>
        <v>229</v>
      </c>
      <c r="M101" s="32"/>
      <c r="N101" s="26">
        <f>192+52.25+70+8+52.25</f>
        <v>374.5</v>
      </c>
      <c r="O101" s="32"/>
      <c r="P101" s="26">
        <f>176+61+65.5</f>
        <v>302.5</v>
      </c>
      <c r="Q101" s="32"/>
      <c r="R101" s="26"/>
      <c r="S101" s="32"/>
      <c r="T101" s="26"/>
      <c r="U101" s="32"/>
      <c r="V101" s="26"/>
      <c r="W101" s="32"/>
      <c r="X101" s="26"/>
      <c r="Y101" s="32"/>
      <c r="Z101" s="26"/>
      <c r="AA101" s="32"/>
      <c r="AB101" s="26"/>
      <c r="AC101" s="32"/>
    </row>
    <row r="102" spans="1:29">
      <c r="A102" s="196"/>
      <c r="B102" s="16" t="s">
        <v>20</v>
      </c>
      <c r="C102" s="16" t="s">
        <v>137</v>
      </c>
      <c r="D102" s="11" t="s">
        <v>496</v>
      </c>
      <c r="E102" s="10">
        <v>2200</v>
      </c>
      <c r="F102" s="26"/>
      <c r="G102" s="32"/>
      <c r="H102" s="26"/>
      <c r="I102" s="32"/>
      <c r="J102" s="26"/>
      <c r="K102" s="32"/>
      <c r="L102" s="26"/>
      <c r="M102" s="32"/>
      <c r="N102" s="26"/>
      <c r="O102" s="32"/>
      <c r="P102" s="26"/>
      <c r="Q102" s="32"/>
      <c r="R102" s="26"/>
      <c r="S102" s="32"/>
      <c r="T102" s="26"/>
      <c r="U102" s="32"/>
      <c r="V102" s="26"/>
      <c r="W102" s="32"/>
      <c r="X102" s="26"/>
      <c r="Y102" s="32"/>
      <c r="Z102" s="26"/>
      <c r="AA102" s="32"/>
      <c r="AB102" s="26"/>
      <c r="AC102" s="32"/>
    </row>
    <row r="103" spans="1:29">
      <c r="A103" s="196"/>
      <c r="B103" s="16" t="s">
        <v>20</v>
      </c>
      <c r="C103" s="16" t="s">
        <v>242</v>
      </c>
      <c r="D103" s="11"/>
      <c r="E103" s="10"/>
      <c r="F103" s="26"/>
      <c r="G103" s="32"/>
      <c r="H103" s="26"/>
      <c r="I103" s="32"/>
      <c r="J103" s="26"/>
      <c r="K103" s="32"/>
      <c r="L103" s="26"/>
      <c r="M103" s="32"/>
      <c r="N103" s="26"/>
      <c r="O103" s="32"/>
      <c r="P103" s="26"/>
      <c r="Q103" s="32"/>
      <c r="R103" s="26"/>
      <c r="S103" s="32"/>
      <c r="T103" s="26"/>
      <c r="U103" s="32"/>
      <c r="V103" s="26"/>
      <c r="W103" s="32"/>
      <c r="X103" s="26"/>
      <c r="Y103" s="32"/>
      <c r="Z103" s="26"/>
      <c r="AA103" s="32"/>
      <c r="AB103" s="26"/>
      <c r="AC103" s="32"/>
    </row>
    <row r="104" spans="1:29">
      <c r="A104" s="196"/>
      <c r="B104" s="16" t="s">
        <v>20</v>
      </c>
      <c r="C104" s="70" t="s">
        <v>243</v>
      </c>
      <c r="D104" s="11"/>
      <c r="E104" s="10"/>
      <c r="F104" s="26"/>
      <c r="G104" s="32"/>
      <c r="H104" s="26"/>
      <c r="I104" s="32"/>
      <c r="J104" s="26"/>
      <c r="K104" s="32"/>
      <c r="L104" s="26"/>
      <c r="M104" s="32"/>
      <c r="N104" s="26"/>
      <c r="O104" s="32"/>
      <c r="P104" s="26"/>
      <c r="Q104" s="32"/>
      <c r="R104" s="26"/>
      <c r="S104" s="32"/>
      <c r="T104" s="26"/>
      <c r="U104" s="32"/>
      <c r="V104" s="26"/>
      <c r="W104" s="32"/>
      <c r="X104" s="26"/>
      <c r="Y104" s="32"/>
      <c r="Z104" s="26"/>
      <c r="AA104" s="32"/>
      <c r="AB104" s="26"/>
      <c r="AC104" s="32"/>
    </row>
    <row r="105" spans="1:29">
      <c r="A105" s="196"/>
      <c r="B105" s="15" t="s">
        <v>20</v>
      </c>
      <c r="C105" s="15" t="s">
        <v>244</v>
      </c>
      <c r="D105" s="17"/>
      <c r="E105" s="8"/>
      <c r="F105" s="27"/>
      <c r="G105" s="33"/>
      <c r="H105" s="27"/>
      <c r="I105" s="33"/>
      <c r="J105" s="27"/>
      <c r="K105" s="33"/>
      <c r="L105" s="27"/>
      <c r="M105" s="33"/>
      <c r="N105" s="27"/>
      <c r="O105" s="33"/>
      <c r="P105" s="27"/>
      <c r="Q105" s="33"/>
      <c r="R105" s="27"/>
      <c r="S105" s="33"/>
      <c r="T105" s="27"/>
      <c r="U105" s="33"/>
      <c r="V105" s="27"/>
      <c r="W105" s="33"/>
      <c r="X105" s="27"/>
      <c r="Y105" s="33"/>
      <c r="Z105" s="27"/>
      <c r="AA105" s="33"/>
      <c r="AB105" s="27"/>
      <c r="AC105" s="33"/>
    </row>
    <row r="106" spans="1:29">
      <c r="A106" s="36" t="s">
        <v>70</v>
      </c>
      <c r="B106" s="57" t="s">
        <v>20</v>
      </c>
      <c r="C106" s="57"/>
      <c r="D106" s="58" t="s">
        <v>139</v>
      </c>
      <c r="E106" s="5">
        <v>1440</v>
      </c>
      <c r="F106" s="28">
        <v>70.5</v>
      </c>
      <c r="G106" s="34"/>
      <c r="H106" s="28">
        <v>72.75</v>
      </c>
      <c r="I106" s="34"/>
      <c r="J106" s="28"/>
      <c r="K106" s="34"/>
      <c r="L106" s="28"/>
      <c r="M106" s="34"/>
      <c r="N106" s="28"/>
      <c r="O106" s="34"/>
      <c r="P106" s="28"/>
      <c r="Q106" s="34"/>
      <c r="R106" s="28"/>
      <c r="S106" s="34"/>
      <c r="T106" s="28"/>
      <c r="U106" s="34"/>
      <c r="V106" s="28"/>
      <c r="W106" s="34"/>
      <c r="X106" s="28"/>
      <c r="Y106" s="34"/>
      <c r="Z106" s="28"/>
      <c r="AA106" s="34"/>
      <c r="AB106" s="28"/>
      <c r="AC106" s="34"/>
    </row>
    <row r="107" spans="1:29">
      <c r="A107" s="197" t="s">
        <v>140</v>
      </c>
      <c r="B107" s="63" t="s">
        <v>4</v>
      </c>
      <c r="C107" s="63"/>
      <c r="D107" s="9" t="s">
        <v>141</v>
      </c>
      <c r="E107" s="6">
        <v>1665</v>
      </c>
      <c r="F107" s="24">
        <f>77.25+2.5</f>
        <v>79.75</v>
      </c>
      <c r="G107" s="30"/>
      <c r="H107" s="24">
        <f>104.75+4</f>
        <v>108.75</v>
      </c>
      <c r="I107" s="30"/>
      <c r="J107" s="24">
        <f>85.5+1</f>
        <v>86.5</v>
      </c>
      <c r="K107" s="30"/>
      <c r="L107" s="24">
        <f>111.5+2.75</f>
        <v>114.25</v>
      </c>
      <c r="M107" s="30"/>
      <c r="N107" s="24">
        <f>105.25+5</f>
        <v>110.25</v>
      </c>
      <c r="O107" s="30"/>
      <c r="P107" s="24"/>
      <c r="Q107" s="30"/>
      <c r="R107" s="24"/>
      <c r="S107" s="30"/>
      <c r="T107" s="24"/>
      <c r="U107" s="30"/>
      <c r="V107" s="24"/>
      <c r="W107" s="30"/>
      <c r="X107" s="24"/>
      <c r="Y107" s="30"/>
      <c r="Z107" s="24"/>
      <c r="AA107" s="30"/>
      <c r="AB107" s="24"/>
      <c r="AC107" s="30"/>
    </row>
    <row r="108" spans="1:29">
      <c r="A108" s="197"/>
      <c r="B108" s="71" t="s">
        <v>4</v>
      </c>
      <c r="C108" s="71"/>
      <c r="D108" s="11" t="s">
        <v>142</v>
      </c>
      <c r="E108" s="10">
        <v>1665</v>
      </c>
      <c r="F108" s="26">
        <f>111+5.25</f>
        <v>116.25</v>
      </c>
      <c r="G108" s="32"/>
      <c r="H108" s="26">
        <f>107+4.75</f>
        <v>111.75</v>
      </c>
      <c r="I108" s="32"/>
      <c r="J108" s="26">
        <f>104+3</f>
        <v>107</v>
      </c>
      <c r="K108" s="32"/>
      <c r="L108" s="26">
        <f>30.25+0.75</f>
        <v>31</v>
      </c>
      <c r="M108" s="32"/>
      <c r="N108" s="26">
        <f>74.5+0.5</f>
        <v>75</v>
      </c>
      <c r="O108" s="32"/>
      <c r="P108" s="26"/>
      <c r="Q108" s="32"/>
      <c r="R108" s="26"/>
      <c r="S108" s="32"/>
      <c r="T108" s="26"/>
      <c r="U108" s="32"/>
      <c r="V108" s="26"/>
      <c r="W108" s="32"/>
      <c r="X108" s="26"/>
      <c r="Y108" s="32"/>
      <c r="Z108" s="26"/>
      <c r="AA108" s="32"/>
      <c r="AB108" s="26"/>
      <c r="AC108" s="32"/>
    </row>
    <row r="109" spans="1:29">
      <c r="A109" s="197"/>
      <c r="B109" s="173" t="s">
        <v>4</v>
      </c>
      <c r="C109" s="173"/>
      <c r="D109" s="40" t="s">
        <v>143</v>
      </c>
      <c r="E109" s="20">
        <v>1700</v>
      </c>
      <c r="F109" s="25">
        <f>128+13.5</f>
        <v>141.5</v>
      </c>
      <c r="G109" s="45"/>
      <c r="H109" s="44"/>
      <c r="I109" s="45"/>
      <c r="J109" s="44"/>
      <c r="K109" s="45"/>
      <c r="L109" s="44"/>
      <c r="M109" s="45"/>
      <c r="N109" s="44"/>
      <c r="O109" s="45"/>
      <c r="P109" s="44"/>
      <c r="Q109" s="45"/>
      <c r="R109" s="44"/>
      <c r="S109" s="45"/>
      <c r="T109" s="44"/>
      <c r="U109" s="45"/>
      <c r="V109" s="44"/>
      <c r="W109" s="45"/>
      <c r="X109" s="44"/>
      <c r="Y109" s="45"/>
      <c r="Z109" s="44"/>
      <c r="AA109" s="45"/>
      <c r="AB109" s="44"/>
      <c r="AC109" s="45"/>
    </row>
    <row r="110" spans="1:29">
      <c r="A110" s="197"/>
      <c r="B110" s="65" t="s">
        <v>4</v>
      </c>
      <c r="C110" s="65"/>
      <c r="D110" s="42" t="s">
        <v>576</v>
      </c>
      <c r="E110" s="174">
        <v>1665</v>
      </c>
      <c r="F110" s="25"/>
      <c r="G110" s="31"/>
      <c r="H110" s="25"/>
      <c r="I110" s="31"/>
      <c r="J110" s="175">
        <v>37.75</v>
      </c>
      <c r="K110" s="31" t="s">
        <v>539</v>
      </c>
      <c r="L110" s="25">
        <f>50.25+0.75</f>
        <v>51</v>
      </c>
      <c r="M110" s="31"/>
      <c r="N110" s="25">
        <f>11+0.15</f>
        <v>11.15</v>
      </c>
      <c r="O110" s="31"/>
      <c r="P110" s="25"/>
      <c r="Q110" s="31"/>
      <c r="R110" s="25"/>
      <c r="S110" s="31"/>
      <c r="T110" s="25"/>
      <c r="U110" s="31"/>
      <c r="V110" s="25"/>
      <c r="W110" s="31"/>
      <c r="X110" s="25"/>
      <c r="Y110" s="31"/>
      <c r="Z110" s="25"/>
      <c r="AA110" s="31"/>
      <c r="AB110" s="25"/>
      <c r="AC110" s="31"/>
    </row>
  </sheetData>
  <autoFilter ref="A3:AC110" xr:uid="{D8DAEB90-07BB-441F-AF26-AAD1F3B1DAF5}"/>
  <mergeCells count="25">
    <mergeCell ref="A1:C1"/>
    <mergeCell ref="X2:Y2"/>
    <mergeCell ref="Z2:AA2"/>
    <mergeCell ref="AB2:AC2"/>
    <mergeCell ref="F2:G2"/>
    <mergeCell ref="H2:I2"/>
    <mergeCell ref="J2:K2"/>
    <mergeCell ref="L2:M2"/>
    <mergeCell ref="N2:O2"/>
    <mergeCell ref="P2:Q2"/>
    <mergeCell ref="A99:A105"/>
    <mergeCell ref="A107:A110"/>
    <mergeCell ref="R2:S2"/>
    <mergeCell ref="T2:U2"/>
    <mergeCell ref="V2:W2"/>
    <mergeCell ref="A2:A3"/>
    <mergeCell ref="B2:B3"/>
    <mergeCell ref="C2:C3"/>
    <mergeCell ref="D2:D3"/>
    <mergeCell ref="E2:E3"/>
    <mergeCell ref="A4:A5"/>
    <mergeCell ref="A6:A26"/>
    <mergeCell ref="A36:A38"/>
    <mergeCell ref="A39:A40"/>
    <mergeCell ref="A42:A93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  <rowBreaks count="2" manualBreakCount="2">
    <brk id="41" max="28" man="1"/>
    <brk id="9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7382-2181-4CF2-8C9E-FE4E823CF1DF}">
  <sheetPr>
    <tabColor theme="9" tint="0.79998168889431442"/>
  </sheetPr>
  <dimension ref="A1:F502"/>
  <sheetViews>
    <sheetView tabSelected="1" topLeftCell="A494" workbookViewId="0">
      <selection activeCell="B499" sqref="B499"/>
    </sheetView>
  </sheetViews>
  <sheetFormatPr defaultRowHeight="18.75"/>
  <cols>
    <col min="2" max="2" width="37.875" bestFit="1" customWidth="1"/>
    <col min="4" max="4" width="21.375" bestFit="1" customWidth="1"/>
    <col min="5" max="5" width="23.5" bestFit="1" customWidth="1"/>
  </cols>
  <sheetData>
    <row r="1" spans="1:6">
      <c r="A1" t="s">
        <v>660</v>
      </c>
      <c r="B1" t="s">
        <v>1</v>
      </c>
      <c r="C1" t="s">
        <v>2</v>
      </c>
      <c r="D1" t="s">
        <v>341</v>
      </c>
      <c r="E1" t="s">
        <v>305</v>
      </c>
      <c r="F1" t="s">
        <v>393</v>
      </c>
    </row>
    <row r="2" spans="1:6">
      <c r="A2" s="219" t="s">
        <v>661</v>
      </c>
      <c r="B2" t="s">
        <v>17</v>
      </c>
      <c r="C2" t="s">
        <v>4</v>
      </c>
      <c r="D2" t="s">
        <v>262</v>
      </c>
      <c r="E2" t="s">
        <v>267</v>
      </c>
      <c r="F2">
        <v>1650</v>
      </c>
    </row>
    <row r="3" spans="1:6">
      <c r="A3" s="219" t="s">
        <v>661</v>
      </c>
      <c r="B3" t="s">
        <v>17</v>
      </c>
      <c r="C3" t="s">
        <v>4</v>
      </c>
      <c r="D3" t="s">
        <v>262</v>
      </c>
      <c r="E3" t="s">
        <v>332</v>
      </c>
      <c r="F3">
        <v>1650</v>
      </c>
    </row>
    <row r="4" spans="1:6">
      <c r="A4" s="219" t="s">
        <v>661</v>
      </c>
      <c r="B4" t="s">
        <v>17</v>
      </c>
      <c r="C4" t="s">
        <v>4</v>
      </c>
      <c r="D4" t="s">
        <v>262</v>
      </c>
      <c r="E4" t="s">
        <v>268</v>
      </c>
      <c r="F4">
        <v>1650</v>
      </c>
    </row>
    <row r="5" spans="1:6">
      <c r="A5" s="219" t="s">
        <v>661</v>
      </c>
      <c r="B5" t="s">
        <v>17</v>
      </c>
      <c r="C5" t="s">
        <v>4</v>
      </c>
      <c r="D5" t="s">
        <v>262</v>
      </c>
      <c r="E5" t="s">
        <v>269</v>
      </c>
      <c r="F5">
        <v>1650</v>
      </c>
    </row>
    <row r="6" spans="1:6">
      <c r="A6" s="219" t="s">
        <v>661</v>
      </c>
      <c r="B6" t="s">
        <v>17</v>
      </c>
      <c r="C6" t="s">
        <v>4</v>
      </c>
      <c r="D6" t="s">
        <v>262</v>
      </c>
      <c r="E6" t="s">
        <v>270</v>
      </c>
      <c r="F6">
        <v>1650</v>
      </c>
    </row>
    <row r="7" spans="1:6">
      <c r="A7" s="219" t="s">
        <v>661</v>
      </c>
      <c r="B7" t="s">
        <v>17</v>
      </c>
      <c r="C7" t="s">
        <v>4</v>
      </c>
      <c r="D7" t="s">
        <v>262</v>
      </c>
      <c r="E7" t="s">
        <v>271</v>
      </c>
      <c r="F7">
        <v>1650</v>
      </c>
    </row>
    <row r="8" spans="1:6">
      <c r="A8" s="219" t="s">
        <v>661</v>
      </c>
      <c r="B8" t="s">
        <v>17</v>
      </c>
      <c r="C8" t="s">
        <v>4</v>
      </c>
      <c r="D8" t="s">
        <v>262</v>
      </c>
      <c r="E8" t="s">
        <v>345</v>
      </c>
      <c r="F8">
        <v>1650</v>
      </c>
    </row>
    <row r="9" spans="1:6">
      <c r="A9" s="219" t="s">
        <v>661</v>
      </c>
      <c r="B9" t="s">
        <v>17</v>
      </c>
      <c r="C9" t="s">
        <v>4</v>
      </c>
      <c r="D9" t="s">
        <v>262</v>
      </c>
      <c r="E9" t="s">
        <v>272</v>
      </c>
      <c r="F9">
        <v>1650</v>
      </c>
    </row>
    <row r="10" spans="1:6">
      <c r="A10" s="219" t="s">
        <v>661</v>
      </c>
      <c r="B10" t="s">
        <v>17</v>
      </c>
      <c r="C10" t="s">
        <v>4</v>
      </c>
      <c r="D10" t="s">
        <v>262</v>
      </c>
      <c r="E10" t="s">
        <v>273</v>
      </c>
      <c r="F10">
        <v>1650</v>
      </c>
    </row>
    <row r="11" spans="1:6">
      <c r="A11" s="219" t="s">
        <v>661</v>
      </c>
      <c r="B11" t="s">
        <v>17</v>
      </c>
      <c r="C11" t="s">
        <v>4</v>
      </c>
      <c r="D11" t="s">
        <v>262</v>
      </c>
      <c r="E11" t="s">
        <v>274</v>
      </c>
      <c r="F11">
        <v>1650</v>
      </c>
    </row>
    <row r="12" spans="1:6">
      <c r="A12" s="219" t="s">
        <v>661</v>
      </c>
      <c r="B12" t="s">
        <v>17</v>
      </c>
      <c r="C12" t="s">
        <v>4</v>
      </c>
      <c r="D12" t="s">
        <v>262</v>
      </c>
      <c r="E12" t="s">
        <v>275</v>
      </c>
      <c r="F12">
        <v>1650</v>
      </c>
    </row>
    <row r="13" spans="1:6">
      <c r="A13" s="219" t="s">
        <v>661</v>
      </c>
      <c r="B13" t="s">
        <v>17</v>
      </c>
      <c r="C13" t="s">
        <v>4</v>
      </c>
      <c r="D13" t="s">
        <v>262</v>
      </c>
      <c r="E13" t="s">
        <v>276</v>
      </c>
      <c r="F13">
        <v>1650</v>
      </c>
    </row>
    <row r="14" spans="1:6">
      <c r="A14" s="219" t="s">
        <v>661</v>
      </c>
      <c r="B14" t="s">
        <v>17</v>
      </c>
      <c r="C14" t="s">
        <v>4</v>
      </c>
      <c r="D14" t="s">
        <v>262</v>
      </c>
      <c r="E14" t="s">
        <v>277</v>
      </c>
      <c r="F14">
        <v>1650</v>
      </c>
    </row>
    <row r="15" spans="1:6">
      <c r="A15" s="219" t="s">
        <v>661</v>
      </c>
      <c r="B15" t="s">
        <v>17</v>
      </c>
      <c r="C15" t="s">
        <v>4</v>
      </c>
      <c r="D15" t="s">
        <v>262</v>
      </c>
      <c r="E15" t="s">
        <v>369</v>
      </c>
      <c r="F15">
        <v>1650</v>
      </c>
    </row>
    <row r="16" spans="1:6">
      <c r="A16" s="219" t="s">
        <v>661</v>
      </c>
      <c r="B16" t="s">
        <v>17</v>
      </c>
      <c r="C16" t="s">
        <v>4</v>
      </c>
      <c r="D16" t="s">
        <v>262</v>
      </c>
      <c r="E16" t="s">
        <v>387</v>
      </c>
      <c r="F16">
        <v>1650</v>
      </c>
    </row>
    <row r="17" spans="1:6">
      <c r="A17" s="219" t="s">
        <v>661</v>
      </c>
      <c r="B17" t="s">
        <v>17</v>
      </c>
      <c r="C17" t="s">
        <v>4</v>
      </c>
      <c r="D17" t="s">
        <v>262</v>
      </c>
      <c r="E17" t="s">
        <v>379</v>
      </c>
      <c r="F17">
        <v>1650</v>
      </c>
    </row>
    <row r="18" spans="1:6">
      <c r="A18" s="219" t="s">
        <v>661</v>
      </c>
      <c r="B18" t="s">
        <v>17</v>
      </c>
      <c r="C18" t="s">
        <v>4</v>
      </c>
      <c r="D18" t="s">
        <v>262</v>
      </c>
      <c r="E18" t="s">
        <v>388</v>
      </c>
      <c r="F18">
        <v>1650</v>
      </c>
    </row>
    <row r="19" spans="1:6">
      <c r="A19" s="219" t="s">
        <v>661</v>
      </c>
      <c r="B19" t="s">
        <v>17</v>
      </c>
      <c r="C19" t="s">
        <v>4</v>
      </c>
      <c r="D19" t="s">
        <v>262</v>
      </c>
      <c r="E19" t="s">
        <v>464</v>
      </c>
      <c r="F19">
        <v>1650</v>
      </c>
    </row>
    <row r="20" spans="1:6">
      <c r="A20" s="219" t="s">
        <v>661</v>
      </c>
      <c r="B20" t="s">
        <v>17</v>
      </c>
      <c r="C20" t="s">
        <v>4</v>
      </c>
      <c r="D20" t="s">
        <v>262</v>
      </c>
      <c r="E20" t="s">
        <v>308</v>
      </c>
      <c r="F20">
        <v>1650</v>
      </c>
    </row>
    <row r="21" spans="1:6">
      <c r="A21" s="219" t="s">
        <v>661</v>
      </c>
      <c r="B21" t="s">
        <v>17</v>
      </c>
      <c r="C21" t="s">
        <v>4</v>
      </c>
      <c r="D21" t="s">
        <v>262</v>
      </c>
      <c r="E21" t="s">
        <v>297</v>
      </c>
      <c r="F21">
        <v>1650</v>
      </c>
    </row>
    <row r="22" spans="1:6">
      <c r="A22" s="219" t="s">
        <v>661</v>
      </c>
      <c r="B22" t="s">
        <v>17</v>
      </c>
      <c r="C22" t="s">
        <v>4</v>
      </c>
      <c r="D22" t="s">
        <v>262</v>
      </c>
      <c r="E22" t="s">
        <v>333</v>
      </c>
      <c r="F22">
        <v>1650</v>
      </c>
    </row>
    <row r="23" spans="1:6">
      <c r="A23" s="219" t="s">
        <v>661</v>
      </c>
      <c r="B23" t="s">
        <v>17</v>
      </c>
      <c r="C23" t="s">
        <v>4</v>
      </c>
      <c r="D23" t="s">
        <v>262</v>
      </c>
      <c r="E23" t="s">
        <v>334</v>
      </c>
      <c r="F23">
        <v>1650</v>
      </c>
    </row>
    <row r="24" spans="1:6">
      <c r="A24" s="219" t="s">
        <v>661</v>
      </c>
      <c r="B24" t="s">
        <v>17</v>
      </c>
      <c r="C24" t="s">
        <v>4</v>
      </c>
      <c r="D24" t="s">
        <v>262</v>
      </c>
      <c r="E24" t="s">
        <v>290</v>
      </c>
      <c r="F24">
        <v>1650</v>
      </c>
    </row>
    <row r="25" spans="1:6">
      <c r="A25" s="219" t="s">
        <v>661</v>
      </c>
      <c r="B25" t="s">
        <v>17</v>
      </c>
      <c r="C25" t="s">
        <v>4</v>
      </c>
      <c r="D25" t="s">
        <v>262</v>
      </c>
      <c r="E25" t="s">
        <v>335</v>
      </c>
      <c r="F25">
        <v>1650</v>
      </c>
    </row>
    <row r="26" spans="1:6">
      <c r="A26" s="219" t="s">
        <v>661</v>
      </c>
      <c r="B26" t="s">
        <v>17</v>
      </c>
      <c r="C26" t="s">
        <v>4</v>
      </c>
      <c r="D26" t="s">
        <v>262</v>
      </c>
      <c r="E26" t="s">
        <v>465</v>
      </c>
      <c r="F26">
        <v>1650</v>
      </c>
    </row>
    <row r="27" spans="1:6">
      <c r="A27" s="219" t="s">
        <v>661</v>
      </c>
      <c r="B27" t="s">
        <v>17</v>
      </c>
      <c r="C27" t="s">
        <v>4</v>
      </c>
      <c r="D27" t="s">
        <v>262</v>
      </c>
      <c r="E27" t="s">
        <v>366</v>
      </c>
      <c r="F27">
        <v>1650</v>
      </c>
    </row>
    <row r="28" spans="1:6">
      <c r="A28" s="219" t="s">
        <v>661</v>
      </c>
      <c r="B28" t="s">
        <v>17</v>
      </c>
      <c r="C28" t="s">
        <v>4</v>
      </c>
      <c r="D28" t="s">
        <v>262</v>
      </c>
      <c r="E28" t="s">
        <v>370</v>
      </c>
      <c r="F28">
        <v>1650</v>
      </c>
    </row>
    <row r="29" spans="1:6">
      <c r="A29" s="219" t="s">
        <v>661</v>
      </c>
      <c r="B29" t="s">
        <v>17</v>
      </c>
      <c r="C29" t="s">
        <v>4</v>
      </c>
      <c r="D29" t="s">
        <v>262</v>
      </c>
      <c r="E29" t="s">
        <v>466</v>
      </c>
      <c r="F29">
        <v>1650</v>
      </c>
    </row>
    <row r="30" spans="1:6">
      <c r="A30" s="219" t="s">
        <v>661</v>
      </c>
      <c r="B30" t="s">
        <v>17</v>
      </c>
      <c r="C30" t="s">
        <v>4</v>
      </c>
      <c r="D30" t="s">
        <v>262</v>
      </c>
      <c r="E30" t="s">
        <v>399</v>
      </c>
      <c r="F30">
        <v>1650</v>
      </c>
    </row>
    <row r="31" spans="1:6">
      <c r="A31" s="219" t="s">
        <v>661</v>
      </c>
      <c r="B31" t="s">
        <v>17</v>
      </c>
      <c r="C31" t="s">
        <v>4</v>
      </c>
      <c r="D31" t="s">
        <v>262</v>
      </c>
      <c r="E31" t="s">
        <v>638</v>
      </c>
      <c r="F31">
        <v>1650</v>
      </c>
    </row>
    <row r="32" spans="1:6">
      <c r="A32" s="219" t="s">
        <v>661</v>
      </c>
      <c r="B32" t="s">
        <v>17</v>
      </c>
      <c r="C32" t="s">
        <v>4</v>
      </c>
      <c r="D32" t="s">
        <v>262</v>
      </c>
      <c r="E32" t="s">
        <v>472</v>
      </c>
      <c r="F32">
        <v>1650</v>
      </c>
    </row>
    <row r="33" spans="1:6">
      <c r="A33" s="219" t="s">
        <v>661</v>
      </c>
      <c r="B33" t="s">
        <v>17</v>
      </c>
      <c r="C33" t="s">
        <v>4</v>
      </c>
      <c r="D33" t="s">
        <v>262</v>
      </c>
      <c r="E33" t="s">
        <v>512</v>
      </c>
      <c r="F33">
        <v>1650</v>
      </c>
    </row>
    <row r="34" spans="1:6">
      <c r="A34" s="219" t="s">
        <v>661</v>
      </c>
      <c r="B34" t="s">
        <v>17</v>
      </c>
      <c r="C34" t="s">
        <v>4</v>
      </c>
      <c r="D34" t="s">
        <v>262</v>
      </c>
      <c r="E34" t="s">
        <v>513</v>
      </c>
      <c r="F34">
        <v>1650</v>
      </c>
    </row>
    <row r="35" spans="1:6">
      <c r="A35" s="219" t="s">
        <v>661</v>
      </c>
      <c r="B35" t="s">
        <v>17</v>
      </c>
      <c r="C35" t="s">
        <v>4</v>
      </c>
      <c r="D35" t="s">
        <v>568</v>
      </c>
      <c r="E35" t="s">
        <v>545</v>
      </c>
      <c r="F35">
        <v>1650</v>
      </c>
    </row>
    <row r="36" spans="1:6">
      <c r="A36" s="219" t="s">
        <v>661</v>
      </c>
      <c r="B36" t="s">
        <v>17</v>
      </c>
      <c r="C36" t="s">
        <v>4</v>
      </c>
      <c r="D36" t="s">
        <v>568</v>
      </c>
      <c r="E36" t="s">
        <v>453</v>
      </c>
      <c r="F36">
        <v>1650</v>
      </c>
    </row>
    <row r="37" spans="1:6">
      <c r="A37" s="219" t="s">
        <v>661</v>
      </c>
      <c r="B37" t="s">
        <v>17</v>
      </c>
      <c r="C37" t="s">
        <v>4</v>
      </c>
      <c r="D37" t="s">
        <v>568</v>
      </c>
      <c r="E37" t="s">
        <v>569</v>
      </c>
      <c r="F37">
        <v>1650</v>
      </c>
    </row>
    <row r="38" spans="1:6">
      <c r="A38" s="219" t="s">
        <v>661</v>
      </c>
      <c r="B38" t="s">
        <v>17</v>
      </c>
      <c r="C38" t="s">
        <v>4</v>
      </c>
      <c r="D38" t="s">
        <v>568</v>
      </c>
      <c r="E38" t="s">
        <v>570</v>
      </c>
      <c r="F38">
        <v>1650</v>
      </c>
    </row>
    <row r="39" spans="1:6">
      <c r="A39" s="219" t="s">
        <v>661</v>
      </c>
      <c r="B39" t="s">
        <v>17</v>
      </c>
      <c r="C39" t="s">
        <v>4</v>
      </c>
      <c r="D39" t="s">
        <v>568</v>
      </c>
      <c r="E39" t="s">
        <v>571</v>
      </c>
      <c r="F39">
        <v>1650</v>
      </c>
    </row>
    <row r="40" spans="1:6">
      <c r="A40" s="219" t="s">
        <v>661</v>
      </c>
      <c r="B40" t="s">
        <v>17</v>
      </c>
      <c r="C40" t="s">
        <v>4</v>
      </c>
      <c r="D40" t="s">
        <v>568</v>
      </c>
      <c r="E40" t="s">
        <v>572</v>
      </c>
      <c r="F40">
        <v>1650</v>
      </c>
    </row>
    <row r="41" spans="1:6">
      <c r="A41" s="219" t="s">
        <v>661</v>
      </c>
      <c r="B41" t="s">
        <v>17</v>
      </c>
      <c r="C41" t="s">
        <v>4</v>
      </c>
      <c r="D41" t="s">
        <v>568</v>
      </c>
      <c r="E41" t="s">
        <v>573</v>
      </c>
      <c r="F41">
        <v>1650</v>
      </c>
    </row>
    <row r="42" spans="1:6">
      <c r="A42" s="219" t="s">
        <v>661</v>
      </c>
      <c r="B42" t="s">
        <v>17</v>
      </c>
      <c r="C42" t="s">
        <v>4</v>
      </c>
      <c r="D42" t="s">
        <v>568</v>
      </c>
      <c r="E42" t="s">
        <v>597</v>
      </c>
      <c r="F42">
        <v>1650</v>
      </c>
    </row>
    <row r="43" spans="1:6">
      <c r="A43" s="219" t="s">
        <v>661</v>
      </c>
      <c r="B43" t="s">
        <v>17</v>
      </c>
      <c r="C43" t="s">
        <v>4</v>
      </c>
      <c r="D43" t="s">
        <v>568</v>
      </c>
      <c r="E43" t="s">
        <v>598</v>
      </c>
      <c r="F43">
        <v>1650</v>
      </c>
    </row>
    <row r="44" spans="1:6">
      <c r="A44" s="219" t="s">
        <v>661</v>
      </c>
      <c r="B44" t="s">
        <v>17</v>
      </c>
      <c r="C44" t="s">
        <v>4</v>
      </c>
      <c r="D44" t="s">
        <v>568</v>
      </c>
      <c r="E44" t="s">
        <v>581</v>
      </c>
      <c r="F44">
        <v>1650</v>
      </c>
    </row>
    <row r="45" spans="1:6">
      <c r="A45" s="219" t="s">
        <v>661</v>
      </c>
      <c r="B45" t="s">
        <v>17</v>
      </c>
      <c r="C45" t="s">
        <v>4</v>
      </c>
      <c r="D45" t="s">
        <v>568</v>
      </c>
      <c r="E45" t="s">
        <v>514</v>
      </c>
      <c r="F45">
        <v>1650</v>
      </c>
    </row>
    <row r="46" spans="1:6">
      <c r="A46" s="219" t="s">
        <v>661</v>
      </c>
      <c r="B46" t="s">
        <v>17</v>
      </c>
      <c r="C46" t="s">
        <v>4</v>
      </c>
      <c r="D46" t="s">
        <v>568</v>
      </c>
      <c r="E46" t="s">
        <v>617</v>
      </c>
      <c r="F46">
        <v>1650</v>
      </c>
    </row>
    <row r="47" spans="1:6">
      <c r="A47" s="219" t="s">
        <v>661</v>
      </c>
      <c r="B47" t="s">
        <v>17</v>
      </c>
      <c r="C47" t="s">
        <v>4</v>
      </c>
      <c r="D47" t="s">
        <v>568</v>
      </c>
      <c r="E47" t="s">
        <v>626</v>
      </c>
      <c r="F47">
        <v>1650</v>
      </c>
    </row>
    <row r="48" spans="1:6">
      <c r="A48" s="219" t="s">
        <v>661</v>
      </c>
      <c r="B48" t="s">
        <v>17</v>
      </c>
      <c r="C48" t="s">
        <v>20</v>
      </c>
      <c r="D48" t="s">
        <v>568</v>
      </c>
      <c r="E48" t="s">
        <v>278</v>
      </c>
      <c r="F48">
        <v>1650</v>
      </c>
    </row>
    <row r="49" spans="1:6">
      <c r="A49" s="219" t="s">
        <v>661</v>
      </c>
      <c r="B49" t="s">
        <v>17</v>
      </c>
      <c r="C49" t="s">
        <v>20</v>
      </c>
      <c r="D49" t="s">
        <v>568</v>
      </c>
      <c r="E49" t="s">
        <v>279</v>
      </c>
      <c r="F49">
        <v>1650</v>
      </c>
    </row>
    <row r="50" spans="1:6">
      <c r="A50" s="219" t="s">
        <v>661</v>
      </c>
      <c r="B50" t="s">
        <v>17</v>
      </c>
      <c r="C50" t="s">
        <v>20</v>
      </c>
      <c r="D50" t="s">
        <v>568</v>
      </c>
      <c r="E50" t="s">
        <v>280</v>
      </c>
      <c r="F50">
        <v>1650</v>
      </c>
    </row>
    <row r="51" spans="1:6">
      <c r="A51" s="219" t="s">
        <v>661</v>
      </c>
      <c r="B51" t="s">
        <v>17</v>
      </c>
      <c r="C51" t="s">
        <v>20</v>
      </c>
      <c r="D51" t="s">
        <v>568</v>
      </c>
      <c r="E51" t="s">
        <v>281</v>
      </c>
      <c r="F51">
        <v>1650</v>
      </c>
    </row>
    <row r="52" spans="1:6">
      <c r="A52" s="219" t="s">
        <v>661</v>
      </c>
      <c r="B52" t="s">
        <v>17</v>
      </c>
      <c r="C52" t="s">
        <v>20</v>
      </c>
      <c r="D52" t="s">
        <v>568</v>
      </c>
      <c r="E52" t="s">
        <v>282</v>
      </c>
      <c r="F52">
        <v>1650</v>
      </c>
    </row>
    <row r="53" spans="1:6">
      <c r="A53" s="219" t="s">
        <v>661</v>
      </c>
      <c r="B53" t="s">
        <v>17</v>
      </c>
      <c r="C53" t="s">
        <v>20</v>
      </c>
      <c r="D53" t="s">
        <v>568</v>
      </c>
      <c r="E53" t="s">
        <v>283</v>
      </c>
      <c r="F53">
        <v>1650</v>
      </c>
    </row>
    <row r="54" spans="1:6">
      <c r="A54" s="219" t="s">
        <v>661</v>
      </c>
      <c r="B54" t="s">
        <v>17</v>
      </c>
      <c r="C54" t="s">
        <v>20</v>
      </c>
      <c r="D54" t="s">
        <v>568</v>
      </c>
      <c r="E54" t="s">
        <v>284</v>
      </c>
      <c r="F54">
        <v>1650</v>
      </c>
    </row>
    <row r="55" spans="1:6">
      <c r="A55" s="219" t="s">
        <v>661</v>
      </c>
      <c r="B55" t="s">
        <v>17</v>
      </c>
      <c r="C55" t="s">
        <v>20</v>
      </c>
      <c r="D55" t="s">
        <v>568</v>
      </c>
      <c r="E55" t="s">
        <v>304</v>
      </c>
      <c r="F55">
        <v>1650</v>
      </c>
    </row>
    <row r="56" spans="1:6">
      <c r="A56" s="219" t="s">
        <v>661</v>
      </c>
      <c r="B56" t="s">
        <v>17</v>
      </c>
      <c r="C56" t="s">
        <v>20</v>
      </c>
      <c r="D56" t="s">
        <v>568</v>
      </c>
      <c r="E56" t="s">
        <v>285</v>
      </c>
      <c r="F56">
        <v>1650</v>
      </c>
    </row>
    <row r="57" spans="1:6">
      <c r="A57" s="219" t="s">
        <v>661</v>
      </c>
      <c r="B57" t="s">
        <v>17</v>
      </c>
      <c r="C57" t="s">
        <v>20</v>
      </c>
      <c r="D57" t="s">
        <v>568</v>
      </c>
      <c r="E57" t="s">
        <v>286</v>
      </c>
      <c r="F57">
        <v>1650</v>
      </c>
    </row>
    <row r="58" spans="1:6">
      <c r="A58" s="219" t="s">
        <v>661</v>
      </c>
      <c r="B58" t="s">
        <v>17</v>
      </c>
      <c r="C58" t="s">
        <v>20</v>
      </c>
      <c r="D58" t="s">
        <v>568</v>
      </c>
      <c r="E58" t="s">
        <v>287</v>
      </c>
      <c r="F58">
        <v>1650</v>
      </c>
    </row>
    <row r="59" spans="1:6">
      <c r="A59" s="219" t="s">
        <v>661</v>
      </c>
      <c r="B59" t="s">
        <v>17</v>
      </c>
      <c r="C59" t="s">
        <v>20</v>
      </c>
      <c r="D59" t="s">
        <v>568</v>
      </c>
      <c r="E59" t="s">
        <v>288</v>
      </c>
      <c r="F59">
        <v>1650</v>
      </c>
    </row>
    <row r="60" spans="1:6">
      <c r="A60" s="219" t="s">
        <v>661</v>
      </c>
      <c r="B60" t="s">
        <v>17</v>
      </c>
      <c r="C60" t="s">
        <v>4</v>
      </c>
      <c r="D60" t="s">
        <v>568</v>
      </c>
      <c r="E60" t="s">
        <v>617</v>
      </c>
      <c r="F60">
        <v>1650</v>
      </c>
    </row>
    <row r="61" spans="1:6">
      <c r="A61" s="219" t="s">
        <v>661</v>
      </c>
      <c r="B61" t="s">
        <v>17</v>
      </c>
      <c r="C61" t="s">
        <v>20</v>
      </c>
      <c r="D61" t="s">
        <v>568</v>
      </c>
      <c r="E61" t="s">
        <v>498</v>
      </c>
      <c r="F61">
        <v>1650</v>
      </c>
    </row>
    <row r="62" spans="1:6">
      <c r="A62" s="219" t="s">
        <v>661</v>
      </c>
      <c r="B62" t="s">
        <v>17</v>
      </c>
      <c r="C62" t="s">
        <v>20</v>
      </c>
      <c r="D62" t="s">
        <v>568</v>
      </c>
      <c r="E62" t="s">
        <v>289</v>
      </c>
      <c r="F62">
        <v>1650</v>
      </c>
    </row>
    <row r="63" spans="1:6">
      <c r="A63" s="219" t="s">
        <v>661</v>
      </c>
      <c r="B63" t="s">
        <v>17</v>
      </c>
      <c r="C63" t="s">
        <v>20</v>
      </c>
      <c r="D63" t="s">
        <v>568</v>
      </c>
      <c r="E63" t="s">
        <v>499</v>
      </c>
      <c r="F63">
        <v>1650</v>
      </c>
    </row>
    <row r="64" spans="1:6">
      <c r="A64" s="219" t="s">
        <v>661</v>
      </c>
      <c r="B64" t="s">
        <v>17</v>
      </c>
      <c r="C64" t="s">
        <v>20</v>
      </c>
      <c r="D64" t="s">
        <v>568</v>
      </c>
      <c r="E64" t="s">
        <v>599</v>
      </c>
      <c r="F64">
        <v>1650</v>
      </c>
    </row>
    <row r="65" spans="1:6">
      <c r="A65" s="219" t="s">
        <v>661</v>
      </c>
      <c r="B65" t="s">
        <v>17</v>
      </c>
      <c r="C65" t="s">
        <v>20</v>
      </c>
      <c r="D65" t="s">
        <v>568</v>
      </c>
      <c r="E65" t="s">
        <v>582</v>
      </c>
      <c r="F65">
        <v>1650</v>
      </c>
    </row>
    <row r="66" spans="1:6">
      <c r="A66" s="219" t="s">
        <v>661</v>
      </c>
      <c r="B66" t="s">
        <v>17</v>
      </c>
      <c r="C66" t="s">
        <v>20</v>
      </c>
      <c r="D66" t="s">
        <v>435</v>
      </c>
      <c r="E66" t="s">
        <v>277</v>
      </c>
      <c r="F66">
        <v>1650</v>
      </c>
    </row>
    <row r="67" spans="1:6">
      <c r="A67" s="219" t="s">
        <v>661</v>
      </c>
      <c r="B67" t="s">
        <v>17</v>
      </c>
      <c r="C67" t="s">
        <v>20</v>
      </c>
      <c r="D67" t="s">
        <v>435</v>
      </c>
      <c r="E67" t="s">
        <v>400</v>
      </c>
      <c r="F67">
        <v>1650</v>
      </c>
    </row>
    <row r="68" spans="1:6">
      <c r="A68" s="219" t="s">
        <v>661</v>
      </c>
      <c r="B68" t="s">
        <v>17</v>
      </c>
      <c r="C68" t="s">
        <v>20</v>
      </c>
      <c r="D68" t="s">
        <v>435</v>
      </c>
      <c r="E68" t="s">
        <v>401</v>
      </c>
      <c r="F68">
        <v>1650</v>
      </c>
    </row>
    <row r="69" spans="1:6">
      <c r="A69" s="219" t="s">
        <v>661</v>
      </c>
      <c r="B69" t="s">
        <v>17</v>
      </c>
      <c r="C69" t="s">
        <v>20</v>
      </c>
      <c r="D69" t="s">
        <v>435</v>
      </c>
      <c r="E69" t="s">
        <v>290</v>
      </c>
      <c r="F69">
        <v>1650</v>
      </c>
    </row>
    <row r="70" spans="1:6">
      <c r="A70" s="219" t="s">
        <v>661</v>
      </c>
      <c r="B70" t="s">
        <v>17</v>
      </c>
      <c r="C70" t="s">
        <v>20</v>
      </c>
      <c r="D70" t="s">
        <v>435</v>
      </c>
      <c r="E70" t="s">
        <v>291</v>
      </c>
      <c r="F70">
        <v>1650</v>
      </c>
    </row>
    <row r="71" spans="1:6">
      <c r="A71" s="219" t="s">
        <v>661</v>
      </c>
      <c r="B71" t="s">
        <v>17</v>
      </c>
      <c r="C71" t="s">
        <v>20</v>
      </c>
      <c r="D71" t="s">
        <v>435</v>
      </c>
      <c r="E71" t="s">
        <v>270</v>
      </c>
      <c r="F71">
        <v>1650</v>
      </c>
    </row>
    <row r="72" spans="1:6">
      <c r="A72" s="219" t="s">
        <v>661</v>
      </c>
      <c r="B72" t="s">
        <v>17</v>
      </c>
      <c r="C72" t="s">
        <v>20</v>
      </c>
      <c r="D72" t="s">
        <v>435</v>
      </c>
      <c r="E72" t="s">
        <v>379</v>
      </c>
      <c r="F72">
        <v>1650</v>
      </c>
    </row>
    <row r="73" spans="1:6">
      <c r="A73" s="219" t="s">
        <v>661</v>
      </c>
      <c r="B73" t="s">
        <v>17</v>
      </c>
      <c r="C73" t="s">
        <v>20</v>
      </c>
      <c r="D73" t="s">
        <v>435</v>
      </c>
      <c r="E73" t="s">
        <v>292</v>
      </c>
      <c r="F73">
        <v>1650</v>
      </c>
    </row>
    <row r="74" spans="1:6">
      <c r="A74" s="219" t="s">
        <v>661</v>
      </c>
      <c r="B74" t="s">
        <v>17</v>
      </c>
      <c r="C74" t="s">
        <v>20</v>
      </c>
      <c r="D74" t="s">
        <v>435</v>
      </c>
      <c r="E74" t="s">
        <v>293</v>
      </c>
      <c r="F74">
        <v>1650</v>
      </c>
    </row>
    <row r="75" spans="1:6">
      <c r="A75" s="219" t="s">
        <v>661</v>
      </c>
      <c r="B75" t="s">
        <v>17</v>
      </c>
      <c r="C75" t="s">
        <v>20</v>
      </c>
      <c r="D75" t="s">
        <v>435</v>
      </c>
      <c r="E75" t="s">
        <v>294</v>
      </c>
      <c r="F75">
        <v>1650</v>
      </c>
    </row>
    <row r="76" spans="1:6">
      <c r="A76" s="219" t="s">
        <v>661</v>
      </c>
      <c r="B76" t="s">
        <v>17</v>
      </c>
      <c r="C76" t="s">
        <v>20</v>
      </c>
      <c r="D76" t="s">
        <v>435</v>
      </c>
      <c r="E76" t="s">
        <v>295</v>
      </c>
      <c r="F76">
        <v>1650</v>
      </c>
    </row>
    <row r="77" spans="1:6">
      <c r="A77" s="219" t="s">
        <v>661</v>
      </c>
      <c r="B77" t="s">
        <v>17</v>
      </c>
      <c r="C77" t="s">
        <v>20</v>
      </c>
      <c r="D77" t="s">
        <v>435</v>
      </c>
      <c r="E77" t="s">
        <v>336</v>
      </c>
      <c r="F77">
        <v>1650</v>
      </c>
    </row>
    <row r="78" spans="1:6">
      <c r="A78" s="219" t="s">
        <v>661</v>
      </c>
      <c r="B78" t="s">
        <v>17</v>
      </c>
      <c r="C78" t="s">
        <v>20</v>
      </c>
      <c r="D78" t="s">
        <v>435</v>
      </c>
      <c r="E78" t="s">
        <v>335</v>
      </c>
      <c r="F78">
        <v>1650</v>
      </c>
    </row>
    <row r="79" spans="1:6">
      <c r="A79" s="219" t="s">
        <v>661</v>
      </c>
      <c r="B79" t="s">
        <v>17</v>
      </c>
      <c r="C79" t="s">
        <v>20</v>
      </c>
      <c r="D79" t="s">
        <v>435</v>
      </c>
      <c r="E79" t="s">
        <v>272</v>
      </c>
      <c r="F79">
        <v>1650</v>
      </c>
    </row>
    <row r="80" spans="1:6">
      <c r="A80" s="219" t="s">
        <v>661</v>
      </c>
      <c r="B80" t="s">
        <v>17</v>
      </c>
      <c r="C80" t="s">
        <v>20</v>
      </c>
      <c r="D80" t="s">
        <v>435</v>
      </c>
      <c r="E80" t="s">
        <v>273</v>
      </c>
      <c r="F80">
        <v>1650</v>
      </c>
    </row>
    <row r="81" spans="1:6">
      <c r="A81" s="219" t="s">
        <v>661</v>
      </c>
      <c r="B81" t="s">
        <v>17</v>
      </c>
      <c r="C81" t="s">
        <v>20</v>
      </c>
      <c r="D81" t="s">
        <v>435</v>
      </c>
      <c r="E81" t="s">
        <v>275</v>
      </c>
      <c r="F81">
        <v>1650</v>
      </c>
    </row>
    <row r="82" spans="1:6">
      <c r="A82" s="219" t="s">
        <v>661</v>
      </c>
      <c r="B82" t="s">
        <v>17</v>
      </c>
      <c r="C82" t="s">
        <v>20</v>
      </c>
      <c r="D82" t="s">
        <v>435</v>
      </c>
      <c r="E82" t="s">
        <v>296</v>
      </c>
      <c r="F82">
        <v>1650</v>
      </c>
    </row>
    <row r="83" spans="1:6">
      <c r="A83" s="219" t="s">
        <v>661</v>
      </c>
      <c r="B83" t="s">
        <v>17</v>
      </c>
      <c r="C83" t="s">
        <v>20</v>
      </c>
      <c r="D83" t="s">
        <v>435</v>
      </c>
      <c r="E83" t="s">
        <v>276</v>
      </c>
      <c r="F83">
        <v>1650</v>
      </c>
    </row>
    <row r="84" spans="1:6">
      <c r="A84" s="219" t="s">
        <v>661</v>
      </c>
      <c r="B84" t="s">
        <v>17</v>
      </c>
      <c r="C84" t="s">
        <v>20</v>
      </c>
      <c r="D84" t="s">
        <v>435</v>
      </c>
      <c r="E84" t="s">
        <v>332</v>
      </c>
      <c r="F84">
        <v>1650</v>
      </c>
    </row>
    <row r="85" spans="1:6">
      <c r="A85" s="219" t="s">
        <v>661</v>
      </c>
      <c r="B85" t="s">
        <v>17</v>
      </c>
      <c r="C85" t="s">
        <v>20</v>
      </c>
      <c r="D85" t="s">
        <v>435</v>
      </c>
      <c r="E85" t="s">
        <v>297</v>
      </c>
      <c r="F85">
        <v>1650</v>
      </c>
    </row>
    <row r="86" spans="1:6">
      <c r="A86" s="219" t="s">
        <v>661</v>
      </c>
      <c r="B86" t="s">
        <v>17</v>
      </c>
      <c r="C86" t="s">
        <v>20</v>
      </c>
      <c r="D86" t="s">
        <v>435</v>
      </c>
      <c r="E86" t="s">
        <v>346</v>
      </c>
      <c r="F86">
        <v>1650</v>
      </c>
    </row>
    <row r="87" spans="1:6">
      <c r="A87" s="219" t="s">
        <v>661</v>
      </c>
      <c r="B87" t="s">
        <v>17</v>
      </c>
      <c r="C87" t="s">
        <v>20</v>
      </c>
      <c r="D87" t="s">
        <v>435</v>
      </c>
      <c r="E87" t="s">
        <v>367</v>
      </c>
      <c r="F87">
        <v>1650</v>
      </c>
    </row>
    <row r="88" spans="1:6">
      <c r="A88" s="219" t="s">
        <v>661</v>
      </c>
      <c r="B88" t="s">
        <v>17</v>
      </c>
      <c r="C88" t="s">
        <v>20</v>
      </c>
      <c r="D88" t="s">
        <v>435</v>
      </c>
      <c r="E88" t="s">
        <v>368</v>
      </c>
      <c r="F88">
        <v>1650</v>
      </c>
    </row>
    <row r="89" spans="1:6">
      <c r="A89" s="219" t="s">
        <v>661</v>
      </c>
      <c r="B89" t="s">
        <v>17</v>
      </c>
      <c r="C89" t="s">
        <v>20</v>
      </c>
      <c r="D89" t="s">
        <v>435</v>
      </c>
      <c r="E89" t="s">
        <v>369</v>
      </c>
      <c r="F89">
        <v>1650</v>
      </c>
    </row>
    <row r="90" spans="1:6">
      <c r="A90" s="219" t="s">
        <v>661</v>
      </c>
      <c r="B90" t="s">
        <v>17</v>
      </c>
      <c r="C90" t="s">
        <v>20</v>
      </c>
      <c r="D90" t="s">
        <v>435</v>
      </c>
      <c r="E90" t="s">
        <v>465</v>
      </c>
      <c r="F90">
        <v>1650</v>
      </c>
    </row>
    <row r="91" spans="1:6">
      <c r="A91" s="219" t="s">
        <v>661</v>
      </c>
      <c r="B91" t="s">
        <v>17</v>
      </c>
      <c r="C91" t="s">
        <v>20</v>
      </c>
      <c r="D91" t="s">
        <v>435</v>
      </c>
      <c r="E91" t="s">
        <v>370</v>
      </c>
      <c r="F91">
        <v>1650</v>
      </c>
    </row>
    <row r="92" spans="1:6">
      <c r="A92" s="219" t="s">
        <v>661</v>
      </c>
      <c r="B92" t="s">
        <v>17</v>
      </c>
      <c r="C92" t="s">
        <v>20</v>
      </c>
      <c r="D92" t="s">
        <v>435</v>
      </c>
      <c r="E92" t="s">
        <v>308</v>
      </c>
      <c r="F92">
        <v>1650</v>
      </c>
    </row>
    <row r="93" spans="1:6">
      <c r="A93" s="219" t="s">
        <v>661</v>
      </c>
      <c r="B93" t="s">
        <v>17</v>
      </c>
      <c r="C93" t="s">
        <v>20</v>
      </c>
      <c r="D93" t="s">
        <v>435</v>
      </c>
      <c r="E93" t="s">
        <v>389</v>
      </c>
      <c r="F93">
        <v>1650</v>
      </c>
    </row>
    <row r="94" spans="1:6">
      <c r="A94" s="219" t="s">
        <v>661</v>
      </c>
      <c r="B94" t="s">
        <v>17</v>
      </c>
      <c r="C94" t="s">
        <v>20</v>
      </c>
      <c r="D94" t="s">
        <v>435</v>
      </c>
      <c r="E94" t="s">
        <v>268</v>
      </c>
      <c r="F94">
        <v>1650</v>
      </c>
    </row>
    <row r="95" spans="1:6">
      <c r="A95" s="219" t="s">
        <v>661</v>
      </c>
      <c r="B95" t="s">
        <v>17</v>
      </c>
      <c r="C95" t="s">
        <v>20</v>
      </c>
      <c r="D95" t="s">
        <v>435</v>
      </c>
      <c r="E95" t="s">
        <v>639</v>
      </c>
      <c r="F95">
        <v>1650</v>
      </c>
    </row>
    <row r="96" spans="1:6">
      <c r="A96" s="219" t="s">
        <v>661</v>
      </c>
      <c r="B96" t="s">
        <v>17</v>
      </c>
      <c r="C96" t="s">
        <v>20</v>
      </c>
      <c r="D96" t="s">
        <v>435</v>
      </c>
      <c r="E96" t="s">
        <v>387</v>
      </c>
      <c r="F96">
        <v>1650</v>
      </c>
    </row>
    <row r="97" spans="1:6">
      <c r="A97" s="219" t="s">
        <v>661</v>
      </c>
      <c r="B97" t="s">
        <v>17</v>
      </c>
      <c r="C97" t="s">
        <v>20</v>
      </c>
      <c r="D97" t="s">
        <v>435</v>
      </c>
      <c r="E97" t="s">
        <v>638</v>
      </c>
      <c r="F97">
        <v>1650</v>
      </c>
    </row>
    <row r="98" spans="1:6">
      <c r="A98" s="219" t="s">
        <v>661</v>
      </c>
      <c r="B98" t="s">
        <v>17</v>
      </c>
      <c r="C98" t="s">
        <v>20</v>
      </c>
      <c r="D98" t="s">
        <v>435</v>
      </c>
      <c r="E98" t="s">
        <v>399</v>
      </c>
      <c r="F98">
        <v>1650</v>
      </c>
    </row>
    <row r="99" spans="1:6">
      <c r="A99" s="219" t="s">
        <v>661</v>
      </c>
      <c r="B99" t="s">
        <v>17</v>
      </c>
      <c r="C99" t="s">
        <v>20</v>
      </c>
      <c r="D99" t="s">
        <v>435</v>
      </c>
      <c r="E99" t="s">
        <v>453</v>
      </c>
      <c r="F99">
        <v>1650</v>
      </c>
    </row>
    <row r="100" spans="1:6">
      <c r="A100" s="219" t="s">
        <v>661</v>
      </c>
      <c r="B100" t="s">
        <v>17</v>
      </c>
      <c r="C100" t="s">
        <v>20</v>
      </c>
      <c r="D100" t="s">
        <v>435</v>
      </c>
      <c r="E100" t="s">
        <v>472</v>
      </c>
      <c r="F100">
        <v>1650</v>
      </c>
    </row>
    <row r="101" spans="1:6">
      <c r="A101" s="219" t="s">
        <v>661</v>
      </c>
      <c r="B101" t="s">
        <v>17</v>
      </c>
      <c r="C101" t="s">
        <v>20</v>
      </c>
      <c r="D101" t="s">
        <v>435</v>
      </c>
      <c r="E101" t="s">
        <v>525</v>
      </c>
      <c r="F101">
        <v>1650</v>
      </c>
    </row>
    <row r="102" spans="1:6">
      <c r="A102" s="219" t="s">
        <v>661</v>
      </c>
      <c r="B102" t="s">
        <v>17</v>
      </c>
      <c r="C102" t="s">
        <v>20</v>
      </c>
      <c r="D102" t="s">
        <v>526</v>
      </c>
      <c r="E102" t="s">
        <v>513</v>
      </c>
      <c r="F102">
        <v>1650</v>
      </c>
    </row>
    <row r="103" spans="1:6">
      <c r="A103" s="219" t="s">
        <v>661</v>
      </c>
      <c r="B103" t="s">
        <v>17</v>
      </c>
      <c r="C103" t="s">
        <v>20</v>
      </c>
      <c r="D103" t="s">
        <v>526</v>
      </c>
      <c r="E103" t="s">
        <v>570</v>
      </c>
      <c r="F103">
        <v>1650</v>
      </c>
    </row>
    <row r="104" spans="1:6">
      <c r="A104" s="219" t="s">
        <v>661</v>
      </c>
      <c r="B104" t="s">
        <v>17</v>
      </c>
      <c r="C104" t="s">
        <v>20</v>
      </c>
      <c r="D104" t="s">
        <v>526</v>
      </c>
      <c r="E104" t="s">
        <v>572</v>
      </c>
      <c r="F104">
        <v>1650</v>
      </c>
    </row>
    <row r="105" spans="1:6">
      <c r="A105" s="219" t="s">
        <v>661</v>
      </c>
      <c r="B105" t="s">
        <v>17</v>
      </c>
      <c r="C105" t="s">
        <v>20</v>
      </c>
      <c r="D105" t="s">
        <v>526</v>
      </c>
      <c r="E105" t="s">
        <v>573</v>
      </c>
      <c r="F105">
        <v>1650</v>
      </c>
    </row>
    <row r="106" spans="1:6">
      <c r="A106" s="219" t="s">
        <v>661</v>
      </c>
      <c r="B106" t="s">
        <v>17</v>
      </c>
      <c r="C106" t="s">
        <v>20</v>
      </c>
      <c r="D106" t="s">
        <v>526</v>
      </c>
      <c r="E106" t="s">
        <v>545</v>
      </c>
      <c r="F106">
        <v>1650</v>
      </c>
    </row>
    <row r="107" spans="1:6">
      <c r="A107" s="219" t="s">
        <v>661</v>
      </c>
      <c r="B107" t="s">
        <v>17</v>
      </c>
      <c r="C107" t="s">
        <v>20</v>
      </c>
      <c r="D107" t="s">
        <v>435</v>
      </c>
      <c r="E107" t="s">
        <v>580</v>
      </c>
      <c r="F107">
        <v>1650</v>
      </c>
    </row>
    <row r="108" spans="1:6">
      <c r="A108" s="219" t="s">
        <v>661</v>
      </c>
      <c r="B108" t="s">
        <v>17</v>
      </c>
      <c r="C108" t="s">
        <v>20</v>
      </c>
      <c r="D108" t="s">
        <v>435</v>
      </c>
      <c r="E108" t="s">
        <v>581</v>
      </c>
      <c r="F108">
        <v>1650</v>
      </c>
    </row>
    <row r="109" spans="1:6">
      <c r="A109" s="219" t="s">
        <v>661</v>
      </c>
      <c r="B109" t="s">
        <v>17</v>
      </c>
      <c r="C109" t="s">
        <v>20</v>
      </c>
      <c r="D109" t="s">
        <v>435</v>
      </c>
      <c r="E109" t="s">
        <v>514</v>
      </c>
      <c r="F109">
        <v>1650</v>
      </c>
    </row>
    <row r="110" spans="1:6">
      <c r="A110" s="219" t="s">
        <v>661</v>
      </c>
      <c r="B110" t="s">
        <v>17</v>
      </c>
      <c r="C110" t="s">
        <v>20</v>
      </c>
      <c r="D110" t="s">
        <v>435</v>
      </c>
      <c r="E110" t="s">
        <v>597</v>
      </c>
      <c r="F110">
        <v>1650</v>
      </c>
    </row>
    <row r="111" spans="1:6">
      <c r="A111" s="219" t="s">
        <v>661</v>
      </c>
      <c r="B111" t="s">
        <v>17</v>
      </c>
      <c r="C111" t="s">
        <v>20</v>
      </c>
      <c r="D111" t="s">
        <v>435</v>
      </c>
      <c r="E111" t="s">
        <v>598</v>
      </c>
      <c r="F111">
        <v>1650</v>
      </c>
    </row>
    <row r="112" spans="1:6">
      <c r="A112" s="219" t="s">
        <v>661</v>
      </c>
      <c r="B112" t="s">
        <v>17</v>
      </c>
      <c r="C112" t="s">
        <v>20</v>
      </c>
      <c r="D112" t="s">
        <v>435</v>
      </c>
      <c r="E112" t="s">
        <v>627</v>
      </c>
      <c r="F112">
        <v>1650</v>
      </c>
    </row>
    <row r="113" spans="1:6">
      <c r="A113" s="219" t="s">
        <v>661</v>
      </c>
      <c r="B113" t="s">
        <v>17</v>
      </c>
      <c r="C113" t="s">
        <v>20</v>
      </c>
      <c r="D113" t="s">
        <v>435</v>
      </c>
      <c r="E113" t="s">
        <v>626</v>
      </c>
      <c r="F113">
        <v>1650</v>
      </c>
    </row>
    <row r="114" spans="1:6">
      <c r="A114" s="219" t="s">
        <v>661</v>
      </c>
      <c r="B114" t="s">
        <v>17</v>
      </c>
      <c r="C114" t="s">
        <v>20</v>
      </c>
      <c r="D114" t="s">
        <v>435</v>
      </c>
      <c r="E114" t="s">
        <v>377</v>
      </c>
      <c r="F114">
        <v>1650</v>
      </c>
    </row>
    <row r="115" spans="1:6">
      <c r="A115" s="219" t="s">
        <v>661</v>
      </c>
      <c r="B115" t="s">
        <v>17</v>
      </c>
      <c r="C115" t="s">
        <v>20</v>
      </c>
      <c r="D115" t="s">
        <v>372</v>
      </c>
      <c r="E115" t="s">
        <v>640</v>
      </c>
      <c r="F115">
        <v>1650</v>
      </c>
    </row>
    <row r="116" spans="1:6">
      <c r="A116" s="219" t="s">
        <v>661</v>
      </c>
      <c r="B116" t="s">
        <v>17</v>
      </c>
      <c r="C116" t="s">
        <v>20</v>
      </c>
      <c r="D116" t="s">
        <v>372</v>
      </c>
      <c r="E116" t="s">
        <v>367</v>
      </c>
      <c r="F116">
        <v>1650</v>
      </c>
    </row>
    <row r="117" spans="1:6">
      <c r="A117" s="219" t="s">
        <v>661</v>
      </c>
      <c r="B117" t="s">
        <v>17</v>
      </c>
      <c r="C117" t="s">
        <v>20</v>
      </c>
      <c r="D117" t="s">
        <v>372</v>
      </c>
      <c r="E117" t="s">
        <v>368</v>
      </c>
      <c r="F117">
        <v>1650</v>
      </c>
    </row>
    <row r="118" spans="1:6">
      <c r="A118" s="219" t="s">
        <v>661</v>
      </c>
      <c r="B118" t="s">
        <v>17</v>
      </c>
      <c r="C118" t="s">
        <v>20</v>
      </c>
      <c r="D118" t="s">
        <v>372</v>
      </c>
      <c r="E118" t="s">
        <v>374</v>
      </c>
      <c r="F118">
        <v>1650</v>
      </c>
    </row>
    <row r="119" spans="1:6">
      <c r="A119" s="219" t="s">
        <v>661</v>
      </c>
      <c r="B119" t="s">
        <v>17</v>
      </c>
      <c r="C119" t="s">
        <v>20</v>
      </c>
      <c r="D119" t="s">
        <v>372</v>
      </c>
      <c r="E119" t="s">
        <v>375</v>
      </c>
      <c r="F119">
        <v>1650</v>
      </c>
    </row>
    <row r="120" spans="1:6">
      <c r="A120" s="219" t="s">
        <v>661</v>
      </c>
      <c r="B120" t="s">
        <v>17</v>
      </c>
      <c r="C120" t="s">
        <v>20</v>
      </c>
      <c r="D120" t="s">
        <v>372</v>
      </c>
      <c r="E120" t="s">
        <v>376</v>
      </c>
      <c r="F120">
        <v>1650</v>
      </c>
    </row>
    <row r="121" spans="1:6">
      <c r="A121" s="219" t="s">
        <v>661</v>
      </c>
      <c r="B121" t="s">
        <v>17</v>
      </c>
      <c r="C121" t="s">
        <v>20</v>
      </c>
      <c r="D121" t="s">
        <v>372</v>
      </c>
      <c r="E121" t="s">
        <v>377</v>
      </c>
      <c r="F121">
        <v>1650</v>
      </c>
    </row>
    <row r="122" spans="1:6">
      <c r="A122" s="219" t="s">
        <v>661</v>
      </c>
      <c r="B122" t="s">
        <v>17</v>
      </c>
      <c r="C122" t="s">
        <v>20</v>
      </c>
      <c r="D122" t="s">
        <v>372</v>
      </c>
      <c r="E122" t="s">
        <v>378</v>
      </c>
      <c r="F122">
        <v>1650</v>
      </c>
    </row>
    <row r="123" spans="1:6">
      <c r="A123" s="219" t="s">
        <v>661</v>
      </c>
      <c r="B123" t="s">
        <v>17</v>
      </c>
      <c r="C123" t="s">
        <v>20</v>
      </c>
      <c r="D123" t="s">
        <v>372</v>
      </c>
      <c r="E123" t="s">
        <v>379</v>
      </c>
      <c r="F123">
        <v>1650</v>
      </c>
    </row>
    <row r="124" spans="1:6">
      <c r="A124" s="219" t="s">
        <v>661</v>
      </c>
      <c r="B124" t="s">
        <v>17</v>
      </c>
      <c r="C124" t="s">
        <v>20</v>
      </c>
      <c r="D124" t="s">
        <v>372</v>
      </c>
      <c r="E124" t="s">
        <v>454</v>
      </c>
      <c r="F124">
        <v>1650</v>
      </c>
    </row>
    <row r="125" spans="1:6">
      <c r="A125" s="219" t="s">
        <v>661</v>
      </c>
      <c r="B125" t="s">
        <v>17</v>
      </c>
      <c r="C125" t="s">
        <v>20</v>
      </c>
      <c r="D125" t="s">
        <v>372</v>
      </c>
      <c r="E125" t="s">
        <v>455</v>
      </c>
      <c r="F125">
        <v>1650</v>
      </c>
    </row>
    <row r="126" spans="1:6">
      <c r="A126" s="219" t="s">
        <v>661</v>
      </c>
      <c r="B126" t="s">
        <v>17</v>
      </c>
      <c r="C126" t="s">
        <v>20</v>
      </c>
      <c r="D126" t="s">
        <v>372</v>
      </c>
      <c r="E126" t="s">
        <v>299</v>
      </c>
      <c r="F126">
        <v>1450</v>
      </c>
    </row>
    <row r="127" spans="1:6">
      <c r="A127" s="219" t="s">
        <v>661</v>
      </c>
      <c r="B127" t="s">
        <v>17</v>
      </c>
      <c r="C127" t="s">
        <v>20</v>
      </c>
      <c r="D127" t="s">
        <v>372</v>
      </c>
      <c r="E127" t="s">
        <v>377</v>
      </c>
      <c r="F127">
        <v>1450</v>
      </c>
    </row>
    <row r="128" spans="1:6">
      <c r="A128" s="219" t="s">
        <v>661</v>
      </c>
      <c r="B128" t="s">
        <v>17</v>
      </c>
      <c r="C128" t="s">
        <v>20</v>
      </c>
      <c r="D128" t="s">
        <v>372</v>
      </c>
      <c r="E128" t="s">
        <v>470</v>
      </c>
      <c r="F128">
        <v>1450</v>
      </c>
    </row>
    <row r="129" spans="1:6">
      <c r="A129" s="219" t="s">
        <v>661</v>
      </c>
      <c r="B129" t="s">
        <v>17</v>
      </c>
      <c r="C129" t="s">
        <v>20</v>
      </c>
      <c r="D129" t="s">
        <v>372</v>
      </c>
      <c r="E129" t="s">
        <v>367</v>
      </c>
      <c r="F129">
        <v>1450</v>
      </c>
    </row>
    <row r="130" spans="1:6">
      <c r="A130" s="219" t="s">
        <v>661</v>
      </c>
      <c r="B130" t="s">
        <v>17</v>
      </c>
      <c r="C130" t="s">
        <v>20</v>
      </c>
      <c r="D130" t="s">
        <v>372</v>
      </c>
      <c r="E130" t="s">
        <v>374</v>
      </c>
      <c r="F130">
        <v>1450</v>
      </c>
    </row>
    <row r="131" spans="1:6">
      <c r="A131" s="219" t="s">
        <v>661</v>
      </c>
      <c r="B131" t="s">
        <v>17</v>
      </c>
      <c r="C131" t="s">
        <v>20</v>
      </c>
      <c r="D131" t="s">
        <v>372</v>
      </c>
      <c r="E131" t="s">
        <v>370</v>
      </c>
      <c r="F131">
        <v>1450</v>
      </c>
    </row>
    <row r="132" spans="1:6">
      <c r="A132" s="219" t="s">
        <v>661</v>
      </c>
      <c r="B132" t="s">
        <v>17</v>
      </c>
      <c r="C132" t="s">
        <v>20</v>
      </c>
      <c r="D132" t="s">
        <v>372</v>
      </c>
      <c r="E132" t="s">
        <v>454</v>
      </c>
      <c r="F132">
        <v>1450</v>
      </c>
    </row>
    <row r="133" spans="1:6">
      <c r="A133" s="219" t="s">
        <v>661</v>
      </c>
      <c r="B133" t="s">
        <v>17</v>
      </c>
      <c r="C133" t="s">
        <v>20</v>
      </c>
      <c r="D133" t="s">
        <v>372</v>
      </c>
      <c r="E133" t="s">
        <v>378</v>
      </c>
      <c r="F133">
        <v>1450</v>
      </c>
    </row>
    <row r="134" spans="1:6">
      <c r="A134" s="219" t="s">
        <v>661</v>
      </c>
      <c r="B134" t="s">
        <v>17</v>
      </c>
      <c r="C134" t="s">
        <v>20</v>
      </c>
      <c r="D134" t="s">
        <v>372</v>
      </c>
      <c r="E134" t="s">
        <v>514</v>
      </c>
      <c r="F134">
        <v>1450</v>
      </c>
    </row>
    <row r="135" spans="1:6">
      <c r="A135" s="219" t="s">
        <v>661</v>
      </c>
      <c r="B135" t="s">
        <v>17</v>
      </c>
      <c r="C135" t="s">
        <v>20</v>
      </c>
      <c r="D135" t="s">
        <v>372</v>
      </c>
      <c r="E135" t="s">
        <v>545</v>
      </c>
      <c r="F135">
        <v>1450</v>
      </c>
    </row>
    <row r="136" spans="1:6">
      <c r="A136" s="219" t="s">
        <v>661</v>
      </c>
      <c r="B136" t="s">
        <v>17</v>
      </c>
      <c r="C136" t="s">
        <v>20</v>
      </c>
      <c r="D136" t="s">
        <v>372</v>
      </c>
      <c r="E136" t="s">
        <v>598</v>
      </c>
      <c r="F136">
        <v>1450</v>
      </c>
    </row>
    <row r="137" spans="1:6">
      <c r="A137" s="219" t="s">
        <v>661</v>
      </c>
      <c r="B137" t="s">
        <v>17</v>
      </c>
      <c r="C137" t="s">
        <v>20</v>
      </c>
      <c r="D137" t="s">
        <v>265</v>
      </c>
      <c r="E137" t="s">
        <v>300</v>
      </c>
      <c r="F137">
        <v>1450</v>
      </c>
    </row>
    <row r="138" spans="1:6">
      <c r="A138" s="219" t="s">
        <v>661</v>
      </c>
      <c r="B138" t="s">
        <v>17</v>
      </c>
      <c r="C138" t="s">
        <v>20</v>
      </c>
      <c r="D138" t="s">
        <v>265</v>
      </c>
      <c r="E138" t="s">
        <v>346</v>
      </c>
      <c r="F138">
        <v>1450</v>
      </c>
    </row>
    <row r="139" spans="1:6">
      <c r="A139" s="219" t="s">
        <v>661</v>
      </c>
      <c r="B139" t="s">
        <v>17</v>
      </c>
      <c r="C139" t="s">
        <v>20</v>
      </c>
      <c r="D139" t="s">
        <v>641</v>
      </c>
      <c r="E139" t="s">
        <v>642</v>
      </c>
      <c r="F139">
        <v>1650</v>
      </c>
    </row>
    <row r="140" spans="1:6">
      <c r="A140" s="219" t="s">
        <v>661</v>
      </c>
      <c r="B140" t="s">
        <v>17</v>
      </c>
      <c r="C140" t="s">
        <v>20</v>
      </c>
      <c r="D140" t="s">
        <v>436</v>
      </c>
      <c r="E140" t="s">
        <v>273</v>
      </c>
      <c r="F140">
        <v>1450</v>
      </c>
    </row>
    <row r="141" spans="1:6">
      <c r="A141" s="219" t="s">
        <v>661</v>
      </c>
      <c r="B141" t="s">
        <v>17</v>
      </c>
      <c r="C141" t="s">
        <v>20</v>
      </c>
      <c r="D141" t="s">
        <v>436</v>
      </c>
      <c r="E141" t="s">
        <v>379</v>
      </c>
      <c r="F141">
        <v>1450</v>
      </c>
    </row>
    <row r="142" spans="1:6">
      <c r="A142" s="219" t="s">
        <v>661</v>
      </c>
      <c r="B142" t="s">
        <v>643</v>
      </c>
      <c r="C142" t="s">
        <v>4</v>
      </c>
      <c r="E142" t="s">
        <v>166</v>
      </c>
      <c r="F142">
        <v>1720</v>
      </c>
    </row>
    <row r="143" spans="1:6">
      <c r="A143" s="219" t="s">
        <v>661</v>
      </c>
      <c r="B143" t="s">
        <v>643</v>
      </c>
      <c r="C143" t="s">
        <v>4</v>
      </c>
      <c r="E143" t="s">
        <v>167</v>
      </c>
      <c r="F143">
        <v>1720</v>
      </c>
    </row>
    <row r="144" spans="1:6">
      <c r="A144" s="219" t="s">
        <v>661</v>
      </c>
      <c r="B144" t="s">
        <v>643</v>
      </c>
      <c r="C144" t="s">
        <v>4</v>
      </c>
      <c r="D144" t="s">
        <v>261</v>
      </c>
      <c r="E144" t="s">
        <v>168</v>
      </c>
      <c r="F144">
        <v>1720</v>
      </c>
    </row>
    <row r="145" spans="1:6">
      <c r="A145" s="219" t="s">
        <v>661</v>
      </c>
      <c r="B145" t="s">
        <v>643</v>
      </c>
      <c r="C145" t="s">
        <v>4</v>
      </c>
      <c r="E145" t="s">
        <v>169</v>
      </c>
      <c r="F145">
        <v>1720</v>
      </c>
    </row>
    <row r="146" spans="1:6">
      <c r="A146" s="219" t="s">
        <v>661</v>
      </c>
      <c r="B146" t="s">
        <v>643</v>
      </c>
      <c r="C146" t="s">
        <v>4</v>
      </c>
      <c r="E146" t="s">
        <v>170</v>
      </c>
      <c r="F146">
        <v>1720</v>
      </c>
    </row>
    <row r="147" spans="1:6">
      <c r="A147" s="219" t="s">
        <v>661</v>
      </c>
      <c r="B147" t="s">
        <v>643</v>
      </c>
      <c r="C147" t="s">
        <v>4</v>
      </c>
      <c r="E147" t="s">
        <v>62</v>
      </c>
      <c r="F147">
        <v>1770</v>
      </c>
    </row>
    <row r="148" spans="1:6">
      <c r="A148" s="219" t="s">
        <v>661</v>
      </c>
      <c r="B148" t="s">
        <v>643</v>
      </c>
      <c r="C148" t="s">
        <v>4</v>
      </c>
      <c r="E148" t="s">
        <v>171</v>
      </c>
      <c r="F148">
        <v>2000</v>
      </c>
    </row>
    <row r="149" spans="1:6">
      <c r="A149" s="219" t="s">
        <v>661</v>
      </c>
      <c r="B149" t="s">
        <v>643</v>
      </c>
      <c r="C149" t="s">
        <v>4</v>
      </c>
      <c r="E149" t="s">
        <v>644</v>
      </c>
      <c r="F149">
        <v>2000</v>
      </c>
    </row>
    <row r="150" spans="1:6">
      <c r="A150" s="219" t="s">
        <v>661</v>
      </c>
      <c r="B150" t="s">
        <v>643</v>
      </c>
      <c r="C150" t="s">
        <v>4</v>
      </c>
      <c r="E150" t="s">
        <v>59</v>
      </c>
      <c r="F150">
        <v>1720</v>
      </c>
    </row>
    <row r="151" spans="1:6">
      <c r="A151" s="219" t="s">
        <v>661</v>
      </c>
      <c r="B151" t="s">
        <v>643</v>
      </c>
      <c r="C151" t="s">
        <v>4</v>
      </c>
      <c r="E151" t="s">
        <v>583</v>
      </c>
      <c r="F151">
        <v>2000</v>
      </c>
    </row>
    <row r="152" spans="1:6">
      <c r="A152" s="219" t="s">
        <v>661</v>
      </c>
      <c r="B152" t="s">
        <v>645</v>
      </c>
      <c r="C152" t="s">
        <v>4</v>
      </c>
      <c r="D152" t="s">
        <v>440</v>
      </c>
      <c r="E152" t="s">
        <v>65</v>
      </c>
      <c r="F152">
        <v>2500</v>
      </c>
    </row>
    <row r="153" spans="1:6">
      <c r="A153" s="219" t="s">
        <v>661</v>
      </c>
      <c r="B153" t="s">
        <v>645</v>
      </c>
      <c r="C153" t="s">
        <v>4</v>
      </c>
      <c r="D153" t="s">
        <v>437</v>
      </c>
      <c r="E153" t="s">
        <v>65</v>
      </c>
      <c r="F153">
        <v>2500</v>
      </c>
    </row>
    <row r="154" spans="1:6">
      <c r="A154" s="219" t="s">
        <v>661</v>
      </c>
      <c r="B154" t="s">
        <v>645</v>
      </c>
      <c r="C154" t="s">
        <v>4</v>
      </c>
      <c r="D154" t="s">
        <v>531</v>
      </c>
      <c r="E154" t="s">
        <v>173</v>
      </c>
      <c r="F154">
        <v>2000</v>
      </c>
    </row>
    <row r="155" spans="1:6">
      <c r="A155" s="219" t="s">
        <v>661</v>
      </c>
      <c r="B155" t="s">
        <v>645</v>
      </c>
      <c r="C155" t="s">
        <v>4</v>
      </c>
      <c r="D155" t="s">
        <v>646</v>
      </c>
      <c r="E155" t="s">
        <v>174</v>
      </c>
      <c r="F155">
        <v>2000</v>
      </c>
    </row>
    <row r="156" spans="1:6">
      <c r="A156" s="219" t="s">
        <v>661</v>
      </c>
      <c r="B156" t="s">
        <v>645</v>
      </c>
      <c r="C156" t="s">
        <v>4</v>
      </c>
      <c r="D156" t="s">
        <v>647</v>
      </c>
      <c r="E156" t="s">
        <v>174</v>
      </c>
      <c r="F156">
        <v>2000</v>
      </c>
    </row>
    <row r="157" spans="1:6">
      <c r="A157" s="219" t="s">
        <v>661</v>
      </c>
      <c r="B157" t="s">
        <v>645</v>
      </c>
      <c r="C157" t="s">
        <v>4</v>
      </c>
      <c r="D157" t="s">
        <v>531</v>
      </c>
      <c r="E157" t="s">
        <v>175</v>
      </c>
      <c r="F157">
        <v>2000</v>
      </c>
    </row>
    <row r="158" spans="1:6">
      <c r="A158" s="219" t="s">
        <v>661</v>
      </c>
      <c r="B158" t="s">
        <v>645</v>
      </c>
      <c r="C158" t="s">
        <v>4</v>
      </c>
      <c r="D158" t="s">
        <v>439</v>
      </c>
      <c r="E158" t="s">
        <v>176</v>
      </c>
      <c r="F158">
        <v>2000</v>
      </c>
    </row>
    <row r="159" spans="1:6">
      <c r="A159" s="219" t="s">
        <v>661</v>
      </c>
      <c r="B159" t="s">
        <v>645</v>
      </c>
      <c r="C159" t="s">
        <v>4</v>
      </c>
      <c r="D159" t="s">
        <v>438</v>
      </c>
      <c r="E159" t="s">
        <v>176</v>
      </c>
      <c r="F159">
        <v>2000</v>
      </c>
    </row>
    <row r="160" spans="1:6">
      <c r="A160" s="219" t="s">
        <v>661</v>
      </c>
      <c r="B160" t="s">
        <v>645</v>
      </c>
      <c r="C160" t="s">
        <v>4</v>
      </c>
      <c r="D160" t="s">
        <v>531</v>
      </c>
      <c r="E160" t="s">
        <v>177</v>
      </c>
      <c r="F160">
        <v>2000</v>
      </c>
    </row>
    <row r="161" spans="1:6">
      <c r="A161" s="219" t="s">
        <v>661</v>
      </c>
      <c r="B161" t="s">
        <v>645</v>
      </c>
      <c r="C161" t="s">
        <v>4</v>
      </c>
      <c r="D161" t="s">
        <v>531</v>
      </c>
      <c r="E161" t="s">
        <v>178</v>
      </c>
      <c r="F161">
        <v>2000</v>
      </c>
    </row>
    <row r="162" spans="1:6">
      <c r="A162" s="219" t="s">
        <v>661</v>
      </c>
      <c r="B162" t="s">
        <v>645</v>
      </c>
      <c r="C162" t="s">
        <v>4</v>
      </c>
      <c r="D162" t="s">
        <v>531</v>
      </c>
      <c r="E162" t="s">
        <v>179</v>
      </c>
      <c r="F162">
        <v>2000</v>
      </c>
    </row>
    <row r="163" spans="1:6">
      <c r="A163" s="219" t="s">
        <v>661</v>
      </c>
      <c r="B163" t="s">
        <v>645</v>
      </c>
      <c r="C163" t="s">
        <v>4</v>
      </c>
      <c r="D163" t="s">
        <v>531</v>
      </c>
      <c r="E163" t="s">
        <v>180</v>
      </c>
      <c r="F163">
        <v>2000</v>
      </c>
    </row>
    <row r="164" spans="1:6">
      <c r="A164" s="219" t="s">
        <v>661</v>
      </c>
      <c r="B164" t="s">
        <v>645</v>
      </c>
      <c r="C164" t="s">
        <v>4</v>
      </c>
      <c r="D164" t="s">
        <v>531</v>
      </c>
      <c r="E164" t="s">
        <v>423</v>
      </c>
      <c r="F164">
        <v>2000</v>
      </c>
    </row>
    <row r="165" spans="1:6">
      <c r="A165" s="219" t="s">
        <v>661</v>
      </c>
      <c r="B165" t="s">
        <v>645</v>
      </c>
      <c r="C165" t="s">
        <v>4</v>
      </c>
      <c r="D165" t="s">
        <v>531</v>
      </c>
      <c r="E165" t="s">
        <v>181</v>
      </c>
      <c r="F165">
        <v>2000</v>
      </c>
    </row>
    <row r="166" spans="1:6">
      <c r="A166" s="219" t="s">
        <v>661</v>
      </c>
      <c r="B166" t="s">
        <v>645</v>
      </c>
      <c r="C166" t="s">
        <v>4</v>
      </c>
      <c r="D166" t="s">
        <v>531</v>
      </c>
      <c r="E166" t="s">
        <v>67</v>
      </c>
      <c r="F166">
        <v>2000</v>
      </c>
    </row>
    <row r="167" spans="1:6">
      <c r="A167" s="219" t="s">
        <v>661</v>
      </c>
      <c r="B167" t="s">
        <v>645</v>
      </c>
      <c r="C167" t="s">
        <v>4</v>
      </c>
      <c r="D167" t="s">
        <v>531</v>
      </c>
      <c r="E167" t="s">
        <v>469</v>
      </c>
      <c r="F167">
        <v>2000</v>
      </c>
    </row>
    <row r="168" spans="1:6">
      <c r="A168" s="219" t="s">
        <v>661</v>
      </c>
      <c r="B168" t="s">
        <v>645</v>
      </c>
      <c r="C168" t="s">
        <v>4</v>
      </c>
      <c r="D168" t="s">
        <v>531</v>
      </c>
      <c r="E168" t="s">
        <v>648</v>
      </c>
      <c r="F168">
        <v>2000</v>
      </c>
    </row>
    <row r="169" spans="1:6">
      <c r="A169" s="219" t="s">
        <v>661</v>
      </c>
      <c r="B169" t="s">
        <v>645</v>
      </c>
      <c r="C169" t="s">
        <v>4</v>
      </c>
      <c r="D169" t="s">
        <v>531</v>
      </c>
      <c r="E169" t="s">
        <v>182</v>
      </c>
      <c r="F169">
        <v>2000</v>
      </c>
    </row>
    <row r="170" spans="1:6">
      <c r="A170" s="219" t="s">
        <v>661</v>
      </c>
      <c r="B170" t="s">
        <v>645</v>
      </c>
      <c r="C170" t="s">
        <v>20</v>
      </c>
      <c r="D170" t="s">
        <v>66</v>
      </c>
      <c r="E170" t="s">
        <v>67</v>
      </c>
      <c r="F170">
        <v>2000</v>
      </c>
    </row>
    <row r="171" spans="1:6">
      <c r="A171" s="219" t="s">
        <v>661</v>
      </c>
      <c r="B171" t="s">
        <v>645</v>
      </c>
      <c r="C171" t="s">
        <v>4</v>
      </c>
      <c r="D171" t="s">
        <v>531</v>
      </c>
      <c r="E171" t="s">
        <v>68</v>
      </c>
      <c r="F171">
        <v>1800</v>
      </c>
    </row>
    <row r="172" spans="1:6">
      <c r="A172" s="219" t="s">
        <v>661</v>
      </c>
      <c r="B172" t="s">
        <v>645</v>
      </c>
      <c r="C172" t="s">
        <v>4</v>
      </c>
      <c r="D172" t="s">
        <v>69</v>
      </c>
      <c r="E172" t="s">
        <v>649</v>
      </c>
      <c r="F172">
        <v>1800</v>
      </c>
    </row>
    <row r="173" spans="1:6">
      <c r="A173" s="219" t="s">
        <v>661</v>
      </c>
      <c r="B173" t="s">
        <v>650</v>
      </c>
      <c r="C173" t="s">
        <v>4</v>
      </c>
      <c r="D173" t="s">
        <v>651</v>
      </c>
      <c r="F173" t="s">
        <v>72</v>
      </c>
    </row>
    <row r="174" spans="1:6">
      <c r="A174" s="219" t="s">
        <v>661</v>
      </c>
      <c r="B174" t="s">
        <v>652</v>
      </c>
      <c r="D174" t="s">
        <v>386</v>
      </c>
      <c r="F174">
        <v>1400</v>
      </c>
    </row>
    <row r="175" spans="1:6">
      <c r="A175" s="219" t="s">
        <v>661</v>
      </c>
      <c r="B175" t="s">
        <v>73</v>
      </c>
      <c r="C175" t="s">
        <v>653</v>
      </c>
      <c r="D175" t="s">
        <v>74</v>
      </c>
      <c r="F175" t="s">
        <v>75</v>
      </c>
    </row>
    <row r="176" spans="1:6">
      <c r="A176" s="219" t="s">
        <v>662</v>
      </c>
      <c r="B176" t="s">
        <v>654</v>
      </c>
      <c r="C176" t="s">
        <v>4</v>
      </c>
      <c r="D176" t="s">
        <v>8</v>
      </c>
      <c r="E176" t="s">
        <v>655</v>
      </c>
      <c r="F176">
        <v>1650</v>
      </c>
    </row>
    <row r="177" spans="1:6">
      <c r="A177" s="219" t="s">
        <v>663</v>
      </c>
      <c r="B177" t="s">
        <v>656</v>
      </c>
      <c r="C177" t="s">
        <v>4</v>
      </c>
      <c r="D177" t="s">
        <v>531</v>
      </c>
      <c r="F177">
        <v>1800</v>
      </c>
    </row>
    <row r="178" spans="1:6">
      <c r="A178" s="219" t="s">
        <v>663</v>
      </c>
      <c r="B178" t="s">
        <v>656</v>
      </c>
      <c r="C178" t="s">
        <v>4</v>
      </c>
      <c r="D178" t="s">
        <v>531</v>
      </c>
      <c r="F178">
        <v>1650</v>
      </c>
    </row>
    <row r="179" spans="1:6">
      <c r="A179" s="219" t="s">
        <v>663</v>
      </c>
      <c r="B179" t="s">
        <v>657</v>
      </c>
      <c r="C179" t="s">
        <v>4</v>
      </c>
      <c r="D179" t="s">
        <v>408</v>
      </c>
      <c r="E179" t="s">
        <v>183</v>
      </c>
      <c r="F179">
        <v>1857</v>
      </c>
    </row>
    <row r="180" spans="1:6">
      <c r="A180" s="219" t="s">
        <v>663</v>
      </c>
      <c r="B180" t="s">
        <v>657</v>
      </c>
      <c r="C180" t="s">
        <v>4</v>
      </c>
      <c r="D180" t="s">
        <v>407</v>
      </c>
      <c r="E180" t="s">
        <v>184</v>
      </c>
      <c r="F180">
        <v>1875</v>
      </c>
    </row>
    <row r="181" spans="1:6">
      <c r="A181" s="219" t="s">
        <v>663</v>
      </c>
      <c r="B181" t="s">
        <v>657</v>
      </c>
      <c r="C181" t="s">
        <v>4</v>
      </c>
      <c r="D181" t="s">
        <v>531</v>
      </c>
      <c r="E181" t="s">
        <v>185</v>
      </c>
      <c r="F181">
        <v>1875</v>
      </c>
    </row>
    <row r="182" spans="1:6">
      <c r="A182" s="219" t="s">
        <v>663</v>
      </c>
      <c r="B182" t="s">
        <v>657</v>
      </c>
      <c r="C182" t="s">
        <v>4</v>
      </c>
      <c r="D182" t="s">
        <v>186</v>
      </c>
      <c r="E182" t="s">
        <v>187</v>
      </c>
      <c r="F182">
        <v>1567</v>
      </c>
    </row>
    <row r="183" spans="1:6">
      <c r="A183" s="219" t="s">
        <v>663</v>
      </c>
      <c r="B183" t="s">
        <v>657</v>
      </c>
      <c r="C183" t="s">
        <v>4</v>
      </c>
      <c r="D183" t="s">
        <v>186</v>
      </c>
      <c r="E183" t="s">
        <v>188</v>
      </c>
      <c r="F183">
        <v>1567</v>
      </c>
    </row>
    <row r="184" spans="1:6">
      <c r="A184" s="219" t="s">
        <v>663</v>
      </c>
      <c r="B184" t="s">
        <v>31</v>
      </c>
      <c r="D184" t="s">
        <v>410</v>
      </c>
      <c r="E184" t="s">
        <v>189</v>
      </c>
      <c r="F184">
        <v>1750</v>
      </c>
    </row>
    <row r="185" spans="1:6">
      <c r="A185" s="219" t="s">
        <v>663</v>
      </c>
      <c r="B185" t="s">
        <v>31</v>
      </c>
      <c r="D185" t="s">
        <v>407</v>
      </c>
      <c r="E185" t="s">
        <v>77</v>
      </c>
      <c r="F185">
        <v>1900</v>
      </c>
    </row>
    <row r="186" spans="1:6">
      <c r="A186" s="219" t="s">
        <v>663</v>
      </c>
      <c r="B186" t="s">
        <v>31</v>
      </c>
      <c r="C186" t="s">
        <v>4</v>
      </c>
      <c r="D186" t="s">
        <v>485</v>
      </c>
      <c r="E186" t="s">
        <v>649</v>
      </c>
      <c r="F186">
        <v>1550</v>
      </c>
    </row>
    <row r="187" spans="1:6">
      <c r="A187" s="219" t="s">
        <v>663</v>
      </c>
      <c r="B187" t="s">
        <v>31</v>
      </c>
      <c r="C187" t="s">
        <v>4</v>
      </c>
      <c r="D187" t="s">
        <v>486</v>
      </c>
      <c r="E187" t="s">
        <v>649</v>
      </c>
      <c r="F187">
        <v>1650</v>
      </c>
    </row>
    <row r="188" spans="1:6">
      <c r="A188" s="219" t="s">
        <v>663</v>
      </c>
      <c r="B188" t="s">
        <v>31</v>
      </c>
      <c r="C188" t="s">
        <v>4</v>
      </c>
      <c r="D188" t="s">
        <v>487</v>
      </c>
      <c r="E188" t="s">
        <v>649</v>
      </c>
      <c r="F188">
        <v>1600</v>
      </c>
    </row>
    <row r="189" spans="1:6">
      <c r="A189" s="219" t="s">
        <v>663</v>
      </c>
      <c r="B189" t="s">
        <v>31</v>
      </c>
      <c r="D189" t="s">
        <v>411</v>
      </c>
      <c r="E189" t="s">
        <v>649</v>
      </c>
      <c r="F189">
        <v>1550</v>
      </c>
    </row>
    <row r="190" spans="1:6">
      <c r="A190" s="219" t="s">
        <v>663</v>
      </c>
      <c r="B190" t="s">
        <v>645</v>
      </c>
      <c r="D190" t="s">
        <v>248</v>
      </c>
      <c r="E190" t="s">
        <v>79</v>
      </c>
      <c r="F190">
        <v>1500</v>
      </c>
    </row>
    <row r="191" spans="1:6">
      <c r="A191" s="219" t="s">
        <v>663</v>
      </c>
      <c r="B191" t="s">
        <v>645</v>
      </c>
      <c r="E191" t="s">
        <v>604</v>
      </c>
      <c r="F191">
        <v>1500</v>
      </c>
    </row>
    <row r="192" spans="1:6">
      <c r="A192" s="219" t="s">
        <v>663</v>
      </c>
      <c r="B192" t="s">
        <v>645</v>
      </c>
      <c r="E192" t="s">
        <v>619</v>
      </c>
      <c r="F192">
        <v>1500</v>
      </c>
    </row>
    <row r="193" spans="1:6">
      <c r="A193" s="219" t="s">
        <v>663</v>
      </c>
      <c r="B193" t="s">
        <v>645</v>
      </c>
      <c r="E193" t="s">
        <v>337</v>
      </c>
      <c r="F193">
        <v>1500</v>
      </c>
    </row>
    <row r="194" spans="1:6">
      <c r="A194" s="219" t="s">
        <v>663</v>
      </c>
      <c r="B194" t="s">
        <v>654</v>
      </c>
      <c r="C194" t="s">
        <v>4</v>
      </c>
      <c r="D194" t="s">
        <v>81</v>
      </c>
      <c r="F194" t="s">
        <v>382</v>
      </c>
    </row>
    <row r="195" spans="1:6">
      <c r="A195" s="219" t="s">
        <v>663</v>
      </c>
      <c r="B195" t="s">
        <v>654</v>
      </c>
      <c r="C195" t="s">
        <v>4</v>
      </c>
      <c r="D195" t="s">
        <v>620</v>
      </c>
      <c r="F195" t="s">
        <v>631</v>
      </c>
    </row>
    <row r="196" spans="1:6">
      <c r="A196" s="219" t="s">
        <v>663</v>
      </c>
      <c r="B196" t="s">
        <v>654</v>
      </c>
      <c r="C196" t="s">
        <v>4</v>
      </c>
      <c r="D196" t="s">
        <v>352</v>
      </c>
      <c r="F196" t="s">
        <v>632</v>
      </c>
    </row>
    <row r="197" spans="1:6">
      <c r="A197" s="219" t="s">
        <v>663</v>
      </c>
      <c r="B197" t="s">
        <v>654</v>
      </c>
      <c r="C197" t="s">
        <v>4</v>
      </c>
      <c r="D197" t="s">
        <v>352</v>
      </c>
      <c r="E197" t="s">
        <v>353</v>
      </c>
      <c r="F197" t="s">
        <v>383</v>
      </c>
    </row>
    <row r="198" spans="1:6">
      <c r="A198" s="219" t="s">
        <v>663</v>
      </c>
      <c r="B198" t="s">
        <v>654</v>
      </c>
      <c r="C198" t="s">
        <v>4</v>
      </c>
      <c r="D198" t="s">
        <v>352</v>
      </c>
      <c r="E198" t="s">
        <v>353</v>
      </c>
      <c r="F198">
        <v>1925</v>
      </c>
    </row>
    <row r="199" spans="1:6">
      <c r="A199" s="219" t="s">
        <v>663</v>
      </c>
      <c r="B199" t="s">
        <v>654</v>
      </c>
      <c r="C199" t="s">
        <v>4</v>
      </c>
      <c r="D199" t="s">
        <v>352</v>
      </c>
      <c r="E199" t="s">
        <v>429</v>
      </c>
      <c r="F199">
        <v>1925</v>
      </c>
    </row>
    <row r="200" spans="1:6">
      <c r="A200" s="219" t="s">
        <v>663</v>
      </c>
      <c r="B200" t="s">
        <v>654</v>
      </c>
      <c r="C200" t="s">
        <v>4</v>
      </c>
      <c r="D200" t="s">
        <v>352</v>
      </c>
      <c r="E200" t="s">
        <v>430</v>
      </c>
      <c r="F200">
        <v>1925</v>
      </c>
    </row>
    <row r="201" spans="1:6">
      <c r="A201" s="219" t="s">
        <v>663</v>
      </c>
      <c r="B201" t="s">
        <v>654</v>
      </c>
      <c r="C201" t="s">
        <v>4</v>
      </c>
      <c r="D201" t="s">
        <v>451</v>
      </c>
      <c r="E201" t="s">
        <v>450</v>
      </c>
      <c r="F201">
        <v>1400</v>
      </c>
    </row>
    <row r="202" spans="1:6">
      <c r="A202" s="219" t="s">
        <v>663</v>
      </c>
      <c r="B202" t="s">
        <v>654</v>
      </c>
      <c r="C202" t="s">
        <v>4</v>
      </c>
      <c r="D202" t="s">
        <v>451</v>
      </c>
      <c r="E202" t="s">
        <v>448</v>
      </c>
      <c r="F202">
        <v>1400</v>
      </c>
    </row>
    <row r="203" spans="1:6">
      <c r="A203" s="219" t="s">
        <v>663</v>
      </c>
      <c r="B203" t="s">
        <v>654</v>
      </c>
      <c r="C203" t="s">
        <v>4</v>
      </c>
      <c r="D203" t="s">
        <v>451</v>
      </c>
      <c r="E203" t="s">
        <v>449</v>
      </c>
      <c r="F203">
        <v>1400</v>
      </c>
    </row>
    <row r="204" spans="1:6">
      <c r="A204" s="219" t="s">
        <v>663</v>
      </c>
      <c r="B204" t="s">
        <v>654</v>
      </c>
      <c r="C204" t="s">
        <v>4</v>
      </c>
      <c r="D204" t="s">
        <v>451</v>
      </c>
      <c r="E204" t="s">
        <v>458</v>
      </c>
      <c r="F204">
        <v>1400</v>
      </c>
    </row>
    <row r="205" spans="1:6">
      <c r="A205" s="219" t="s">
        <v>663</v>
      </c>
      <c r="B205" t="s">
        <v>654</v>
      </c>
      <c r="C205" t="s">
        <v>4</v>
      </c>
      <c r="D205" t="s">
        <v>451</v>
      </c>
      <c r="E205" t="s">
        <v>459</v>
      </c>
      <c r="F205">
        <v>1400</v>
      </c>
    </row>
    <row r="206" spans="1:6">
      <c r="A206" s="219" t="s">
        <v>663</v>
      </c>
      <c r="B206" t="s">
        <v>654</v>
      </c>
      <c r="C206" t="s">
        <v>4</v>
      </c>
      <c r="D206" t="s">
        <v>451</v>
      </c>
      <c r="E206" t="s">
        <v>460</v>
      </c>
      <c r="F206">
        <v>1400</v>
      </c>
    </row>
    <row r="207" spans="1:6">
      <c r="A207" s="219" t="s">
        <v>663</v>
      </c>
      <c r="B207" t="s">
        <v>654</v>
      </c>
      <c r="C207" t="s">
        <v>4</v>
      </c>
      <c r="D207" t="s">
        <v>451</v>
      </c>
      <c r="E207" t="s">
        <v>476</v>
      </c>
      <c r="F207">
        <v>1400</v>
      </c>
    </row>
    <row r="208" spans="1:6">
      <c r="A208" s="219" t="s">
        <v>663</v>
      </c>
      <c r="B208" t="s">
        <v>654</v>
      </c>
      <c r="C208" t="s">
        <v>4</v>
      </c>
      <c r="D208" t="s">
        <v>451</v>
      </c>
      <c r="E208" t="s">
        <v>477</v>
      </c>
      <c r="F208">
        <v>1400</v>
      </c>
    </row>
    <row r="209" spans="1:6">
      <c r="A209" s="219" t="s">
        <v>663</v>
      </c>
      <c r="B209" t="s">
        <v>654</v>
      </c>
      <c r="C209" t="s">
        <v>4</v>
      </c>
      <c r="D209" t="s">
        <v>537</v>
      </c>
      <c r="E209" t="s">
        <v>354</v>
      </c>
      <c r="F209">
        <v>1650</v>
      </c>
    </row>
    <row r="210" spans="1:6">
      <c r="A210" s="219" t="s">
        <v>663</v>
      </c>
      <c r="B210" t="s">
        <v>654</v>
      </c>
      <c r="C210" t="s">
        <v>4</v>
      </c>
      <c r="D210" t="s">
        <v>537</v>
      </c>
      <c r="E210" t="s">
        <v>355</v>
      </c>
      <c r="F210">
        <v>1650</v>
      </c>
    </row>
    <row r="211" spans="1:6">
      <c r="A211" s="219" t="s">
        <v>663</v>
      </c>
      <c r="B211" t="s">
        <v>654</v>
      </c>
      <c r="C211" t="s">
        <v>4</v>
      </c>
      <c r="D211" t="s">
        <v>537</v>
      </c>
      <c r="E211" t="s">
        <v>356</v>
      </c>
      <c r="F211">
        <v>1650</v>
      </c>
    </row>
    <row r="212" spans="1:6">
      <c r="A212" s="219" t="s">
        <v>663</v>
      </c>
      <c r="B212" t="s">
        <v>654</v>
      </c>
      <c r="C212" t="s">
        <v>4</v>
      </c>
      <c r="D212" t="s">
        <v>537</v>
      </c>
      <c r="E212" t="s">
        <v>380</v>
      </c>
      <c r="F212">
        <v>1650</v>
      </c>
    </row>
    <row r="213" spans="1:6">
      <c r="A213" s="219" t="s">
        <v>663</v>
      </c>
      <c r="B213" t="s">
        <v>654</v>
      </c>
      <c r="C213" t="s">
        <v>20</v>
      </c>
      <c r="D213" t="s">
        <v>537</v>
      </c>
      <c r="E213" t="s">
        <v>428</v>
      </c>
      <c r="F213">
        <v>1650</v>
      </c>
    </row>
    <row r="214" spans="1:6">
      <c r="A214" s="219" t="s">
        <v>663</v>
      </c>
      <c r="B214" t="s">
        <v>654</v>
      </c>
      <c r="C214" t="s">
        <v>4</v>
      </c>
      <c r="D214" t="s">
        <v>658</v>
      </c>
      <c r="E214" t="s">
        <v>649</v>
      </c>
      <c r="F214" t="s">
        <v>384</v>
      </c>
    </row>
    <row r="215" spans="1:6">
      <c r="A215" s="219" t="s">
        <v>663</v>
      </c>
      <c r="B215" t="s">
        <v>654</v>
      </c>
      <c r="C215" t="s">
        <v>4</v>
      </c>
      <c r="D215" t="s">
        <v>537</v>
      </c>
      <c r="E215" t="s">
        <v>340</v>
      </c>
      <c r="F215">
        <v>1650</v>
      </c>
    </row>
    <row r="216" spans="1:6">
      <c r="A216" s="219" t="s">
        <v>663</v>
      </c>
      <c r="B216" t="s">
        <v>654</v>
      </c>
      <c r="C216" t="s">
        <v>4</v>
      </c>
      <c r="D216" t="s">
        <v>537</v>
      </c>
      <c r="E216" t="s">
        <v>340</v>
      </c>
      <c r="F216">
        <v>1750</v>
      </c>
    </row>
    <row r="217" spans="1:6">
      <c r="A217" s="219" t="s">
        <v>663</v>
      </c>
      <c r="B217" t="s">
        <v>654</v>
      </c>
      <c r="C217" t="s">
        <v>4</v>
      </c>
      <c r="D217" t="s">
        <v>537</v>
      </c>
      <c r="E217" t="s">
        <v>340</v>
      </c>
      <c r="F217">
        <v>2000</v>
      </c>
    </row>
    <row r="218" spans="1:6">
      <c r="A218" s="219" t="s">
        <v>663</v>
      </c>
      <c r="B218" t="s">
        <v>654</v>
      </c>
      <c r="C218" t="s">
        <v>4</v>
      </c>
      <c r="D218" t="s">
        <v>537</v>
      </c>
      <c r="E218" t="s">
        <v>538</v>
      </c>
      <c r="F218">
        <v>1650</v>
      </c>
    </row>
    <row r="219" spans="1:6">
      <c r="A219" s="219" t="s">
        <v>663</v>
      </c>
      <c r="B219" t="s">
        <v>654</v>
      </c>
      <c r="C219" t="s">
        <v>4</v>
      </c>
      <c r="D219" t="s">
        <v>537</v>
      </c>
      <c r="E219" t="s">
        <v>557</v>
      </c>
      <c r="F219">
        <v>1650</v>
      </c>
    </row>
    <row r="220" spans="1:6">
      <c r="A220" s="219" t="s">
        <v>663</v>
      </c>
      <c r="B220" t="s">
        <v>654</v>
      </c>
      <c r="C220" t="s">
        <v>4</v>
      </c>
      <c r="D220" t="s">
        <v>537</v>
      </c>
      <c r="E220" t="s">
        <v>557</v>
      </c>
      <c r="F220">
        <v>2000</v>
      </c>
    </row>
    <row r="221" spans="1:6">
      <c r="A221" s="219" t="s">
        <v>663</v>
      </c>
      <c r="B221" t="s">
        <v>654</v>
      </c>
      <c r="C221" t="s">
        <v>4</v>
      </c>
      <c r="D221" t="s">
        <v>537</v>
      </c>
      <c r="E221" t="s">
        <v>588</v>
      </c>
      <c r="F221">
        <v>1650</v>
      </c>
    </row>
    <row r="222" spans="1:6">
      <c r="A222" s="219" t="s">
        <v>663</v>
      </c>
      <c r="B222" t="s">
        <v>654</v>
      </c>
      <c r="C222" t="s">
        <v>4</v>
      </c>
      <c r="D222" t="s">
        <v>537</v>
      </c>
      <c r="E222" t="s">
        <v>339</v>
      </c>
      <c r="F222">
        <v>1750</v>
      </c>
    </row>
    <row r="223" spans="1:6">
      <c r="A223" s="219" t="s">
        <v>663</v>
      </c>
      <c r="B223" t="s">
        <v>659</v>
      </c>
      <c r="C223" t="s">
        <v>20</v>
      </c>
      <c r="E223" t="s">
        <v>83</v>
      </c>
      <c r="F223">
        <v>1600</v>
      </c>
    </row>
    <row r="224" spans="1:6">
      <c r="A224" s="219" t="s">
        <v>663</v>
      </c>
      <c r="B224" t="s">
        <v>659</v>
      </c>
      <c r="E224" t="s">
        <v>563</v>
      </c>
      <c r="F224">
        <v>2000</v>
      </c>
    </row>
    <row r="225" spans="1:6">
      <c r="A225" s="219" t="s">
        <v>663</v>
      </c>
      <c r="B225" t="s">
        <v>659</v>
      </c>
      <c r="E225" t="s">
        <v>584</v>
      </c>
      <c r="F225">
        <v>2000</v>
      </c>
    </row>
    <row r="226" spans="1:6">
      <c r="A226" s="219" t="s">
        <v>663</v>
      </c>
      <c r="B226" t="s">
        <v>659</v>
      </c>
      <c r="E226" t="s">
        <v>585</v>
      </c>
      <c r="F226">
        <v>2000</v>
      </c>
    </row>
    <row r="227" spans="1:6">
      <c r="A227" s="219" t="s">
        <v>663</v>
      </c>
      <c r="B227" t="s">
        <v>659</v>
      </c>
      <c r="E227" t="s">
        <v>586</v>
      </c>
      <c r="F227">
        <v>2000</v>
      </c>
    </row>
    <row r="228" spans="1:6">
      <c r="A228" s="219" t="s">
        <v>663</v>
      </c>
      <c r="B228" t="s">
        <v>659</v>
      </c>
      <c r="E228" t="s">
        <v>587</v>
      </c>
      <c r="F228">
        <v>2000</v>
      </c>
    </row>
    <row r="229" spans="1:6">
      <c r="A229" s="219" t="s">
        <v>663</v>
      </c>
      <c r="B229" t="s">
        <v>659</v>
      </c>
      <c r="E229" t="s">
        <v>600</v>
      </c>
      <c r="F229">
        <v>2000</v>
      </c>
    </row>
    <row r="230" spans="1:6">
      <c r="A230" s="219" t="s">
        <v>663</v>
      </c>
      <c r="B230" t="s">
        <v>659</v>
      </c>
      <c r="E230" t="s">
        <v>601</v>
      </c>
      <c r="F230">
        <v>2000</v>
      </c>
    </row>
    <row r="231" spans="1:6">
      <c r="A231" s="219" t="s">
        <v>663</v>
      </c>
      <c r="B231" t="s">
        <v>659</v>
      </c>
      <c r="E231" t="s">
        <v>602</v>
      </c>
      <c r="F231">
        <v>2000</v>
      </c>
    </row>
    <row r="232" spans="1:6">
      <c r="A232" s="219" t="s">
        <v>663</v>
      </c>
      <c r="B232" t="s">
        <v>659</v>
      </c>
      <c r="E232" t="s">
        <v>603</v>
      </c>
      <c r="F232">
        <v>2000</v>
      </c>
    </row>
    <row r="233" spans="1:6">
      <c r="A233" s="219" t="s">
        <v>663</v>
      </c>
      <c r="B233" t="s">
        <v>659</v>
      </c>
      <c r="E233" t="s">
        <v>618</v>
      </c>
      <c r="F233">
        <v>2000</v>
      </c>
    </row>
    <row r="234" spans="1:6">
      <c r="A234" s="219" t="s">
        <v>663</v>
      </c>
      <c r="B234" t="s">
        <v>659</v>
      </c>
      <c r="E234" t="s">
        <v>84</v>
      </c>
      <c r="F234">
        <v>1600</v>
      </c>
    </row>
    <row r="235" spans="1:6">
      <c r="A235" s="219" t="s">
        <v>663</v>
      </c>
      <c r="B235" t="s">
        <v>484</v>
      </c>
      <c r="D235" t="s">
        <v>478</v>
      </c>
      <c r="F235">
        <v>5000</v>
      </c>
    </row>
    <row r="236" spans="1:6">
      <c r="A236" s="219" t="s">
        <v>663</v>
      </c>
      <c r="B236" t="s">
        <v>484</v>
      </c>
      <c r="D236" t="s">
        <v>479</v>
      </c>
      <c r="F236">
        <v>50</v>
      </c>
    </row>
    <row r="237" spans="1:6">
      <c r="A237" s="219" t="s">
        <v>663</v>
      </c>
      <c r="B237" t="s">
        <v>484</v>
      </c>
      <c r="D237" t="s">
        <v>480</v>
      </c>
      <c r="F237">
        <v>5</v>
      </c>
    </row>
    <row r="238" spans="1:6">
      <c r="A238" s="219" t="s">
        <v>663</v>
      </c>
      <c r="B238" t="s">
        <v>484</v>
      </c>
      <c r="D238" t="s">
        <v>481</v>
      </c>
      <c r="F238">
        <v>10</v>
      </c>
    </row>
    <row r="239" spans="1:6">
      <c r="A239" s="219" t="s">
        <v>663</v>
      </c>
      <c r="B239" t="s">
        <v>484</v>
      </c>
      <c r="D239" t="s">
        <v>482</v>
      </c>
      <c r="F239">
        <v>10000</v>
      </c>
    </row>
    <row r="240" spans="1:6">
      <c r="A240" s="219" t="s">
        <v>663</v>
      </c>
      <c r="B240" t="s">
        <v>484</v>
      </c>
      <c r="D240" t="s">
        <v>483</v>
      </c>
      <c r="F240">
        <v>80</v>
      </c>
    </row>
    <row r="241" spans="1:6">
      <c r="A241" s="219" t="s">
        <v>663</v>
      </c>
      <c r="B241" t="s">
        <v>503</v>
      </c>
      <c r="D241" t="s">
        <v>506</v>
      </c>
    </row>
    <row r="242" spans="1:6">
      <c r="A242" s="219" t="s">
        <v>663</v>
      </c>
      <c r="B242" t="s">
        <v>527</v>
      </c>
      <c r="E242" t="s">
        <v>528</v>
      </c>
      <c r="F242">
        <v>1800</v>
      </c>
    </row>
    <row r="243" spans="1:6">
      <c r="A243" s="219" t="s">
        <v>675</v>
      </c>
      <c r="B243" t="s">
        <v>3</v>
      </c>
      <c r="C243" t="s">
        <v>4</v>
      </c>
      <c r="E243" t="s">
        <v>5</v>
      </c>
      <c r="F243">
        <v>1400</v>
      </c>
    </row>
    <row r="244" spans="1:6">
      <c r="A244" t="s">
        <v>674</v>
      </c>
      <c r="B244" t="s">
        <v>3</v>
      </c>
      <c r="C244" t="s">
        <v>4</v>
      </c>
      <c r="E244" t="s">
        <v>664</v>
      </c>
      <c r="F244">
        <v>1400</v>
      </c>
    </row>
    <row r="245" spans="1:6">
      <c r="A245" t="s">
        <v>674</v>
      </c>
      <c r="B245" t="s">
        <v>665</v>
      </c>
      <c r="C245" t="s">
        <v>4</v>
      </c>
      <c r="D245" t="s">
        <v>8</v>
      </c>
      <c r="E245" t="s">
        <v>9</v>
      </c>
      <c r="F245">
        <v>1800</v>
      </c>
    </row>
    <row r="246" spans="1:6">
      <c r="A246" t="s">
        <v>674</v>
      </c>
      <c r="B246" t="s">
        <v>665</v>
      </c>
      <c r="C246" t="s">
        <v>4</v>
      </c>
      <c r="D246" t="s">
        <v>8</v>
      </c>
      <c r="E246" t="s">
        <v>666</v>
      </c>
      <c r="F246">
        <v>1750</v>
      </c>
    </row>
    <row r="247" spans="1:6">
      <c r="A247" t="s">
        <v>674</v>
      </c>
      <c r="B247" t="s">
        <v>665</v>
      </c>
      <c r="C247" t="s">
        <v>4</v>
      </c>
      <c r="D247" t="s">
        <v>11</v>
      </c>
      <c r="E247" t="s">
        <v>12</v>
      </c>
      <c r="F247">
        <v>1750</v>
      </c>
    </row>
    <row r="248" spans="1:6">
      <c r="A248" t="s">
        <v>674</v>
      </c>
      <c r="B248" t="s">
        <v>665</v>
      </c>
      <c r="C248" t="s">
        <v>4</v>
      </c>
      <c r="D248" t="s">
        <v>11</v>
      </c>
      <c r="E248" t="s">
        <v>13</v>
      </c>
      <c r="F248">
        <v>1950</v>
      </c>
    </row>
    <row r="249" spans="1:6">
      <c r="A249" t="s">
        <v>674</v>
      </c>
      <c r="B249" t="s">
        <v>667</v>
      </c>
      <c r="E249" t="s">
        <v>15</v>
      </c>
      <c r="F249">
        <v>1800</v>
      </c>
    </row>
    <row r="250" spans="1:6">
      <c r="A250" t="s">
        <v>674</v>
      </c>
      <c r="B250" t="s">
        <v>667</v>
      </c>
      <c r="E250" t="s">
        <v>534</v>
      </c>
      <c r="F250">
        <v>1800</v>
      </c>
    </row>
    <row r="251" spans="1:6">
      <c r="A251" t="s">
        <v>674</v>
      </c>
      <c r="B251" t="s">
        <v>16</v>
      </c>
      <c r="D251" t="s">
        <v>258</v>
      </c>
    </row>
    <row r="252" spans="1:6">
      <c r="A252" t="s">
        <v>674</v>
      </c>
      <c r="B252" t="s">
        <v>17</v>
      </c>
      <c r="C252" t="s">
        <v>4</v>
      </c>
      <c r="D252" t="s">
        <v>531</v>
      </c>
      <c r="E252" t="s">
        <v>152</v>
      </c>
      <c r="F252">
        <v>1650</v>
      </c>
    </row>
    <row r="253" spans="1:6">
      <c r="A253" t="s">
        <v>674</v>
      </c>
      <c r="B253" t="s">
        <v>17</v>
      </c>
      <c r="C253" t="s">
        <v>4</v>
      </c>
      <c r="D253" t="s">
        <v>531</v>
      </c>
      <c r="E253" t="s">
        <v>153</v>
      </c>
      <c r="F253">
        <v>1600</v>
      </c>
    </row>
    <row r="254" spans="1:6">
      <c r="A254" t="s">
        <v>674</v>
      </c>
      <c r="B254" t="s">
        <v>17</v>
      </c>
      <c r="C254" t="s">
        <v>4</v>
      </c>
      <c r="D254" t="s">
        <v>531</v>
      </c>
      <c r="E254" t="s">
        <v>308</v>
      </c>
      <c r="F254">
        <v>1600</v>
      </c>
    </row>
    <row r="255" spans="1:6">
      <c r="A255" t="s">
        <v>674</v>
      </c>
      <c r="B255" t="s">
        <v>17</v>
      </c>
      <c r="C255" t="s">
        <v>4</v>
      </c>
      <c r="D255" t="s">
        <v>531</v>
      </c>
      <c r="E255" t="s">
        <v>19</v>
      </c>
      <c r="F255">
        <v>1700</v>
      </c>
    </row>
    <row r="256" spans="1:6">
      <c r="A256" t="s">
        <v>674</v>
      </c>
      <c r="B256" t="s">
        <v>17</v>
      </c>
      <c r="C256" t="s">
        <v>4</v>
      </c>
      <c r="D256" t="s">
        <v>531</v>
      </c>
      <c r="E256" t="s">
        <v>365</v>
      </c>
      <c r="F256">
        <v>1650</v>
      </c>
    </row>
    <row r="257" spans="1:6">
      <c r="A257" t="s">
        <v>674</v>
      </c>
      <c r="B257" t="s">
        <v>17</v>
      </c>
      <c r="C257" t="s">
        <v>4</v>
      </c>
      <c r="D257" t="s">
        <v>531</v>
      </c>
      <c r="E257" t="s">
        <v>452</v>
      </c>
      <c r="F257">
        <v>1600</v>
      </c>
    </row>
    <row r="258" spans="1:6">
      <c r="A258" t="s">
        <v>674</v>
      </c>
      <c r="B258" t="s">
        <v>17</v>
      </c>
      <c r="C258" t="s">
        <v>4</v>
      </c>
      <c r="D258" t="s">
        <v>531</v>
      </c>
      <c r="E258" t="s">
        <v>456</v>
      </c>
      <c r="F258">
        <v>1650</v>
      </c>
    </row>
    <row r="259" spans="1:6">
      <c r="A259" t="s">
        <v>674</v>
      </c>
      <c r="B259" t="s">
        <v>17</v>
      </c>
      <c r="C259" t="s">
        <v>4</v>
      </c>
      <c r="D259" t="s">
        <v>531</v>
      </c>
      <c r="E259" t="s">
        <v>270</v>
      </c>
      <c r="F259">
        <v>1650</v>
      </c>
    </row>
    <row r="260" spans="1:6">
      <c r="A260" t="s">
        <v>674</v>
      </c>
      <c r="B260" t="s">
        <v>17</v>
      </c>
      <c r="C260" t="s">
        <v>4</v>
      </c>
      <c r="D260" t="s">
        <v>531</v>
      </c>
      <c r="E260" t="s">
        <v>668</v>
      </c>
      <c r="F260">
        <v>1650</v>
      </c>
    </row>
    <row r="261" spans="1:6">
      <c r="A261" t="s">
        <v>674</v>
      </c>
      <c r="B261" t="s">
        <v>17</v>
      </c>
      <c r="C261" t="s">
        <v>4</v>
      </c>
      <c r="D261" t="s">
        <v>531</v>
      </c>
      <c r="E261" t="s">
        <v>434</v>
      </c>
      <c r="F261">
        <v>1600</v>
      </c>
    </row>
    <row r="262" spans="1:6">
      <c r="A262" t="s">
        <v>674</v>
      </c>
      <c r="B262" t="s">
        <v>17</v>
      </c>
      <c r="C262" t="s">
        <v>4</v>
      </c>
      <c r="D262" t="s">
        <v>531</v>
      </c>
      <c r="E262" t="s">
        <v>532</v>
      </c>
      <c r="F262">
        <v>1650</v>
      </c>
    </row>
    <row r="263" spans="1:6">
      <c r="A263" t="s">
        <v>674</v>
      </c>
      <c r="B263" t="s">
        <v>17</v>
      </c>
      <c r="C263" t="s">
        <v>4</v>
      </c>
      <c r="D263" t="s">
        <v>531</v>
      </c>
      <c r="E263" t="s">
        <v>529</v>
      </c>
      <c r="F263">
        <v>1650</v>
      </c>
    </row>
    <row r="264" spans="1:6">
      <c r="A264" t="s">
        <v>674</v>
      </c>
      <c r="B264" t="s">
        <v>17</v>
      </c>
      <c r="C264" t="s">
        <v>4</v>
      </c>
      <c r="D264" t="s">
        <v>531</v>
      </c>
      <c r="E264" t="s">
        <v>589</v>
      </c>
      <c r="F264">
        <v>1650</v>
      </c>
    </row>
    <row r="265" spans="1:6">
      <c r="A265" t="s">
        <v>674</v>
      </c>
      <c r="B265" t="s">
        <v>17</v>
      </c>
      <c r="C265" t="s">
        <v>4</v>
      </c>
      <c r="D265" t="s">
        <v>531</v>
      </c>
      <c r="E265" t="s">
        <v>606</v>
      </c>
      <c r="F265">
        <v>1650</v>
      </c>
    </row>
    <row r="266" spans="1:6">
      <c r="A266" t="s">
        <v>674</v>
      </c>
      <c r="B266" t="s">
        <v>17</v>
      </c>
      <c r="C266" t="s">
        <v>20</v>
      </c>
      <c r="D266" t="s">
        <v>531</v>
      </c>
      <c r="E266" t="s">
        <v>154</v>
      </c>
      <c r="F266">
        <v>1600</v>
      </c>
    </row>
    <row r="267" spans="1:6">
      <c r="A267" t="s">
        <v>674</v>
      </c>
      <c r="B267" t="s">
        <v>17</v>
      </c>
      <c r="C267" t="s">
        <v>20</v>
      </c>
      <c r="D267" t="s">
        <v>531</v>
      </c>
      <c r="E267" t="s">
        <v>155</v>
      </c>
      <c r="F267">
        <v>1600</v>
      </c>
    </row>
    <row r="268" spans="1:6">
      <c r="A268" t="s">
        <v>674</v>
      </c>
      <c r="B268" t="s">
        <v>17</v>
      </c>
      <c r="C268" t="s">
        <v>20</v>
      </c>
      <c r="D268" t="s">
        <v>531</v>
      </c>
      <c r="E268" t="s">
        <v>156</v>
      </c>
      <c r="F268">
        <v>1650</v>
      </c>
    </row>
    <row r="269" spans="1:6">
      <c r="A269" t="s">
        <v>674</v>
      </c>
      <c r="B269" t="s">
        <v>17</v>
      </c>
      <c r="C269" t="s">
        <v>20</v>
      </c>
      <c r="D269" t="s">
        <v>531</v>
      </c>
      <c r="E269" t="s">
        <v>21</v>
      </c>
      <c r="F269">
        <v>1710</v>
      </c>
    </row>
    <row r="270" spans="1:6">
      <c r="A270" t="s">
        <v>674</v>
      </c>
      <c r="B270" t="s">
        <v>17</v>
      </c>
      <c r="C270" t="s">
        <v>20</v>
      </c>
      <c r="D270" t="s">
        <v>531</v>
      </c>
      <c r="E270" t="s">
        <v>467</v>
      </c>
      <c r="F270">
        <v>1650</v>
      </c>
    </row>
    <row r="271" spans="1:6">
      <c r="A271" t="s">
        <v>674</v>
      </c>
      <c r="B271" t="s">
        <v>17</v>
      </c>
      <c r="C271" t="s">
        <v>20</v>
      </c>
      <c r="D271" t="s">
        <v>531</v>
      </c>
      <c r="E271" t="s">
        <v>274</v>
      </c>
      <c r="F271">
        <v>1650</v>
      </c>
    </row>
    <row r="272" spans="1:6">
      <c r="A272" t="s">
        <v>674</v>
      </c>
      <c r="B272" t="s">
        <v>17</v>
      </c>
      <c r="C272" t="s">
        <v>20</v>
      </c>
      <c r="D272" t="s">
        <v>531</v>
      </c>
      <c r="E272" t="s">
        <v>364</v>
      </c>
      <c r="F272">
        <v>1600</v>
      </c>
    </row>
    <row r="273" spans="1:6">
      <c r="A273" t="s">
        <v>674</v>
      </c>
      <c r="B273" t="s">
        <v>17</v>
      </c>
      <c r="C273" t="s">
        <v>20</v>
      </c>
      <c r="D273" t="s">
        <v>531</v>
      </c>
      <c r="E273" t="s">
        <v>308</v>
      </c>
      <c r="F273">
        <v>1650</v>
      </c>
    </row>
    <row r="274" spans="1:6">
      <c r="A274" t="s">
        <v>674</v>
      </c>
      <c r="B274" t="s">
        <v>17</v>
      </c>
      <c r="C274" t="s">
        <v>20</v>
      </c>
      <c r="D274" t="s">
        <v>531</v>
      </c>
      <c r="E274" t="s">
        <v>346</v>
      </c>
      <c r="F274">
        <v>1650</v>
      </c>
    </row>
    <row r="275" spans="1:6">
      <c r="A275" t="s">
        <v>674</v>
      </c>
      <c r="B275" t="s">
        <v>17</v>
      </c>
      <c r="C275" t="s">
        <v>20</v>
      </c>
      <c r="D275" t="s">
        <v>531</v>
      </c>
      <c r="E275" t="s">
        <v>533</v>
      </c>
      <c r="F275">
        <v>1650</v>
      </c>
    </row>
    <row r="276" spans="1:6">
      <c r="A276" t="s">
        <v>674</v>
      </c>
      <c r="B276" t="s">
        <v>17</v>
      </c>
      <c r="C276" t="s">
        <v>20</v>
      </c>
      <c r="D276" t="s">
        <v>531</v>
      </c>
      <c r="E276" t="s">
        <v>590</v>
      </c>
      <c r="F276">
        <v>1650</v>
      </c>
    </row>
    <row r="277" spans="1:6">
      <c r="A277" t="s">
        <v>674</v>
      </c>
      <c r="B277" t="s">
        <v>17</v>
      </c>
      <c r="C277" t="s">
        <v>20</v>
      </c>
      <c r="D277" t="s">
        <v>531</v>
      </c>
      <c r="E277" t="s">
        <v>591</v>
      </c>
      <c r="F277">
        <v>1650</v>
      </c>
    </row>
    <row r="278" spans="1:6">
      <c r="A278" t="s">
        <v>674</v>
      </c>
      <c r="B278" t="s">
        <v>17</v>
      </c>
      <c r="C278" t="s">
        <v>20</v>
      </c>
      <c r="D278" t="s">
        <v>531</v>
      </c>
      <c r="E278" t="s">
        <v>581</v>
      </c>
      <c r="F278">
        <v>1650</v>
      </c>
    </row>
    <row r="279" spans="1:6">
      <c r="A279" t="s">
        <v>674</v>
      </c>
      <c r="B279" t="s">
        <v>17</v>
      </c>
      <c r="C279" t="s">
        <v>20</v>
      </c>
      <c r="D279" t="s">
        <v>531</v>
      </c>
      <c r="E279" t="s">
        <v>636</v>
      </c>
      <c r="F279">
        <v>1650</v>
      </c>
    </row>
    <row r="280" spans="1:6">
      <c r="A280" t="s">
        <v>674</v>
      </c>
      <c r="B280" t="s">
        <v>17</v>
      </c>
      <c r="C280" t="s">
        <v>20</v>
      </c>
      <c r="D280" t="s">
        <v>531</v>
      </c>
      <c r="E280" t="s">
        <v>545</v>
      </c>
      <c r="F280">
        <v>1650</v>
      </c>
    </row>
    <row r="281" spans="1:6">
      <c r="A281" t="s">
        <v>674</v>
      </c>
      <c r="B281" t="s">
        <v>17</v>
      </c>
      <c r="C281" t="s">
        <v>22</v>
      </c>
      <c r="D281" t="s">
        <v>531</v>
      </c>
      <c r="E281" t="s">
        <v>23</v>
      </c>
      <c r="F281">
        <v>1600</v>
      </c>
    </row>
    <row r="282" spans="1:6">
      <c r="A282" t="s">
        <v>674</v>
      </c>
      <c r="B282" t="s">
        <v>17</v>
      </c>
      <c r="C282" t="s">
        <v>4</v>
      </c>
      <c r="D282" t="s">
        <v>8</v>
      </c>
      <c r="E282" t="s">
        <v>158</v>
      </c>
      <c r="F282">
        <v>1460</v>
      </c>
    </row>
    <row r="283" spans="1:6">
      <c r="A283" t="s">
        <v>674</v>
      </c>
      <c r="B283" t="s">
        <v>17</v>
      </c>
      <c r="C283" t="s">
        <v>4</v>
      </c>
      <c r="D283" t="s">
        <v>8</v>
      </c>
      <c r="E283" t="s">
        <v>309</v>
      </c>
      <c r="F283">
        <v>1410</v>
      </c>
    </row>
    <row r="284" spans="1:6">
      <c r="A284" t="s">
        <v>674</v>
      </c>
      <c r="B284" t="s">
        <v>17</v>
      </c>
      <c r="C284" t="s">
        <v>4</v>
      </c>
      <c r="D284" t="s">
        <v>8</v>
      </c>
      <c r="E284" t="s">
        <v>511</v>
      </c>
      <c r="F284">
        <v>1460</v>
      </c>
    </row>
    <row r="285" spans="1:6">
      <c r="A285" t="s">
        <v>674</v>
      </c>
      <c r="B285" t="s">
        <v>17</v>
      </c>
      <c r="C285" t="s">
        <v>4</v>
      </c>
      <c r="D285" t="s">
        <v>157</v>
      </c>
      <c r="E285" t="s">
        <v>303</v>
      </c>
      <c r="F285">
        <v>1610</v>
      </c>
    </row>
    <row r="286" spans="1:6">
      <c r="A286" t="s">
        <v>674</v>
      </c>
      <c r="B286" t="s">
        <v>17</v>
      </c>
      <c r="C286" t="s">
        <v>4</v>
      </c>
      <c r="D286" t="s">
        <v>157</v>
      </c>
      <c r="E286" t="s">
        <v>310</v>
      </c>
      <c r="F286">
        <v>1460</v>
      </c>
    </row>
    <row r="287" spans="1:6">
      <c r="A287" t="s">
        <v>674</v>
      </c>
      <c r="B287" t="s">
        <v>17</v>
      </c>
      <c r="C287" t="s">
        <v>4</v>
      </c>
      <c r="D287" t="s">
        <v>157</v>
      </c>
      <c r="E287" t="s">
        <v>311</v>
      </c>
      <c r="F287">
        <v>1460</v>
      </c>
    </row>
    <row r="288" spans="1:6">
      <c r="A288" t="s">
        <v>674</v>
      </c>
      <c r="B288" t="s">
        <v>17</v>
      </c>
      <c r="C288" t="s">
        <v>4</v>
      </c>
      <c r="D288" t="s">
        <v>157</v>
      </c>
      <c r="E288" t="s">
        <v>312</v>
      </c>
      <c r="F288">
        <v>1460</v>
      </c>
    </row>
    <row r="289" spans="1:6">
      <c r="A289" t="s">
        <v>674</v>
      </c>
      <c r="B289" t="s">
        <v>17</v>
      </c>
      <c r="C289" t="s">
        <v>4</v>
      </c>
      <c r="D289" t="s">
        <v>157</v>
      </c>
      <c r="E289" t="s">
        <v>313</v>
      </c>
      <c r="F289">
        <v>1460</v>
      </c>
    </row>
    <row r="290" spans="1:6">
      <c r="A290" t="s">
        <v>674</v>
      </c>
      <c r="B290" t="s">
        <v>17</v>
      </c>
      <c r="C290" t="s">
        <v>4</v>
      </c>
      <c r="D290" t="s">
        <v>157</v>
      </c>
      <c r="E290" t="s">
        <v>344</v>
      </c>
      <c r="F290">
        <v>1410</v>
      </c>
    </row>
    <row r="291" spans="1:6">
      <c r="A291" t="s">
        <v>674</v>
      </c>
      <c r="B291" t="s">
        <v>17</v>
      </c>
      <c r="C291" t="s">
        <v>4</v>
      </c>
      <c r="D291" t="s">
        <v>157</v>
      </c>
      <c r="E291" t="s">
        <v>314</v>
      </c>
      <c r="F291">
        <v>1460</v>
      </c>
    </row>
    <row r="292" spans="1:6">
      <c r="A292" t="s">
        <v>674</v>
      </c>
      <c r="B292" t="s">
        <v>17</v>
      </c>
      <c r="C292" t="s">
        <v>4</v>
      </c>
      <c r="D292" t="s">
        <v>157</v>
      </c>
      <c r="E292" t="s">
        <v>315</v>
      </c>
      <c r="F292">
        <v>1460</v>
      </c>
    </row>
    <row r="293" spans="1:6">
      <c r="A293" t="s">
        <v>674</v>
      </c>
      <c r="B293" t="s">
        <v>17</v>
      </c>
      <c r="C293" t="s">
        <v>4</v>
      </c>
      <c r="D293" t="s">
        <v>157</v>
      </c>
      <c r="E293" t="s">
        <v>511</v>
      </c>
      <c r="F293">
        <v>1460</v>
      </c>
    </row>
    <row r="294" spans="1:6">
      <c r="A294" t="s">
        <v>674</v>
      </c>
      <c r="B294" t="s">
        <v>17</v>
      </c>
      <c r="C294" t="s">
        <v>4</v>
      </c>
      <c r="D294" t="s">
        <v>157</v>
      </c>
      <c r="E294" t="s">
        <v>529</v>
      </c>
      <c r="F294">
        <v>1460</v>
      </c>
    </row>
    <row r="295" spans="1:6">
      <c r="A295" t="s">
        <v>674</v>
      </c>
      <c r="B295" t="s">
        <v>17</v>
      </c>
      <c r="C295" t="s">
        <v>4</v>
      </c>
      <c r="D295" t="s">
        <v>157</v>
      </c>
      <c r="E295" t="s">
        <v>530</v>
      </c>
      <c r="F295">
        <v>1460</v>
      </c>
    </row>
    <row r="296" spans="1:6">
      <c r="A296" t="s">
        <v>674</v>
      </c>
      <c r="B296" t="s">
        <v>17</v>
      </c>
      <c r="C296" t="s">
        <v>4</v>
      </c>
      <c r="D296" t="s">
        <v>157</v>
      </c>
      <c r="E296" t="s">
        <v>532</v>
      </c>
      <c r="F296">
        <v>1460</v>
      </c>
    </row>
    <row r="297" spans="1:6">
      <c r="A297" t="s">
        <v>674</v>
      </c>
      <c r="B297" t="s">
        <v>17</v>
      </c>
      <c r="C297" t="s">
        <v>4</v>
      </c>
      <c r="D297" t="s">
        <v>157</v>
      </c>
      <c r="E297" t="s">
        <v>560</v>
      </c>
      <c r="F297">
        <v>1460</v>
      </c>
    </row>
    <row r="298" spans="1:6">
      <c r="A298" t="s">
        <v>674</v>
      </c>
      <c r="B298" t="s">
        <v>17</v>
      </c>
      <c r="C298" t="s">
        <v>4</v>
      </c>
      <c r="D298" t="s">
        <v>157</v>
      </c>
      <c r="E298" t="s">
        <v>635</v>
      </c>
      <c r="F298">
        <v>1460</v>
      </c>
    </row>
    <row r="299" spans="1:6">
      <c r="A299" t="s">
        <v>674</v>
      </c>
      <c r="B299" t="s">
        <v>17</v>
      </c>
      <c r="C299" t="s">
        <v>653</v>
      </c>
      <c r="D299" t="s">
        <v>25</v>
      </c>
      <c r="F299" t="s">
        <v>26</v>
      </c>
    </row>
    <row r="300" spans="1:6">
      <c r="A300" t="s">
        <v>674</v>
      </c>
      <c r="B300" t="s">
        <v>17</v>
      </c>
      <c r="C300" t="s">
        <v>653</v>
      </c>
      <c r="D300" t="s">
        <v>257</v>
      </c>
      <c r="F300" t="s">
        <v>27</v>
      </c>
    </row>
    <row r="301" spans="1:6">
      <c r="A301" t="s">
        <v>674</v>
      </c>
      <c r="B301" t="s">
        <v>669</v>
      </c>
      <c r="C301" t="s">
        <v>4</v>
      </c>
      <c r="E301" t="s">
        <v>159</v>
      </c>
      <c r="F301">
        <v>1970</v>
      </c>
    </row>
    <row r="302" spans="1:6">
      <c r="A302" t="s">
        <v>674</v>
      </c>
      <c r="B302" t="s">
        <v>669</v>
      </c>
      <c r="C302" t="s">
        <v>4</v>
      </c>
      <c r="E302" t="s">
        <v>160</v>
      </c>
      <c r="F302">
        <v>1940</v>
      </c>
    </row>
    <row r="303" spans="1:6">
      <c r="A303" t="s">
        <v>674</v>
      </c>
      <c r="B303" t="s">
        <v>670</v>
      </c>
      <c r="D303" t="s">
        <v>307</v>
      </c>
      <c r="F303">
        <v>10000</v>
      </c>
    </row>
    <row r="304" spans="1:6">
      <c r="A304" t="s">
        <v>674</v>
      </c>
      <c r="B304" t="s">
        <v>670</v>
      </c>
      <c r="D304" t="s">
        <v>443</v>
      </c>
      <c r="F304">
        <v>5000</v>
      </c>
    </row>
    <row r="305" spans="1:6">
      <c r="A305" t="s">
        <v>674</v>
      </c>
      <c r="B305" t="s">
        <v>671</v>
      </c>
      <c r="C305" t="s">
        <v>4</v>
      </c>
      <c r="D305" t="s">
        <v>531</v>
      </c>
      <c r="E305" t="s">
        <v>672</v>
      </c>
      <c r="F305">
        <v>1800</v>
      </c>
    </row>
    <row r="306" spans="1:6">
      <c r="A306" t="s">
        <v>674</v>
      </c>
      <c r="B306" t="s">
        <v>673</v>
      </c>
      <c r="D306" t="s">
        <v>531</v>
      </c>
      <c r="E306" t="s">
        <v>625</v>
      </c>
      <c r="F306">
        <v>1950</v>
      </c>
    </row>
    <row r="307" spans="1:6">
      <c r="A307" t="s">
        <v>674</v>
      </c>
      <c r="B307" t="s">
        <v>673</v>
      </c>
      <c r="D307" t="s">
        <v>531</v>
      </c>
      <c r="E307" t="s">
        <v>633</v>
      </c>
      <c r="F307">
        <v>1950</v>
      </c>
    </row>
    <row r="308" spans="1:6">
      <c r="A308" s="219" t="s">
        <v>686</v>
      </c>
      <c r="B308" t="s">
        <v>670</v>
      </c>
      <c r="D308" t="s">
        <v>256</v>
      </c>
      <c r="F308" t="s">
        <v>33</v>
      </c>
    </row>
    <row r="309" spans="1:6">
      <c r="A309" s="219" t="s">
        <v>686</v>
      </c>
      <c r="B309" t="s">
        <v>676</v>
      </c>
      <c r="E309" t="s">
        <v>35</v>
      </c>
      <c r="F309">
        <v>2300</v>
      </c>
    </row>
    <row r="310" spans="1:6">
      <c r="A310" s="219" t="s">
        <v>686</v>
      </c>
      <c r="B310" t="s">
        <v>676</v>
      </c>
      <c r="E310" t="s">
        <v>36</v>
      </c>
      <c r="F310">
        <v>1900</v>
      </c>
    </row>
    <row r="311" spans="1:6">
      <c r="A311" s="219" t="s">
        <v>686</v>
      </c>
      <c r="B311" t="s">
        <v>673</v>
      </c>
      <c r="D311" t="s">
        <v>157</v>
      </c>
      <c r="E311" t="s">
        <v>161</v>
      </c>
      <c r="F311">
        <v>1700</v>
      </c>
    </row>
    <row r="312" spans="1:6">
      <c r="A312" s="219" t="s">
        <v>686</v>
      </c>
      <c r="B312" t="s">
        <v>673</v>
      </c>
      <c r="D312" t="s">
        <v>612</v>
      </c>
      <c r="E312" t="s">
        <v>613</v>
      </c>
      <c r="F312">
        <v>1750</v>
      </c>
    </row>
    <row r="313" spans="1:6">
      <c r="A313" s="219" t="s">
        <v>686</v>
      </c>
      <c r="B313" t="s">
        <v>673</v>
      </c>
      <c r="C313" t="s">
        <v>4</v>
      </c>
      <c r="D313" t="s">
        <v>531</v>
      </c>
      <c r="E313" t="s">
        <v>39</v>
      </c>
      <c r="F313">
        <v>1900</v>
      </c>
    </row>
    <row r="314" spans="1:6">
      <c r="A314" s="219" t="s">
        <v>686</v>
      </c>
      <c r="B314" t="s">
        <v>40</v>
      </c>
      <c r="D314" t="s">
        <v>677</v>
      </c>
      <c r="E314" t="s">
        <v>678</v>
      </c>
      <c r="F314" t="s">
        <v>43</v>
      </c>
    </row>
    <row r="315" spans="1:6">
      <c r="A315" s="219" t="s">
        <v>686</v>
      </c>
      <c r="B315" t="s">
        <v>40</v>
      </c>
      <c r="C315" t="s">
        <v>4</v>
      </c>
      <c r="E315" t="s">
        <v>255</v>
      </c>
      <c r="F315" t="s">
        <v>44</v>
      </c>
    </row>
    <row r="316" spans="1:6">
      <c r="A316" s="219" t="s">
        <v>686</v>
      </c>
      <c r="B316" t="s">
        <v>40</v>
      </c>
      <c r="E316" t="s">
        <v>679</v>
      </c>
      <c r="F316" t="s">
        <v>44</v>
      </c>
    </row>
    <row r="317" spans="1:6">
      <c r="A317" s="219" t="s">
        <v>686</v>
      </c>
      <c r="B317" t="s">
        <v>40</v>
      </c>
      <c r="E317" t="s">
        <v>680</v>
      </c>
      <c r="F317" t="s">
        <v>46</v>
      </c>
    </row>
    <row r="318" spans="1:6">
      <c r="A318" s="219" t="s">
        <v>686</v>
      </c>
      <c r="B318" t="s">
        <v>40</v>
      </c>
      <c r="C318" t="s">
        <v>4</v>
      </c>
      <c r="E318" t="s">
        <v>681</v>
      </c>
      <c r="F318" t="s">
        <v>44</v>
      </c>
    </row>
    <row r="319" spans="1:6">
      <c r="A319" s="219" t="s">
        <v>686</v>
      </c>
      <c r="B319" t="s">
        <v>40</v>
      </c>
      <c r="E319" t="s">
        <v>48</v>
      </c>
      <c r="F319">
        <v>1600</v>
      </c>
    </row>
    <row r="320" spans="1:6">
      <c r="A320" s="219" t="s">
        <v>686</v>
      </c>
      <c r="B320" t="s">
        <v>40</v>
      </c>
      <c r="D320" t="s">
        <v>254</v>
      </c>
      <c r="F320">
        <v>1600</v>
      </c>
    </row>
    <row r="321" spans="1:6">
      <c r="A321" s="219" t="s">
        <v>686</v>
      </c>
      <c r="B321" t="s">
        <v>682</v>
      </c>
      <c r="D321" t="s">
        <v>253</v>
      </c>
      <c r="F321" t="s">
        <v>357</v>
      </c>
    </row>
    <row r="322" spans="1:6">
      <c r="A322" s="219" t="s">
        <v>686</v>
      </c>
      <c r="B322" t="s">
        <v>682</v>
      </c>
      <c r="D322" t="s">
        <v>259</v>
      </c>
      <c r="F322" t="s">
        <v>50</v>
      </c>
    </row>
    <row r="323" spans="1:6">
      <c r="A323" s="219" t="s">
        <v>686</v>
      </c>
      <c r="B323" t="s">
        <v>683</v>
      </c>
      <c r="C323" t="s">
        <v>4</v>
      </c>
      <c r="E323" t="s">
        <v>52</v>
      </c>
      <c r="F323">
        <v>1900</v>
      </c>
    </row>
    <row r="324" spans="1:6">
      <c r="A324" s="219" t="s">
        <v>686</v>
      </c>
      <c r="B324" t="s">
        <v>343</v>
      </c>
      <c r="E324" t="s">
        <v>53</v>
      </c>
      <c r="F324">
        <v>1900</v>
      </c>
    </row>
    <row r="325" spans="1:6">
      <c r="A325" s="219" t="s">
        <v>686</v>
      </c>
      <c r="B325" t="s">
        <v>343</v>
      </c>
      <c r="E325" t="s">
        <v>54</v>
      </c>
      <c r="F325">
        <v>1650</v>
      </c>
    </row>
    <row r="326" spans="1:6">
      <c r="A326" s="219" t="s">
        <v>686</v>
      </c>
      <c r="B326" t="s">
        <v>645</v>
      </c>
      <c r="C326" t="s">
        <v>4</v>
      </c>
      <c r="D326" t="s">
        <v>250</v>
      </c>
      <c r="E326" t="s">
        <v>684</v>
      </c>
      <c r="F326">
        <v>2000</v>
      </c>
    </row>
    <row r="327" spans="1:6">
      <c r="A327" s="219" t="s">
        <v>686</v>
      </c>
      <c r="B327" t="s">
        <v>645</v>
      </c>
      <c r="C327" t="s">
        <v>4</v>
      </c>
      <c r="D327" t="s">
        <v>250</v>
      </c>
      <c r="E327" t="s">
        <v>252</v>
      </c>
      <c r="F327">
        <v>2000</v>
      </c>
    </row>
    <row r="328" spans="1:6">
      <c r="A328" s="219" t="s">
        <v>686</v>
      </c>
      <c r="B328" t="s">
        <v>645</v>
      </c>
      <c r="C328" t="s">
        <v>4</v>
      </c>
      <c r="D328" t="s">
        <v>250</v>
      </c>
      <c r="E328" t="s">
        <v>491</v>
      </c>
      <c r="F328">
        <v>1800</v>
      </c>
    </row>
    <row r="329" spans="1:6">
      <c r="A329" s="219" t="s">
        <v>686</v>
      </c>
      <c r="B329" t="s">
        <v>645</v>
      </c>
      <c r="C329" t="s">
        <v>4</v>
      </c>
      <c r="D329" t="s">
        <v>69</v>
      </c>
      <c r="E329" t="s">
        <v>649</v>
      </c>
      <c r="F329">
        <v>1800</v>
      </c>
    </row>
    <row r="330" spans="1:6">
      <c r="A330" s="219" t="s">
        <v>686</v>
      </c>
      <c r="B330" t="s">
        <v>643</v>
      </c>
      <c r="C330" t="s">
        <v>4</v>
      </c>
      <c r="E330" t="s">
        <v>58</v>
      </c>
      <c r="F330">
        <v>1720</v>
      </c>
    </row>
    <row r="331" spans="1:6">
      <c r="A331" s="219" t="s">
        <v>686</v>
      </c>
      <c r="B331" t="s">
        <v>643</v>
      </c>
      <c r="C331" t="s">
        <v>20</v>
      </c>
      <c r="E331" t="s">
        <v>59</v>
      </c>
      <c r="F331">
        <v>1720</v>
      </c>
    </row>
    <row r="332" spans="1:6">
      <c r="A332" s="219" t="s">
        <v>686</v>
      </c>
      <c r="B332" t="s">
        <v>643</v>
      </c>
      <c r="C332" t="s">
        <v>4</v>
      </c>
      <c r="E332" t="s">
        <v>60</v>
      </c>
      <c r="F332">
        <v>1720</v>
      </c>
    </row>
    <row r="333" spans="1:6">
      <c r="A333" s="219" t="s">
        <v>686</v>
      </c>
      <c r="B333" t="s">
        <v>643</v>
      </c>
      <c r="C333" t="s">
        <v>4</v>
      </c>
      <c r="E333" t="s">
        <v>62</v>
      </c>
      <c r="F333">
        <v>1720</v>
      </c>
    </row>
    <row r="334" spans="1:6">
      <c r="A334" s="219" t="s">
        <v>686</v>
      </c>
      <c r="B334" t="s">
        <v>656</v>
      </c>
      <c r="C334" t="s">
        <v>4</v>
      </c>
      <c r="E334" t="s">
        <v>649</v>
      </c>
      <c r="F334">
        <v>1800</v>
      </c>
    </row>
    <row r="335" spans="1:6">
      <c r="A335" s="219" t="s">
        <v>686</v>
      </c>
      <c r="B335" t="s">
        <v>656</v>
      </c>
      <c r="C335" t="s">
        <v>4</v>
      </c>
      <c r="E335" t="s">
        <v>575</v>
      </c>
      <c r="F335">
        <v>1800</v>
      </c>
    </row>
    <row r="336" spans="1:6">
      <c r="A336" s="219" t="s">
        <v>686</v>
      </c>
      <c r="B336" t="s">
        <v>685</v>
      </c>
      <c r="C336" t="s">
        <v>4</v>
      </c>
      <c r="E336" t="s">
        <v>505</v>
      </c>
      <c r="F336">
        <v>1800</v>
      </c>
    </row>
    <row r="337" spans="1:6">
      <c r="A337" s="219" t="s">
        <v>686</v>
      </c>
      <c r="B337" t="s">
        <v>614</v>
      </c>
      <c r="E337" t="s">
        <v>615</v>
      </c>
      <c r="F337">
        <v>1600</v>
      </c>
    </row>
    <row r="338" spans="1:6">
      <c r="A338" s="219" t="s">
        <v>686</v>
      </c>
      <c r="B338" t="s">
        <v>614</v>
      </c>
      <c r="E338" t="s">
        <v>616</v>
      </c>
      <c r="F338">
        <v>1600</v>
      </c>
    </row>
    <row r="339" spans="1:6">
      <c r="A339" s="219" t="s">
        <v>688</v>
      </c>
      <c r="B339" t="s">
        <v>61</v>
      </c>
      <c r="C339" t="s">
        <v>4</v>
      </c>
      <c r="D339" t="s">
        <v>531</v>
      </c>
      <c r="E339" t="s">
        <v>249</v>
      </c>
      <c r="F339">
        <v>1800</v>
      </c>
    </row>
    <row r="340" spans="1:6">
      <c r="A340" s="219" t="s">
        <v>688</v>
      </c>
      <c r="B340" t="s">
        <v>507</v>
      </c>
      <c r="C340" t="s">
        <v>4</v>
      </c>
      <c r="D340" t="s">
        <v>531</v>
      </c>
      <c r="E340" t="s">
        <v>162</v>
      </c>
      <c r="F340">
        <v>1900</v>
      </c>
    </row>
    <row r="341" spans="1:6">
      <c r="A341" s="219" t="s">
        <v>688</v>
      </c>
      <c r="B341" t="s">
        <v>507</v>
      </c>
      <c r="C341" t="s">
        <v>4</v>
      </c>
      <c r="D341" t="s">
        <v>433</v>
      </c>
      <c r="E341" t="s">
        <v>163</v>
      </c>
      <c r="F341">
        <v>1900</v>
      </c>
    </row>
    <row r="342" spans="1:6">
      <c r="A342" s="219" t="s">
        <v>688</v>
      </c>
      <c r="B342" t="s">
        <v>507</v>
      </c>
      <c r="C342" t="s">
        <v>4</v>
      </c>
      <c r="D342" t="s">
        <v>8</v>
      </c>
      <c r="E342" t="s">
        <v>164</v>
      </c>
      <c r="F342">
        <v>1900</v>
      </c>
    </row>
    <row r="343" spans="1:6">
      <c r="A343" s="219" t="s">
        <v>688</v>
      </c>
      <c r="B343" t="s">
        <v>507</v>
      </c>
      <c r="C343" t="s">
        <v>4</v>
      </c>
      <c r="D343" t="s">
        <v>433</v>
      </c>
      <c r="E343" t="s">
        <v>165</v>
      </c>
      <c r="F343">
        <v>1900</v>
      </c>
    </row>
    <row r="344" spans="1:6">
      <c r="A344" s="219" t="s">
        <v>688</v>
      </c>
      <c r="B344" t="s">
        <v>507</v>
      </c>
      <c r="C344" t="s">
        <v>4</v>
      </c>
      <c r="D344" t="s">
        <v>433</v>
      </c>
      <c r="E344" t="s">
        <v>432</v>
      </c>
      <c r="F344">
        <v>1900</v>
      </c>
    </row>
    <row r="345" spans="1:6">
      <c r="A345" s="219" t="s">
        <v>688</v>
      </c>
      <c r="B345" t="s">
        <v>507</v>
      </c>
      <c r="C345" t="s">
        <v>4</v>
      </c>
      <c r="D345" t="s">
        <v>433</v>
      </c>
      <c r="E345" t="s">
        <v>488</v>
      </c>
      <c r="F345">
        <v>1900</v>
      </c>
    </row>
    <row r="346" spans="1:6">
      <c r="A346" s="219" t="s">
        <v>688</v>
      </c>
      <c r="B346" t="s">
        <v>507</v>
      </c>
      <c r="C346" t="s">
        <v>4</v>
      </c>
      <c r="E346" t="s">
        <v>509</v>
      </c>
      <c r="F346">
        <v>1900</v>
      </c>
    </row>
    <row r="347" spans="1:6">
      <c r="A347" s="219" t="s">
        <v>688</v>
      </c>
      <c r="B347" t="s">
        <v>507</v>
      </c>
      <c r="C347" t="s">
        <v>4</v>
      </c>
      <c r="E347" t="s">
        <v>562</v>
      </c>
      <c r="F347">
        <v>1900</v>
      </c>
    </row>
    <row r="348" spans="1:6">
      <c r="A348" s="219" t="s">
        <v>688</v>
      </c>
      <c r="B348" t="s">
        <v>507</v>
      </c>
      <c r="C348" t="s">
        <v>4</v>
      </c>
      <c r="E348" t="s">
        <v>594</v>
      </c>
      <c r="F348">
        <v>1900</v>
      </c>
    </row>
    <row r="349" spans="1:6">
      <c r="A349" s="219" t="s">
        <v>688</v>
      </c>
      <c r="B349" t="s">
        <v>507</v>
      </c>
      <c r="C349" t="s">
        <v>4</v>
      </c>
      <c r="E349" t="s">
        <v>510</v>
      </c>
      <c r="F349">
        <v>1900</v>
      </c>
    </row>
    <row r="350" spans="1:6">
      <c r="A350" s="219" t="s">
        <v>688</v>
      </c>
      <c r="B350" t="s">
        <v>687</v>
      </c>
      <c r="C350" t="s">
        <v>4</v>
      </c>
      <c r="D350" t="s">
        <v>8</v>
      </c>
      <c r="E350" t="s">
        <v>317</v>
      </c>
      <c r="F350">
        <v>1900</v>
      </c>
    </row>
    <row r="351" spans="1:6">
      <c r="A351" s="219" t="s">
        <v>688</v>
      </c>
      <c r="B351" t="s">
        <v>349</v>
      </c>
      <c r="E351" t="s">
        <v>350</v>
      </c>
      <c r="F351">
        <v>1850</v>
      </c>
    </row>
    <row r="352" spans="1:6">
      <c r="A352" s="219" t="s">
        <v>688</v>
      </c>
      <c r="B352" t="s">
        <v>349</v>
      </c>
      <c r="E352" t="s">
        <v>351</v>
      </c>
      <c r="F352">
        <v>1900</v>
      </c>
    </row>
    <row r="353" spans="1:6">
      <c r="A353" s="219" t="s">
        <v>688</v>
      </c>
      <c r="B353" t="s">
        <v>349</v>
      </c>
      <c r="E353" t="s">
        <v>492</v>
      </c>
      <c r="F353">
        <v>1850</v>
      </c>
    </row>
    <row r="354" spans="1:6">
      <c r="A354" s="219" t="s">
        <v>688</v>
      </c>
      <c r="B354" t="s">
        <v>349</v>
      </c>
      <c r="E354" t="s">
        <v>421</v>
      </c>
      <c r="F354">
        <v>1850</v>
      </c>
    </row>
    <row r="355" spans="1:6">
      <c r="A355" s="219" t="s">
        <v>688</v>
      </c>
      <c r="B355" t="s">
        <v>349</v>
      </c>
      <c r="E355" t="s">
        <v>422</v>
      </c>
      <c r="F355">
        <v>1850</v>
      </c>
    </row>
    <row r="356" spans="1:6">
      <c r="A356" s="219" t="s">
        <v>691</v>
      </c>
      <c r="B356" t="s">
        <v>347</v>
      </c>
      <c r="C356" t="s">
        <v>4</v>
      </c>
      <c r="F356">
        <v>350000</v>
      </c>
    </row>
    <row r="357" spans="1:6">
      <c r="A357" s="219" t="s">
        <v>691</v>
      </c>
      <c r="B357" t="s">
        <v>689</v>
      </c>
      <c r="C357" t="s">
        <v>4</v>
      </c>
      <c r="D357" t="s">
        <v>348</v>
      </c>
      <c r="E357" t="s">
        <v>690</v>
      </c>
      <c r="F357">
        <v>1700</v>
      </c>
    </row>
    <row r="358" spans="1:6">
      <c r="A358" s="219" t="s">
        <v>691</v>
      </c>
      <c r="B358" t="s">
        <v>17</v>
      </c>
      <c r="C358" t="s">
        <v>4</v>
      </c>
      <c r="E358" t="s">
        <v>560</v>
      </c>
      <c r="F358">
        <v>1460</v>
      </c>
    </row>
    <row r="359" spans="1:6">
      <c r="A359" s="219" t="s">
        <v>693</v>
      </c>
      <c r="B359" t="s">
        <v>689</v>
      </c>
      <c r="C359" t="s">
        <v>4</v>
      </c>
      <c r="D359" t="s">
        <v>192</v>
      </c>
      <c r="E359" t="s">
        <v>690</v>
      </c>
      <c r="F359">
        <v>1900</v>
      </c>
    </row>
    <row r="360" spans="1:6">
      <c r="A360" s="219" t="s">
        <v>693</v>
      </c>
      <c r="B360" t="s">
        <v>689</v>
      </c>
      <c r="C360" t="s">
        <v>20</v>
      </c>
      <c r="E360" t="s">
        <v>194</v>
      </c>
      <c r="F360">
        <v>1900</v>
      </c>
    </row>
    <row r="361" spans="1:6">
      <c r="A361" s="219" t="s">
        <v>693</v>
      </c>
      <c r="B361" t="s">
        <v>689</v>
      </c>
      <c r="C361" t="s">
        <v>20</v>
      </c>
      <c r="E361" t="s">
        <v>195</v>
      </c>
      <c r="F361">
        <v>1900</v>
      </c>
    </row>
    <row r="362" spans="1:6">
      <c r="A362" s="219" t="s">
        <v>693</v>
      </c>
      <c r="B362" t="s">
        <v>40</v>
      </c>
      <c r="D362" t="s">
        <v>318</v>
      </c>
      <c r="F362" t="s">
        <v>90</v>
      </c>
    </row>
    <row r="363" spans="1:6">
      <c r="A363" s="219" t="s">
        <v>693</v>
      </c>
      <c r="B363" t="s">
        <v>40</v>
      </c>
      <c r="D363" t="s">
        <v>319</v>
      </c>
      <c r="F363" t="s">
        <v>91</v>
      </c>
    </row>
    <row r="364" spans="1:6">
      <c r="A364" s="219" t="s">
        <v>693</v>
      </c>
      <c r="B364" t="s">
        <v>40</v>
      </c>
      <c r="D364" t="s">
        <v>320</v>
      </c>
      <c r="F364" t="s">
        <v>92</v>
      </c>
    </row>
    <row r="365" spans="1:6">
      <c r="A365" s="219" t="s">
        <v>693</v>
      </c>
      <c r="B365" t="s">
        <v>40</v>
      </c>
      <c r="D365" t="s">
        <v>321</v>
      </c>
      <c r="F365" t="s">
        <v>90</v>
      </c>
    </row>
    <row r="366" spans="1:6">
      <c r="A366" s="219" t="s">
        <v>693</v>
      </c>
      <c r="B366" t="s">
        <v>40</v>
      </c>
      <c r="D366" t="s">
        <v>93</v>
      </c>
      <c r="F366" t="s">
        <v>94</v>
      </c>
    </row>
    <row r="367" spans="1:6">
      <c r="A367" s="219" t="s">
        <v>693</v>
      </c>
      <c r="B367" t="s">
        <v>40</v>
      </c>
      <c r="D367" t="s">
        <v>95</v>
      </c>
      <c r="F367" t="s">
        <v>96</v>
      </c>
    </row>
    <row r="368" spans="1:6">
      <c r="A368" s="219" t="s">
        <v>693</v>
      </c>
      <c r="B368" t="s">
        <v>40</v>
      </c>
      <c r="D368" t="s">
        <v>97</v>
      </c>
      <c r="F368" t="s">
        <v>98</v>
      </c>
    </row>
    <row r="369" spans="1:6">
      <c r="A369" s="219" t="s">
        <v>693</v>
      </c>
      <c r="B369" t="s">
        <v>40</v>
      </c>
      <c r="D369" t="s">
        <v>99</v>
      </c>
      <c r="F369" t="s">
        <v>100</v>
      </c>
    </row>
    <row r="370" spans="1:6">
      <c r="A370" s="219" t="s">
        <v>693</v>
      </c>
      <c r="B370" t="s">
        <v>40</v>
      </c>
      <c r="D370" t="s">
        <v>101</v>
      </c>
      <c r="F370" t="s">
        <v>102</v>
      </c>
    </row>
    <row r="371" spans="1:6">
      <c r="A371" s="219" t="s">
        <v>693</v>
      </c>
      <c r="B371" t="s">
        <v>40</v>
      </c>
      <c r="D371" t="s">
        <v>103</v>
      </c>
      <c r="F371" t="s">
        <v>104</v>
      </c>
    </row>
    <row r="372" spans="1:6">
      <c r="A372" s="219" t="s">
        <v>693</v>
      </c>
      <c r="B372" t="s">
        <v>40</v>
      </c>
      <c r="D372" t="s">
        <v>105</v>
      </c>
      <c r="F372" t="s">
        <v>106</v>
      </c>
    </row>
    <row r="373" spans="1:6">
      <c r="A373" s="219" t="s">
        <v>693</v>
      </c>
      <c r="B373" t="s">
        <v>40</v>
      </c>
      <c r="D373" t="s">
        <v>322</v>
      </c>
      <c r="F373" t="s">
        <v>323</v>
      </c>
    </row>
    <row r="374" spans="1:6">
      <c r="A374" s="219" t="s">
        <v>693</v>
      </c>
      <c r="B374" t="s">
        <v>40</v>
      </c>
      <c r="D374" t="s">
        <v>245</v>
      </c>
      <c r="F374" t="s">
        <v>102</v>
      </c>
    </row>
    <row r="375" spans="1:6">
      <c r="A375" s="219" t="s">
        <v>693</v>
      </c>
      <c r="B375" t="s">
        <v>40</v>
      </c>
      <c r="D375" t="s">
        <v>246</v>
      </c>
      <c r="F375" t="s">
        <v>102</v>
      </c>
    </row>
    <row r="376" spans="1:6">
      <c r="A376" s="219" t="s">
        <v>693</v>
      </c>
      <c r="B376" t="s">
        <v>40</v>
      </c>
      <c r="D376" t="s">
        <v>692</v>
      </c>
      <c r="F376" t="s">
        <v>107</v>
      </c>
    </row>
    <row r="377" spans="1:6">
      <c r="A377" s="219" t="s">
        <v>693</v>
      </c>
      <c r="B377" t="s">
        <v>40</v>
      </c>
      <c r="D377" t="s">
        <v>324</v>
      </c>
      <c r="F377" t="s">
        <v>325</v>
      </c>
    </row>
    <row r="378" spans="1:6">
      <c r="A378" s="219" t="s">
        <v>693</v>
      </c>
      <c r="B378" t="s">
        <v>40</v>
      </c>
      <c r="D378" t="s">
        <v>324</v>
      </c>
      <c r="F378" t="s">
        <v>326</v>
      </c>
    </row>
    <row r="379" spans="1:6">
      <c r="A379" s="219" t="s">
        <v>693</v>
      </c>
      <c r="B379" t="s">
        <v>40</v>
      </c>
      <c r="D379" t="s">
        <v>324</v>
      </c>
      <c r="F379" t="s">
        <v>327</v>
      </c>
    </row>
    <row r="380" spans="1:6">
      <c r="A380" s="219" t="s">
        <v>693</v>
      </c>
      <c r="B380" t="s">
        <v>40</v>
      </c>
      <c r="D380" t="s">
        <v>395</v>
      </c>
      <c r="F380">
        <v>10000</v>
      </c>
    </row>
    <row r="381" spans="1:6">
      <c r="A381" s="219" t="s">
        <v>693</v>
      </c>
      <c r="B381" t="s">
        <v>40</v>
      </c>
      <c r="D381" t="s">
        <v>395</v>
      </c>
      <c r="F381">
        <v>1800</v>
      </c>
    </row>
    <row r="382" spans="1:6">
      <c r="A382" s="219" t="s">
        <v>697</v>
      </c>
      <c r="B382" t="s">
        <v>145</v>
      </c>
      <c r="C382" t="s">
        <v>4</v>
      </c>
      <c r="E382" t="s">
        <v>236</v>
      </c>
      <c r="F382">
        <v>1680</v>
      </c>
    </row>
    <row r="383" spans="1:6">
      <c r="A383" s="219" t="s">
        <v>697</v>
      </c>
      <c r="B383" t="s">
        <v>145</v>
      </c>
      <c r="C383" t="s">
        <v>4</v>
      </c>
      <c r="E383" t="s">
        <v>237</v>
      </c>
      <c r="F383">
        <v>1680</v>
      </c>
    </row>
    <row r="384" spans="1:6">
      <c r="A384" s="219" t="s">
        <v>697</v>
      </c>
      <c r="B384" t="s">
        <v>145</v>
      </c>
      <c r="C384" t="s">
        <v>4</v>
      </c>
      <c r="E384" t="s">
        <v>238</v>
      </c>
      <c r="F384">
        <v>1680</v>
      </c>
    </row>
    <row r="385" spans="1:6">
      <c r="A385" s="219" t="s">
        <v>697</v>
      </c>
      <c r="B385" t="s">
        <v>645</v>
      </c>
      <c r="C385" t="s">
        <v>4</v>
      </c>
      <c r="D385" t="s">
        <v>694</v>
      </c>
      <c r="F385" t="s">
        <v>146</v>
      </c>
    </row>
    <row r="386" spans="1:6">
      <c r="A386" s="219" t="s">
        <v>697</v>
      </c>
      <c r="B386" t="s">
        <v>645</v>
      </c>
      <c r="C386" t="s">
        <v>4</v>
      </c>
      <c r="D386" t="s">
        <v>64</v>
      </c>
      <c r="F386" t="s">
        <v>147</v>
      </c>
    </row>
    <row r="387" spans="1:6">
      <c r="A387" s="219" t="s">
        <v>697</v>
      </c>
      <c r="B387" t="s">
        <v>645</v>
      </c>
      <c r="C387" t="s">
        <v>4</v>
      </c>
      <c r="D387" t="s">
        <v>695</v>
      </c>
      <c r="F387" t="s">
        <v>148</v>
      </c>
    </row>
    <row r="388" spans="1:6">
      <c r="A388" s="219" t="s">
        <v>697</v>
      </c>
      <c r="B388" t="s">
        <v>40</v>
      </c>
      <c r="C388" t="s">
        <v>4</v>
      </c>
      <c r="D388" t="s">
        <v>239</v>
      </c>
      <c r="E388" t="s">
        <v>696</v>
      </c>
      <c r="F388" t="s">
        <v>149</v>
      </c>
    </row>
    <row r="389" spans="1:6">
      <c r="A389" s="219" t="s">
        <v>697</v>
      </c>
      <c r="B389" t="s">
        <v>40</v>
      </c>
      <c r="C389" t="s">
        <v>4</v>
      </c>
      <c r="D389" t="s">
        <v>150</v>
      </c>
      <c r="F389">
        <v>1500</v>
      </c>
    </row>
    <row r="390" spans="1:6">
      <c r="A390" s="219" t="s">
        <v>697</v>
      </c>
      <c r="B390" t="s">
        <v>40</v>
      </c>
      <c r="C390" t="s">
        <v>4</v>
      </c>
      <c r="D390" t="s">
        <v>151</v>
      </c>
      <c r="F390">
        <v>1750</v>
      </c>
    </row>
    <row r="391" spans="1:6">
      <c r="A391" s="219" t="s">
        <v>702</v>
      </c>
      <c r="B391" t="s">
        <v>698</v>
      </c>
      <c r="D391" t="s">
        <v>86</v>
      </c>
      <c r="E391" t="s">
        <v>699</v>
      </c>
      <c r="F391">
        <v>1500</v>
      </c>
    </row>
    <row r="392" spans="1:6">
      <c r="A392" s="219" t="s">
        <v>702</v>
      </c>
      <c r="B392" t="s">
        <v>698</v>
      </c>
      <c r="D392" t="s">
        <v>86</v>
      </c>
      <c r="E392" t="s">
        <v>608</v>
      </c>
      <c r="F392">
        <v>1500</v>
      </c>
    </row>
    <row r="393" spans="1:6">
      <c r="A393" s="219" t="s">
        <v>702</v>
      </c>
      <c r="B393" t="s">
        <v>698</v>
      </c>
      <c r="D393" t="s">
        <v>86</v>
      </c>
      <c r="E393" t="s">
        <v>609</v>
      </c>
      <c r="F393">
        <v>1500</v>
      </c>
    </row>
    <row r="394" spans="1:6">
      <c r="A394" s="219" t="s">
        <v>702</v>
      </c>
      <c r="B394" t="s">
        <v>40</v>
      </c>
      <c r="C394" t="s">
        <v>20</v>
      </c>
      <c r="D394" t="s">
        <v>501</v>
      </c>
      <c r="E394" t="s">
        <v>700</v>
      </c>
      <c r="F394">
        <v>1500</v>
      </c>
    </row>
    <row r="395" spans="1:6">
      <c r="A395" s="219" t="s">
        <v>702</v>
      </c>
      <c r="B395" t="s">
        <v>40</v>
      </c>
      <c r="C395" t="s">
        <v>20</v>
      </c>
      <c r="D395" t="s">
        <v>24</v>
      </c>
      <c r="E395" t="s">
        <v>701</v>
      </c>
      <c r="F395">
        <v>1500</v>
      </c>
    </row>
    <row r="396" spans="1:6">
      <c r="B396" t="s">
        <v>703</v>
      </c>
      <c r="C396" t="s">
        <v>4</v>
      </c>
      <c r="D396" t="s">
        <v>120</v>
      </c>
      <c r="E396" t="s">
        <v>121</v>
      </c>
      <c r="F396">
        <v>1700</v>
      </c>
    </row>
    <row r="397" spans="1:6">
      <c r="B397" t="s">
        <v>703</v>
      </c>
      <c r="C397" t="s">
        <v>4</v>
      </c>
      <c r="D397" t="s">
        <v>120</v>
      </c>
      <c r="E397" t="s">
        <v>122</v>
      </c>
      <c r="F397">
        <v>1550</v>
      </c>
    </row>
    <row r="398" spans="1:6">
      <c r="B398" t="s">
        <v>704</v>
      </c>
      <c r="C398" t="s">
        <v>4</v>
      </c>
      <c r="D398" t="s">
        <v>517</v>
      </c>
      <c r="E398" t="s">
        <v>705</v>
      </c>
      <c r="F398">
        <v>1710</v>
      </c>
    </row>
    <row r="399" spans="1:6">
      <c r="B399" t="s">
        <v>704</v>
      </c>
      <c r="C399" t="s">
        <v>4</v>
      </c>
      <c r="D399" t="s">
        <v>517</v>
      </c>
      <c r="E399" t="s">
        <v>705</v>
      </c>
      <c r="F399">
        <v>1695</v>
      </c>
    </row>
    <row r="400" spans="1:6">
      <c r="B400" t="s">
        <v>704</v>
      </c>
      <c r="C400" t="s">
        <v>4</v>
      </c>
      <c r="D400" t="s">
        <v>517</v>
      </c>
      <c r="E400" t="s">
        <v>447</v>
      </c>
      <c r="F400">
        <v>1695</v>
      </c>
    </row>
    <row r="401" spans="2:6">
      <c r="B401" t="s">
        <v>704</v>
      </c>
      <c r="C401" t="s">
        <v>4</v>
      </c>
      <c r="D401" t="s">
        <v>517</v>
      </c>
      <c r="E401" t="s">
        <v>706</v>
      </c>
      <c r="F401">
        <v>1680</v>
      </c>
    </row>
    <row r="402" spans="2:6">
      <c r="B402" t="s">
        <v>704</v>
      </c>
      <c r="C402" t="s">
        <v>4</v>
      </c>
      <c r="D402" t="s">
        <v>517</v>
      </c>
      <c r="E402" t="s">
        <v>706</v>
      </c>
      <c r="F402">
        <v>1780</v>
      </c>
    </row>
    <row r="403" spans="2:6">
      <c r="B403" t="s">
        <v>704</v>
      </c>
      <c r="C403" t="s">
        <v>4</v>
      </c>
      <c r="D403" t="s">
        <v>517</v>
      </c>
      <c r="E403" t="s">
        <v>707</v>
      </c>
      <c r="F403">
        <v>1695</v>
      </c>
    </row>
    <row r="404" spans="2:6">
      <c r="B404" t="s">
        <v>704</v>
      </c>
      <c r="C404" t="s">
        <v>4</v>
      </c>
      <c r="D404" t="s">
        <v>517</v>
      </c>
      <c r="E404" t="s">
        <v>707</v>
      </c>
      <c r="F404">
        <v>1710</v>
      </c>
    </row>
    <row r="405" spans="2:6">
      <c r="B405" t="s">
        <v>704</v>
      </c>
      <c r="C405" t="s">
        <v>4</v>
      </c>
      <c r="D405" t="s">
        <v>517</v>
      </c>
      <c r="E405" t="s">
        <v>708</v>
      </c>
      <c r="F405">
        <v>1695</v>
      </c>
    </row>
    <row r="406" spans="2:6">
      <c r="B406" t="s">
        <v>704</v>
      </c>
      <c r="C406" t="s">
        <v>4</v>
      </c>
      <c r="D406" t="s">
        <v>517</v>
      </c>
      <c r="E406" t="s">
        <v>708</v>
      </c>
      <c r="F406">
        <v>1710</v>
      </c>
    </row>
    <row r="407" spans="2:6">
      <c r="B407" t="s">
        <v>704</v>
      </c>
      <c r="C407" t="s">
        <v>4</v>
      </c>
      <c r="D407" t="s">
        <v>517</v>
      </c>
      <c r="E407" t="s">
        <v>708</v>
      </c>
      <c r="F407">
        <v>1780</v>
      </c>
    </row>
    <row r="408" spans="2:6">
      <c r="B408" t="s">
        <v>704</v>
      </c>
      <c r="C408" t="s">
        <v>4</v>
      </c>
      <c r="D408" t="s">
        <v>517</v>
      </c>
      <c r="E408" t="s">
        <v>361</v>
      </c>
      <c r="F408">
        <v>1680</v>
      </c>
    </row>
    <row r="409" spans="2:6">
      <c r="B409" t="s">
        <v>704</v>
      </c>
      <c r="C409" t="s">
        <v>4</v>
      </c>
      <c r="D409" t="s">
        <v>517</v>
      </c>
      <c r="E409" t="s">
        <v>362</v>
      </c>
      <c r="F409">
        <v>1680</v>
      </c>
    </row>
    <row r="410" spans="2:6">
      <c r="B410" t="s">
        <v>704</v>
      </c>
      <c r="C410" t="s">
        <v>4</v>
      </c>
      <c r="E410" t="s">
        <v>417</v>
      </c>
      <c r="F410">
        <v>1680</v>
      </c>
    </row>
    <row r="411" spans="2:6">
      <c r="B411" t="s">
        <v>704</v>
      </c>
      <c r="C411" t="s">
        <v>4</v>
      </c>
      <c r="D411" t="s">
        <v>124</v>
      </c>
      <c r="E411" t="s">
        <v>205</v>
      </c>
      <c r="F411">
        <v>2149</v>
      </c>
    </row>
    <row r="412" spans="2:6">
      <c r="B412" t="s">
        <v>704</v>
      </c>
      <c r="C412" t="s">
        <v>4</v>
      </c>
      <c r="E412" t="s">
        <v>493</v>
      </c>
      <c r="F412">
        <v>1695</v>
      </c>
    </row>
    <row r="413" spans="2:6">
      <c r="B413" t="s">
        <v>704</v>
      </c>
      <c r="C413" t="s">
        <v>4</v>
      </c>
      <c r="E413" t="s">
        <v>494</v>
      </c>
      <c r="F413">
        <v>1695</v>
      </c>
    </row>
    <row r="414" spans="2:6">
      <c r="B414" t="s">
        <v>704</v>
      </c>
      <c r="C414" t="s">
        <v>4</v>
      </c>
      <c r="E414" t="s">
        <v>425</v>
      </c>
      <c r="F414">
        <v>1690</v>
      </c>
    </row>
    <row r="415" spans="2:6">
      <c r="B415" t="s">
        <v>704</v>
      </c>
      <c r="C415" t="s">
        <v>4</v>
      </c>
      <c r="E415" t="s">
        <v>125</v>
      </c>
      <c r="F415">
        <v>1965</v>
      </c>
    </row>
    <row r="416" spans="2:6">
      <c r="B416" t="s">
        <v>704</v>
      </c>
      <c r="C416" t="s">
        <v>4</v>
      </c>
      <c r="E416" t="s">
        <v>126</v>
      </c>
      <c r="F416">
        <v>1580</v>
      </c>
    </row>
    <row r="417" spans="2:6">
      <c r="B417" t="s">
        <v>704</v>
      </c>
      <c r="C417" t="s">
        <v>4</v>
      </c>
      <c r="E417" t="s">
        <v>475</v>
      </c>
      <c r="F417">
        <v>1695</v>
      </c>
    </row>
    <row r="418" spans="2:6">
      <c r="B418" t="s">
        <v>704</v>
      </c>
      <c r="C418" t="s">
        <v>4</v>
      </c>
      <c r="E418" t="s">
        <v>328</v>
      </c>
      <c r="F418">
        <v>1580</v>
      </c>
    </row>
    <row r="419" spans="2:6">
      <c r="B419" t="s">
        <v>704</v>
      </c>
      <c r="C419" t="s">
        <v>4</v>
      </c>
      <c r="E419" t="s">
        <v>515</v>
      </c>
      <c r="F419">
        <v>1695</v>
      </c>
    </row>
    <row r="420" spans="2:6">
      <c r="B420" t="s">
        <v>704</v>
      </c>
      <c r="C420" t="s">
        <v>4</v>
      </c>
      <c r="E420" t="s">
        <v>516</v>
      </c>
      <c r="F420">
        <v>1695</v>
      </c>
    </row>
    <row r="421" spans="2:6">
      <c r="B421" t="s">
        <v>704</v>
      </c>
      <c r="C421" t="s">
        <v>4</v>
      </c>
      <c r="E421" t="s">
        <v>522</v>
      </c>
      <c r="F421">
        <v>1695</v>
      </c>
    </row>
    <row r="422" spans="2:6">
      <c r="B422" t="s">
        <v>704</v>
      </c>
      <c r="C422" t="s">
        <v>4</v>
      </c>
      <c r="E422" t="s">
        <v>567</v>
      </c>
      <c r="F422">
        <v>1695</v>
      </c>
    </row>
    <row r="423" spans="2:6">
      <c r="B423" t="s">
        <v>704</v>
      </c>
      <c r="C423" t="s">
        <v>4</v>
      </c>
      <c r="E423" t="s">
        <v>524</v>
      </c>
      <c r="F423">
        <v>1695</v>
      </c>
    </row>
    <row r="424" spans="2:6">
      <c r="B424" t="s">
        <v>704</v>
      </c>
      <c r="C424" t="s">
        <v>4</v>
      </c>
      <c r="E424" t="s">
        <v>523</v>
      </c>
      <c r="F424">
        <v>1695</v>
      </c>
    </row>
    <row r="425" spans="2:6">
      <c r="B425" t="s">
        <v>704</v>
      </c>
      <c r="C425" t="s">
        <v>4</v>
      </c>
      <c r="E425" t="s">
        <v>622</v>
      </c>
      <c r="F425">
        <v>1695</v>
      </c>
    </row>
    <row r="426" spans="2:6">
      <c r="B426" t="s">
        <v>704</v>
      </c>
      <c r="C426" t="s">
        <v>4</v>
      </c>
      <c r="E426" t="s">
        <v>624</v>
      </c>
      <c r="F426">
        <v>1695</v>
      </c>
    </row>
    <row r="427" spans="2:6">
      <c r="B427" t="s">
        <v>704</v>
      </c>
      <c r="C427" t="s">
        <v>4</v>
      </c>
      <c r="E427" t="s">
        <v>623</v>
      </c>
      <c r="F427">
        <v>1695</v>
      </c>
    </row>
    <row r="428" spans="2:6">
      <c r="B428" t="s">
        <v>127</v>
      </c>
      <c r="C428" t="s">
        <v>4</v>
      </c>
      <c r="D428" t="s">
        <v>517</v>
      </c>
      <c r="E428" t="s">
        <v>709</v>
      </c>
      <c r="F428">
        <v>1680</v>
      </c>
    </row>
    <row r="429" spans="2:6">
      <c r="B429" t="s">
        <v>127</v>
      </c>
      <c r="C429" t="s">
        <v>4</v>
      </c>
      <c r="D429" t="s">
        <v>517</v>
      </c>
      <c r="E429" t="s">
        <v>129</v>
      </c>
      <c r="F429">
        <v>1680</v>
      </c>
    </row>
    <row r="430" spans="2:6">
      <c r="B430" t="s">
        <v>127</v>
      </c>
      <c r="C430" t="s">
        <v>4</v>
      </c>
      <c r="D430" t="s">
        <v>517</v>
      </c>
      <c r="E430" t="s">
        <v>130</v>
      </c>
      <c r="F430">
        <v>1500</v>
      </c>
    </row>
    <row r="431" spans="2:6">
      <c r="B431" t="s">
        <v>710</v>
      </c>
      <c r="C431" t="s">
        <v>4</v>
      </c>
      <c r="D431" t="s">
        <v>517</v>
      </c>
      <c r="E431" t="s">
        <v>130</v>
      </c>
      <c r="F431">
        <v>1500</v>
      </c>
    </row>
    <row r="432" spans="2:6">
      <c r="B432" t="s">
        <v>710</v>
      </c>
      <c r="C432" t="s">
        <v>4</v>
      </c>
      <c r="D432" t="s">
        <v>517</v>
      </c>
      <c r="E432" t="s">
        <v>329</v>
      </c>
      <c r="F432">
        <v>1500</v>
      </c>
    </row>
    <row r="433" spans="2:6">
      <c r="B433" t="s">
        <v>711</v>
      </c>
      <c r="C433" t="s">
        <v>4</v>
      </c>
      <c r="D433" t="s">
        <v>517</v>
      </c>
      <c r="E433" t="s">
        <v>133</v>
      </c>
      <c r="F433">
        <v>1540</v>
      </c>
    </row>
    <row r="434" spans="2:6">
      <c r="B434" t="s">
        <v>654</v>
      </c>
      <c r="C434" t="s">
        <v>4</v>
      </c>
      <c r="D434" t="s">
        <v>517</v>
      </c>
      <c r="E434" t="s">
        <v>206</v>
      </c>
      <c r="F434">
        <v>1450</v>
      </c>
    </row>
    <row r="435" spans="2:6">
      <c r="B435" t="s">
        <v>654</v>
      </c>
      <c r="C435" t="s">
        <v>4</v>
      </c>
      <c r="D435" t="s">
        <v>517</v>
      </c>
      <c r="E435" t="s">
        <v>359</v>
      </c>
      <c r="F435">
        <v>1460</v>
      </c>
    </row>
    <row r="436" spans="2:6">
      <c r="B436" t="s">
        <v>654</v>
      </c>
      <c r="C436" t="s">
        <v>4</v>
      </c>
      <c r="D436" t="s">
        <v>517</v>
      </c>
      <c r="E436" t="s">
        <v>207</v>
      </c>
      <c r="F436">
        <v>1450</v>
      </c>
    </row>
    <row r="437" spans="2:6">
      <c r="B437" t="s">
        <v>654</v>
      </c>
      <c r="C437" t="s">
        <v>4</v>
      </c>
      <c r="D437" t="s">
        <v>517</v>
      </c>
      <c r="E437" t="s">
        <v>712</v>
      </c>
      <c r="F437">
        <v>1460</v>
      </c>
    </row>
    <row r="438" spans="2:6">
      <c r="B438" t="s">
        <v>654</v>
      </c>
      <c r="C438" t="s">
        <v>4</v>
      </c>
      <c r="D438" t="s">
        <v>517</v>
      </c>
      <c r="E438" t="s">
        <v>713</v>
      </c>
      <c r="F438">
        <v>1430</v>
      </c>
    </row>
    <row r="439" spans="2:6">
      <c r="B439" t="s">
        <v>654</v>
      </c>
      <c r="C439" t="s">
        <v>4</v>
      </c>
      <c r="D439" t="s">
        <v>517</v>
      </c>
      <c r="E439" t="s">
        <v>714</v>
      </c>
      <c r="F439">
        <v>1430</v>
      </c>
    </row>
    <row r="440" spans="2:6">
      <c r="B440" t="s">
        <v>654</v>
      </c>
      <c r="C440" t="s">
        <v>4</v>
      </c>
      <c r="D440" t="s">
        <v>517</v>
      </c>
      <c r="E440" t="s">
        <v>210</v>
      </c>
      <c r="F440">
        <v>1390</v>
      </c>
    </row>
    <row r="441" spans="2:6">
      <c r="B441" t="s">
        <v>654</v>
      </c>
      <c r="C441" t="s">
        <v>4</v>
      </c>
      <c r="D441" t="s">
        <v>517</v>
      </c>
      <c r="E441" t="s">
        <v>211</v>
      </c>
      <c r="F441">
        <v>1420</v>
      </c>
    </row>
    <row r="442" spans="2:6">
      <c r="B442" t="s">
        <v>654</v>
      </c>
      <c r="C442" t="s">
        <v>4</v>
      </c>
      <c r="D442" t="s">
        <v>517</v>
      </c>
      <c r="E442" t="s">
        <v>212</v>
      </c>
      <c r="F442">
        <v>1420</v>
      </c>
    </row>
    <row r="443" spans="2:6">
      <c r="B443" t="s">
        <v>654</v>
      </c>
      <c r="C443" t="s">
        <v>4</v>
      </c>
      <c r="D443" t="s">
        <v>517</v>
      </c>
      <c r="E443" t="s">
        <v>213</v>
      </c>
      <c r="F443">
        <v>1420</v>
      </c>
    </row>
    <row r="444" spans="2:6">
      <c r="B444" t="s">
        <v>654</v>
      </c>
      <c r="C444" t="s">
        <v>4</v>
      </c>
      <c r="D444" t="s">
        <v>517</v>
      </c>
      <c r="E444" t="s">
        <v>214</v>
      </c>
      <c r="F444">
        <v>1490</v>
      </c>
    </row>
    <row r="445" spans="2:6">
      <c r="B445" t="s">
        <v>654</v>
      </c>
      <c r="C445" t="s">
        <v>4</v>
      </c>
      <c r="D445" t="s">
        <v>517</v>
      </c>
      <c r="E445" t="s">
        <v>215</v>
      </c>
      <c r="F445">
        <v>1490</v>
      </c>
    </row>
    <row r="446" spans="2:6">
      <c r="B446" t="s">
        <v>654</v>
      </c>
      <c r="C446" t="s">
        <v>4</v>
      </c>
      <c r="D446" t="s">
        <v>517</v>
      </c>
      <c r="E446" t="s">
        <v>135</v>
      </c>
      <c r="F446">
        <v>1530</v>
      </c>
    </row>
    <row r="447" spans="2:6">
      <c r="B447" t="s">
        <v>654</v>
      </c>
      <c r="C447" t="s">
        <v>4</v>
      </c>
      <c r="D447" t="s">
        <v>517</v>
      </c>
      <c r="E447" t="s">
        <v>216</v>
      </c>
      <c r="F447">
        <v>1550</v>
      </c>
    </row>
    <row r="448" spans="2:6">
      <c r="B448" t="s">
        <v>654</v>
      </c>
      <c r="C448" t="s">
        <v>4</v>
      </c>
      <c r="D448" t="s">
        <v>517</v>
      </c>
      <c r="E448" t="s">
        <v>217</v>
      </c>
      <c r="F448">
        <v>1580</v>
      </c>
    </row>
    <row r="449" spans="2:6">
      <c r="B449" t="s">
        <v>654</v>
      </c>
      <c r="C449" t="s">
        <v>4</v>
      </c>
      <c r="D449" t="s">
        <v>517</v>
      </c>
      <c r="E449" t="s">
        <v>218</v>
      </c>
      <c r="F449">
        <v>1580</v>
      </c>
    </row>
    <row r="450" spans="2:6">
      <c r="B450" t="s">
        <v>654</v>
      </c>
      <c r="C450" t="s">
        <v>4</v>
      </c>
      <c r="D450" t="s">
        <v>517</v>
      </c>
      <c r="E450" t="s">
        <v>358</v>
      </c>
      <c r="F450">
        <v>1550</v>
      </c>
    </row>
    <row r="451" spans="2:6">
      <c r="B451" t="s">
        <v>654</v>
      </c>
      <c r="C451" t="s">
        <v>4</v>
      </c>
      <c r="D451" t="s">
        <v>517</v>
      </c>
      <c r="E451" t="s">
        <v>219</v>
      </c>
      <c r="F451">
        <v>1550</v>
      </c>
    </row>
    <row r="452" spans="2:6">
      <c r="B452" t="s">
        <v>654</v>
      </c>
      <c r="C452" t="s">
        <v>4</v>
      </c>
      <c r="D452" t="s">
        <v>517</v>
      </c>
      <c r="E452" t="s">
        <v>220</v>
      </c>
      <c r="F452">
        <v>1550</v>
      </c>
    </row>
    <row r="453" spans="2:6">
      <c r="B453" t="s">
        <v>654</v>
      </c>
      <c r="C453" t="s">
        <v>4</v>
      </c>
      <c r="D453" t="s">
        <v>517</v>
      </c>
      <c r="E453" t="s">
        <v>221</v>
      </c>
      <c r="F453">
        <v>1550</v>
      </c>
    </row>
    <row r="454" spans="2:6">
      <c r="B454" t="s">
        <v>654</v>
      </c>
      <c r="C454" t="s">
        <v>4</v>
      </c>
      <c r="D454" t="s">
        <v>517</v>
      </c>
      <c r="E454" t="s">
        <v>222</v>
      </c>
      <c r="F454">
        <v>1550</v>
      </c>
    </row>
    <row r="455" spans="2:6">
      <c r="B455" t="s">
        <v>654</v>
      </c>
      <c r="C455" t="s">
        <v>4</v>
      </c>
      <c r="D455" t="s">
        <v>517</v>
      </c>
      <c r="E455" t="s">
        <v>223</v>
      </c>
      <c r="F455">
        <v>1550</v>
      </c>
    </row>
    <row r="456" spans="2:6">
      <c r="B456" t="s">
        <v>654</v>
      </c>
      <c r="C456" t="s">
        <v>4</v>
      </c>
      <c r="D456" t="s">
        <v>517</v>
      </c>
      <c r="E456" t="s">
        <v>224</v>
      </c>
      <c r="F456">
        <v>1580</v>
      </c>
    </row>
    <row r="457" spans="2:6">
      <c r="B457" t="s">
        <v>654</v>
      </c>
      <c r="C457" t="s">
        <v>4</v>
      </c>
      <c r="D457" t="s">
        <v>517</v>
      </c>
      <c r="E457" t="s">
        <v>441</v>
      </c>
      <c r="F457">
        <v>1550</v>
      </c>
    </row>
    <row r="458" spans="2:6">
      <c r="B458" t="s">
        <v>654</v>
      </c>
      <c r="C458" t="s">
        <v>4</v>
      </c>
      <c r="D458" t="s">
        <v>517</v>
      </c>
      <c r="E458" t="s">
        <v>225</v>
      </c>
      <c r="F458">
        <v>1550</v>
      </c>
    </row>
    <row r="459" spans="2:6">
      <c r="B459" t="s">
        <v>654</v>
      </c>
      <c r="C459" t="s">
        <v>4</v>
      </c>
      <c r="D459" t="s">
        <v>517</v>
      </c>
      <c r="E459" t="s">
        <v>226</v>
      </c>
      <c r="F459">
        <v>1620</v>
      </c>
    </row>
    <row r="460" spans="2:6">
      <c r="B460" t="s">
        <v>654</v>
      </c>
      <c r="C460" t="s">
        <v>4</v>
      </c>
      <c r="D460" t="s">
        <v>517</v>
      </c>
      <c r="E460" t="s">
        <v>227</v>
      </c>
      <c r="F460">
        <v>1580</v>
      </c>
    </row>
    <row r="461" spans="2:6">
      <c r="B461" t="s">
        <v>654</v>
      </c>
      <c r="C461" t="s">
        <v>4</v>
      </c>
      <c r="D461" t="s">
        <v>517</v>
      </c>
      <c r="E461" t="s">
        <v>495</v>
      </c>
      <c r="F461">
        <v>1680</v>
      </c>
    </row>
    <row r="462" spans="2:6">
      <c r="B462" t="s">
        <v>654</v>
      </c>
      <c r="C462" t="s">
        <v>4</v>
      </c>
      <c r="D462" t="s">
        <v>517</v>
      </c>
      <c r="E462" t="s">
        <v>228</v>
      </c>
      <c r="F462">
        <v>1600</v>
      </c>
    </row>
    <row r="463" spans="2:6">
      <c r="B463" t="s">
        <v>654</v>
      </c>
      <c r="C463" t="s">
        <v>4</v>
      </c>
      <c r="D463" t="s">
        <v>517</v>
      </c>
      <c r="E463" t="s">
        <v>229</v>
      </c>
      <c r="F463">
        <v>1630</v>
      </c>
    </row>
    <row r="464" spans="2:6">
      <c r="B464" t="s">
        <v>654</v>
      </c>
      <c r="C464" t="s">
        <v>4</v>
      </c>
      <c r="D464" t="s">
        <v>517</v>
      </c>
      <c r="E464" t="s">
        <v>230</v>
      </c>
      <c r="F464">
        <v>1630</v>
      </c>
    </row>
    <row r="465" spans="2:6">
      <c r="B465" t="s">
        <v>654</v>
      </c>
      <c r="C465" t="s">
        <v>4</v>
      </c>
      <c r="D465" t="s">
        <v>517</v>
      </c>
      <c r="E465" t="s">
        <v>231</v>
      </c>
      <c r="F465">
        <v>1600</v>
      </c>
    </row>
    <row r="466" spans="2:6">
      <c r="B466" t="s">
        <v>654</v>
      </c>
      <c r="C466" t="s">
        <v>4</v>
      </c>
      <c r="D466" t="s">
        <v>517</v>
      </c>
      <c r="E466" t="s">
        <v>232</v>
      </c>
      <c r="F466">
        <v>1600</v>
      </c>
    </row>
    <row r="467" spans="2:6">
      <c r="B467" t="s">
        <v>654</v>
      </c>
      <c r="C467" t="s">
        <v>4</v>
      </c>
      <c r="D467" t="s">
        <v>517</v>
      </c>
      <c r="E467" t="s">
        <v>233</v>
      </c>
      <c r="F467">
        <v>1600</v>
      </c>
    </row>
    <row r="468" spans="2:6">
      <c r="B468" t="s">
        <v>654</v>
      </c>
      <c r="C468" t="s">
        <v>4</v>
      </c>
      <c r="D468" t="s">
        <v>517</v>
      </c>
      <c r="E468" t="s">
        <v>234</v>
      </c>
      <c r="F468">
        <v>1680</v>
      </c>
    </row>
    <row r="469" spans="2:6">
      <c r="B469" t="s">
        <v>654</v>
      </c>
      <c r="C469" t="s">
        <v>4</v>
      </c>
      <c r="D469" t="s">
        <v>517</v>
      </c>
      <c r="E469" t="s">
        <v>235</v>
      </c>
      <c r="F469">
        <v>1680</v>
      </c>
    </row>
    <row r="470" spans="2:6">
      <c r="B470" t="s">
        <v>654</v>
      </c>
      <c r="C470" t="s">
        <v>4</v>
      </c>
      <c r="D470" t="s">
        <v>517</v>
      </c>
      <c r="E470" t="s">
        <v>330</v>
      </c>
      <c r="F470">
        <v>1600</v>
      </c>
    </row>
    <row r="471" spans="2:6">
      <c r="B471" t="s">
        <v>654</v>
      </c>
      <c r="C471" t="s">
        <v>4</v>
      </c>
      <c r="D471" t="s">
        <v>517</v>
      </c>
      <c r="E471" t="s">
        <v>331</v>
      </c>
      <c r="F471">
        <v>1600</v>
      </c>
    </row>
    <row r="472" spans="2:6">
      <c r="B472" t="s">
        <v>654</v>
      </c>
      <c r="C472" t="s">
        <v>4</v>
      </c>
      <c r="D472" t="s">
        <v>531</v>
      </c>
      <c r="E472" t="s">
        <v>391</v>
      </c>
      <c r="F472">
        <v>2070</v>
      </c>
    </row>
    <row r="473" spans="2:6">
      <c r="B473" t="s">
        <v>654</v>
      </c>
      <c r="C473" t="s">
        <v>4</v>
      </c>
      <c r="D473" t="s">
        <v>517</v>
      </c>
      <c r="E473" t="s">
        <v>392</v>
      </c>
      <c r="F473">
        <v>1550</v>
      </c>
    </row>
    <row r="474" spans="2:6">
      <c r="B474" t="s">
        <v>654</v>
      </c>
      <c r="C474" t="s">
        <v>4</v>
      </c>
      <c r="D474" t="s">
        <v>517</v>
      </c>
      <c r="E474" t="s">
        <v>390</v>
      </c>
      <c r="F474">
        <v>1550</v>
      </c>
    </row>
    <row r="475" spans="2:6">
      <c r="B475" t="s">
        <v>654</v>
      </c>
      <c r="C475" t="s">
        <v>4</v>
      </c>
      <c r="D475" t="s">
        <v>517</v>
      </c>
      <c r="E475" t="s">
        <v>418</v>
      </c>
      <c r="F475">
        <v>1550</v>
      </c>
    </row>
    <row r="476" spans="2:6">
      <c r="B476" t="s">
        <v>654</v>
      </c>
      <c r="C476" t="s">
        <v>4</v>
      </c>
      <c r="D476" t="s">
        <v>517</v>
      </c>
      <c r="E476" t="s">
        <v>424</v>
      </c>
      <c r="F476">
        <v>1580</v>
      </c>
    </row>
    <row r="477" spans="2:6">
      <c r="B477" t="s">
        <v>654</v>
      </c>
      <c r="C477" t="s">
        <v>4</v>
      </c>
      <c r="D477" t="s">
        <v>517</v>
      </c>
      <c r="E477" t="s">
        <v>360</v>
      </c>
      <c r="F477">
        <v>1550</v>
      </c>
    </row>
    <row r="478" spans="2:6">
      <c r="B478" t="s">
        <v>654</v>
      </c>
      <c r="C478" t="s">
        <v>4</v>
      </c>
      <c r="D478" t="s">
        <v>517</v>
      </c>
      <c r="E478" t="s">
        <v>463</v>
      </c>
      <c r="F478">
        <v>1580</v>
      </c>
    </row>
    <row r="479" spans="2:6">
      <c r="B479" t="s">
        <v>654</v>
      </c>
      <c r="C479" t="s">
        <v>4</v>
      </c>
      <c r="D479" t="s">
        <v>517</v>
      </c>
      <c r="E479" t="s">
        <v>473</v>
      </c>
      <c r="F479">
        <v>1450</v>
      </c>
    </row>
    <row r="480" spans="2:6">
      <c r="B480" t="s">
        <v>654</v>
      </c>
      <c r="C480" t="s">
        <v>4</v>
      </c>
      <c r="D480" t="s">
        <v>517</v>
      </c>
      <c r="E480" t="s">
        <v>474</v>
      </c>
      <c r="F480">
        <v>1580</v>
      </c>
    </row>
    <row r="481" spans="2:6">
      <c r="B481" t="s">
        <v>654</v>
      </c>
      <c r="C481" t="s">
        <v>4</v>
      </c>
      <c r="D481" t="s">
        <v>517</v>
      </c>
      <c r="E481" t="s">
        <v>715</v>
      </c>
      <c r="F481">
        <v>1550</v>
      </c>
    </row>
    <row r="482" spans="2:6">
      <c r="B482" t="s">
        <v>654</v>
      </c>
      <c r="C482" t="s">
        <v>4</v>
      </c>
      <c r="D482" t="s">
        <v>517</v>
      </c>
      <c r="E482" t="s">
        <v>444</v>
      </c>
      <c r="F482">
        <v>1580</v>
      </c>
    </row>
    <row r="483" spans="2:6">
      <c r="B483" t="s">
        <v>654</v>
      </c>
      <c r="C483" t="s">
        <v>4</v>
      </c>
      <c r="D483" t="s">
        <v>517</v>
      </c>
      <c r="E483" t="s">
        <v>445</v>
      </c>
      <c r="F483">
        <v>1550</v>
      </c>
    </row>
    <row r="484" spans="2:6">
      <c r="B484" t="s">
        <v>654</v>
      </c>
      <c r="C484" t="s">
        <v>4</v>
      </c>
      <c r="D484" t="s">
        <v>517</v>
      </c>
      <c r="E484" t="s">
        <v>446</v>
      </c>
      <c r="F484">
        <v>1550</v>
      </c>
    </row>
    <row r="485" spans="2:6">
      <c r="B485" t="s">
        <v>654</v>
      </c>
      <c r="C485" t="s">
        <v>4</v>
      </c>
      <c r="D485" t="s">
        <v>517</v>
      </c>
      <c r="E485" t="s">
        <v>442</v>
      </c>
      <c r="F485">
        <v>1550</v>
      </c>
    </row>
    <row r="486" spans="2:6">
      <c r="B486" t="s">
        <v>654</v>
      </c>
      <c r="C486" t="s">
        <v>4</v>
      </c>
      <c r="D486" t="s">
        <v>517</v>
      </c>
      <c r="E486" t="s">
        <v>518</v>
      </c>
      <c r="F486">
        <v>1580</v>
      </c>
    </row>
    <row r="487" spans="2:6">
      <c r="B487" t="s">
        <v>654</v>
      </c>
      <c r="C487" t="s">
        <v>4</v>
      </c>
      <c r="D487" t="s">
        <v>517</v>
      </c>
      <c r="E487" t="s">
        <v>518</v>
      </c>
      <c r="F487">
        <v>1580</v>
      </c>
    </row>
    <row r="488" spans="2:6">
      <c r="B488" t="s">
        <v>654</v>
      </c>
      <c r="C488" t="s">
        <v>4</v>
      </c>
      <c r="D488" t="s">
        <v>517</v>
      </c>
      <c r="E488" t="s">
        <v>519</v>
      </c>
      <c r="F488">
        <v>1580</v>
      </c>
    </row>
    <row r="489" spans="2:6">
      <c r="B489" t="s">
        <v>654</v>
      </c>
      <c r="C489" t="s">
        <v>4</v>
      </c>
      <c r="D489" t="s">
        <v>517</v>
      </c>
      <c r="E489" t="s">
        <v>520</v>
      </c>
      <c r="F489">
        <v>2250</v>
      </c>
    </row>
    <row r="490" spans="2:6">
      <c r="B490" t="s">
        <v>654</v>
      </c>
      <c r="C490" t="s">
        <v>4</v>
      </c>
      <c r="D490" t="s">
        <v>517</v>
      </c>
      <c r="E490" t="s">
        <v>521</v>
      </c>
      <c r="F490">
        <v>1530</v>
      </c>
    </row>
    <row r="491" spans="2:6">
      <c r="B491" t="s">
        <v>716</v>
      </c>
      <c r="C491" t="s">
        <v>20</v>
      </c>
      <c r="D491" t="s">
        <v>717</v>
      </c>
      <c r="E491" t="s">
        <v>138</v>
      </c>
      <c r="F491">
        <v>2300</v>
      </c>
    </row>
    <row r="492" spans="2:6">
      <c r="B492" t="s">
        <v>716</v>
      </c>
      <c r="C492" t="s">
        <v>20</v>
      </c>
      <c r="D492" t="s">
        <v>717</v>
      </c>
      <c r="E492" t="s">
        <v>427</v>
      </c>
      <c r="F492">
        <v>2300</v>
      </c>
    </row>
    <row r="493" spans="2:6">
      <c r="B493" t="s">
        <v>716</v>
      </c>
      <c r="C493" t="s">
        <v>20</v>
      </c>
      <c r="D493" t="s">
        <v>717</v>
      </c>
      <c r="E493" t="s">
        <v>461</v>
      </c>
      <c r="F493">
        <v>2200</v>
      </c>
    </row>
    <row r="494" spans="2:6">
      <c r="B494" t="s">
        <v>716</v>
      </c>
      <c r="C494" t="s">
        <v>20</v>
      </c>
      <c r="D494" t="s">
        <v>717</v>
      </c>
      <c r="E494" t="s">
        <v>496</v>
      </c>
      <c r="F494">
        <v>2200</v>
      </c>
    </row>
    <row r="495" spans="2:6">
      <c r="B495" t="s">
        <v>716</v>
      </c>
      <c r="C495" t="s">
        <v>20</v>
      </c>
      <c r="D495" t="s">
        <v>718</v>
      </c>
    </row>
    <row r="496" spans="2:6">
      <c r="B496" t="s">
        <v>716</v>
      </c>
      <c r="C496" t="s">
        <v>20</v>
      </c>
      <c r="D496" t="s">
        <v>719</v>
      </c>
    </row>
    <row r="497" spans="2:6">
      <c r="B497" t="s">
        <v>716</v>
      </c>
      <c r="C497" t="s">
        <v>20</v>
      </c>
      <c r="D497" t="s">
        <v>720</v>
      </c>
    </row>
    <row r="498" spans="2:6">
      <c r="B498" t="s">
        <v>721</v>
      </c>
      <c r="C498" t="s">
        <v>20</v>
      </c>
      <c r="E498" t="s">
        <v>139</v>
      </c>
      <c r="F498">
        <v>1440</v>
      </c>
    </row>
    <row r="499" spans="2:6" ht="37.5">
      <c r="B499" s="220" t="s">
        <v>140</v>
      </c>
      <c r="C499" t="s">
        <v>4</v>
      </c>
      <c r="E499" t="s">
        <v>141</v>
      </c>
      <c r="F499">
        <v>1665</v>
      </c>
    </row>
    <row r="500" spans="2:6">
      <c r="B500" t="s">
        <v>140</v>
      </c>
      <c r="C500" t="s">
        <v>4</v>
      </c>
      <c r="E500" t="s">
        <v>142</v>
      </c>
      <c r="F500">
        <v>1665</v>
      </c>
    </row>
    <row r="501" spans="2:6">
      <c r="B501" t="s">
        <v>140</v>
      </c>
      <c r="C501" t="s">
        <v>4</v>
      </c>
      <c r="E501" t="s">
        <v>143</v>
      </c>
      <c r="F501">
        <v>1700</v>
      </c>
    </row>
    <row r="502" spans="2:6">
      <c r="B502" t="s">
        <v>140</v>
      </c>
      <c r="C502" t="s">
        <v>4</v>
      </c>
      <c r="E502" t="s">
        <v>576</v>
      </c>
      <c r="F502">
        <v>1665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92A4-7E3C-4E91-8BD0-F384F9F4D1EC}">
  <sheetPr>
    <tabColor theme="9" tint="0.79998168889431442"/>
    <pageSetUpPr fitToPage="1"/>
  </sheetPr>
  <dimension ref="A1:AC15"/>
  <sheetViews>
    <sheetView view="pageBreakPreview" zoomScale="115" zoomScaleNormal="85" zoomScaleSheetLayoutView="115" workbookViewId="0">
      <pane xSplit="5" ySplit="3" topLeftCell="M4" activePane="bottomRight" state="frozen"/>
      <selection activeCell="Z95" sqref="Z95"/>
      <selection pane="topRight" activeCell="Z95" sqref="Z95"/>
      <selection pane="bottomLeft" activeCell="Z95" sqref="Z95"/>
      <selection pane="bottomRight" activeCell="P8" sqref="P8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6.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419</v>
      </c>
      <c r="B1" s="195"/>
      <c r="C1" s="195"/>
    </row>
    <row r="2" spans="1:29" s="86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7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203" t="s">
        <v>57</v>
      </c>
      <c r="B4" s="14" t="s">
        <v>4</v>
      </c>
      <c r="C4" s="14" t="s">
        <v>63</v>
      </c>
      <c r="D4" s="9" t="s">
        <v>196</v>
      </c>
      <c r="E4" s="6">
        <v>1500</v>
      </c>
      <c r="F4" s="24">
        <f>127.75+7.5</f>
        <v>135.25</v>
      </c>
      <c r="G4" s="30"/>
      <c r="H4" s="24">
        <f>147+6.75</f>
        <v>153.75</v>
      </c>
      <c r="I4" s="30"/>
      <c r="J4" s="24">
        <f>132.75+2.75</f>
        <v>135.5</v>
      </c>
      <c r="K4" s="30"/>
      <c r="L4" s="24">
        <f>132.5+1</f>
        <v>133.5</v>
      </c>
      <c r="M4" s="30"/>
      <c r="N4" s="24">
        <f>128.5+4</f>
        <v>132.5</v>
      </c>
      <c r="O4" s="30"/>
      <c r="P4" s="24">
        <f>114.75+4.5</f>
        <v>119.25</v>
      </c>
      <c r="Q4" s="30"/>
      <c r="R4" s="24"/>
      <c r="S4" s="30"/>
      <c r="T4" s="24"/>
      <c r="U4" s="30"/>
      <c r="V4" s="24"/>
      <c r="W4" s="30"/>
      <c r="X4" s="24"/>
      <c r="Y4" s="30"/>
      <c r="Z4" s="24"/>
      <c r="AA4" s="30"/>
      <c r="AB4" s="24"/>
      <c r="AC4" s="30"/>
    </row>
    <row r="5" spans="1:29">
      <c r="A5" s="204"/>
      <c r="B5" s="16" t="s">
        <v>4</v>
      </c>
      <c r="C5" s="16" t="s">
        <v>63</v>
      </c>
      <c r="D5" s="11" t="s">
        <v>197</v>
      </c>
      <c r="E5" s="10">
        <v>1500</v>
      </c>
      <c r="F5" s="26"/>
      <c r="G5" s="32"/>
      <c r="H5" s="26"/>
      <c r="I5" s="32"/>
      <c r="J5" s="26"/>
      <c r="K5" s="32"/>
      <c r="L5" s="26"/>
      <c r="M5" s="32"/>
      <c r="N5" s="26"/>
      <c r="O5" s="32"/>
      <c r="P5" s="26"/>
      <c r="Q5" s="32"/>
      <c r="R5" s="26"/>
      <c r="S5" s="32"/>
      <c r="T5" s="26"/>
      <c r="U5" s="32"/>
      <c r="V5" s="26"/>
      <c r="W5" s="32"/>
      <c r="X5" s="26"/>
      <c r="Y5" s="32"/>
      <c r="Z5" s="26"/>
      <c r="AA5" s="32"/>
      <c r="AB5" s="26"/>
      <c r="AC5" s="32"/>
    </row>
    <row r="6" spans="1:29">
      <c r="A6" s="204"/>
      <c r="B6" s="16" t="s">
        <v>4</v>
      </c>
      <c r="C6" s="16" t="s">
        <v>18</v>
      </c>
      <c r="D6" s="11" t="s">
        <v>198</v>
      </c>
      <c r="E6" s="10">
        <v>1700</v>
      </c>
      <c r="F6" s="26">
        <f>152+32.75+1.25</f>
        <v>186</v>
      </c>
      <c r="G6" s="32"/>
      <c r="H6" s="26">
        <f>168+50.25</f>
        <v>218.25</v>
      </c>
      <c r="I6" s="32"/>
      <c r="J6" s="26">
        <f>164+38.25</f>
        <v>202.25</v>
      </c>
      <c r="K6" s="32"/>
      <c r="L6" s="26">
        <f>160+23.75</f>
        <v>183.75</v>
      </c>
      <c r="M6" s="32"/>
      <c r="N6" s="26">
        <f>168+47.5</f>
        <v>215.5</v>
      </c>
      <c r="O6" s="32"/>
      <c r="P6" s="26">
        <f>151+6.25</f>
        <v>157.25</v>
      </c>
      <c r="Q6" s="32"/>
      <c r="R6" s="26"/>
      <c r="S6" s="32"/>
      <c r="T6" s="26"/>
      <c r="U6" s="32"/>
      <c r="V6" s="26"/>
      <c r="W6" s="32"/>
      <c r="X6" s="26"/>
      <c r="Y6" s="32"/>
      <c r="Z6" s="26"/>
      <c r="AA6" s="32"/>
      <c r="AB6" s="26"/>
      <c r="AC6" s="32"/>
    </row>
    <row r="7" spans="1:29">
      <c r="A7" s="205"/>
      <c r="B7" s="15" t="s">
        <v>4</v>
      </c>
      <c r="C7" s="15" t="s">
        <v>18</v>
      </c>
      <c r="D7" s="17" t="s">
        <v>199</v>
      </c>
      <c r="E7" s="8">
        <v>1700</v>
      </c>
      <c r="F7" s="27">
        <f>139.5+24.25+4</f>
        <v>167.75</v>
      </c>
      <c r="G7" s="33"/>
      <c r="H7" s="27">
        <f>139+27.5+5</f>
        <v>171.5</v>
      </c>
      <c r="I7" s="33"/>
      <c r="J7" s="27">
        <f>168+21+1</f>
        <v>190</v>
      </c>
      <c r="K7" s="33"/>
      <c r="L7" s="27">
        <f>158+14.5</f>
        <v>172.5</v>
      </c>
      <c r="M7" s="33"/>
      <c r="N7" s="27">
        <f>146.75+23+0.25</f>
        <v>170</v>
      </c>
      <c r="O7" s="33"/>
      <c r="P7" s="27">
        <f>142.5+3.5</f>
        <v>146</v>
      </c>
      <c r="Q7" s="33"/>
      <c r="R7" s="27"/>
      <c r="S7" s="33"/>
      <c r="T7" s="27"/>
      <c r="U7" s="33"/>
      <c r="V7" s="27"/>
      <c r="W7" s="33"/>
      <c r="X7" s="27"/>
      <c r="Y7" s="33"/>
      <c r="Z7" s="27"/>
      <c r="AA7" s="33"/>
      <c r="AB7" s="27"/>
      <c r="AC7" s="33"/>
    </row>
    <row r="8" spans="1:29">
      <c r="A8" s="203" t="s">
        <v>108</v>
      </c>
      <c r="B8" s="14" t="s">
        <v>20</v>
      </c>
      <c r="C8" s="14" t="s">
        <v>109</v>
      </c>
      <c r="D8" s="9" t="s">
        <v>200</v>
      </c>
      <c r="E8" s="6">
        <v>1560</v>
      </c>
      <c r="F8" s="24"/>
      <c r="G8" s="30"/>
      <c r="H8" s="24"/>
      <c r="I8" s="30"/>
      <c r="J8" s="24"/>
      <c r="K8" s="30"/>
      <c r="L8" s="24"/>
      <c r="M8" s="30"/>
      <c r="N8" s="24"/>
      <c r="O8" s="30"/>
      <c r="P8" s="24"/>
      <c r="Q8" s="30"/>
      <c r="R8" s="24"/>
      <c r="S8" s="30"/>
      <c r="T8" s="24"/>
      <c r="U8" s="30"/>
      <c r="V8" s="24"/>
      <c r="W8" s="30"/>
      <c r="X8" s="24"/>
      <c r="Y8" s="30"/>
      <c r="Z8" s="24"/>
      <c r="AA8" s="30"/>
      <c r="AB8" s="24"/>
      <c r="AC8" s="30"/>
    </row>
    <row r="9" spans="1:29">
      <c r="A9" s="205"/>
      <c r="B9" s="59" t="s">
        <v>20</v>
      </c>
      <c r="C9" s="59" t="s">
        <v>109</v>
      </c>
      <c r="D9" s="42" t="s">
        <v>363</v>
      </c>
      <c r="E9" s="7">
        <v>1560</v>
      </c>
      <c r="F9" s="25"/>
      <c r="G9" s="31"/>
      <c r="H9" s="25"/>
      <c r="I9" s="31"/>
      <c r="J9" s="25"/>
      <c r="K9" s="31"/>
      <c r="L9" s="25"/>
      <c r="M9" s="31"/>
      <c r="N9" s="25"/>
      <c r="O9" s="31"/>
      <c r="P9" s="25"/>
      <c r="Q9" s="31"/>
      <c r="R9" s="25"/>
      <c r="S9" s="31"/>
      <c r="T9" s="25"/>
      <c r="U9" s="31"/>
      <c r="V9" s="25"/>
      <c r="W9" s="31"/>
      <c r="X9" s="25"/>
      <c r="Y9" s="31"/>
      <c r="Z9" s="25"/>
      <c r="AA9" s="31"/>
      <c r="AB9" s="25"/>
      <c r="AC9" s="31"/>
    </row>
    <row r="10" spans="1:29">
      <c r="A10" s="203" t="s">
        <v>110</v>
      </c>
      <c r="B10" s="14" t="s">
        <v>4</v>
      </c>
      <c r="C10" s="14" t="s">
        <v>78</v>
      </c>
      <c r="D10" s="9" t="s">
        <v>111</v>
      </c>
      <c r="E10" s="6">
        <v>1450</v>
      </c>
      <c r="F10" s="24">
        <f>151+10+0.25</f>
        <v>161.25</v>
      </c>
      <c r="G10" s="30"/>
      <c r="H10" s="24">
        <f>160+9.25+1</f>
        <v>170.25</v>
      </c>
      <c r="I10" s="30"/>
      <c r="J10" s="24">
        <f>160+7+2</f>
        <v>169</v>
      </c>
      <c r="K10" s="30"/>
      <c r="L10" s="24">
        <v>163.25</v>
      </c>
      <c r="M10" s="30"/>
      <c r="N10" s="24">
        <f>160+17.25+3</f>
        <v>180.25</v>
      </c>
      <c r="O10" s="30"/>
      <c r="P10" s="24">
        <v>136</v>
      </c>
      <c r="Q10" s="30"/>
      <c r="R10" s="24"/>
      <c r="S10" s="30"/>
      <c r="T10" s="24"/>
      <c r="U10" s="30"/>
      <c r="V10" s="24"/>
      <c r="W10" s="30"/>
      <c r="X10" s="24"/>
      <c r="Y10" s="30"/>
      <c r="Z10" s="24"/>
      <c r="AA10" s="30"/>
      <c r="AB10" s="24"/>
      <c r="AC10" s="30"/>
    </row>
    <row r="11" spans="1:29">
      <c r="A11" s="204"/>
      <c r="B11" s="16" t="s">
        <v>4</v>
      </c>
      <c r="C11" s="16" t="s">
        <v>64</v>
      </c>
      <c r="D11" s="11" t="s">
        <v>112</v>
      </c>
      <c r="E11" s="10">
        <v>1550</v>
      </c>
      <c r="F11" s="26"/>
      <c r="G11" s="32"/>
      <c r="H11" s="26"/>
      <c r="I11" s="32"/>
      <c r="J11" s="26"/>
      <c r="K11" s="32"/>
      <c r="L11" s="26"/>
      <c r="M11" s="32"/>
      <c r="N11" s="26"/>
      <c r="O11" s="32"/>
      <c r="P11" s="26"/>
      <c r="Q11" s="32"/>
      <c r="R11" s="26"/>
      <c r="S11" s="32"/>
      <c r="T11" s="26"/>
      <c r="U11" s="32"/>
      <c r="V11" s="26"/>
      <c r="W11" s="32"/>
      <c r="X11" s="26"/>
      <c r="Y11" s="32"/>
      <c r="Z11" s="26"/>
      <c r="AA11" s="32"/>
      <c r="AB11" s="26"/>
      <c r="AC11" s="32"/>
    </row>
    <row r="12" spans="1:29">
      <c r="A12" s="205"/>
      <c r="B12" s="15" t="s">
        <v>4</v>
      </c>
      <c r="C12" s="15" t="s">
        <v>18</v>
      </c>
      <c r="D12" s="17" t="s">
        <v>113</v>
      </c>
      <c r="E12" s="8">
        <v>1730</v>
      </c>
      <c r="F12" s="27"/>
      <c r="G12" s="33"/>
      <c r="H12" s="27"/>
      <c r="I12" s="33"/>
      <c r="J12" s="27"/>
      <c r="K12" s="33"/>
      <c r="L12" s="27"/>
      <c r="M12" s="33"/>
      <c r="N12" s="27"/>
      <c r="O12" s="33"/>
      <c r="P12" s="27"/>
      <c r="Q12" s="33"/>
      <c r="R12" s="27"/>
      <c r="S12" s="33"/>
      <c r="T12" s="27"/>
      <c r="U12" s="33"/>
      <c r="V12" s="27"/>
      <c r="W12" s="33"/>
      <c r="X12" s="27"/>
      <c r="Y12" s="33"/>
      <c r="Z12" s="27"/>
      <c r="AA12" s="33"/>
      <c r="AB12" s="27"/>
      <c r="AC12" s="33"/>
    </row>
    <row r="13" spans="1:29">
      <c r="A13" s="196" t="s">
        <v>115</v>
      </c>
      <c r="B13" s="39" t="s">
        <v>4</v>
      </c>
      <c r="C13" s="14"/>
      <c r="D13" s="9" t="s">
        <v>116</v>
      </c>
      <c r="E13" s="6">
        <v>1670</v>
      </c>
      <c r="F13" s="24"/>
      <c r="G13" s="30"/>
      <c r="H13" s="24"/>
      <c r="I13" s="30"/>
      <c r="J13" s="24"/>
      <c r="K13" s="30"/>
      <c r="L13" s="24"/>
      <c r="M13" s="30"/>
      <c r="N13" s="24"/>
      <c r="O13" s="30"/>
      <c r="P13" s="24"/>
      <c r="Q13" s="30"/>
      <c r="R13" s="24"/>
      <c r="S13" s="30"/>
      <c r="T13" s="24"/>
      <c r="U13" s="30"/>
      <c r="V13" s="24"/>
      <c r="W13" s="30"/>
      <c r="X13" s="24"/>
      <c r="Y13" s="30"/>
      <c r="Z13" s="24"/>
      <c r="AA13" s="30"/>
      <c r="AB13" s="24"/>
      <c r="AC13" s="30"/>
    </row>
    <row r="14" spans="1:29">
      <c r="A14" s="196"/>
      <c r="B14" s="59" t="s">
        <v>4</v>
      </c>
      <c r="C14" s="59"/>
      <c r="D14" s="42" t="s">
        <v>114</v>
      </c>
      <c r="E14" s="7">
        <v>1850</v>
      </c>
      <c r="F14" s="25"/>
      <c r="G14" s="31"/>
      <c r="H14" s="25"/>
      <c r="I14" s="31"/>
      <c r="J14" s="25"/>
      <c r="K14" s="31"/>
      <c r="L14" s="25"/>
      <c r="M14" s="31"/>
      <c r="N14" s="25"/>
      <c r="O14" s="31"/>
      <c r="P14" s="25"/>
      <c r="Q14" s="31"/>
      <c r="R14" s="25"/>
      <c r="S14" s="31"/>
      <c r="T14" s="25"/>
      <c r="U14" s="31"/>
      <c r="V14" s="25"/>
      <c r="W14" s="31"/>
      <c r="X14" s="25"/>
      <c r="Y14" s="31"/>
      <c r="Z14" s="25"/>
      <c r="AA14" s="31"/>
      <c r="AB14" s="25"/>
      <c r="AC14" s="31"/>
    </row>
    <row r="15" spans="1:29">
      <c r="A15" s="36" t="s">
        <v>117</v>
      </c>
      <c r="B15" s="57"/>
      <c r="C15" s="57"/>
      <c r="D15" s="58" t="s">
        <v>118</v>
      </c>
      <c r="E15" s="5">
        <v>1500</v>
      </c>
      <c r="F15" s="28"/>
      <c r="G15" s="34"/>
      <c r="H15" s="28"/>
      <c r="I15" s="34"/>
      <c r="J15" s="28"/>
      <c r="K15" s="34"/>
      <c r="L15" s="28"/>
      <c r="M15" s="34"/>
      <c r="N15" s="28"/>
      <c r="O15" s="34"/>
      <c r="P15" s="28"/>
      <c r="Q15" s="34"/>
      <c r="R15" s="28"/>
      <c r="S15" s="34"/>
      <c r="T15" s="28"/>
      <c r="U15" s="34"/>
      <c r="V15" s="28"/>
      <c r="W15" s="34"/>
      <c r="X15" s="28"/>
      <c r="Y15" s="34"/>
      <c r="Z15" s="28"/>
      <c r="AA15" s="34"/>
      <c r="AB15" s="28"/>
      <c r="AC15" s="34"/>
    </row>
  </sheetData>
  <mergeCells count="22">
    <mergeCell ref="A1:C1"/>
    <mergeCell ref="T2:U2"/>
    <mergeCell ref="V2:W2"/>
    <mergeCell ref="X2:Y2"/>
    <mergeCell ref="Z2:AA2"/>
    <mergeCell ref="E2:E3"/>
    <mergeCell ref="AB2:AC2"/>
    <mergeCell ref="A4:A7"/>
    <mergeCell ref="A8:A9"/>
    <mergeCell ref="A10:A12"/>
    <mergeCell ref="A13:A14"/>
    <mergeCell ref="R2:S2"/>
    <mergeCell ref="F2:G2"/>
    <mergeCell ref="H2:I2"/>
    <mergeCell ref="J2:K2"/>
    <mergeCell ref="L2:M2"/>
    <mergeCell ref="N2:O2"/>
    <mergeCell ref="P2:Q2"/>
    <mergeCell ref="A2:A3"/>
    <mergeCell ref="B2:B3"/>
    <mergeCell ref="C2:C3"/>
    <mergeCell ref="D2:D3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9EA1-134E-493D-B4F9-DA7A131D77AF}">
  <sheetPr>
    <tabColor rgb="FFFFCCFF"/>
    <pageSetUpPr fitToPage="1"/>
  </sheetPr>
  <dimension ref="A1:AC9"/>
  <sheetViews>
    <sheetView view="pageBreakPreview" zoomScale="115" zoomScaleNormal="85" zoomScaleSheetLayoutView="115" workbookViewId="0">
      <pane xSplit="5" ySplit="3" topLeftCell="M4" activePane="bottomRight" state="frozen"/>
      <selection activeCell="Z95" sqref="Z95"/>
      <selection pane="topRight" activeCell="Z95" sqref="Z95"/>
      <selection pane="bottomLeft" activeCell="Z95" sqref="Z95"/>
      <selection pane="bottomRight" activeCell="P9" sqref="P9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6.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546</v>
      </c>
      <c r="B1" s="195"/>
      <c r="C1" s="195"/>
    </row>
    <row r="2" spans="1:29" s="86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7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150" t="s">
        <v>547</v>
      </c>
      <c r="B4" s="22"/>
      <c r="C4" s="22"/>
      <c r="D4" s="152" t="s">
        <v>548</v>
      </c>
      <c r="E4" s="153">
        <v>2100</v>
      </c>
      <c r="F4" s="154">
        <v>154.75</v>
      </c>
      <c r="G4" s="147" t="s">
        <v>549</v>
      </c>
      <c r="H4" s="29">
        <f>160+5.5</f>
        <v>165.5</v>
      </c>
      <c r="I4" s="147"/>
      <c r="J4" s="29">
        <f>160+6.75</f>
        <v>166.75</v>
      </c>
      <c r="K4" s="147"/>
      <c r="L4" s="29">
        <f>152+4.67</f>
        <v>156.66999999999999</v>
      </c>
      <c r="M4" s="147"/>
      <c r="N4" s="29">
        <f>148+15</f>
        <v>163</v>
      </c>
      <c r="O4" s="147"/>
      <c r="P4" s="29">
        <f>152+3.5</f>
        <v>155.5</v>
      </c>
      <c r="Q4" s="147"/>
      <c r="R4" s="29"/>
      <c r="S4" s="147"/>
      <c r="T4" s="29"/>
      <c r="U4" s="147"/>
      <c r="V4" s="29"/>
      <c r="W4" s="147"/>
      <c r="X4" s="29"/>
      <c r="Y4" s="147"/>
      <c r="Z4" s="29"/>
      <c r="AA4" s="147"/>
      <c r="AB4" s="29"/>
      <c r="AC4" s="147"/>
    </row>
    <row r="5" spans="1:29">
      <c r="A5" s="116"/>
      <c r="B5" s="149"/>
      <c r="C5" s="149"/>
      <c r="D5" s="155" t="s">
        <v>550</v>
      </c>
      <c r="E5" s="156">
        <v>2100</v>
      </c>
      <c r="F5" s="157">
        <f>134+7.25+0</f>
        <v>141.25</v>
      </c>
      <c r="G5" s="134" t="s">
        <v>549</v>
      </c>
      <c r="H5" s="145">
        <f>120+3.25</f>
        <v>123.25</v>
      </c>
      <c r="I5" s="134"/>
      <c r="J5" s="145">
        <v>166.75</v>
      </c>
      <c r="K5" s="134"/>
      <c r="L5" s="145">
        <f>158.5+3.17</f>
        <v>161.66999999999999</v>
      </c>
      <c r="M5" s="134"/>
      <c r="N5" s="145">
        <f>150+15</f>
        <v>165</v>
      </c>
      <c r="O5" s="134"/>
      <c r="P5" s="145">
        <f>152+3.5</f>
        <v>155.5</v>
      </c>
      <c r="Q5" s="134"/>
      <c r="R5" s="145"/>
      <c r="S5" s="134"/>
      <c r="T5" s="145"/>
      <c r="U5" s="134"/>
      <c r="V5" s="145"/>
      <c r="W5" s="134"/>
      <c r="X5" s="145"/>
      <c r="Y5" s="134"/>
      <c r="Z5" s="145"/>
      <c r="AA5" s="113"/>
      <c r="AB5" s="145"/>
      <c r="AC5" s="134"/>
    </row>
    <row r="6" spans="1:29">
      <c r="A6" s="116"/>
      <c r="B6" s="149"/>
      <c r="C6" s="149"/>
      <c r="D6" s="155" t="s">
        <v>551</v>
      </c>
      <c r="E6" s="156">
        <v>2100</v>
      </c>
      <c r="F6" s="157">
        <v>136</v>
      </c>
      <c r="G6" s="134" t="s">
        <v>549</v>
      </c>
      <c r="H6" s="145">
        <v>156.5</v>
      </c>
      <c r="I6" s="134"/>
      <c r="J6" s="145">
        <v>160</v>
      </c>
      <c r="K6" s="134"/>
      <c r="L6" s="145">
        <f>160+0</f>
        <v>160</v>
      </c>
      <c r="M6" s="134"/>
      <c r="N6" s="145">
        <f>151+0</f>
        <v>151</v>
      </c>
      <c r="O6" s="134"/>
      <c r="P6" s="145">
        <f>128+0</f>
        <v>128</v>
      </c>
      <c r="Q6" s="134"/>
      <c r="R6" s="145"/>
      <c r="S6" s="134"/>
      <c r="T6" s="145"/>
      <c r="U6" s="134"/>
      <c r="V6" s="145"/>
      <c r="W6" s="134"/>
      <c r="X6" s="145"/>
      <c r="Y6" s="134"/>
      <c r="Z6" s="145"/>
      <c r="AA6" s="113"/>
      <c r="AB6" s="145"/>
      <c r="AC6" s="134"/>
    </row>
    <row r="7" spans="1:29">
      <c r="A7" s="116"/>
      <c r="B7" s="149"/>
      <c r="C7" s="149"/>
      <c r="D7" s="155" t="s">
        <v>552</v>
      </c>
      <c r="E7" s="156">
        <v>2100</v>
      </c>
      <c r="F7" s="157">
        <f>150.5+7.25</f>
        <v>157.75</v>
      </c>
      <c r="G7" s="134" t="s">
        <v>549</v>
      </c>
      <c r="H7" s="145">
        <f>155.5+6.67</f>
        <v>162.16999999999999</v>
      </c>
      <c r="I7" s="134"/>
      <c r="J7" s="145">
        <f>152+8</f>
        <v>160</v>
      </c>
      <c r="K7" s="134"/>
      <c r="L7" s="145">
        <f>149.5+7.17</f>
        <v>156.66999999999999</v>
      </c>
      <c r="M7" s="134"/>
      <c r="N7" s="145">
        <f>87+5.67</f>
        <v>92.67</v>
      </c>
      <c r="O7" s="134"/>
      <c r="P7" s="145">
        <f>140.5+4.67</f>
        <v>145.16999999999999</v>
      </c>
      <c r="Q7" s="134"/>
      <c r="R7" s="145"/>
      <c r="S7" s="134"/>
      <c r="T7" s="145"/>
      <c r="U7" s="134"/>
      <c r="V7" s="145"/>
      <c r="W7" s="134"/>
      <c r="X7" s="145"/>
      <c r="Y7" s="134"/>
      <c r="Z7" s="145"/>
      <c r="AA7" s="113"/>
      <c r="AB7" s="145"/>
      <c r="AC7" s="134"/>
    </row>
    <row r="8" spans="1:29">
      <c r="A8" s="116"/>
      <c r="B8" s="16"/>
      <c r="C8" s="16"/>
      <c r="D8" s="158" t="s">
        <v>553</v>
      </c>
      <c r="E8" s="159">
        <v>2100</v>
      </c>
      <c r="F8" s="160">
        <f>160.6+5.25</f>
        <v>165.85</v>
      </c>
      <c r="G8" s="113" t="s">
        <v>549</v>
      </c>
      <c r="H8" s="26">
        <f>160+4.33</f>
        <v>164.33</v>
      </c>
      <c r="I8" s="113"/>
      <c r="J8" s="26">
        <f>160+9</f>
        <v>169</v>
      </c>
      <c r="K8" s="113"/>
      <c r="L8" s="26">
        <f>160+3.67</f>
        <v>163.66999999999999</v>
      </c>
      <c r="M8" s="113"/>
      <c r="N8" s="26">
        <f>152+10.17</f>
        <v>162.16999999999999</v>
      </c>
      <c r="O8" s="113"/>
      <c r="P8" s="26">
        <f>152+1.83</f>
        <v>153.83000000000001</v>
      </c>
      <c r="Q8" s="113"/>
      <c r="R8" s="26"/>
      <c r="S8" s="113"/>
      <c r="T8" s="26"/>
      <c r="U8" s="113"/>
      <c r="V8" s="26"/>
      <c r="W8" s="113"/>
      <c r="X8" s="26"/>
      <c r="Y8" s="113"/>
      <c r="Z8" s="26"/>
      <c r="AA8" s="113"/>
      <c r="AB8" s="26"/>
      <c r="AC8" s="113"/>
    </row>
    <row r="9" spans="1:29">
      <c r="A9" s="115"/>
      <c r="B9" s="59"/>
      <c r="C9" s="59"/>
      <c r="D9" s="66"/>
      <c r="E9" s="148"/>
      <c r="F9" s="138"/>
      <c r="G9" s="111"/>
      <c r="H9" s="25"/>
      <c r="I9" s="111"/>
      <c r="J9" s="25"/>
      <c r="K9" s="111"/>
      <c r="L9" s="25"/>
      <c r="M9" s="111"/>
      <c r="N9" s="25"/>
      <c r="O9" s="111"/>
      <c r="P9" s="25"/>
      <c r="Q9" s="111"/>
      <c r="R9" s="25"/>
      <c r="S9" s="111"/>
      <c r="T9" s="25"/>
      <c r="U9" s="111"/>
      <c r="V9" s="25"/>
      <c r="W9" s="111"/>
      <c r="X9" s="25"/>
      <c r="Y9" s="111"/>
      <c r="Z9" s="25"/>
      <c r="AA9" s="111"/>
      <c r="AB9" s="25"/>
      <c r="AC9" s="111"/>
    </row>
  </sheetData>
  <mergeCells count="18">
    <mergeCell ref="E2:E3"/>
    <mergeCell ref="A1:C1"/>
    <mergeCell ref="A2:A3"/>
    <mergeCell ref="B2:B3"/>
    <mergeCell ref="C2:C3"/>
    <mergeCell ref="D2:D3"/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09A7-087B-4488-8293-73A10CBF2427}">
  <sheetPr>
    <tabColor theme="9" tint="0.79998168889431442"/>
    <pageSetUpPr fitToPage="1"/>
  </sheetPr>
  <dimension ref="A1:AD4"/>
  <sheetViews>
    <sheetView view="pageBreakPreview" zoomScale="115" zoomScaleNormal="85" zoomScaleSheetLayoutView="115" workbookViewId="0">
      <pane xSplit="6" ySplit="3" topLeftCell="M4" activePane="bottomRight" state="frozen"/>
      <selection activeCell="Z95" sqref="Z95"/>
      <selection pane="topRight" activeCell="Z95" sqref="Z95"/>
      <selection pane="bottomLeft" activeCell="Z95" sqref="Z95"/>
      <selection pane="bottomRight" activeCell="B4" sqref="B4:F4"/>
    </sheetView>
  </sheetViews>
  <sheetFormatPr defaultColWidth="8.75" defaultRowHeight="16.5"/>
  <cols>
    <col min="1" max="1" width="6.5" style="18" hidden="1" customWidth="1"/>
    <col min="2" max="2" width="20.75" style="19" customWidth="1"/>
    <col min="3" max="3" width="6.5" style="3" bestFit="1" customWidth="1"/>
    <col min="4" max="4" width="32.125" style="3" bestFit="1" customWidth="1"/>
    <col min="5" max="5" width="19.125" style="2" bestFit="1" customWidth="1"/>
    <col min="6" max="6" width="12.375" style="4" bestFit="1" customWidth="1"/>
    <col min="7" max="7" width="6.25" style="1" bestFit="1" customWidth="1"/>
    <col min="8" max="8" width="11.875" style="1" bestFit="1" customWidth="1"/>
    <col min="9" max="9" width="6.25" style="1" bestFit="1" customWidth="1"/>
    <col min="10" max="10" width="11.875" style="1" bestFit="1" customWidth="1"/>
    <col min="11" max="11" width="6.25" style="1" bestFit="1" customWidth="1"/>
    <col min="12" max="12" width="11.875" style="1" bestFit="1" customWidth="1"/>
    <col min="13" max="13" width="6.25" style="1" customWidth="1"/>
    <col min="14" max="14" width="11.875" style="1" customWidth="1"/>
    <col min="15" max="15" width="6.25" style="1" customWidth="1"/>
    <col min="16" max="16" width="11.875" style="1" customWidth="1"/>
    <col min="17" max="17" width="6.25" style="1" customWidth="1"/>
    <col min="18" max="18" width="11.875" style="1" customWidth="1"/>
    <col min="19" max="19" width="6.25" style="1" customWidth="1"/>
    <col min="20" max="20" width="11.875" style="1" customWidth="1"/>
    <col min="21" max="21" width="6.25" style="1" customWidth="1"/>
    <col min="22" max="22" width="11.875" style="1" customWidth="1"/>
    <col min="23" max="23" width="6.25" style="1" customWidth="1"/>
    <col min="24" max="24" width="11.875" style="1" customWidth="1"/>
    <col min="25" max="25" width="6.25" style="1" customWidth="1"/>
    <col min="26" max="26" width="11.875" style="1" customWidth="1"/>
    <col min="27" max="27" width="6.25" style="1" customWidth="1"/>
    <col min="28" max="28" width="11.875" style="1" customWidth="1"/>
    <col min="29" max="29" width="6.25" style="1" customWidth="1"/>
    <col min="30" max="30" width="11.875" style="1" customWidth="1"/>
    <col min="31" max="16384" width="8.75" style="1"/>
  </cols>
  <sheetData>
    <row r="1" spans="1:30" ht="30">
      <c r="A1" s="195" t="s">
        <v>405</v>
      </c>
      <c r="B1" s="195"/>
      <c r="C1" s="195"/>
      <c r="D1" s="2"/>
      <c r="E1" s="4"/>
      <c r="F1" s="1"/>
    </row>
    <row r="2" spans="1:30" s="86" customFormat="1" ht="18" customHeight="1">
      <c r="A2" s="194" t="s">
        <v>0</v>
      </c>
      <c r="B2" s="200" t="s">
        <v>1</v>
      </c>
      <c r="C2" s="201" t="s">
        <v>2</v>
      </c>
      <c r="D2" s="201" t="s">
        <v>341</v>
      </c>
      <c r="E2" s="201" t="s">
        <v>305</v>
      </c>
      <c r="F2" s="194" t="s">
        <v>393</v>
      </c>
      <c r="G2" s="193">
        <v>44774</v>
      </c>
      <c r="H2" s="193"/>
      <c r="I2" s="198">
        <v>44805</v>
      </c>
      <c r="J2" s="199"/>
      <c r="K2" s="193">
        <v>44835</v>
      </c>
      <c r="L2" s="193"/>
      <c r="M2" s="193">
        <v>44866</v>
      </c>
      <c r="N2" s="193"/>
      <c r="O2" s="193">
        <v>44896</v>
      </c>
      <c r="P2" s="193"/>
      <c r="Q2" s="193">
        <v>44927</v>
      </c>
      <c r="R2" s="193"/>
      <c r="S2" s="193">
        <v>44958</v>
      </c>
      <c r="T2" s="193"/>
      <c r="U2" s="193">
        <v>44986</v>
      </c>
      <c r="V2" s="193"/>
      <c r="W2" s="193">
        <v>45017</v>
      </c>
      <c r="X2" s="193"/>
      <c r="Y2" s="193">
        <v>45047</v>
      </c>
      <c r="Z2" s="193"/>
      <c r="AA2" s="193">
        <v>45078</v>
      </c>
      <c r="AB2" s="193"/>
      <c r="AC2" s="193">
        <v>45108</v>
      </c>
      <c r="AD2" s="193"/>
    </row>
    <row r="3" spans="1:30" s="87" customFormat="1">
      <c r="A3" s="194"/>
      <c r="B3" s="200"/>
      <c r="C3" s="202"/>
      <c r="D3" s="202"/>
      <c r="E3" s="202"/>
      <c r="F3" s="194"/>
      <c r="G3" s="82" t="s">
        <v>306</v>
      </c>
      <c r="H3" s="83" t="s">
        <v>342</v>
      </c>
      <c r="I3" s="82" t="s">
        <v>306</v>
      </c>
      <c r="J3" s="83" t="s">
        <v>342</v>
      </c>
      <c r="K3" s="82" t="s">
        <v>306</v>
      </c>
      <c r="L3" s="83" t="s">
        <v>342</v>
      </c>
      <c r="M3" s="82" t="s">
        <v>306</v>
      </c>
      <c r="N3" s="83" t="s">
        <v>342</v>
      </c>
      <c r="O3" s="82" t="s">
        <v>306</v>
      </c>
      <c r="P3" s="83" t="s">
        <v>342</v>
      </c>
      <c r="Q3" s="82" t="s">
        <v>306</v>
      </c>
      <c r="R3" s="83" t="s">
        <v>342</v>
      </c>
      <c r="S3" s="82" t="s">
        <v>306</v>
      </c>
      <c r="T3" s="83" t="s">
        <v>342</v>
      </c>
      <c r="U3" s="82" t="s">
        <v>306</v>
      </c>
      <c r="V3" s="83" t="s">
        <v>342</v>
      </c>
      <c r="W3" s="82" t="s">
        <v>306</v>
      </c>
      <c r="X3" s="83" t="s">
        <v>342</v>
      </c>
      <c r="Y3" s="82" t="s">
        <v>306</v>
      </c>
      <c r="Z3" s="83" t="s">
        <v>342</v>
      </c>
      <c r="AA3" s="82" t="s">
        <v>306</v>
      </c>
      <c r="AB3" s="83" t="s">
        <v>342</v>
      </c>
      <c r="AC3" s="82" t="s">
        <v>306</v>
      </c>
      <c r="AD3" s="83" t="s">
        <v>342</v>
      </c>
    </row>
    <row r="4" spans="1:30">
      <c r="A4" s="90" t="s">
        <v>88</v>
      </c>
      <c r="B4" s="36" t="s">
        <v>80</v>
      </c>
      <c r="C4" s="57" t="s">
        <v>4</v>
      </c>
      <c r="D4" s="57" t="s">
        <v>8</v>
      </c>
      <c r="E4" s="58" t="s">
        <v>191</v>
      </c>
      <c r="F4" s="5">
        <v>1650</v>
      </c>
      <c r="G4" s="28">
        <v>168</v>
      </c>
      <c r="H4" s="34"/>
      <c r="I4" s="28">
        <v>156.5</v>
      </c>
      <c r="J4" s="34"/>
      <c r="K4" s="28">
        <v>145</v>
      </c>
      <c r="L4" s="34"/>
      <c r="M4" s="28">
        <v>161.75</v>
      </c>
      <c r="N4" s="34"/>
      <c r="O4" s="28">
        <v>131.25</v>
      </c>
      <c r="P4" s="34"/>
      <c r="Q4" s="28">
        <f>132.25+24</f>
        <v>156.25</v>
      </c>
      <c r="R4" s="34"/>
      <c r="S4" s="29"/>
      <c r="T4" s="35"/>
      <c r="U4" s="29"/>
      <c r="V4" s="35"/>
      <c r="W4" s="29"/>
      <c r="X4" s="35"/>
      <c r="Y4" s="29"/>
      <c r="Z4" s="35"/>
      <c r="AA4" s="29"/>
      <c r="AB4" s="35"/>
      <c r="AC4" s="29"/>
      <c r="AD4" s="35"/>
    </row>
  </sheetData>
  <mergeCells count="19">
    <mergeCell ref="AA2:AB2"/>
    <mergeCell ref="AC2:AD2"/>
    <mergeCell ref="G2:H2"/>
    <mergeCell ref="I2:J2"/>
    <mergeCell ref="K2:L2"/>
    <mergeCell ref="M2:N2"/>
    <mergeCell ref="O2:P2"/>
    <mergeCell ref="Q2:R2"/>
    <mergeCell ref="A1:C1"/>
    <mergeCell ref="S2:T2"/>
    <mergeCell ref="U2:V2"/>
    <mergeCell ref="W2:X2"/>
    <mergeCell ref="Y2:Z2"/>
    <mergeCell ref="A2:A3"/>
    <mergeCell ref="B2:B3"/>
    <mergeCell ref="C2:C3"/>
    <mergeCell ref="D2:D3"/>
    <mergeCell ref="E2:E3"/>
    <mergeCell ref="F2:F3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DB32-7EDF-4461-8382-A796E9B609C5}">
  <sheetPr>
    <tabColor theme="9" tint="0.79998168889431442"/>
    <pageSetUpPr fitToPage="1"/>
  </sheetPr>
  <dimension ref="A1:AC69"/>
  <sheetViews>
    <sheetView view="pageBreakPreview" zoomScale="115" zoomScaleNormal="85" zoomScaleSheetLayoutView="115" workbookViewId="0">
      <pane xSplit="5" ySplit="3" topLeftCell="F4" activePane="bottomRight" state="frozen"/>
      <selection activeCell="Z95" sqref="Z95"/>
      <selection pane="topRight" activeCell="Z95" sqref="Z95"/>
      <selection pane="bottomLeft" activeCell="Z95" sqref="Z95"/>
      <selection pane="bottomRight" activeCell="A4" sqref="A4:E69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6.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406</v>
      </c>
      <c r="B1" s="195"/>
      <c r="C1" s="195"/>
    </row>
    <row r="2" spans="1:29" s="86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7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114" t="s">
        <v>56</v>
      </c>
      <c r="B4" s="22" t="s">
        <v>4</v>
      </c>
      <c r="C4" s="22" t="s">
        <v>18</v>
      </c>
      <c r="D4" s="23"/>
      <c r="E4" s="21">
        <v>1800</v>
      </c>
      <c r="F4" s="29"/>
      <c r="G4" s="35"/>
      <c r="H4" s="29"/>
      <c r="I4" s="35"/>
      <c r="J4" s="29"/>
      <c r="K4" s="35"/>
      <c r="L4" s="29"/>
      <c r="M4" s="35"/>
      <c r="N4" s="29"/>
      <c r="O4" s="35"/>
      <c r="P4" s="29"/>
      <c r="Q4" s="35"/>
      <c r="R4" s="29"/>
      <c r="S4" s="35"/>
      <c r="T4" s="29"/>
      <c r="U4" s="35"/>
      <c r="V4" s="29"/>
      <c r="W4" s="35"/>
      <c r="X4" s="29"/>
      <c r="Y4" s="35"/>
      <c r="Z4" s="29"/>
      <c r="AA4" s="35"/>
      <c r="AB4" s="29"/>
      <c r="AC4" s="35"/>
    </row>
    <row r="5" spans="1:29" ht="16.149999999999999" customHeight="1">
      <c r="A5" s="115"/>
      <c r="B5" s="59" t="s">
        <v>4</v>
      </c>
      <c r="C5" s="59" t="s">
        <v>18</v>
      </c>
      <c r="D5" s="42"/>
      <c r="E5" s="7">
        <v>1650</v>
      </c>
      <c r="F5" s="25"/>
      <c r="G5" s="31"/>
      <c r="H5" s="25"/>
      <c r="I5" s="31"/>
      <c r="J5" s="25"/>
      <c r="K5" s="31"/>
      <c r="L5" s="25"/>
      <c r="M5" s="31"/>
      <c r="N5" s="25"/>
      <c r="O5" s="31"/>
      <c r="P5" s="25"/>
      <c r="Q5" s="31"/>
      <c r="R5" s="25"/>
      <c r="S5" s="31"/>
      <c r="T5" s="25"/>
      <c r="U5" s="31"/>
      <c r="V5" s="25"/>
      <c r="W5" s="31"/>
      <c r="X5" s="25"/>
      <c r="Y5" s="31"/>
      <c r="Z5" s="25"/>
      <c r="AA5" s="108"/>
      <c r="AB5" s="25"/>
      <c r="AC5" s="31"/>
    </row>
    <row r="6" spans="1:29">
      <c r="A6" s="206" t="s">
        <v>76</v>
      </c>
      <c r="B6" s="14" t="s">
        <v>4</v>
      </c>
      <c r="C6" s="14" t="s">
        <v>408</v>
      </c>
      <c r="D6" s="9" t="s">
        <v>183</v>
      </c>
      <c r="E6" s="6">
        <v>1857</v>
      </c>
      <c r="F6" s="24">
        <v>134</v>
      </c>
      <c r="G6" s="30"/>
      <c r="H6" s="24">
        <f>119+4</f>
        <v>123</v>
      </c>
      <c r="I6" s="30"/>
      <c r="J6" s="24">
        <v>19.5</v>
      </c>
      <c r="K6" s="30"/>
      <c r="L6" s="24">
        <v>54.25</v>
      </c>
      <c r="M6" s="30"/>
      <c r="N6" s="24">
        <v>82.5</v>
      </c>
      <c r="O6" s="30"/>
      <c r="P6" s="24">
        <v>125</v>
      </c>
      <c r="Q6" s="30"/>
      <c r="R6" s="24"/>
      <c r="S6" s="30"/>
      <c r="T6" s="24"/>
      <c r="U6" s="30"/>
      <c r="V6" s="24"/>
      <c r="W6" s="30"/>
      <c r="X6" s="24"/>
      <c r="Y6" s="30"/>
      <c r="Z6" s="24"/>
      <c r="AA6" s="30"/>
      <c r="AB6" s="24"/>
      <c r="AC6" s="30"/>
    </row>
    <row r="7" spans="1:29">
      <c r="A7" s="207"/>
      <c r="B7" s="16" t="s">
        <v>4</v>
      </c>
      <c r="C7" s="16" t="s">
        <v>409</v>
      </c>
      <c r="D7" s="11" t="s">
        <v>184</v>
      </c>
      <c r="E7" s="10">
        <v>1875</v>
      </c>
      <c r="F7" s="26">
        <v>144.75</v>
      </c>
      <c r="G7" s="32"/>
      <c r="H7" s="26">
        <f>151+9</f>
        <v>160</v>
      </c>
      <c r="I7" s="32"/>
      <c r="J7" s="26">
        <f>139+5+11.5</f>
        <v>155.5</v>
      </c>
      <c r="K7" s="32"/>
      <c r="L7" s="26">
        <v>158.5</v>
      </c>
      <c r="M7" s="32"/>
      <c r="N7" s="26">
        <v>165</v>
      </c>
      <c r="O7" s="32"/>
      <c r="P7" s="26">
        <v>172</v>
      </c>
      <c r="Q7" s="32"/>
      <c r="R7" s="26"/>
      <c r="S7" s="32"/>
      <c r="T7" s="26"/>
      <c r="U7" s="32"/>
      <c r="V7" s="26"/>
      <c r="W7" s="32"/>
      <c r="X7" s="26"/>
      <c r="Y7" s="32"/>
      <c r="Z7" s="26"/>
      <c r="AA7" s="32"/>
      <c r="AB7" s="26"/>
      <c r="AC7" s="32"/>
    </row>
    <row r="8" spans="1:29">
      <c r="A8" s="207"/>
      <c r="B8" s="16" t="s">
        <v>4</v>
      </c>
      <c r="C8" s="16" t="s">
        <v>18</v>
      </c>
      <c r="D8" s="11" t="s">
        <v>185</v>
      </c>
      <c r="E8" s="10">
        <v>1875</v>
      </c>
      <c r="F8" s="26"/>
      <c r="G8" s="32"/>
      <c r="H8" s="26">
        <f>160+26</f>
        <v>186</v>
      </c>
      <c r="I8" s="32"/>
      <c r="J8" s="26">
        <v>160</v>
      </c>
      <c r="K8" s="32"/>
      <c r="L8" s="26">
        <f>160+7.5</f>
        <v>167.5</v>
      </c>
      <c r="M8" s="32"/>
      <c r="N8" s="26">
        <v>167</v>
      </c>
      <c r="O8" s="32"/>
      <c r="P8" s="26">
        <v>169</v>
      </c>
      <c r="Q8" s="32"/>
      <c r="R8" s="26"/>
      <c r="S8" s="32"/>
      <c r="T8" s="26"/>
      <c r="U8" s="32"/>
      <c r="V8" s="26"/>
      <c r="W8" s="32"/>
      <c r="X8" s="26"/>
      <c r="Y8" s="32"/>
      <c r="Z8" s="26"/>
      <c r="AA8" s="32"/>
      <c r="AB8" s="26"/>
      <c r="AC8" s="32"/>
    </row>
    <row r="9" spans="1:29">
      <c r="A9" s="207"/>
      <c r="B9" s="39" t="s">
        <v>4</v>
      </c>
      <c r="C9" s="39" t="s">
        <v>186</v>
      </c>
      <c r="D9" s="40" t="s">
        <v>187</v>
      </c>
      <c r="E9" s="20">
        <v>1567</v>
      </c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5"/>
      <c r="R9" s="44"/>
      <c r="S9" s="45"/>
      <c r="T9" s="44"/>
      <c r="U9" s="45"/>
      <c r="V9" s="44"/>
      <c r="W9" s="45"/>
      <c r="X9" s="44"/>
      <c r="Y9" s="45"/>
      <c r="Z9" s="44"/>
      <c r="AA9" s="45"/>
      <c r="AB9" s="44"/>
      <c r="AC9" s="45"/>
    </row>
    <row r="10" spans="1:29">
      <c r="A10" s="208"/>
      <c r="B10" s="59" t="s">
        <v>4</v>
      </c>
      <c r="C10" s="59" t="s">
        <v>186</v>
      </c>
      <c r="D10" s="42" t="s">
        <v>188</v>
      </c>
      <c r="E10" s="7">
        <v>1567</v>
      </c>
      <c r="F10" s="25"/>
      <c r="G10" s="31"/>
      <c r="H10" s="25"/>
      <c r="I10" s="31"/>
      <c r="J10" s="25"/>
      <c r="K10" s="31"/>
      <c r="L10" s="25"/>
      <c r="M10" s="31"/>
      <c r="N10" s="25"/>
      <c r="O10" s="31"/>
      <c r="P10" s="25"/>
      <c r="Q10" s="31"/>
      <c r="R10" s="25"/>
      <c r="S10" s="31"/>
      <c r="T10" s="25"/>
      <c r="U10" s="31"/>
      <c r="V10" s="25"/>
      <c r="W10" s="31"/>
      <c r="X10" s="25"/>
      <c r="Y10" s="31"/>
      <c r="Z10" s="25"/>
      <c r="AA10" s="31"/>
      <c r="AB10" s="25"/>
      <c r="AC10" s="31"/>
    </row>
    <row r="11" spans="1:29">
      <c r="A11" s="206" t="s">
        <v>31</v>
      </c>
      <c r="B11" s="14"/>
      <c r="C11" s="14" t="s">
        <v>410</v>
      </c>
      <c r="D11" s="9" t="s">
        <v>189</v>
      </c>
      <c r="E11" s="6">
        <v>1750</v>
      </c>
      <c r="F11" s="24">
        <v>152</v>
      </c>
      <c r="G11" s="30"/>
      <c r="H11" s="24">
        <f>184+0.5</f>
        <v>184.5</v>
      </c>
      <c r="I11" s="30"/>
      <c r="J11" s="24">
        <f>176+5</f>
        <v>181</v>
      </c>
      <c r="K11" s="30"/>
      <c r="L11" s="24">
        <v>176</v>
      </c>
      <c r="M11" s="30"/>
      <c r="N11" s="24">
        <f>192+2+16</f>
        <v>210</v>
      </c>
      <c r="O11" s="30"/>
      <c r="P11" s="24">
        <f>184+0.5+8</f>
        <v>192.5</v>
      </c>
      <c r="Q11" s="30"/>
      <c r="R11" s="24"/>
      <c r="S11" s="30"/>
      <c r="T11" s="24"/>
      <c r="U11" s="30"/>
      <c r="V11" s="24"/>
      <c r="W11" s="30"/>
      <c r="X11" s="24"/>
      <c r="Y11" s="30"/>
      <c r="Z11" s="24"/>
      <c r="AA11" s="30"/>
      <c r="AB11" s="24"/>
      <c r="AC11" s="30"/>
    </row>
    <row r="12" spans="1:29">
      <c r="A12" s="207"/>
      <c r="B12" s="16"/>
      <c r="C12" s="16" t="s">
        <v>407</v>
      </c>
      <c r="D12" s="11" t="s">
        <v>77</v>
      </c>
      <c r="E12" s="10">
        <v>1900</v>
      </c>
      <c r="F12" s="26">
        <v>144</v>
      </c>
      <c r="G12" s="32"/>
      <c r="H12" s="26">
        <f>184+0.5</f>
        <v>184.5</v>
      </c>
      <c r="I12" s="32"/>
      <c r="J12" s="26">
        <f>176+6</f>
        <v>182</v>
      </c>
      <c r="K12" s="32"/>
      <c r="L12" s="26">
        <v>176</v>
      </c>
      <c r="M12" s="32"/>
      <c r="N12" s="26">
        <f>192+3+16</f>
        <v>211</v>
      </c>
      <c r="O12" s="32"/>
      <c r="P12" s="26">
        <f>184+23.5+8</f>
        <v>215.5</v>
      </c>
      <c r="Q12" s="32"/>
      <c r="R12" s="26"/>
      <c r="S12" s="32"/>
      <c r="T12" s="26"/>
      <c r="U12" s="32"/>
      <c r="V12" s="26"/>
      <c r="W12" s="32"/>
      <c r="X12" s="26"/>
      <c r="Y12" s="32"/>
      <c r="Z12" s="26"/>
      <c r="AA12" s="32"/>
      <c r="AB12" s="26"/>
      <c r="AC12" s="32"/>
    </row>
    <row r="13" spans="1:29">
      <c r="A13" s="207"/>
      <c r="B13" s="39" t="s">
        <v>4</v>
      </c>
      <c r="C13" s="39" t="s">
        <v>485</v>
      </c>
      <c r="D13" s="40" t="s">
        <v>38</v>
      </c>
      <c r="E13" s="20">
        <v>1550</v>
      </c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96"/>
      <c r="Q13" s="45"/>
      <c r="R13" s="44"/>
      <c r="S13" s="45"/>
      <c r="T13" s="44"/>
      <c r="U13" s="45"/>
      <c r="V13" s="44"/>
      <c r="W13" s="45"/>
      <c r="X13" s="44"/>
      <c r="Y13" s="45"/>
      <c r="Z13" s="44"/>
      <c r="AA13" s="45"/>
      <c r="AB13" s="44"/>
      <c r="AC13" s="45"/>
    </row>
    <row r="14" spans="1:29">
      <c r="A14" s="207"/>
      <c r="B14" s="16" t="s">
        <v>4</v>
      </c>
      <c r="C14" s="16" t="s">
        <v>486</v>
      </c>
      <c r="D14" s="11" t="s">
        <v>38</v>
      </c>
      <c r="E14" s="10">
        <v>1650</v>
      </c>
      <c r="F14" s="26">
        <v>350</v>
      </c>
      <c r="G14" s="32"/>
      <c r="H14" s="26">
        <f>371+8</f>
        <v>379</v>
      </c>
      <c r="I14" s="32"/>
      <c r="J14" s="26">
        <v>243</v>
      </c>
      <c r="K14" s="32"/>
      <c r="L14" s="26">
        <v>175</v>
      </c>
      <c r="M14" s="32"/>
      <c r="N14" s="26">
        <f>308+2</f>
        <v>310</v>
      </c>
      <c r="O14" s="32"/>
      <c r="P14" s="103">
        <f>279+3</f>
        <v>282</v>
      </c>
      <c r="Q14" s="32"/>
      <c r="R14" s="26"/>
      <c r="S14" s="32"/>
      <c r="T14" s="26"/>
      <c r="U14" s="32"/>
      <c r="V14" s="26"/>
      <c r="W14" s="32"/>
      <c r="X14" s="26"/>
      <c r="Y14" s="32"/>
      <c r="Z14" s="26"/>
      <c r="AA14" s="32"/>
      <c r="AB14" s="26"/>
      <c r="AC14" s="32"/>
    </row>
    <row r="15" spans="1:29">
      <c r="A15" s="207"/>
      <c r="B15" s="39" t="s">
        <v>4</v>
      </c>
      <c r="C15" s="39" t="s">
        <v>487</v>
      </c>
      <c r="D15" s="40" t="s">
        <v>38</v>
      </c>
      <c r="E15" s="20">
        <v>1600</v>
      </c>
      <c r="F15" s="44">
        <v>202.75</v>
      </c>
      <c r="G15" s="45"/>
      <c r="H15" s="44">
        <f>385+5</f>
        <v>390</v>
      </c>
      <c r="I15" s="45"/>
      <c r="J15" s="44">
        <f>623+18.5+3</f>
        <v>644.5</v>
      </c>
      <c r="K15" s="45"/>
      <c r="L15" s="44">
        <v>420</v>
      </c>
      <c r="M15" s="45"/>
      <c r="N15" s="44">
        <f>538.75+5.25</f>
        <v>544</v>
      </c>
      <c r="O15" s="45"/>
      <c r="P15" s="96">
        <f>671.75+1</f>
        <v>672.75</v>
      </c>
      <c r="Q15" s="45"/>
      <c r="R15" s="44"/>
      <c r="S15" s="45"/>
      <c r="T15" s="44"/>
      <c r="U15" s="45"/>
      <c r="V15" s="44"/>
      <c r="W15" s="45"/>
      <c r="X15" s="44"/>
      <c r="Y15" s="45"/>
      <c r="Z15" s="44"/>
      <c r="AA15" s="45"/>
      <c r="AB15" s="44"/>
      <c r="AC15" s="45"/>
    </row>
    <row r="16" spans="1:29">
      <c r="A16" s="208"/>
      <c r="B16" s="59"/>
      <c r="C16" s="59" t="s">
        <v>411</v>
      </c>
      <c r="D16" s="42" t="s">
        <v>38</v>
      </c>
      <c r="E16" s="7">
        <v>1550</v>
      </c>
      <c r="F16" s="25"/>
      <c r="G16" s="31"/>
      <c r="H16" s="25"/>
      <c r="I16" s="31"/>
      <c r="J16" s="25"/>
      <c r="K16" s="31"/>
      <c r="L16" s="25"/>
      <c r="M16" s="31"/>
      <c r="N16" s="25"/>
      <c r="O16" s="31"/>
      <c r="P16" s="25"/>
      <c r="Q16" s="31"/>
      <c r="R16" s="25"/>
      <c r="S16" s="31"/>
      <c r="T16" s="25"/>
      <c r="U16" s="31"/>
      <c r="V16" s="25"/>
      <c r="W16" s="31"/>
      <c r="X16" s="25"/>
      <c r="Y16" s="31"/>
      <c r="Z16" s="25"/>
      <c r="AA16" s="31"/>
      <c r="AB16" s="25"/>
      <c r="AC16" s="31"/>
    </row>
    <row r="17" spans="1:29">
      <c r="A17" s="196" t="s">
        <v>55</v>
      </c>
      <c r="B17" s="14"/>
      <c r="C17" s="14" t="s">
        <v>248</v>
      </c>
      <c r="D17" s="9" t="s">
        <v>79</v>
      </c>
      <c r="E17" s="6">
        <v>1500</v>
      </c>
      <c r="F17" s="24">
        <v>156.75</v>
      </c>
      <c r="G17" s="30"/>
      <c r="H17" s="24">
        <f>162+5</f>
        <v>167</v>
      </c>
      <c r="I17" s="30"/>
      <c r="J17" s="24">
        <f>149.5+2</f>
        <v>151.5</v>
      </c>
      <c r="K17" s="30"/>
      <c r="L17" s="24">
        <f>160+4.5</f>
        <v>164.5</v>
      </c>
      <c r="M17" s="30"/>
      <c r="N17" s="24">
        <f>177.5+5.75</f>
        <v>183.25</v>
      </c>
      <c r="O17" s="30"/>
      <c r="P17" s="24">
        <f>158.5+12.5</f>
        <v>171</v>
      </c>
      <c r="Q17" s="30"/>
      <c r="R17" s="24"/>
      <c r="S17" s="30"/>
      <c r="T17" s="24"/>
      <c r="U17" s="30"/>
      <c r="V17" s="24"/>
      <c r="W17" s="30"/>
      <c r="X17" s="24"/>
      <c r="Y17" s="30"/>
      <c r="Z17" s="24"/>
      <c r="AA17" s="30"/>
      <c r="AB17" s="24"/>
      <c r="AC17" s="30"/>
    </row>
    <row r="18" spans="1:29">
      <c r="A18" s="196"/>
      <c r="B18" s="16"/>
      <c r="C18" s="16"/>
      <c r="D18" s="142" t="s">
        <v>604</v>
      </c>
      <c r="E18" s="143">
        <v>1500</v>
      </c>
      <c r="F18" s="26"/>
      <c r="G18" s="32"/>
      <c r="H18" s="26"/>
      <c r="I18" s="32"/>
      <c r="J18" s="26"/>
      <c r="K18" s="32"/>
      <c r="L18" s="144">
        <v>14</v>
      </c>
      <c r="M18" s="32" t="s">
        <v>539</v>
      </c>
      <c r="N18" s="26"/>
      <c r="O18" s="32"/>
      <c r="P18" s="26"/>
      <c r="Q18" s="32"/>
      <c r="R18" s="26"/>
      <c r="S18" s="32"/>
      <c r="T18" s="26"/>
      <c r="U18" s="32"/>
      <c r="V18" s="26"/>
      <c r="W18" s="32"/>
      <c r="X18" s="26"/>
      <c r="Y18" s="32"/>
      <c r="Z18" s="26"/>
      <c r="AA18" s="32"/>
      <c r="AB18" s="26"/>
      <c r="AC18" s="32"/>
    </row>
    <row r="19" spans="1:29">
      <c r="A19" s="196"/>
      <c r="B19" s="16"/>
      <c r="C19" s="16"/>
      <c r="D19" s="142" t="s">
        <v>619</v>
      </c>
      <c r="E19" s="143">
        <v>1500</v>
      </c>
      <c r="F19" s="26"/>
      <c r="G19" s="32"/>
      <c r="H19" s="26"/>
      <c r="I19" s="32"/>
      <c r="J19" s="26"/>
      <c r="K19" s="32"/>
      <c r="L19" s="26"/>
      <c r="M19" s="32"/>
      <c r="N19" s="144">
        <f>19.75+0.5</f>
        <v>20.25</v>
      </c>
      <c r="O19" s="32" t="s">
        <v>539</v>
      </c>
      <c r="P19" s="26"/>
      <c r="Q19" s="32"/>
      <c r="R19" s="26"/>
      <c r="S19" s="32"/>
      <c r="T19" s="26"/>
      <c r="U19" s="32"/>
      <c r="V19" s="26"/>
      <c r="W19" s="32"/>
      <c r="X19" s="26"/>
      <c r="Y19" s="32"/>
      <c r="Z19" s="26"/>
      <c r="AA19" s="32"/>
      <c r="AB19" s="26"/>
      <c r="AC19" s="32"/>
    </row>
    <row r="20" spans="1:29">
      <c r="A20" s="196"/>
      <c r="B20" s="59"/>
      <c r="C20" s="59"/>
      <c r="D20" s="42" t="s">
        <v>337</v>
      </c>
      <c r="E20" s="7">
        <v>1500</v>
      </c>
      <c r="F20" s="25">
        <v>7</v>
      </c>
      <c r="G20" s="31"/>
      <c r="H20" s="25"/>
      <c r="I20" s="31"/>
      <c r="J20" s="25"/>
      <c r="K20" s="31"/>
      <c r="L20" s="25"/>
      <c r="M20" s="31"/>
      <c r="N20" s="25"/>
      <c r="O20" s="31"/>
      <c r="P20" s="25"/>
      <c r="Q20" s="31"/>
      <c r="R20" s="25"/>
      <c r="S20" s="31"/>
      <c r="T20" s="25"/>
      <c r="U20" s="31"/>
      <c r="V20" s="25"/>
      <c r="W20" s="31"/>
      <c r="X20" s="25"/>
      <c r="Y20" s="31"/>
      <c r="Z20" s="25"/>
      <c r="AA20" s="31"/>
      <c r="AB20" s="25"/>
      <c r="AC20" s="31"/>
    </row>
    <row r="21" spans="1:29">
      <c r="A21" s="196" t="s">
        <v>80</v>
      </c>
      <c r="B21" s="22" t="s">
        <v>4</v>
      </c>
      <c r="C21" s="23" t="s">
        <v>81</v>
      </c>
      <c r="D21" s="23"/>
      <c r="E21" s="21" t="s">
        <v>382</v>
      </c>
      <c r="F21" s="29"/>
      <c r="G21" s="35"/>
      <c r="H21" s="29"/>
      <c r="I21" s="35"/>
      <c r="J21" s="29"/>
      <c r="K21" s="35"/>
      <c r="L21" s="29"/>
      <c r="M21" s="35"/>
      <c r="N21" s="29"/>
      <c r="O21" s="35"/>
      <c r="P21" s="29"/>
      <c r="Q21" s="35"/>
      <c r="R21" s="29"/>
      <c r="S21" s="35"/>
      <c r="T21" s="29"/>
      <c r="U21" s="35"/>
      <c r="V21" s="29"/>
      <c r="W21" s="35"/>
      <c r="X21" s="29"/>
      <c r="Y21" s="35"/>
      <c r="Z21" s="29"/>
      <c r="AA21" s="35"/>
      <c r="AB21" s="29"/>
      <c r="AC21" s="35"/>
    </row>
    <row r="22" spans="1:29">
      <c r="A22" s="196"/>
      <c r="B22" s="158" t="s">
        <v>4</v>
      </c>
      <c r="C22" s="142" t="s">
        <v>620</v>
      </c>
      <c r="D22" s="142"/>
      <c r="E22" s="143" t="s">
        <v>631</v>
      </c>
      <c r="F22" s="26"/>
      <c r="G22" s="32"/>
      <c r="H22" s="26"/>
      <c r="I22" s="32"/>
      <c r="J22" s="26"/>
      <c r="K22" s="32"/>
      <c r="L22" s="26"/>
      <c r="M22" s="32"/>
      <c r="N22" s="144"/>
      <c r="O22" s="191" t="s">
        <v>621</v>
      </c>
      <c r="P22" s="26"/>
      <c r="Q22" s="32" t="s">
        <v>629</v>
      </c>
      <c r="R22" s="26"/>
      <c r="S22" s="32"/>
      <c r="T22" s="26"/>
      <c r="U22" s="32"/>
      <c r="V22" s="26"/>
      <c r="W22" s="32"/>
      <c r="X22" s="26"/>
      <c r="Y22" s="32"/>
      <c r="Z22" s="26"/>
      <c r="AA22" s="32"/>
      <c r="AB22" s="26"/>
      <c r="AC22" s="32"/>
    </row>
    <row r="23" spans="1:29">
      <c r="A23" s="196"/>
      <c r="B23" s="158" t="s">
        <v>4</v>
      </c>
      <c r="C23" s="142" t="s">
        <v>352</v>
      </c>
      <c r="D23" s="142"/>
      <c r="E23" s="143" t="s">
        <v>632</v>
      </c>
      <c r="F23" s="26"/>
      <c r="G23" s="32"/>
      <c r="H23" s="26"/>
      <c r="I23" s="32"/>
      <c r="J23" s="26"/>
      <c r="K23" s="32"/>
      <c r="L23" s="26"/>
      <c r="M23" s="32"/>
      <c r="N23" s="26"/>
      <c r="O23" s="32"/>
      <c r="P23" s="144"/>
      <c r="Q23" s="191" t="s">
        <v>630</v>
      </c>
      <c r="R23" s="26"/>
      <c r="S23" s="32"/>
      <c r="T23" s="26"/>
      <c r="U23" s="32"/>
      <c r="V23" s="26"/>
      <c r="W23" s="32"/>
      <c r="X23" s="26"/>
      <c r="Y23" s="32"/>
      <c r="Z23" s="26"/>
      <c r="AA23" s="32"/>
      <c r="AB23" s="26"/>
      <c r="AC23" s="32"/>
    </row>
    <row r="24" spans="1:29">
      <c r="A24" s="196"/>
      <c r="B24" s="16" t="s">
        <v>4</v>
      </c>
      <c r="C24" s="11" t="s">
        <v>352</v>
      </c>
      <c r="D24" s="11" t="s">
        <v>353</v>
      </c>
      <c r="E24" s="10" t="s">
        <v>383</v>
      </c>
      <c r="F24" s="26"/>
      <c r="G24" s="32"/>
      <c r="H24" s="26"/>
      <c r="I24" s="32"/>
      <c r="J24" s="26"/>
      <c r="K24" s="32"/>
      <c r="L24" s="26"/>
      <c r="M24" s="32"/>
      <c r="N24" s="26"/>
      <c r="O24" s="32"/>
      <c r="P24" s="26"/>
      <c r="Q24" s="32"/>
      <c r="R24" s="26"/>
      <c r="S24" s="32"/>
      <c r="T24" s="26"/>
      <c r="U24" s="32"/>
      <c r="V24" s="26"/>
      <c r="W24" s="32"/>
      <c r="X24" s="26"/>
      <c r="Y24" s="32"/>
      <c r="Z24" s="26"/>
      <c r="AA24" s="32"/>
      <c r="AB24" s="26"/>
      <c r="AC24" s="32"/>
    </row>
    <row r="25" spans="1:29">
      <c r="A25" s="196"/>
      <c r="B25" s="16" t="s">
        <v>4</v>
      </c>
      <c r="C25" s="11" t="s">
        <v>352</v>
      </c>
      <c r="D25" s="11" t="s">
        <v>353</v>
      </c>
      <c r="E25" s="10">
        <v>1925</v>
      </c>
      <c r="F25" s="26"/>
      <c r="G25" s="32"/>
      <c r="H25" s="26"/>
      <c r="I25" s="32"/>
      <c r="J25" s="26"/>
      <c r="K25" s="32"/>
      <c r="L25" s="26"/>
      <c r="M25" s="32"/>
      <c r="N25" s="26"/>
      <c r="O25" s="32"/>
      <c r="P25" s="26"/>
      <c r="Q25" s="32"/>
      <c r="R25" s="26"/>
      <c r="S25" s="32"/>
      <c r="T25" s="26"/>
      <c r="U25" s="32"/>
      <c r="V25" s="26"/>
      <c r="W25" s="32"/>
      <c r="X25" s="26"/>
      <c r="Y25" s="32"/>
      <c r="Z25" s="26"/>
      <c r="AA25" s="32"/>
      <c r="AB25" s="26"/>
      <c r="AC25" s="32"/>
    </row>
    <row r="26" spans="1:29">
      <c r="A26" s="196"/>
      <c r="B26" s="16" t="s">
        <v>4</v>
      </c>
      <c r="C26" s="11" t="s">
        <v>352</v>
      </c>
      <c r="D26" s="11" t="s">
        <v>429</v>
      </c>
      <c r="E26" s="10">
        <v>1925</v>
      </c>
      <c r="F26" s="26"/>
      <c r="G26" s="32"/>
      <c r="H26" s="26"/>
      <c r="I26" s="32"/>
      <c r="J26" s="26"/>
      <c r="K26" s="32"/>
      <c r="L26" s="26"/>
      <c r="M26" s="32"/>
      <c r="N26" s="26"/>
      <c r="O26" s="32"/>
      <c r="P26" s="26"/>
      <c r="Q26" s="32"/>
      <c r="R26" s="26"/>
      <c r="S26" s="32"/>
      <c r="T26" s="26"/>
      <c r="U26" s="32"/>
      <c r="V26" s="26"/>
      <c r="W26" s="32"/>
      <c r="X26" s="26"/>
      <c r="Y26" s="32"/>
      <c r="Z26" s="26"/>
      <c r="AA26" s="32"/>
      <c r="AB26" s="26"/>
      <c r="AC26" s="32"/>
    </row>
    <row r="27" spans="1:29">
      <c r="A27" s="196"/>
      <c r="B27" s="16" t="s">
        <v>4</v>
      </c>
      <c r="C27" s="11" t="s">
        <v>352</v>
      </c>
      <c r="D27" s="11" t="s">
        <v>430</v>
      </c>
      <c r="E27" s="10">
        <v>1925</v>
      </c>
      <c r="F27" s="26"/>
      <c r="G27" s="32"/>
      <c r="H27" s="26"/>
      <c r="I27" s="32"/>
      <c r="J27" s="26"/>
      <c r="K27" s="32"/>
      <c r="L27" s="26"/>
      <c r="M27" s="32"/>
      <c r="N27" s="26"/>
      <c r="O27" s="32"/>
      <c r="P27" s="26"/>
      <c r="Q27" s="32"/>
      <c r="R27" s="26"/>
      <c r="S27" s="32"/>
      <c r="T27" s="26"/>
      <c r="U27" s="32"/>
      <c r="V27" s="26"/>
      <c r="W27" s="32"/>
      <c r="X27" s="26"/>
      <c r="Y27" s="32"/>
      <c r="Z27" s="26"/>
      <c r="AA27" s="32"/>
      <c r="AB27" s="26"/>
      <c r="AC27" s="32"/>
    </row>
    <row r="28" spans="1:29">
      <c r="A28" s="196"/>
      <c r="B28" s="16" t="s">
        <v>4</v>
      </c>
      <c r="C28" s="11" t="s">
        <v>451</v>
      </c>
      <c r="D28" s="11" t="s">
        <v>450</v>
      </c>
      <c r="E28" s="10">
        <v>1400</v>
      </c>
      <c r="F28" s="26"/>
      <c r="G28" s="32"/>
      <c r="H28" s="26"/>
      <c r="I28" s="32"/>
      <c r="J28" s="26"/>
      <c r="K28" s="32"/>
      <c r="L28" s="26"/>
      <c r="M28" s="32"/>
      <c r="N28" s="26"/>
      <c r="O28" s="32"/>
      <c r="P28" s="26"/>
      <c r="Q28" s="32"/>
      <c r="R28" s="26"/>
      <c r="S28" s="32"/>
      <c r="T28" s="26"/>
      <c r="U28" s="32"/>
      <c r="V28" s="26"/>
      <c r="W28" s="32"/>
      <c r="X28" s="26"/>
      <c r="Y28" s="32"/>
      <c r="Z28" s="26"/>
      <c r="AA28" s="32"/>
      <c r="AB28" s="26"/>
      <c r="AC28" s="32"/>
    </row>
    <row r="29" spans="1:29">
      <c r="A29" s="196"/>
      <c r="B29" s="16" t="s">
        <v>4</v>
      </c>
      <c r="C29" s="11" t="s">
        <v>451</v>
      </c>
      <c r="D29" s="11" t="s">
        <v>448</v>
      </c>
      <c r="E29" s="10">
        <v>1400</v>
      </c>
      <c r="F29" s="26"/>
      <c r="G29" s="32"/>
      <c r="H29" s="26"/>
      <c r="I29" s="32"/>
      <c r="J29" s="26"/>
      <c r="K29" s="32"/>
      <c r="L29" s="26"/>
      <c r="M29" s="32"/>
      <c r="N29" s="26"/>
      <c r="O29" s="32"/>
      <c r="P29" s="26"/>
      <c r="Q29" s="32"/>
      <c r="R29" s="26"/>
      <c r="S29" s="32"/>
      <c r="T29" s="26"/>
      <c r="U29" s="32"/>
      <c r="V29" s="26"/>
      <c r="W29" s="32"/>
      <c r="X29" s="26"/>
      <c r="Y29" s="32"/>
      <c r="Z29" s="26"/>
      <c r="AA29" s="32"/>
      <c r="AB29" s="26"/>
      <c r="AC29" s="32"/>
    </row>
    <row r="30" spans="1:29">
      <c r="A30" s="196"/>
      <c r="B30" s="16" t="s">
        <v>4</v>
      </c>
      <c r="C30" s="11" t="s">
        <v>451</v>
      </c>
      <c r="D30" s="11" t="s">
        <v>449</v>
      </c>
      <c r="E30" s="10">
        <v>1400</v>
      </c>
      <c r="F30" s="26"/>
      <c r="G30" s="32"/>
      <c r="H30" s="26"/>
      <c r="I30" s="32"/>
      <c r="J30" s="26"/>
      <c r="K30" s="32"/>
      <c r="L30" s="26"/>
      <c r="M30" s="32"/>
      <c r="N30" s="26"/>
      <c r="O30" s="32"/>
      <c r="P30" s="26"/>
      <c r="Q30" s="32"/>
      <c r="R30" s="26"/>
      <c r="S30" s="32"/>
      <c r="T30" s="26"/>
      <c r="U30" s="32"/>
      <c r="V30" s="26"/>
      <c r="W30" s="32"/>
      <c r="X30" s="26"/>
      <c r="Y30" s="32"/>
      <c r="Z30" s="26"/>
      <c r="AA30" s="32"/>
      <c r="AB30" s="26"/>
      <c r="AC30" s="32"/>
    </row>
    <row r="31" spans="1:29">
      <c r="A31" s="196"/>
      <c r="B31" s="16" t="s">
        <v>4</v>
      </c>
      <c r="C31" s="11" t="s">
        <v>451</v>
      </c>
      <c r="D31" s="11" t="s">
        <v>458</v>
      </c>
      <c r="E31" s="10">
        <v>1400</v>
      </c>
      <c r="F31" s="26"/>
      <c r="G31" s="32"/>
      <c r="H31" s="26"/>
      <c r="I31" s="32"/>
      <c r="J31" s="26"/>
      <c r="K31" s="32"/>
      <c r="L31" s="26"/>
      <c r="M31" s="32"/>
      <c r="N31" s="26"/>
      <c r="O31" s="32"/>
      <c r="P31" s="26"/>
      <c r="Q31" s="32"/>
      <c r="R31" s="26"/>
      <c r="S31" s="32"/>
      <c r="T31" s="26"/>
      <c r="U31" s="32"/>
      <c r="V31" s="26"/>
      <c r="W31" s="32"/>
      <c r="X31" s="26"/>
      <c r="Y31" s="32"/>
      <c r="Z31" s="26"/>
      <c r="AA31" s="32"/>
      <c r="AB31" s="26"/>
      <c r="AC31" s="32"/>
    </row>
    <row r="32" spans="1:29">
      <c r="A32" s="196"/>
      <c r="B32" s="16" t="s">
        <v>4</v>
      </c>
      <c r="C32" s="11" t="s">
        <v>451</v>
      </c>
      <c r="D32" s="11" t="s">
        <v>459</v>
      </c>
      <c r="E32" s="10">
        <v>1400</v>
      </c>
      <c r="F32" s="26"/>
      <c r="G32" s="32"/>
      <c r="H32" s="26"/>
      <c r="I32" s="32"/>
      <c r="J32" s="26"/>
      <c r="K32" s="32"/>
      <c r="L32" s="26"/>
      <c r="M32" s="32"/>
      <c r="N32" s="26"/>
      <c r="O32" s="32"/>
      <c r="P32" s="26"/>
      <c r="Q32" s="32"/>
      <c r="R32" s="26"/>
      <c r="S32" s="32"/>
      <c r="T32" s="26"/>
      <c r="U32" s="32"/>
      <c r="V32" s="26"/>
      <c r="W32" s="32"/>
      <c r="X32" s="26"/>
      <c r="Y32" s="32"/>
      <c r="Z32" s="26"/>
      <c r="AA32" s="32"/>
      <c r="AB32" s="26"/>
      <c r="AC32" s="32"/>
    </row>
    <row r="33" spans="1:29">
      <c r="A33" s="196"/>
      <c r="B33" s="16" t="s">
        <v>4</v>
      </c>
      <c r="C33" s="11" t="s">
        <v>451</v>
      </c>
      <c r="D33" s="11" t="s">
        <v>460</v>
      </c>
      <c r="E33" s="10">
        <v>1400</v>
      </c>
      <c r="F33" s="26"/>
      <c r="G33" s="32"/>
      <c r="H33" s="26"/>
      <c r="I33" s="32"/>
      <c r="J33" s="26"/>
      <c r="K33" s="32"/>
      <c r="L33" s="26"/>
      <c r="M33" s="32"/>
      <c r="N33" s="26"/>
      <c r="O33" s="32"/>
      <c r="P33" s="26"/>
      <c r="Q33" s="32"/>
      <c r="R33" s="26"/>
      <c r="S33" s="32"/>
      <c r="T33" s="26"/>
      <c r="U33" s="32"/>
      <c r="V33" s="26"/>
      <c r="W33" s="32"/>
      <c r="X33" s="26"/>
      <c r="Y33" s="32"/>
      <c r="Z33" s="26"/>
      <c r="AA33" s="32"/>
      <c r="AB33" s="26"/>
      <c r="AC33" s="32"/>
    </row>
    <row r="34" spans="1:29">
      <c r="A34" s="196"/>
      <c r="B34" s="16" t="s">
        <v>4</v>
      </c>
      <c r="C34" s="11" t="s">
        <v>451</v>
      </c>
      <c r="D34" s="11" t="s">
        <v>476</v>
      </c>
      <c r="E34" s="10">
        <v>1400</v>
      </c>
      <c r="F34" s="26"/>
      <c r="G34" s="32"/>
      <c r="H34" s="26"/>
      <c r="I34" s="32"/>
      <c r="J34" s="26"/>
      <c r="K34" s="32"/>
      <c r="L34" s="26"/>
      <c r="M34" s="32"/>
      <c r="N34" s="26"/>
      <c r="O34" s="32"/>
      <c r="P34" s="26"/>
      <c r="Q34" s="32"/>
      <c r="R34" s="26"/>
      <c r="S34" s="32"/>
      <c r="T34" s="26"/>
      <c r="U34" s="32"/>
      <c r="V34" s="26"/>
      <c r="W34" s="32"/>
      <c r="X34" s="26"/>
      <c r="Y34" s="32"/>
      <c r="Z34" s="26"/>
      <c r="AA34" s="32"/>
      <c r="AB34" s="26"/>
      <c r="AC34" s="32"/>
    </row>
    <row r="35" spans="1:29">
      <c r="A35" s="196"/>
      <c r="B35" s="16" t="s">
        <v>4</v>
      </c>
      <c r="C35" s="11" t="s">
        <v>451</v>
      </c>
      <c r="D35" s="11" t="s">
        <v>477</v>
      </c>
      <c r="E35" s="10">
        <v>1400</v>
      </c>
      <c r="F35" s="26"/>
      <c r="G35" s="32"/>
      <c r="H35" s="26"/>
      <c r="I35" s="32"/>
      <c r="J35" s="26"/>
      <c r="K35" s="32"/>
      <c r="L35" s="26"/>
      <c r="M35" s="32"/>
      <c r="N35" s="26"/>
      <c r="O35" s="32"/>
      <c r="P35" s="26"/>
      <c r="Q35" s="32"/>
      <c r="R35" s="26"/>
      <c r="S35" s="32"/>
      <c r="T35" s="26"/>
      <c r="U35" s="32"/>
      <c r="V35" s="26"/>
      <c r="W35" s="32"/>
      <c r="X35" s="26"/>
      <c r="Y35" s="32"/>
      <c r="Z35" s="26"/>
      <c r="AA35" s="32"/>
      <c r="AB35" s="26"/>
      <c r="AC35" s="32"/>
    </row>
    <row r="36" spans="1:29">
      <c r="A36" s="196"/>
      <c r="B36" s="16" t="s">
        <v>4</v>
      </c>
      <c r="C36" s="16" t="s">
        <v>338</v>
      </c>
      <c r="D36" s="11" t="s">
        <v>354</v>
      </c>
      <c r="E36" s="10">
        <v>1650</v>
      </c>
      <c r="F36" s="26"/>
      <c r="G36" s="32"/>
      <c r="H36" s="26"/>
      <c r="I36" s="32"/>
      <c r="J36" s="26"/>
      <c r="K36" s="32"/>
      <c r="L36" s="26"/>
      <c r="M36" s="32"/>
      <c r="N36" s="26"/>
      <c r="O36" s="32"/>
      <c r="P36" s="26"/>
      <c r="Q36" s="32"/>
      <c r="R36" s="26"/>
      <c r="S36" s="32"/>
      <c r="T36" s="26"/>
      <c r="U36" s="32"/>
      <c r="V36" s="26"/>
      <c r="W36" s="32"/>
      <c r="X36" s="26"/>
      <c r="Y36" s="32"/>
      <c r="Z36" s="26"/>
      <c r="AA36" s="32"/>
      <c r="AB36" s="26"/>
      <c r="AC36" s="32"/>
    </row>
    <row r="37" spans="1:29">
      <c r="A37" s="196"/>
      <c r="B37" s="16" t="s">
        <v>4</v>
      </c>
      <c r="C37" s="16" t="s">
        <v>338</v>
      </c>
      <c r="D37" s="11" t="s">
        <v>355</v>
      </c>
      <c r="E37" s="10">
        <v>1650</v>
      </c>
      <c r="F37" s="26"/>
      <c r="G37" s="32"/>
      <c r="H37" s="26"/>
      <c r="I37" s="32"/>
      <c r="J37" s="26"/>
      <c r="K37" s="32"/>
      <c r="L37" s="26"/>
      <c r="M37" s="32"/>
      <c r="N37" s="26"/>
      <c r="O37" s="32"/>
      <c r="P37" s="26"/>
      <c r="Q37" s="32"/>
      <c r="R37" s="26"/>
      <c r="S37" s="32"/>
      <c r="T37" s="26"/>
      <c r="U37" s="32"/>
      <c r="V37" s="26"/>
      <c r="W37" s="32"/>
      <c r="X37" s="26"/>
      <c r="Y37" s="32"/>
      <c r="Z37" s="26"/>
      <c r="AA37" s="32"/>
      <c r="AB37" s="26"/>
      <c r="AC37" s="32"/>
    </row>
    <row r="38" spans="1:29">
      <c r="A38" s="196"/>
      <c r="B38" s="16" t="s">
        <v>4</v>
      </c>
      <c r="C38" s="16" t="s">
        <v>338</v>
      </c>
      <c r="D38" s="11" t="s">
        <v>356</v>
      </c>
      <c r="E38" s="10">
        <v>1650</v>
      </c>
      <c r="F38" s="26"/>
      <c r="G38" s="32"/>
      <c r="H38" s="26"/>
      <c r="I38" s="32"/>
      <c r="J38" s="26"/>
      <c r="K38" s="32"/>
      <c r="L38" s="26"/>
      <c r="M38" s="32"/>
      <c r="N38" s="26"/>
      <c r="O38" s="32"/>
      <c r="P38" s="26"/>
      <c r="Q38" s="32"/>
      <c r="R38" s="26"/>
      <c r="S38" s="32"/>
      <c r="T38" s="26"/>
      <c r="U38" s="32"/>
      <c r="V38" s="26"/>
      <c r="W38" s="32"/>
      <c r="X38" s="26"/>
      <c r="Y38" s="32"/>
      <c r="Z38" s="26"/>
      <c r="AA38" s="32"/>
      <c r="AB38" s="26"/>
      <c r="AC38" s="32"/>
    </row>
    <row r="39" spans="1:29">
      <c r="A39" s="196"/>
      <c r="B39" s="16" t="s">
        <v>4</v>
      </c>
      <c r="C39" s="16" t="s">
        <v>338</v>
      </c>
      <c r="D39" s="11" t="s">
        <v>380</v>
      </c>
      <c r="E39" s="10">
        <v>1650</v>
      </c>
      <c r="F39" s="26"/>
      <c r="G39" s="32"/>
      <c r="H39" s="26"/>
      <c r="I39" s="32"/>
      <c r="J39" s="26"/>
      <c r="K39" s="32"/>
      <c r="L39" s="26"/>
      <c r="M39" s="32"/>
      <c r="N39" s="26"/>
      <c r="O39" s="32"/>
      <c r="P39" s="26"/>
      <c r="Q39" s="32"/>
      <c r="R39" s="26"/>
      <c r="S39" s="32"/>
      <c r="T39" s="26"/>
      <c r="U39" s="32"/>
      <c r="V39" s="26"/>
      <c r="W39" s="32"/>
      <c r="X39" s="26"/>
      <c r="Y39" s="32"/>
      <c r="Z39" s="26"/>
      <c r="AA39" s="32"/>
      <c r="AB39" s="26"/>
      <c r="AC39" s="32"/>
    </row>
    <row r="40" spans="1:29">
      <c r="A40" s="196"/>
      <c r="B40" s="68" t="s">
        <v>20</v>
      </c>
      <c r="C40" s="16" t="s">
        <v>338</v>
      </c>
      <c r="D40" s="11" t="s">
        <v>428</v>
      </c>
      <c r="E40" s="10">
        <v>1650</v>
      </c>
      <c r="F40" s="26"/>
      <c r="G40" s="32"/>
      <c r="H40" s="26"/>
      <c r="I40" s="32"/>
      <c r="J40" s="26"/>
      <c r="K40" s="32"/>
      <c r="L40" s="26"/>
      <c r="M40" s="32"/>
      <c r="N40" s="26"/>
      <c r="O40" s="32"/>
      <c r="P40" s="26"/>
      <c r="Q40" s="32"/>
      <c r="R40" s="26"/>
      <c r="S40" s="32"/>
      <c r="T40" s="26"/>
      <c r="U40" s="32"/>
      <c r="V40" s="26"/>
      <c r="W40" s="32"/>
      <c r="X40" s="26"/>
      <c r="Y40" s="32"/>
      <c r="Z40" s="26"/>
      <c r="AA40" s="32"/>
      <c r="AB40" s="26"/>
      <c r="AC40" s="32"/>
    </row>
    <row r="41" spans="1:29">
      <c r="A41" s="196"/>
      <c r="B41" s="68" t="s">
        <v>4</v>
      </c>
      <c r="C41" s="16" t="s">
        <v>381</v>
      </c>
      <c r="D41" s="11" t="s">
        <v>38</v>
      </c>
      <c r="E41" s="10" t="s">
        <v>384</v>
      </c>
      <c r="F41" s="26"/>
      <c r="G41" s="32"/>
      <c r="H41" s="26"/>
      <c r="I41" s="32"/>
      <c r="J41" s="26"/>
      <c r="K41" s="32"/>
      <c r="L41" s="26"/>
      <c r="M41" s="32"/>
      <c r="N41" s="26"/>
      <c r="O41" s="32"/>
      <c r="P41" s="26"/>
      <c r="Q41" s="32"/>
      <c r="R41" s="26"/>
      <c r="S41" s="32"/>
      <c r="T41" s="26"/>
      <c r="U41" s="32"/>
      <c r="V41" s="26"/>
      <c r="W41" s="32"/>
      <c r="X41" s="26"/>
      <c r="Y41" s="32"/>
      <c r="Z41" s="26"/>
      <c r="AA41" s="32"/>
      <c r="AB41" s="26"/>
      <c r="AC41" s="32"/>
    </row>
    <row r="42" spans="1:29">
      <c r="A42" s="196"/>
      <c r="B42" s="16" t="s">
        <v>4</v>
      </c>
      <c r="C42" s="16" t="s">
        <v>338</v>
      </c>
      <c r="D42" s="11" t="s">
        <v>340</v>
      </c>
      <c r="E42" s="10">
        <v>1650</v>
      </c>
      <c r="F42" s="26"/>
      <c r="G42" s="32"/>
      <c r="H42" s="26"/>
      <c r="I42" s="32"/>
      <c r="J42" s="26"/>
      <c r="K42" s="32"/>
      <c r="L42" s="26"/>
      <c r="M42" s="32"/>
      <c r="N42" s="26"/>
      <c r="O42" s="32"/>
      <c r="P42" s="26"/>
      <c r="Q42" s="32"/>
      <c r="R42" s="26"/>
      <c r="S42" s="32"/>
      <c r="T42" s="26"/>
      <c r="U42" s="32"/>
      <c r="V42" s="26"/>
      <c r="W42" s="32"/>
      <c r="X42" s="26"/>
      <c r="Y42" s="32"/>
      <c r="Z42" s="26"/>
      <c r="AA42" s="32"/>
      <c r="AB42" s="26"/>
      <c r="AC42" s="32"/>
    </row>
    <row r="43" spans="1:29">
      <c r="A43" s="196"/>
      <c r="B43" s="16" t="s">
        <v>4</v>
      </c>
      <c r="C43" s="16" t="s">
        <v>537</v>
      </c>
      <c r="D43" s="11" t="s">
        <v>340</v>
      </c>
      <c r="E43" s="143">
        <v>1750</v>
      </c>
      <c r="F43" s="144">
        <v>140</v>
      </c>
      <c r="G43" s="32" t="s">
        <v>540</v>
      </c>
      <c r="H43" s="26">
        <v>140</v>
      </c>
      <c r="I43" s="32"/>
      <c r="J43" s="26">
        <v>119</v>
      </c>
      <c r="K43" s="32"/>
      <c r="L43" s="26">
        <v>133</v>
      </c>
      <c r="M43" s="32"/>
      <c r="N43" s="26">
        <v>63</v>
      </c>
      <c r="O43" s="32"/>
      <c r="P43" s="26"/>
      <c r="Q43" s="32"/>
      <c r="R43" s="26"/>
      <c r="S43" s="32"/>
      <c r="T43" s="26"/>
      <c r="U43" s="32"/>
      <c r="V43" s="26"/>
      <c r="W43" s="32"/>
      <c r="X43" s="26"/>
      <c r="Y43" s="32"/>
      <c r="Z43" s="26"/>
      <c r="AA43" s="32"/>
      <c r="AB43" s="26"/>
      <c r="AC43" s="32"/>
    </row>
    <row r="44" spans="1:29">
      <c r="A44" s="196"/>
      <c r="B44" s="16" t="s">
        <v>4</v>
      </c>
      <c r="C44" s="16" t="s">
        <v>338</v>
      </c>
      <c r="D44" s="11" t="s">
        <v>340</v>
      </c>
      <c r="E44" s="10">
        <v>2000</v>
      </c>
      <c r="F44" s="26"/>
      <c r="G44" s="32"/>
      <c r="H44" s="26"/>
      <c r="I44" s="32"/>
      <c r="J44" s="26"/>
      <c r="K44" s="32"/>
      <c r="L44" s="26"/>
      <c r="M44" s="32"/>
      <c r="N44" s="26">
        <f>42+14</f>
        <v>56</v>
      </c>
      <c r="O44" s="32"/>
      <c r="P44" s="26"/>
      <c r="Q44" s="32"/>
      <c r="R44" s="26"/>
      <c r="S44" s="32"/>
      <c r="T44" s="26"/>
      <c r="U44" s="32"/>
      <c r="V44" s="26"/>
      <c r="W44" s="32"/>
      <c r="X44" s="26"/>
      <c r="Y44" s="32"/>
      <c r="Z44" s="26"/>
      <c r="AA44" s="32"/>
      <c r="AB44" s="26"/>
      <c r="AC44" s="32"/>
    </row>
    <row r="45" spans="1:29">
      <c r="A45" s="196"/>
      <c r="B45" s="16" t="s">
        <v>4</v>
      </c>
      <c r="C45" s="16" t="s">
        <v>537</v>
      </c>
      <c r="D45" s="142" t="s">
        <v>538</v>
      </c>
      <c r="E45" s="143">
        <v>1650</v>
      </c>
      <c r="F45" s="144">
        <v>56</v>
      </c>
      <c r="G45" s="32" t="s">
        <v>539</v>
      </c>
      <c r="H45" s="26">
        <v>28</v>
      </c>
      <c r="I45" s="32"/>
      <c r="J45" s="26"/>
      <c r="K45" s="32"/>
      <c r="L45" s="26"/>
      <c r="M45" s="32"/>
      <c r="N45" s="26"/>
      <c r="O45" s="32"/>
      <c r="P45" s="26"/>
      <c r="Q45" s="32"/>
      <c r="R45" s="26"/>
      <c r="S45" s="32"/>
      <c r="T45" s="26"/>
      <c r="U45" s="32"/>
      <c r="V45" s="26"/>
      <c r="W45" s="32"/>
      <c r="X45" s="26"/>
      <c r="Y45" s="32"/>
      <c r="Z45" s="26"/>
      <c r="AA45" s="32"/>
      <c r="AB45" s="26"/>
      <c r="AC45" s="32"/>
    </row>
    <row r="46" spans="1:29">
      <c r="A46" s="196"/>
      <c r="B46" s="68" t="s">
        <v>4</v>
      </c>
      <c r="C46" s="68" t="s">
        <v>537</v>
      </c>
      <c r="D46" s="151" t="s">
        <v>557</v>
      </c>
      <c r="E46" s="93">
        <v>1650</v>
      </c>
      <c r="F46" s="53"/>
      <c r="G46" s="54"/>
      <c r="H46" s="41">
        <v>49</v>
      </c>
      <c r="I46" s="54" t="s">
        <v>539</v>
      </c>
      <c r="J46" s="53">
        <v>128.5</v>
      </c>
      <c r="K46" s="54"/>
      <c r="L46" s="53">
        <v>126</v>
      </c>
      <c r="M46" s="54"/>
      <c r="N46" s="53">
        <v>56</v>
      </c>
      <c r="O46" s="54"/>
      <c r="P46" s="53"/>
      <c r="Q46" s="54"/>
      <c r="R46" s="53"/>
      <c r="S46" s="54"/>
      <c r="T46" s="53"/>
      <c r="U46" s="54"/>
      <c r="V46" s="53"/>
      <c r="W46" s="54"/>
      <c r="X46" s="53"/>
      <c r="Y46" s="54"/>
      <c r="Z46" s="53"/>
      <c r="AA46" s="54"/>
      <c r="AB46" s="53"/>
      <c r="AC46" s="54"/>
    </row>
    <row r="47" spans="1:29">
      <c r="A47" s="196"/>
      <c r="B47" s="68" t="s">
        <v>4</v>
      </c>
      <c r="C47" s="68" t="s">
        <v>537</v>
      </c>
      <c r="D47" s="151" t="s">
        <v>557</v>
      </c>
      <c r="E47" s="93">
        <v>2000</v>
      </c>
      <c r="F47" s="53"/>
      <c r="G47" s="54"/>
      <c r="H47" s="53"/>
      <c r="I47" s="54"/>
      <c r="J47" s="53"/>
      <c r="K47" s="54"/>
      <c r="L47" s="53"/>
      <c r="M47" s="54"/>
      <c r="N47" s="53">
        <f>49+14</f>
        <v>63</v>
      </c>
      <c r="O47" s="54"/>
      <c r="P47" s="53"/>
      <c r="Q47" s="54"/>
      <c r="R47" s="53"/>
      <c r="S47" s="54"/>
      <c r="T47" s="53"/>
      <c r="U47" s="54"/>
      <c r="V47" s="53"/>
      <c r="W47" s="54"/>
      <c r="X47" s="53"/>
      <c r="Y47" s="54"/>
      <c r="Z47" s="53"/>
      <c r="AA47" s="54"/>
      <c r="AB47" s="53"/>
      <c r="AC47" s="54"/>
    </row>
    <row r="48" spans="1:29">
      <c r="A48" s="196"/>
      <c r="B48" s="68" t="s">
        <v>4</v>
      </c>
      <c r="C48" s="68" t="s">
        <v>537</v>
      </c>
      <c r="D48" s="151" t="s">
        <v>588</v>
      </c>
      <c r="E48" s="93">
        <v>1650</v>
      </c>
      <c r="F48" s="53"/>
      <c r="G48" s="54"/>
      <c r="H48" s="53"/>
      <c r="I48" s="54"/>
      <c r="J48" s="41">
        <v>42</v>
      </c>
      <c r="K48" s="54" t="s">
        <v>539</v>
      </c>
      <c r="L48" s="53">
        <v>133</v>
      </c>
      <c r="M48" s="54"/>
      <c r="N48" s="53"/>
      <c r="O48" s="54"/>
      <c r="P48" s="53"/>
      <c r="Q48" s="54"/>
      <c r="R48" s="53"/>
      <c r="S48" s="54"/>
      <c r="T48" s="53"/>
      <c r="U48" s="54"/>
      <c r="V48" s="53"/>
      <c r="W48" s="54"/>
      <c r="X48" s="53"/>
      <c r="Y48" s="54"/>
      <c r="Z48" s="53"/>
      <c r="AA48" s="54"/>
      <c r="AB48" s="53"/>
      <c r="AC48" s="54"/>
    </row>
    <row r="49" spans="1:29">
      <c r="A49" s="196"/>
      <c r="B49" s="59" t="s">
        <v>4</v>
      </c>
      <c r="C49" s="59" t="s">
        <v>338</v>
      </c>
      <c r="D49" s="42" t="s">
        <v>339</v>
      </c>
      <c r="E49" s="7">
        <v>1750</v>
      </c>
      <c r="F49" s="25"/>
      <c r="G49" s="31"/>
      <c r="H49" s="25"/>
      <c r="I49" s="31"/>
      <c r="J49" s="25"/>
      <c r="K49" s="31"/>
      <c r="L49" s="25"/>
      <c r="M49" s="31"/>
      <c r="N49" s="25"/>
      <c r="O49" s="31"/>
      <c r="P49" s="25"/>
      <c r="Q49" s="31"/>
      <c r="R49" s="25"/>
      <c r="S49" s="31"/>
      <c r="T49" s="25"/>
      <c r="U49" s="31"/>
      <c r="V49" s="25"/>
      <c r="W49" s="31"/>
      <c r="X49" s="25"/>
      <c r="Y49" s="31"/>
      <c r="Z49" s="25"/>
      <c r="AA49" s="31"/>
      <c r="AB49" s="25"/>
      <c r="AC49" s="31"/>
    </row>
    <row r="50" spans="1:29">
      <c r="A50" s="196" t="s">
        <v>82</v>
      </c>
      <c r="B50" s="22" t="s">
        <v>431</v>
      </c>
      <c r="C50" s="22"/>
      <c r="D50" s="176" t="s">
        <v>83</v>
      </c>
      <c r="E50" s="21">
        <v>1600</v>
      </c>
      <c r="F50" s="29">
        <f>147+1</f>
        <v>148</v>
      </c>
      <c r="G50" s="35"/>
      <c r="H50" s="29"/>
      <c r="I50" s="35"/>
      <c r="J50" s="29">
        <f>160+120</f>
        <v>280</v>
      </c>
      <c r="K50" s="35"/>
      <c r="L50" s="29">
        <f>157+1+117</f>
        <v>275</v>
      </c>
      <c r="M50" s="35"/>
      <c r="N50" s="29">
        <f>169+125</f>
        <v>294</v>
      </c>
      <c r="O50" s="35"/>
      <c r="P50" s="29">
        <f>144+1.5+109</f>
        <v>254.5</v>
      </c>
      <c r="Q50" s="35"/>
      <c r="R50" s="29"/>
      <c r="S50" s="35"/>
      <c r="T50" s="29"/>
      <c r="U50" s="35"/>
      <c r="V50" s="29"/>
      <c r="W50" s="35"/>
      <c r="X50" s="29"/>
      <c r="Y50" s="35"/>
      <c r="Z50" s="29"/>
      <c r="AA50" s="35"/>
      <c r="AB50" s="29"/>
      <c r="AC50" s="35"/>
    </row>
    <row r="51" spans="1:29">
      <c r="A51" s="196"/>
      <c r="B51" s="16"/>
      <c r="C51" s="16"/>
      <c r="D51" s="177" t="s">
        <v>563</v>
      </c>
      <c r="E51" s="143">
        <v>2000</v>
      </c>
      <c r="F51" s="26"/>
      <c r="G51" s="32"/>
      <c r="H51" s="144">
        <v>4</v>
      </c>
      <c r="I51" s="32" t="s">
        <v>539</v>
      </c>
      <c r="J51" s="26"/>
      <c r="K51" s="32"/>
      <c r="L51" s="26"/>
      <c r="M51" s="32"/>
      <c r="N51" s="26"/>
      <c r="O51" s="32"/>
      <c r="P51" s="26"/>
      <c r="Q51" s="32"/>
      <c r="R51" s="26"/>
      <c r="S51" s="32"/>
      <c r="T51" s="26"/>
      <c r="U51" s="32"/>
      <c r="V51" s="26"/>
      <c r="W51" s="32"/>
      <c r="X51" s="26"/>
      <c r="Y51" s="32"/>
      <c r="Z51" s="26"/>
      <c r="AA51" s="32"/>
      <c r="AB51" s="26"/>
      <c r="AC51" s="32"/>
    </row>
    <row r="52" spans="1:29">
      <c r="A52" s="196"/>
      <c r="B52" s="16"/>
      <c r="C52" s="16"/>
      <c r="D52" s="177" t="s">
        <v>584</v>
      </c>
      <c r="E52" s="143">
        <v>2000</v>
      </c>
      <c r="F52" s="26"/>
      <c r="G52" s="32"/>
      <c r="H52" s="26"/>
      <c r="I52" s="32"/>
      <c r="J52" s="144">
        <v>4</v>
      </c>
      <c r="K52" s="32" t="s">
        <v>539</v>
      </c>
      <c r="L52" s="26"/>
      <c r="M52" s="32"/>
      <c r="N52" s="26"/>
      <c r="O52" s="32"/>
      <c r="P52" s="26"/>
      <c r="Q52" s="32"/>
      <c r="R52" s="26"/>
      <c r="S52" s="32"/>
      <c r="T52" s="26"/>
      <c r="U52" s="32"/>
      <c r="V52" s="26"/>
      <c r="W52" s="32"/>
      <c r="X52" s="26"/>
      <c r="Y52" s="32"/>
      <c r="Z52" s="26"/>
      <c r="AA52" s="32"/>
      <c r="AB52" s="26"/>
      <c r="AC52" s="32"/>
    </row>
    <row r="53" spans="1:29">
      <c r="A53" s="196"/>
      <c r="B53" s="16"/>
      <c r="C53" s="16"/>
      <c r="D53" s="177" t="s">
        <v>585</v>
      </c>
      <c r="E53" s="143">
        <v>2000</v>
      </c>
      <c r="F53" s="26"/>
      <c r="G53" s="32"/>
      <c r="H53" s="26"/>
      <c r="I53" s="32"/>
      <c r="J53" s="144">
        <v>12</v>
      </c>
      <c r="K53" s="32" t="s">
        <v>539</v>
      </c>
      <c r="L53" s="26"/>
      <c r="M53" s="32"/>
      <c r="N53" s="26"/>
      <c r="O53" s="32"/>
      <c r="P53" s="26"/>
      <c r="Q53" s="32"/>
      <c r="R53" s="26"/>
      <c r="S53" s="32"/>
      <c r="T53" s="26"/>
      <c r="U53" s="32"/>
      <c r="V53" s="26"/>
      <c r="W53" s="32"/>
      <c r="X53" s="26"/>
      <c r="Y53" s="32"/>
      <c r="Z53" s="26"/>
      <c r="AA53" s="32"/>
      <c r="AB53" s="26"/>
      <c r="AC53" s="32"/>
    </row>
    <row r="54" spans="1:29">
      <c r="A54" s="196"/>
      <c r="B54" s="16"/>
      <c r="C54" s="16"/>
      <c r="D54" s="177" t="s">
        <v>586</v>
      </c>
      <c r="E54" s="143">
        <v>2000</v>
      </c>
      <c r="F54" s="26"/>
      <c r="G54" s="32"/>
      <c r="H54" s="26"/>
      <c r="I54" s="32"/>
      <c r="J54" s="144">
        <v>4</v>
      </c>
      <c r="K54" s="32" t="s">
        <v>539</v>
      </c>
      <c r="L54" s="26"/>
      <c r="M54" s="32"/>
      <c r="N54" s="26"/>
      <c r="O54" s="32"/>
      <c r="P54" s="26"/>
      <c r="Q54" s="32"/>
      <c r="R54" s="26"/>
      <c r="S54" s="32"/>
      <c r="T54" s="26"/>
      <c r="U54" s="32"/>
      <c r="V54" s="26"/>
      <c r="W54" s="32"/>
      <c r="X54" s="26"/>
      <c r="Y54" s="32"/>
      <c r="Z54" s="26"/>
      <c r="AA54" s="32"/>
      <c r="AB54" s="26"/>
      <c r="AC54" s="32"/>
    </row>
    <row r="55" spans="1:29">
      <c r="A55" s="196"/>
      <c r="B55" s="16"/>
      <c r="C55" s="16"/>
      <c r="D55" s="177" t="s">
        <v>587</v>
      </c>
      <c r="E55" s="143">
        <v>2000</v>
      </c>
      <c r="F55" s="26"/>
      <c r="G55" s="32"/>
      <c r="H55" s="26"/>
      <c r="I55" s="32"/>
      <c r="J55" s="144">
        <v>8</v>
      </c>
      <c r="K55" s="32" t="s">
        <v>539</v>
      </c>
      <c r="L55" s="26"/>
      <c r="M55" s="32"/>
      <c r="N55" s="26"/>
      <c r="O55" s="32"/>
      <c r="P55" s="26"/>
      <c r="Q55" s="32"/>
      <c r="R55" s="26"/>
      <c r="S55" s="32"/>
      <c r="T55" s="26"/>
      <c r="U55" s="32"/>
      <c r="V55" s="26"/>
      <c r="W55" s="32"/>
      <c r="X55" s="26"/>
      <c r="Y55" s="32"/>
      <c r="Z55" s="26"/>
      <c r="AA55" s="32"/>
      <c r="AB55" s="26"/>
      <c r="AC55" s="32"/>
    </row>
    <row r="56" spans="1:29">
      <c r="A56" s="196"/>
      <c r="B56" s="16"/>
      <c r="C56" s="16"/>
      <c r="D56" s="177" t="s">
        <v>600</v>
      </c>
      <c r="E56" s="143">
        <v>2000</v>
      </c>
      <c r="F56" s="26"/>
      <c r="G56" s="32"/>
      <c r="H56" s="26"/>
      <c r="I56" s="32"/>
      <c r="J56" s="26"/>
      <c r="K56" s="32"/>
      <c r="L56" s="144">
        <v>4</v>
      </c>
      <c r="M56" s="32" t="s">
        <v>539</v>
      </c>
      <c r="N56" s="26"/>
      <c r="O56" s="32"/>
      <c r="P56" s="26"/>
      <c r="Q56" s="32"/>
      <c r="R56" s="26"/>
      <c r="S56" s="32"/>
      <c r="T56" s="26"/>
      <c r="U56" s="32"/>
      <c r="V56" s="26"/>
      <c r="W56" s="32"/>
      <c r="X56" s="26"/>
      <c r="Y56" s="32"/>
      <c r="Z56" s="26"/>
      <c r="AA56" s="32"/>
      <c r="AB56" s="26"/>
      <c r="AC56" s="32"/>
    </row>
    <row r="57" spans="1:29">
      <c r="A57" s="196"/>
      <c r="B57" s="16"/>
      <c r="C57" s="16"/>
      <c r="D57" s="177" t="s">
        <v>601</v>
      </c>
      <c r="E57" s="143">
        <v>2000</v>
      </c>
      <c r="F57" s="26"/>
      <c r="G57" s="32"/>
      <c r="H57" s="26"/>
      <c r="I57" s="32"/>
      <c r="J57" s="26"/>
      <c r="K57" s="32"/>
      <c r="L57" s="144">
        <v>20</v>
      </c>
      <c r="M57" s="32" t="s">
        <v>539</v>
      </c>
      <c r="N57" s="26"/>
      <c r="O57" s="32"/>
      <c r="P57" s="26"/>
      <c r="Q57" s="32"/>
      <c r="R57" s="26"/>
      <c r="S57" s="32"/>
      <c r="T57" s="26"/>
      <c r="U57" s="32"/>
      <c r="V57" s="26"/>
      <c r="W57" s="32"/>
      <c r="X57" s="26"/>
      <c r="Y57" s="32"/>
      <c r="Z57" s="26"/>
      <c r="AA57" s="32"/>
      <c r="AB57" s="26"/>
      <c r="AC57" s="32"/>
    </row>
    <row r="58" spans="1:29">
      <c r="A58" s="196"/>
      <c r="B58" s="16"/>
      <c r="C58" s="16"/>
      <c r="D58" s="177" t="s">
        <v>602</v>
      </c>
      <c r="E58" s="143">
        <v>2000</v>
      </c>
      <c r="F58" s="26"/>
      <c r="G58" s="32"/>
      <c r="H58" s="26"/>
      <c r="I58" s="32"/>
      <c r="J58" s="26"/>
      <c r="K58" s="32"/>
      <c r="L58" s="144">
        <v>36</v>
      </c>
      <c r="M58" s="32" t="s">
        <v>539</v>
      </c>
      <c r="N58" s="26">
        <v>4</v>
      </c>
      <c r="O58" s="32"/>
      <c r="P58" s="26">
        <v>4</v>
      </c>
      <c r="Q58" s="32"/>
      <c r="R58" s="26"/>
      <c r="S58" s="32"/>
      <c r="T58" s="26"/>
      <c r="U58" s="32"/>
      <c r="V58" s="26"/>
      <c r="W58" s="32"/>
      <c r="X58" s="26"/>
      <c r="Y58" s="32"/>
      <c r="Z58" s="26"/>
      <c r="AA58" s="32"/>
      <c r="AB58" s="26"/>
      <c r="AC58" s="32"/>
    </row>
    <row r="59" spans="1:29">
      <c r="A59" s="196"/>
      <c r="B59" s="16"/>
      <c r="C59" s="16"/>
      <c r="D59" s="177" t="s">
        <v>603</v>
      </c>
      <c r="E59" s="143">
        <v>2000</v>
      </c>
      <c r="F59" s="26"/>
      <c r="G59" s="32"/>
      <c r="H59" s="26"/>
      <c r="I59" s="32"/>
      <c r="J59" s="26"/>
      <c r="K59" s="32"/>
      <c r="L59" s="144">
        <v>4</v>
      </c>
      <c r="M59" s="32" t="s">
        <v>539</v>
      </c>
      <c r="N59" s="26"/>
      <c r="O59" s="32"/>
      <c r="P59" s="26"/>
      <c r="Q59" s="32"/>
      <c r="R59" s="26"/>
      <c r="S59" s="32"/>
      <c r="T59" s="26"/>
      <c r="U59" s="32"/>
      <c r="V59" s="26"/>
      <c r="W59" s="32"/>
      <c r="X59" s="26"/>
      <c r="Y59" s="32"/>
      <c r="Z59" s="26"/>
      <c r="AA59" s="32"/>
      <c r="AB59" s="26"/>
      <c r="AC59" s="32"/>
    </row>
    <row r="60" spans="1:29">
      <c r="A60" s="196"/>
      <c r="B60" s="16"/>
      <c r="C60" s="16"/>
      <c r="D60" s="177" t="s">
        <v>618</v>
      </c>
      <c r="E60" s="143">
        <v>2000</v>
      </c>
      <c r="F60" s="26"/>
      <c r="G60" s="32"/>
      <c r="H60" s="26"/>
      <c r="I60" s="32"/>
      <c r="J60" s="26"/>
      <c r="K60" s="32"/>
      <c r="L60" s="26"/>
      <c r="M60" s="32"/>
      <c r="N60" s="144">
        <v>4</v>
      </c>
      <c r="O60" s="32" t="s">
        <v>539</v>
      </c>
      <c r="P60" s="26">
        <v>4</v>
      </c>
      <c r="Q60" s="32"/>
      <c r="R60" s="26"/>
      <c r="S60" s="32"/>
      <c r="T60" s="26"/>
      <c r="U60" s="32"/>
      <c r="V60" s="26"/>
      <c r="W60" s="32"/>
      <c r="X60" s="26"/>
      <c r="Y60" s="32"/>
      <c r="Z60" s="26"/>
      <c r="AA60" s="32"/>
      <c r="AB60" s="26"/>
      <c r="AC60" s="32"/>
    </row>
    <row r="61" spans="1:29">
      <c r="A61" s="196"/>
      <c r="B61" s="59"/>
      <c r="C61" s="59"/>
      <c r="D61" s="60" t="s">
        <v>84</v>
      </c>
      <c r="E61" s="7">
        <v>1600</v>
      </c>
      <c r="F61" s="25"/>
      <c r="G61" s="31"/>
      <c r="H61" s="25"/>
      <c r="I61" s="31"/>
      <c r="J61" s="25"/>
      <c r="K61" s="31"/>
      <c r="L61" s="25"/>
      <c r="M61" s="31"/>
      <c r="N61" s="25"/>
      <c r="O61" s="31"/>
      <c r="P61" s="25"/>
      <c r="Q61" s="31"/>
      <c r="R61" s="25"/>
      <c r="S61" s="31"/>
      <c r="T61" s="25"/>
      <c r="U61" s="31"/>
      <c r="V61" s="25"/>
      <c r="W61" s="31"/>
      <c r="X61" s="25"/>
      <c r="Y61" s="31"/>
      <c r="Z61" s="25"/>
      <c r="AA61" s="31"/>
      <c r="AB61" s="25"/>
      <c r="AC61" s="31"/>
    </row>
    <row r="62" spans="1:29">
      <c r="A62" s="203" t="s">
        <v>484</v>
      </c>
      <c r="B62" s="14"/>
      <c r="C62" s="14" t="s">
        <v>478</v>
      </c>
      <c r="D62" s="64"/>
      <c r="E62" s="72">
        <v>5000</v>
      </c>
      <c r="F62" s="121"/>
      <c r="G62" s="122"/>
      <c r="H62" s="121"/>
      <c r="I62" s="122"/>
      <c r="J62" s="123"/>
      <c r="K62" s="124"/>
      <c r="L62" s="121"/>
      <c r="M62" s="122"/>
      <c r="N62" s="121"/>
      <c r="O62" s="122"/>
      <c r="P62" s="121"/>
      <c r="Q62" s="122"/>
      <c r="R62" s="121"/>
      <c r="S62" s="122"/>
      <c r="T62" s="121"/>
      <c r="U62" s="122"/>
      <c r="V62" s="121"/>
      <c r="W62" s="122"/>
      <c r="X62" s="121"/>
      <c r="Y62" s="122"/>
      <c r="Z62" s="121"/>
      <c r="AA62" s="122"/>
      <c r="AB62" s="121"/>
      <c r="AC62" s="122"/>
    </row>
    <row r="63" spans="1:29" ht="16.5" customHeight="1">
      <c r="A63" s="204"/>
      <c r="B63" s="16"/>
      <c r="C63" s="16" t="s">
        <v>479</v>
      </c>
      <c r="D63" s="125"/>
      <c r="E63" s="10">
        <v>50</v>
      </c>
      <c r="F63" s="126"/>
      <c r="G63" s="113"/>
      <c r="H63" s="126"/>
      <c r="I63" s="113"/>
      <c r="J63" s="127"/>
      <c r="K63" s="128"/>
      <c r="L63" s="126"/>
      <c r="M63" s="113"/>
      <c r="N63" s="126"/>
      <c r="O63" s="113"/>
      <c r="P63" s="126"/>
      <c r="Q63" s="113"/>
      <c r="R63" s="126"/>
      <c r="S63" s="113"/>
      <c r="T63" s="126"/>
      <c r="U63" s="113"/>
      <c r="V63" s="126"/>
      <c r="W63" s="113"/>
      <c r="X63" s="126"/>
      <c r="Y63" s="113"/>
      <c r="Z63" s="126"/>
      <c r="AA63" s="113"/>
      <c r="AB63" s="126"/>
      <c r="AC63" s="113"/>
    </row>
    <row r="64" spans="1:29">
      <c r="A64" s="204"/>
      <c r="B64" s="16"/>
      <c r="C64" s="16" t="s">
        <v>480</v>
      </c>
      <c r="D64" s="125"/>
      <c r="E64" s="10">
        <v>5</v>
      </c>
      <c r="F64" s="126"/>
      <c r="G64" s="113"/>
      <c r="H64" s="126"/>
      <c r="I64" s="113"/>
      <c r="J64" s="127"/>
      <c r="K64" s="128"/>
      <c r="L64" s="126"/>
      <c r="M64" s="113"/>
      <c r="N64" s="126"/>
      <c r="O64" s="113"/>
      <c r="P64" s="126"/>
      <c r="Q64" s="113"/>
      <c r="R64" s="126"/>
      <c r="S64" s="113"/>
      <c r="T64" s="126"/>
      <c r="U64" s="113"/>
      <c r="V64" s="126"/>
      <c r="W64" s="113"/>
      <c r="X64" s="126"/>
      <c r="Y64" s="113"/>
      <c r="Z64" s="126"/>
      <c r="AA64" s="113"/>
      <c r="AB64" s="126"/>
      <c r="AC64" s="113"/>
    </row>
    <row r="65" spans="1:29">
      <c r="A65" s="204"/>
      <c r="B65" s="16"/>
      <c r="C65" s="129" t="s">
        <v>481</v>
      </c>
      <c r="D65" s="125"/>
      <c r="E65" s="10">
        <v>10</v>
      </c>
      <c r="F65" s="130"/>
      <c r="G65" s="113"/>
      <c r="H65" s="130"/>
      <c r="I65" s="113"/>
      <c r="J65" s="130"/>
      <c r="K65" s="113"/>
      <c r="L65" s="130"/>
      <c r="M65" s="113"/>
      <c r="N65" s="130"/>
      <c r="O65" s="113"/>
      <c r="P65" s="130"/>
      <c r="Q65" s="113"/>
      <c r="R65" s="130"/>
      <c r="S65" s="113"/>
      <c r="T65" s="130"/>
      <c r="U65" s="113"/>
      <c r="V65" s="130"/>
      <c r="W65" s="113"/>
      <c r="X65" s="130"/>
      <c r="Y65" s="113"/>
      <c r="Z65" s="130"/>
      <c r="AA65" s="113"/>
      <c r="AB65" s="130"/>
      <c r="AC65" s="113"/>
    </row>
    <row r="66" spans="1:29">
      <c r="A66" s="204"/>
      <c r="B66" s="16"/>
      <c r="C66" s="129" t="s">
        <v>482</v>
      </c>
      <c r="D66" s="125"/>
      <c r="E66" s="10">
        <v>10000</v>
      </c>
      <c r="F66" s="130"/>
      <c r="G66" s="113"/>
      <c r="H66" s="130"/>
      <c r="I66" s="113"/>
      <c r="J66" s="130"/>
      <c r="K66" s="113"/>
      <c r="L66" s="130"/>
      <c r="M66" s="113"/>
      <c r="N66" s="130"/>
      <c r="O66" s="113"/>
      <c r="P66" s="130"/>
      <c r="Q66" s="113"/>
      <c r="R66" s="130"/>
      <c r="S66" s="113"/>
      <c r="T66" s="130"/>
      <c r="U66" s="113"/>
      <c r="V66" s="130"/>
      <c r="W66" s="113"/>
      <c r="X66" s="130"/>
      <c r="Y66" s="113"/>
      <c r="Z66" s="130"/>
      <c r="AA66" s="113"/>
      <c r="AB66" s="130"/>
      <c r="AC66" s="113"/>
    </row>
    <row r="67" spans="1:29">
      <c r="A67" s="205"/>
      <c r="B67" s="15"/>
      <c r="C67" s="131" t="s">
        <v>483</v>
      </c>
      <c r="D67" s="76"/>
      <c r="E67" s="8">
        <v>80</v>
      </c>
      <c r="F67" s="132"/>
      <c r="G67" s="133"/>
      <c r="H67" s="132"/>
      <c r="I67" s="134"/>
      <c r="J67" s="132"/>
      <c r="K67" s="133"/>
      <c r="L67" s="132"/>
      <c r="M67" s="133"/>
      <c r="N67" s="132"/>
      <c r="O67" s="133"/>
      <c r="P67" s="132"/>
      <c r="Q67" s="133"/>
      <c r="R67" s="132"/>
      <c r="S67" s="133"/>
      <c r="T67" s="132"/>
      <c r="U67" s="133"/>
      <c r="V67" s="132"/>
      <c r="W67" s="133"/>
      <c r="X67" s="132"/>
      <c r="Y67" s="133"/>
      <c r="Z67" s="132"/>
      <c r="AA67" s="133"/>
      <c r="AB67" s="132"/>
      <c r="AC67" s="133"/>
    </row>
    <row r="68" spans="1:29">
      <c r="A68" s="107" t="s">
        <v>503</v>
      </c>
      <c r="B68" s="14"/>
      <c r="C68" s="14" t="s">
        <v>506</v>
      </c>
      <c r="D68" s="69"/>
      <c r="E68" s="6"/>
      <c r="F68" s="24"/>
      <c r="G68" s="30"/>
      <c r="H68" s="24"/>
      <c r="I68" s="30">
        <f>29040+39330</f>
        <v>68370</v>
      </c>
      <c r="J68" s="24"/>
      <c r="K68" s="30"/>
      <c r="L68" s="24"/>
      <c r="M68" s="30"/>
      <c r="N68" s="24"/>
      <c r="O68" s="30"/>
      <c r="P68" s="24"/>
      <c r="Q68" s="30"/>
      <c r="R68" s="24"/>
      <c r="S68" s="30"/>
      <c r="T68" s="24"/>
      <c r="U68" s="30"/>
      <c r="V68" s="24"/>
      <c r="W68" s="30"/>
      <c r="X68" s="24"/>
      <c r="Y68" s="30"/>
      <c r="Z68" s="24"/>
      <c r="AA68" s="30"/>
      <c r="AB68" s="24"/>
      <c r="AC68" s="30"/>
    </row>
    <row r="69" spans="1:29">
      <c r="A69" s="107" t="s">
        <v>527</v>
      </c>
      <c r="B69" s="57"/>
      <c r="C69" s="57"/>
      <c r="D69" s="61" t="s">
        <v>528</v>
      </c>
      <c r="E69" s="5">
        <v>1800</v>
      </c>
      <c r="F69" s="28">
        <f>70.25+62.5+0.5</f>
        <v>133.25</v>
      </c>
      <c r="G69" s="34"/>
      <c r="H69" s="28">
        <f>80.25+68.5+3</f>
        <v>151.75</v>
      </c>
      <c r="I69" s="34"/>
      <c r="J69" s="28">
        <f>84+69.75+1.5</f>
        <v>155.25</v>
      </c>
      <c r="K69" s="34"/>
      <c r="L69" s="28">
        <f>80.5+68</f>
        <v>148.5</v>
      </c>
      <c r="M69" s="34"/>
      <c r="N69" s="28">
        <f>83.25+74.75</f>
        <v>158</v>
      </c>
      <c r="O69" s="34"/>
      <c r="P69" s="28">
        <f>77+66.25</f>
        <v>143.25</v>
      </c>
      <c r="Q69" s="34"/>
      <c r="R69" s="28"/>
      <c r="S69" s="34"/>
      <c r="T69" s="28"/>
      <c r="U69" s="34"/>
      <c r="V69" s="28"/>
      <c r="W69" s="34"/>
      <c r="X69" s="28"/>
      <c r="Y69" s="34"/>
      <c r="Z69" s="28"/>
      <c r="AA69" s="34"/>
      <c r="AB69" s="28"/>
      <c r="AC69" s="34"/>
    </row>
  </sheetData>
  <autoFilter ref="A3:AC69" xr:uid="{F381DB32-7EDF-4461-8382-A796E9B609C5}"/>
  <mergeCells count="24">
    <mergeCell ref="A1:C1"/>
    <mergeCell ref="A2:A3"/>
    <mergeCell ref="B2:B3"/>
    <mergeCell ref="C2:C3"/>
    <mergeCell ref="D2:D3"/>
    <mergeCell ref="E2:E3"/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62:A67"/>
    <mergeCell ref="A6:A10"/>
    <mergeCell ref="A11:A16"/>
    <mergeCell ref="A17:A20"/>
    <mergeCell ref="A21:A49"/>
    <mergeCell ref="A50:A61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6F91-77C2-4931-BD48-1E99519632CE}">
  <sheetPr>
    <tabColor theme="9" tint="0.79998168889431442"/>
    <pageSetUpPr fitToPage="1"/>
  </sheetPr>
  <dimension ref="A1:AC69"/>
  <sheetViews>
    <sheetView view="pageBreakPreview" zoomScale="115" zoomScaleNormal="85" zoomScaleSheetLayoutView="115" workbookViewId="0">
      <pane xSplit="5" ySplit="3" topLeftCell="M4" activePane="bottomRight" state="frozen"/>
      <selection activeCell="Z95" sqref="Z95"/>
      <selection pane="topRight" activeCell="Z95" sqref="Z95"/>
      <selection pane="bottomLeft" activeCell="Z95" sqref="Z95"/>
      <selection pane="bottomRight" activeCell="A4" sqref="A4:E69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6.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403</v>
      </c>
      <c r="B1" s="195"/>
      <c r="C1" s="195"/>
    </row>
    <row r="2" spans="1:29" s="86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7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196" t="s">
        <v>3</v>
      </c>
      <c r="B4" s="55" t="s">
        <v>4</v>
      </c>
      <c r="C4" s="55"/>
      <c r="D4" s="9" t="s">
        <v>5</v>
      </c>
      <c r="E4" s="6">
        <v>1400</v>
      </c>
      <c r="F4" s="24">
        <v>56</v>
      </c>
      <c r="G4" s="30"/>
      <c r="H4" s="24">
        <v>52</v>
      </c>
      <c r="I4" s="30"/>
      <c r="J4" s="24">
        <v>52</v>
      </c>
      <c r="K4" s="30"/>
      <c r="L4" s="24">
        <v>52</v>
      </c>
      <c r="M4" s="30"/>
      <c r="N4" s="24"/>
      <c r="O4" s="30"/>
      <c r="P4" s="24">
        <v>52</v>
      </c>
      <c r="Q4" s="30"/>
      <c r="R4" s="24"/>
      <c r="S4" s="30"/>
      <c r="T4" s="24"/>
      <c r="U4" s="30"/>
      <c r="V4" s="24"/>
      <c r="W4" s="30"/>
      <c r="X4" s="24"/>
      <c r="Y4" s="30"/>
      <c r="Z4" s="24"/>
      <c r="AA4" s="30"/>
      <c r="AB4" s="24"/>
      <c r="AC4" s="30"/>
    </row>
    <row r="5" spans="1:29">
      <c r="A5" s="196"/>
      <c r="B5" s="56" t="s">
        <v>4</v>
      </c>
      <c r="C5" s="56"/>
      <c r="D5" s="42" t="s">
        <v>6</v>
      </c>
      <c r="E5" s="7">
        <v>1400</v>
      </c>
      <c r="F5" s="25">
        <v>52</v>
      </c>
      <c r="G5" s="31"/>
      <c r="H5" s="25">
        <v>52</v>
      </c>
      <c r="I5" s="31"/>
      <c r="J5" s="25">
        <v>52</v>
      </c>
      <c r="K5" s="31"/>
      <c r="L5" s="25">
        <v>52</v>
      </c>
      <c r="M5" s="31"/>
      <c r="N5" s="25"/>
      <c r="O5" s="31"/>
      <c r="P5" s="25">
        <v>52</v>
      </c>
      <c r="Q5" s="31"/>
      <c r="R5" s="25"/>
      <c r="S5" s="31"/>
      <c r="T5" s="25"/>
      <c r="U5" s="31"/>
      <c r="V5" s="25"/>
      <c r="W5" s="31"/>
      <c r="X5" s="25"/>
      <c r="Y5" s="31"/>
      <c r="Z5" s="25"/>
      <c r="AA5" s="31"/>
      <c r="AB5" s="25"/>
      <c r="AC5" s="31"/>
    </row>
    <row r="6" spans="1:29">
      <c r="A6" s="196" t="s">
        <v>7</v>
      </c>
      <c r="B6" s="14" t="s">
        <v>4</v>
      </c>
      <c r="C6" s="14" t="s">
        <v>8</v>
      </c>
      <c r="D6" s="9" t="s">
        <v>9</v>
      </c>
      <c r="E6" s="6">
        <v>1800</v>
      </c>
      <c r="F6" s="24">
        <f>183+20+8.25</f>
        <v>211.25</v>
      </c>
      <c r="G6" s="30"/>
      <c r="H6" s="24">
        <f>176+27+8.5</f>
        <v>211.5</v>
      </c>
      <c r="I6" s="30"/>
      <c r="J6" s="24">
        <f>168+19.75+18</f>
        <v>205.75</v>
      </c>
      <c r="K6" s="30"/>
      <c r="L6" s="24">
        <f>176+19.5+8.3</f>
        <v>203.8</v>
      </c>
      <c r="M6" s="30"/>
      <c r="N6" s="24">
        <f>176+32.75+17.75</f>
        <v>226.5</v>
      </c>
      <c r="O6" s="30"/>
      <c r="P6" s="24">
        <f>173.25+17.5+8</f>
        <v>198.75</v>
      </c>
      <c r="Q6" s="30"/>
      <c r="R6" s="24"/>
      <c r="S6" s="30"/>
      <c r="T6" s="24"/>
      <c r="U6" s="30"/>
      <c r="V6" s="24"/>
      <c r="W6" s="30"/>
      <c r="X6" s="24"/>
      <c r="Y6" s="30"/>
      <c r="Z6" s="24"/>
      <c r="AA6" s="30"/>
      <c r="AB6" s="24"/>
      <c r="AC6" s="30"/>
    </row>
    <row r="7" spans="1:29">
      <c r="A7" s="196"/>
      <c r="B7" s="16" t="s">
        <v>4</v>
      </c>
      <c r="C7" s="16" t="s">
        <v>8</v>
      </c>
      <c r="D7" s="11" t="s">
        <v>10</v>
      </c>
      <c r="E7" s="10">
        <v>1750</v>
      </c>
      <c r="F7" s="26">
        <f>176+12.25+24</f>
        <v>212.25</v>
      </c>
      <c r="G7" s="32"/>
      <c r="H7" s="26">
        <f>184+14.25+8.25</f>
        <v>206.5</v>
      </c>
      <c r="I7" s="32"/>
      <c r="J7" s="26">
        <f>168+11.75+8.25</f>
        <v>188</v>
      </c>
      <c r="K7" s="32"/>
      <c r="L7" s="26">
        <f>176+14+16</f>
        <v>206</v>
      </c>
      <c r="M7" s="32"/>
      <c r="N7" s="26">
        <f>173.5+21.25+17.75</f>
        <v>212.5</v>
      </c>
      <c r="O7" s="32"/>
      <c r="P7" s="26">
        <f>70+3+8</f>
        <v>81</v>
      </c>
      <c r="Q7" s="32"/>
      <c r="R7" s="26"/>
      <c r="S7" s="32"/>
      <c r="T7" s="26"/>
      <c r="U7" s="32"/>
      <c r="V7" s="26"/>
      <c r="W7" s="32"/>
      <c r="X7" s="26"/>
      <c r="Y7" s="32"/>
      <c r="Z7" s="26"/>
      <c r="AA7" s="32"/>
      <c r="AB7" s="26"/>
      <c r="AC7" s="32"/>
    </row>
    <row r="8" spans="1:29">
      <c r="A8" s="196"/>
      <c r="B8" s="16" t="s">
        <v>4</v>
      </c>
      <c r="C8" s="16" t="s">
        <v>11</v>
      </c>
      <c r="D8" s="11" t="s">
        <v>12</v>
      </c>
      <c r="E8" s="10">
        <v>1750</v>
      </c>
      <c r="F8" s="26">
        <f>173.75+10.5+7.75</f>
        <v>192</v>
      </c>
      <c r="G8" s="32"/>
      <c r="H8" s="26">
        <f>184+16.25</f>
        <v>200.25</v>
      </c>
      <c r="I8" s="32"/>
      <c r="J8" s="26">
        <f>157.75+11+25</f>
        <v>193.75</v>
      </c>
      <c r="K8" s="32"/>
      <c r="L8" s="26">
        <f>175.25+10.5+8</f>
        <v>193.75</v>
      </c>
      <c r="M8" s="32"/>
      <c r="N8" s="26">
        <f>176+24.75+8.5</f>
        <v>209.25</v>
      </c>
      <c r="O8" s="32"/>
      <c r="P8" s="26">
        <f>170.5+8.75+7.75</f>
        <v>187</v>
      </c>
      <c r="Q8" s="32"/>
      <c r="R8" s="26"/>
      <c r="S8" s="32"/>
      <c r="T8" s="26"/>
      <c r="U8" s="32"/>
      <c r="V8" s="26"/>
      <c r="W8" s="32"/>
      <c r="X8" s="26"/>
      <c r="Y8" s="32"/>
      <c r="Z8" s="26"/>
      <c r="AA8" s="32"/>
      <c r="AB8" s="26"/>
      <c r="AC8" s="32"/>
    </row>
    <row r="9" spans="1:29">
      <c r="A9" s="196"/>
      <c r="B9" s="15" t="s">
        <v>4</v>
      </c>
      <c r="C9" s="15" t="s">
        <v>11</v>
      </c>
      <c r="D9" s="17" t="s">
        <v>13</v>
      </c>
      <c r="E9" s="8">
        <v>1950</v>
      </c>
      <c r="F9" s="27">
        <f>175.5+13.25+8</f>
        <v>196.75</v>
      </c>
      <c r="G9" s="33"/>
      <c r="H9" s="27">
        <f>175.75+18+8.25</f>
        <v>202</v>
      </c>
      <c r="I9" s="33"/>
      <c r="J9" s="27">
        <f>176+16.25+8.25</f>
        <v>200.5</v>
      </c>
      <c r="K9" s="33"/>
      <c r="L9" s="27">
        <f>176+17.75+8.25</f>
        <v>202</v>
      </c>
      <c r="M9" s="33"/>
      <c r="N9" s="27">
        <f>176+21.25+17.75</f>
        <v>215</v>
      </c>
      <c r="O9" s="33"/>
      <c r="P9" s="27">
        <f>175.75+17.25+0</f>
        <v>193</v>
      </c>
      <c r="Q9" s="33"/>
      <c r="R9" s="27"/>
      <c r="S9" s="33"/>
      <c r="T9" s="26"/>
      <c r="U9" s="33"/>
      <c r="V9" s="27"/>
      <c r="W9" s="33"/>
      <c r="X9" s="27"/>
      <c r="Y9" s="33"/>
      <c r="Z9" s="27"/>
      <c r="AA9" s="33"/>
      <c r="AB9" s="27"/>
      <c r="AC9" s="33"/>
    </row>
    <row r="10" spans="1:29">
      <c r="A10" s="114" t="s">
        <v>14</v>
      </c>
      <c r="B10" s="22"/>
      <c r="C10" s="22"/>
      <c r="D10" s="23" t="s">
        <v>15</v>
      </c>
      <c r="E10" s="21">
        <v>1800</v>
      </c>
      <c r="F10" s="29"/>
      <c r="G10" s="35"/>
      <c r="H10" s="29"/>
      <c r="I10" s="35"/>
      <c r="J10" s="29"/>
      <c r="K10" s="35"/>
      <c r="L10" s="29"/>
      <c r="M10" s="35"/>
      <c r="N10" s="29"/>
      <c r="O10" s="35"/>
      <c r="P10" s="29"/>
      <c r="Q10" s="35"/>
      <c r="R10" s="29"/>
      <c r="S10" s="35"/>
      <c r="T10" s="29"/>
      <c r="U10" s="35"/>
      <c r="V10" s="29"/>
      <c r="W10" s="35"/>
      <c r="X10" s="29"/>
      <c r="Y10" s="35"/>
      <c r="Z10" s="29"/>
      <c r="AA10" s="35"/>
      <c r="AB10" s="29"/>
      <c r="AC10" s="35"/>
    </row>
    <row r="11" spans="1:29">
      <c r="A11" s="115"/>
      <c r="B11" s="59"/>
      <c r="C11" s="59"/>
      <c r="D11" s="42" t="s">
        <v>534</v>
      </c>
      <c r="E11" s="7">
        <v>1800</v>
      </c>
      <c r="F11" s="25">
        <f>117.75+4.25</f>
        <v>122</v>
      </c>
      <c r="G11" s="31"/>
      <c r="H11" s="25">
        <f>144+17.5</f>
        <v>161.5</v>
      </c>
      <c r="I11" s="31"/>
      <c r="J11" s="25"/>
      <c r="K11" s="31"/>
      <c r="L11" s="25"/>
      <c r="M11" s="31"/>
      <c r="N11" s="25"/>
      <c r="O11" s="31"/>
      <c r="P11" s="25"/>
      <c r="Q11" s="31"/>
      <c r="R11" s="25"/>
      <c r="S11" s="31"/>
      <c r="T11" s="25"/>
      <c r="U11" s="31"/>
      <c r="V11" s="25"/>
      <c r="W11" s="31"/>
      <c r="X11" s="25"/>
      <c r="Y11" s="31"/>
      <c r="Z11" s="25"/>
      <c r="AA11" s="31"/>
      <c r="AB11" s="25"/>
      <c r="AC11" s="31"/>
    </row>
    <row r="12" spans="1:29" ht="18" customHeight="1">
      <c r="A12" s="196" t="s">
        <v>16</v>
      </c>
      <c r="B12" s="14"/>
      <c r="C12" s="14" t="s">
        <v>258</v>
      </c>
      <c r="D12" s="9"/>
      <c r="E12" s="6"/>
      <c r="F12" s="24"/>
      <c r="G12" s="30" t="s">
        <v>543</v>
      </c>
      <c r="H12" s="24"/>
      <c r="I12" s="30" t="s">
        <v>543</v>
      </c>
      <c r="J12" s="24"/>
      <c r="K12" s="30" t="s">
        <v>593</v>
      </c>
      <c r="L12" s="24"/>
      <c r="M12" s="30" t="s">
        <v>543</v>
      </c>
      <c r="N12" s="24"/>
      <c r="O12" s="30" t="s">
        <v>607</v>
      </c>
      <c r="P12" s="24"/>
      <c r="Q12" s="30" t="s">
        <v>634</v>
      </c>
      <c r="R12" s="24"/>
      <c r="S12" s="30"/>
      <c r="T12" s="24"/>
      <c r="U12" s="30"/>
      <c r="V12" s="24"/>
      <c r="W12" s="30"/>
      <c r="X12" s="24"/>
      <c r="Y12" s="30"/>
      <c r="Z12" s="24"/>
      <c r="AA12" s="30"/>
      <c r="AB12" s="24"/>
      <c r="AC12" s="30"/>
    </row>
    <row r="13" spans="1:29">
      <c r="A13" s="196"/>
      <c r="B13" s="59"/>
      <c r="C13" s="59"/>
      <c r="D13" s="42"/>
      <c r="E13" s="7"/>
      <c r="F13" s="25"/>
      <c r="G13" s="31"/>
      <c r="H13" s="25"/>
      <c r="I13" s="31"/>
      <c r="J13" s="25"/>
      <c r="K13" s="31"/>
      <c r="L13" s="25"/>
      <c r="M13" s="31"/>
      <c r="N13" s="25"/>
      <c r="O13" s="31"/>
      <c r="P13" s="25"/>
      <c r="Q13" s="31"/>
      <c r="R13" s="25"/>
      <c r="S13" s="31"/>
      <c r="T13" s="25"/>
      <c r="U13" s="31"/>
      <c r="V13" s="25"/>
      <c r="W13" s="31"/>
      <c r="X13" s="25"/>
      <c r="Y13" s="31"/>
      <c r="Z13" s="25"/>
      <c r="AA13" s="31"/>
      <c r="AB13" s="25"/>
      <c r="AC13" s="31"/>
    </row>
    <row r="14" spans="1:29">
      <c r="A14" s="196" t="s">
        <v>17</v>
      </c>
      <c r="B14" s="14" t="s">
        <v>4</v>
      </c>
      <c r="C14" s="14" t="s">
        <v>18</v>
      </c>
      <c r="D14" s="9" t="s">
        <v>152</v>
      </c>
      <c r="E14" s="6">
        <v>1650</v>
      </c>
      <c r="F14" s="24"/>
      <c r="G14" s="30"/>
      <c r="H14" s="24"/>
      <c r="I14" s="30"/>
      <c r="J14" s="24"/>
      <c r="K14" s="30"/>
      <c r="L14" s="24"/>
      <c r="M14" s="30"/>
      <c r="N14" s="24"/>
      <c r="O14" s="30"/>
      <c r="P14" s="24"/>
      <c r="Q14" s="30"/>
      <c r="R14" s="24"/>
      <c r="S14" s="30"/>
      <c r="T14" s="24"/>
      <c r="U14" s="30"/>
      <c r="V14" s="24"/>
      <c r="W14" s="30"/>
      <c r="X14" s="24"/>
      <c r="Y14" s="30"/>
      <c r="Z14" s="24"/>
      <c r="AA14" s="30"/>
      <c r="AB14" s="24"/>
      <c r="AC14" s="30"/>
    </row>
    <row r="15" spans="1:29">
      <c r="A15" s="196"/>
      <c r="B15" s="16" t="s">
        <v>4</v>
      </c>
      <c r="C15" s="16" t="s">
        <v>18</v>
      </c>
      <c r="D15" s="11" t="s">
        <v>153</v>
      </c>
      <c r="E15" s="10">
        <v>1600</v>
      </c>
      <c r="F15" s="26"/>
      <c r="G15" s="32"/>
      <c r="H15" s="26"/>
      <c r="I15" s="32"/>
      <c r="J15" s="26"/>
      <c r="K15" s="32"/>
      <c r="L15" s="26"/>
      <c r="M15" s="32"/>
      <c r="N15" s="26"/>
      <c r="O15" s="32"/>
      <c r="P15" s="26"/>
      <c r="Q15" s="32"/>
      <c r="R15" s="26"/>
      <c r="S15" s="32"/>
      <c r="T15" s="26"/>
      <c r="U15" s="32"/>
      <c r="V15" s="26"/>
      <c r="W15" s="32"/>
      <c r="X15" s="26"/>
      <c r="Y15" s="32"/>
      <c r="Z15" s="26"/>
      <c r="AA15" s="32"/>
      <c r="AB15" s="26"/>
      <c r="AC15" s="32"/>
    </row>
    <row r="16" spans="1:29">
      <c r="A16" s="196"/>
      <c r="B16" s="16" t="s">
        <v>4</v>
      </c>
      <c r="C16" s="16" t="s">
        <v>18</v>
      </c>
      <c r="D16" s="11" t="s">
        <v>308</v>
      </c>
      <c r="E16" s="10">
        <v>1600</v>
      </c>
      <c r="F16" s="26"/>
      <c r="G16" s="32"/>
      <c r="H16" s="26">
        <f>62.5+8+137.5</f>
        <v>208</v>
      </c>
      <c r="I16" s="32"/>
      <c r="J16" s="26"/>
      <c r="K16" s="32"/>
      <c r="L16" s="26"/>
      <c r="M16" s="32"/>
      <c r="N16" s="26"/>
      <c r="O16" s="32"/>
      <c r="P16" s="26"/>
      <c r="Q16" s="32"/>
      <c r="R16" s="26"/>
      <c r="S16" s="32"/>
      <c r="T16" s="26"/>
      <c r="U16" s="32"/>
      <c r="V16" s="26"/>
      <c r="W16" s="32"/>
      <c r="X16" s="26"/>
      <c r="Y16" s="32"/>
      <c r="Z16" s="26"/>
      <c r="AA16" s="32"/>
      <c r="AB16" s="26"/>
      <c r="AC16" s="32"/>
    </row>
    <row r="17" spans="1:29">
      <c r="A17" s="196"/>
      <c r="B17" s="16" t="s">
        <v>4</v>
      </c>
      <c r="C17" s="16" t="s">
        <v>18</v>
      </c>
      <c r="D17" s="11" t="s">
        <v>19</v>
      </c>
      <c r="E17" s="10">
        <v>1700</v>
      </c>
      <c r="F17" s="26">
        <f>200+31.5</f>
        <v>231.5</v>
      </c>
      <c r="G17" s="32"/>
      <c r="H17" s="26">
        <f>192+36.5</f>
        <v>228.5</v>
      </c>
      <c r="I17" s="32"/>
      <c r="J17" s="26">
        <f>192+34.75</f>
        <v>226.75</v>
      </c>
      <c r="K17" s="32"/>
      <c r="L17" s="26">
        <f>192+33.5</f>
        <v>225.5</v>
      </c>
      <c r="M17" s="32"/>
      <c r="N17" s="26">
        <f>200+56.75</f>
        <v>256.75</v>
      </c>
      <c r="O17" s="32"/>
      <c r="P17" s="26">
        <f>112+8.5</f>
        <v>120.5</v>
      </c>
      <c r="Q17" s="32"/>
      <c r="R17" s="26"/>
      <c r="S17" s="32"/>
      <c r="T17" s="26"/>
      <c r="U17" s="32"/>
      <c r="V17" s="26"/>
      <c r="W17" s="32"/>
      <c r="X17" s="26"/>
      <c r="Y17" s="32"/>
      <c r="Z17" s="26"/>
      <c r="AA17" s="32"/>
      <c r="AB17" s="26"/>
      <c r="AC17" s="32"/>
    </row>
    <row r="18" spans="1:29">
      <c r="A18" s="196"/>
      <c r="B18" s="16" t="s">
        <v>4</v>
      </c>
      <c r="C18" s="16" t="s">
        <v>18</v>
      </c>
      <c r="D18" s="11" t="s">
        <v>365</v>
      </c>
      <c r="E18" s="10">
        <v>1650</v>
      </c>
      <c r="F18" s="26"/>
      <c r="G18" s="32"/>
      <c r="H18" s="26"/>
      <c r="I18" s="32"/>
      <c r="J18" s="26"/>
      <c r="K18" s="32"/>
      <c r="L18" s="26"/>
      <c r="M18" s="32"/>
      <c r="N18" s="26"/>
      <c r="O18" s="32"/>
      <c r="P18" s="26"/>
      <c r="Q18" s="32"/>
      <c r="R18" s="26"/>
      <c r="S18" s="32"/>
      <c r="T18" s="26"/>
      <c r="U18" s="32"/>
      <c r="V18" s="26"/>
      <c r="W18" s="32"/>
      <c r="X18" s="26"/>
      <c r="Y18" s="32"/>
      <c r="Z18" s="26"/>
      <c r="AA18" s="32"/>
      <c r="AB18" s="26"/>
      <c r="AC18" s="32"/>
    </row>
    <row r="19" spans="1:29">
      <c r="A19" s="196"/>
      <c r="B19" s="16" t="s">
        <v>4</v>
      </c>
      <c r="C19" s="16" t="s">
        <v>18</v>
      </c>
      <c r="D19" s="11" t="s">
        <v>452</v>
      </c>
      <c r="E19" s="10">
        <v>1600</v>
      </c>
      <c r="F19" s="26"/>
      <c r="G19" s="32"/>
      <c r="H19" s="26"/>
      <c r="I19" s="32"/>
      <c r="J19" s="26"/>
      <c r="K19" s="32"/>
      <c r="L19" s="26"/>
      <c r="M19" s="32"/>
      <c r="N19" s="26"/>
      <c r="O19" s="32"/>
      <c r="P19" s="26"/>
      <c r="Q19" s="32"/>
      <c r="R19" s="26"/>
      <c r="S19" s="32"/>
      <c r="T19" s="26"/>
      <c r="U19" s="32"/>
      <c r="V19" s="26"/>
      <c r="W19" s="32"/>
      <c r="X19" s="26"/>
      <c r="Y19" s="32"/>
      <c r="Z19" s="26"/>
      <c r="AA19" s="32"/>
      <c r="AB19" s="26"/>
      <c r="AC19" s="32"/>
    </row>
    <row r="20" spans="1:29">
      <c r="A20" s="196"/>
      <c r="B20" s="16" t="s">
        <v>4</v>
      </c>
      <c r="C20" s="16" t="s">
        <v>18</v>
      </c>
      <c r="D20" s="11" t="s">
        <v>456</v>
      </c>
      <c r="E20" s="10">
        <v>1650</v>
      </c>
      <c r="F20" s="26">
        <f>191.5+18.25</f>
        <v>209.75</v>
      </c>
      <c r="G20" s="32"/>
      <c r="H20" s="26">
        <f>184+33</f>
        <v>217</v>
      </c>
      <c r="I20" s="32"/>
      <c r="J20" s="26">
        <f>182+27.5</f>
        <v>209.5</v>
      </c>
      <c r="K20" s="32"/>
      <c r="L20" s="26">
        <f>191+27.5</f>
        <v>218.5</v>
      </c>
      <c r="M20" s="32"/>
      <c r="N20" s="26">
        <f>192+47</f>
        <v>239</v>
      </c>
      <c r="O20" s="32"/>
      <c r="P20" s="26">
        <f>144+23.25</f>
        <v>167.25</v>
      </c>
      <c r="Q20" s="32"/>
      <c r="R20" s="26"/>
      <c r="S20" s="32"/>
      <c r="T20" s="26"/>
      <c r="U20" s="32"/>
      <c r="V20" s="26"/>
      <c r="W20" s="32"/>
      <c r="X20" s="26"/>
      <c r="Y20" s="32"/>
      <c r="Z20" s="26"/>
      <c r="AA20" s="32"/>
      <c r="AB20" s="26"/>
      <c r="AC20" s="32"/>
    </row>
    <row r="21" spans="1:29">
      <c r="A21" s="196"/>
      <c r="B21" s="16" t="s">
        <v>4</v>
      </c>
      <c r="C21" s="16" t="s">
        <v>18</v>
      </c>
      <c r="D21" s="11" t="s">
        <v>457</v>
      </c>
      <c r="E21" s="10">
        <v>1650</v>
      </c>
      <c r="F21" s="26">
        <f>90.5+6.5</f>
        <v>97</v>
      </c>
      <c r="G21" s="32"/>
      <c r="H21" s="26"/>
      <c r="I21" s="32"/>
      <c r="J21" s="26"/>
      <c r="K21" s="32"/>
      <c r="L21" s="26"/>
      <c r="M21" s="32"/>
      <c r="N21" s="26"/>
      <c r="O21" s="32"/>
      <c r="P21" s="26"/>
      <c r="Q21" s="32"/>
      <c r="R21" s="26"/>
      <c r="S21" s="32"/>
      <c r="T21" s="26"/>
      <c r="U21" s="32"/>
      <c r="V21" s="26"/>
      <c r="W21" s="32"/>
      <c r="X21" s="26"/>
      <c r="Y21" s="32"/>
      <c r="Z21" s="26"/>
      <c r="AA21" s="32"/>
      <c r="AB21" s="26"/>
      <c r="AC21" s="32"/>
    </row>
    <row r="22" spans="1:29">
      <c r="A22" s="196"/>
      <c r="B22" s="16" t="s">
        <v>4</v>
      </c>
      <c r="C22" s="16" t="s">
        <v>18</v>
      </c>
      <c r="D22" s="11" t="s">
        <v>489</v>
      </c>
      <c r="E22" s="10">
        <v>1650</v>
      </c>
      <c r="F22" s="26"/>
      <c r="G22" s="32"/>
      <c r="H22" s="26"/>
      <c r="I22" s="32"/>
      <c r="J22" s="26"/>
      <c r="K22" s="32"/>
      <c r="L22" s="26"/>
      <c r="M22" s="32"/>
      <c r="N22" s="26"/>
      <c r="O22" s="32"/>
      <c r="P22" s="26"/>
      <c r="Q22" s="32"/>
      <c r="R22" s="26"/>
      <c r="S22" s="32"/>
      <c r="T22" s="26"/>
      <c r="U22" s="32"/>
      <c r="V22" s="26"/>
      <c r="W22" s="32"/>
      <c r="X22" s="26"/>
      <c r="Y22" s="32"/>
      <c r="Z22" s="26"/>
      <c r="AA22" s="32"/>
      <c r="AB22" s="26"/>
      <c r="AC22" s="32"/>
    </row>
    <row r="23" spans="1:29">
      <c r="A23" s="196"/>
      <c r="B23" s="16" t="s">
        <v>4</v>
      </c>
      <c r="C23" s="16" t="s">
        <v>18</v>
      </c>
      <c r="D23" s="11" t="s">
        <v>434</v>
      </c>
      <c r="E23" s="10">
        <v>1600</v>
      </c>
      <c r="F23" s="26"/>
      <c r="G23" s="32"/>
      <c r="H23" s="26"/>
      <c r="I23" s="32"/>
      <c r="J23" s="26"/>
      <c r="K23" s="32"/>
      <c r="L23" s="26"/>
      <c r="M23" s="32"/>
      <c r="N23" s="26"/>
      <c r="O23" s="32"/>
      <c r="P23" s="26"/>
      <c r="Q23" s="32"/>
      <c r="R23" s="26"/>
      <c r="S23" s="32"/>
      <c r="T23" s="26"/>
      <c r="U23" s="32"/>
      <c r="V23" s="26"/>
      <c r="W23" s="32"/>
      <c r="X23" s="26"/>
      <c r="Y23" s="32"/>
      <c r="Z23" s="26"/>
      <c r="AA23" s="32"/>
      <c r="AB23" s="26"/>
      <c r="AC23" s="32"/>
    </row>
    <row r="24" spans="1:29">
      <c r="A24" s="196"/>
      <c r="B24" s="16" t="s">
        <v>4</v>
      </c>
      <c r="C24" s="16" t="s">
        <v>531</v>
      </c>
      <c r="D24" s="11" t="s">
        <v>532</v>
      </c>
      <c r="E24" s="10">
        <v>1650</v>
      </c>
      <c r="F24" s="26"/>
      <c r="G24" s="32"/>
      <c r="H24" s="26"/>
      <c r="I24" s="32"/>
      <c r="J24" s="26"/>
      <c r="K24" s="32"/>
      <c r="L24" s="26"/>
      <c r="M24" s="32"/>
      <c r="N24" s="26"/>
      <c r="O24" s="32"/>
      <c r="P24" s="26"/>
      <c r="Q24" s="32"/>
      <c r="R24" s="26"/>
      <c r="S24" s="32"/>
      <c r="T24" s="26"/>
      <c r="U24" s="32"/>
      <c r="V24" s="26"/>
      <c r="W24" s="32"/>
      <c r="X24" s="26"/>
      <c r="Y24" s="32"/>
      <c r="Z24" s="26"/>
      <c r="AA24" s="32"/>
      <c r="AB24" s="26"/>
      <c r="AC24" s="113"/>
    </row>
    <row r="25" spans="1:29">
      <c r="A25" s="196"/>
      <c r="B25" s="16" t="s">
        <v>4</v>
      </c>
      <c r="C25" s="16" t="s">
        <v>531</v>
      </c>
      <c r="D25" s="142" t="s">
        <v>529</v>
      </c>
      <c r="E25" s="143">
        <v>1650</v>
      </c>
      <c r="F25" s="144">
        <f>200+14.75</f>
        <v>214.75</v>
      </c>
      <c r="G25" s="32" t="s">
        <v>539</v>
      </c>
      <c r="H25" s="26">
        <f>183+27.25</f>
        <v>210.25</v>
      </c>
      <c r="I25" s="32"/>
      <c r="J25" s="26">
        <f>172+22.75</f>
        <v>194.75</v>
      </c>
      <c r="K25" s="32"/>
      <c r="L25" s="26"/>
      <c r="M25" s="32"/>
      <c r="N25" s="26">
        <v>79</v>
      </c>
      <c r="O25" s="32"/>
      <c r="P25" s="26"/>
      <c r="Q25" s="32"/>
      <c r="R25" s="26"/>
      <c r="S25" s="32"/>
      <c r="T25" s="26"/>
      <c r="U25" s="32"/>
      <c r="V25" s="26"/>
      <c r="W25" s="32"/>
      <c r="X25" s="26"/>
      <c r="Y25" s="32"/>
      <c r="Z25" s="26"/>
      <c r="AA25" s="32"/>
      <c r="AB25" s="26"/>
      <c r="AC25" s="113"/>
    </row>
    <row r="26" spans="1:29">
      <c r="A26" s="196"/>
      <c r="B26" s="16" t="s">
        <v>4</v>
      </c>
      <c r="C26" s="16" t="s">
        <v>531</v>
      </c>
      <c r="D26" s="142" t="s">
        <v>589</v>
      </c>
      <c r="E26" s="143">
        <v>1650</v>
      </c>
      <c r="F26" s="26"/>
      <c r="G26" s="32"/>
      <c r="H26" s="26"/>
      <c r="I26" s="32"/>
      <c r="J26" s="144">
        <f>192+29.5</f>
        <v>221.5</v>
      </c>
      <c r="K26" s="32" t="s">
        <v>539</v>
      </c>
      <c r="L26" s="26">
        <f>184+19.75</f>
        <v>203.75</v>
      </c>
      <c r="M26" s="32"/>
      <c r="N26" s="26">
        <f>156+27.75</f>
        <v>183.75</v>
      </c>
      <c r="O26" s="32"/>
      <c r="P26" s="26">
        <f>184+27</f>
        <v>211</v>
      </c>
      <c r="Q26" s="32"/>
      <c r="R26" s="26"/>
      <c r="S26" s="32"/>
      <c r="T26" s="26"/>
      <c r="U26" s="32"/>
      <c r="V26" s="26"/>
      <c r="W26" s="32"/>
      <c r="X26" s="26"/>
      <c r="Y26" s="32"/>
      <c r="Z26" s="26"/>
      <c r="AA26" s="32"/>
      <c r="AB26" s="26"/>
      <c r="AC26" s="113"/>
    </row>
    <row r="27" spans="1:29">
      <c r="A27" s="196"/>
      <c r="B27" s="16" t="s">
        <v>4</v>
      </c>
      <c r="C27" s="16" t="s">
        <v>531</v>
      </c>
      <c r="D27" s="142" t="s">
        <v>606</v>
      </c>
      <c r="E27" s="143">
        <v>1650</v>
      </c>
      <c r="F27" s="26"/>
      <c r="G27" s="32"/>
      <c r="H27" s="26"/>
      <c r="I27" s="32"/>
      <c r="J27" s="26"/>
      <c r="K27" s="32"/>
      <c r="L27" s="144">
        <f>171+12</f>
        <v>183</v>
      </c>
      <c r="M27" s="32" t="s">
        <v>539</v>
      </c>
      <c r="N27" s="26">
        <f>200+40.75</f>
        <v>240.75</v>
      </c>
      <c r="O27" s="32"/>
      <c r="P27" s="26">
        <f>184+23.75</f>
        <v>207.75</v>
      </c>
      <c r="Q27" s="32"/>
      <c r="R27" s="26"/>
      <c r="S27" s="32"/>
      <c r="T27" s="26"/>
      <c r="U27" s="32"/>
      <c r="V27" s="26"/>
      <c r="W27" s="32"/>
      <c r="X27" s="26"/>
      <c r="Y27" s="32"/>
      <c r="Z27" s="26"/>
      <c r="AA27" s="32"/>
      <c r="AB27" s="26"/>
      <c r="AC27" s="113"/>
    </row>
    <row r="28" spans="1:29">
      <c r="A28" s="196"/>
      <c r="B28" s="16" t="s">
        <v>20</v>
      </c>
      <c r="C28" s="16" t="s">
        <v>18</v>
      </c>
      <c r="D28" s="11" t="s">
        <v>154</v>
      </c>
      <c r="E28" s="10">
        <v>1600</v>
      </c>
      <c r="F28" s="26"/>
      <c r="G28" s="32"/>
      <c r="H28" s="26"/>
      <c r="I28" s="32"/>
      <c r="J28" s="26"/>
      <c r="K28" s="32"/>
      <c r="L28" s="26"/>
      <c r="M28" s="32"/>
      <c r="N28" s="26"/>
      <c r="O28" s="32"/>
      <c r="P28" s="26"/>
      <c r="Q28" s="32"/>
      <c r="R28" s="26"/>
      <c r="S28" s="32"/>
      <c r="T28" s="26"/>
      <c r="U28" s="32"/>
      <c r="V28" s="26"/>
      <c r="W28" s="32"/>
      <c r="X28" s="26"/>
      <c r="Y28" s="32"/>
      <c r="Z28" s="26"/>
      <c r="AA28" s="32"/>
      <c r="AB28" s="26"/>
      <c r="AC28" s="32"/>
    </row>
    <row r="29" spans="1:29">
      <c r="A29" s="196"/>
      <c r="B29" s="16" t="s">
        <v>20</v>
      </c>
      <c r="C29" s="16" t="s">
        <v>18</v>
      </c>
      <c r="D29" s="11" t="s">
        <v>155</v>
      </c>
      <c r="E29" s="10">
        <v>1600</v>
      </c>
      <c r="F29" s="26"/>
      <c r="G29" s="32"/>
      <c r="H29" s="26"/>
      <c r="I29" s="32"/>
      <c r="J29" s="26"/>
      <c r="K29" s="32"/>
      <c r="L29" s="26"/>
      <c r="M29" s="32"/>
      <c r="N29" s="26"/>
      <c r="O29" s="32"/>
      <c r="P29" s="26"/>
      <c r="Q29" s="32"/>
      <c r="R29" s="26"/>
      <c r="S29" s="32"/>
      <c r="T29" s="26"/>
      <c r="U29" s="32"/>
      <c r="V29" s="26"/>
      <c r="W29" s="32"/>
      <c r="X29" s="26"/>
      <c r="Y29" s="32"/>
      <c r="Z29" s="26"/>
      <c r="AA29" s="32"/>
      <c r="AB29" s="26"/>
      <c r="AC29" s="32"/>
    </row>
    <row r="30" spans="1:29">
      <c r="A30" s="196"/>
      <c r="B30" s="16" t="s">
        <v>20</v>
      </c>
      <c r="C30" s="16" t="s">
        <v>18</v>
      </c>
      <c r="D30" s="11" t="s">
        <v>156</v>
      </c>
      <c r="E30" s="10">
        <v>1650</v>
      </c>
      <c r="F30" s="26"/>
      <c r="G30" s="32"/>
      <c r="H30" s="26"/>
      <c r="I30" s="32"/>
      <c r="J30" s="26"/>
      <c r="K30" s="32"/>
      <c r="L30" s="26"/>
      <c r="M30" s="32"/>
      <c r="N30" s="26"/>
      <c r="O30" s="32"/>
      <c r="P30" s="26"/>
      <c r="Q30" s="32"/>
      <c r="R30" s="26"/>
      <c r="S30" s="32"/>
      <c r="T30" s="26"/>
      <c r="U30" s="32"/>
      <c r="V30" s="26"/>
      <c r="W30" s="32"/>
      <c r="X30" s="26"/>
      <c r="Y30" s="32"/>
      <c r="Z30" s="26"/>
      <c r="AA30" s="32"/>
      <c r="AB30" s="26"/>
      <c r="AC30" s="32"/>
    </row>
    <row r="31" spans="1:29">
      <c r="A31" s="196"/>
      <c r="B31" s="16" t="s">
        <v>20</v>
      </c>
      <c r="C31" s="16" t="s">
        <v>18</v>
      </c>
      <c r="D31" s="11" t="s">
        <v>21</v>
      </c>
      <c r="E31" s="10">
        <v>1710</v>
      </c>
      <c r="F31" s="26"/>
      <c r="G31" s="32"/>
      <c r="H31" s="26"/>
      <c r="I31" s="32"/>
      <c r="J31" s="26"/>
      <c r="K31" s="32"/>
      <c r="L31" s="26"/>
      <c r="M31" s="32"/>
      <c r="N31" s="26"/>
      <c r="O31" s="32"/>
      <c r="P31" s="26"/>
      <c r="Q31" s="32"/>
      <c r="R31" s="26"/>
      <c r="S31" s="32"/>
      <c r="T31" s="26"/>
      <c r="U31" s="32"/>
      <c r="V31" s="26"/>
      <c r="W31" s="32"/>
      <c r="X31" s="26"/>
      <c r="Y31" s="32"/>
      <c r="Z31" s="26"/>
      <c r="AA31" s="32"/>
      <c r="AB31" s="26"/>
      <c r="AC31" s="32"/>
    </row>
    <row r="32" spans="1:29">
      <c r="A32" s="196"/>
      <c r="B32" s="16" t="s">
        <v>20</v>
      </c>
      <c r="C32" s="16" t="s">
        <v>18</v>
      </c>
      <c r="D32" s="11" t="s">
        <v>467</v>
      </c>
      <c r="E32" s="10">
        <v>1650</v>
      </c>
      <c r="F32" s="26">
        <f>67.5+32.5+148.5</f>
        <v>248.5</v>
      </c>
      <c r="G32" s="32"/>
      <c r="H32" s="26">
        <f>65+33.75+143</f>
        <v>241.75</v>
      </c>
      <c r="I32" s="32"/>
      <c r="J32" s="26">
        <f>60+30+132</f>
        <v>222</v>
      </c>
      <c r="K32" s="32"/>
      <c r="L32" s="26">
        <f>62.5+28.25+136.5</f>
        <v>227.25</v>
      </c>
      <c r="M32" s="32"/>
      <c r="N32" s="26">
        <f>52.5+29.25+115.5</f>
        <v>197.25</v>
      </c>
      <c r="O32" s="32"/>
      <c r="P32" s="26">
        <f>65+32.25+143</f>
        <v>240.25</v>
      </c>
      <c r="Q32" s="32"/>
      <c r="R32" s="26"/>
      <c r="S32" s="32"/>
      <c r="T32" s="26"/>
      <c r="U32" s="32"/>
      <c r="V32" s="26"/>
      <c r="W32" s="32"/>
      <c r="X32" s="26"/>
      <c r="Y32" s="32"/>
      <c r="Z32" s="26"/>
      <c r="AA32" s="32"/>
      <c r="AB32" s="26"/>
      <c r="AC32" s="32"/>
    </row>
    <row r="33" spans="1:29">
      <c r="A33" s="196"/>
      <c r="B33" s="16" t="s">
        <v>20</v>
      </c>
      <c r="C33" s="16" t="s">
        <v>18</v>
      </c>
      <c r="D33" s="11" t="s">
        <v>274</v>
      </c>
      <c r="E33" s="10">
        <v>1650</v>
      </c>
      <c r="F33" s="26">
        <f>64.5+9+143</f>
        <v>216.5</v>
      </c>
      <c r="G33" s="32"/>
      <c r="H33" s="26">
        <f>62.5+12+137.5</f>
        <v>212</v>
      </c>
      <c r="I33" s="32"/>
      <c r="J33" s="26">
        <f>62.5+11.75+137.5</f>
        <v>211.75</v>
      </c>
      <c r="K33" s="32"/>
      <c r="L33" s="26">
        <f>62.5+10+137.5</f>
        <v>210</v>
      </c>
      <c r="M33" s="32"/>
      <c r="N33" s="26">
        <f>32.5+9+71.5</f>
        <v>113</v>
      </c>
      <c r="O33" s="32"/>
      <c r="P33" s="26"/>
      <c r="Q33" s="32"/>
      <c r="R33" s="26"/>
      <c r="S33" s="32"/>
      <c r="T33" s="26"/>
      <c r="U33" s="32"/>
      <c r="V33" s="26"/>
      <c r="W33" s="32"/>
      <c r="X33" s="26"/>
      <c r="Y33" s="32"/>
      <c r="Z33" s="26"/>
      <c r="AA33" s="32"/>
      <c r="AB33" s="26"/>
      <c r="AC33" s="32"/>
    </row>
    <row r="34" spans="1:29">
      <c r="A34" s="196"/>
      <c r="B34" s="16" t="s">
        <v>20</v>
      </c>
      <c r="C34" s="16" t="s">
        <v>18</v>
      </c>
      <c r="D34" s="11" t="s">
        <v>364</v>
      </c>
      <c r="E34" s="10">
        <v>1600</v>
      </c>
      <c r="F34" s="26"/>
      <c r="G34" s="32"/>
      <c r="H34" s="26"/>
      <c r="I34" s="32"/>
      <c r="J34" s="26"/>
      <c r="K34" s="32"/>
      <c r="L34" s="26"/>
      <c r="M34" s="32"/>
      <c r="N34" s="26"/>
      <c r="O34" s="32"/>
      <c r="P34" s="26"/>
      <c r="Q34" s="32"/>
      <c r="R34" s="26"/>
      <c r="S34" s="32"/>
      <c r="T34" s="26"/>
      <c r="U34" s="32"/>
      <c r="V34" s="26"/>
      <c r="W34" s="32"/>
      <c r="X34" s="26"/>
      <c r="Y34" s="32"/>
      <c r="Z34" s="26"/>
      <c r="AA34" s="32"/>
      <c r="AB34" s="26"/>
      <c r="AC34" s="32"/>
    </row>
    <row r="35" spans="1:29">
      <c r="A35" s="196"/>
      <c r="B35" s="16" t="s">
        <v>20</v>
      </c>
      <c r="C35" s="16" t="s">
        <v>18</v>
      </c>
      <c r="D35" s="11" t="s">
        <v>308</v>
      </c>
      <c r="E35" s="10">
        <v>1650</v>
      </c>
      <c r="F35" s="26">
        <f>64.5+7.75+143</f>
        <v>215.25</v>
      </c>
      <c r="G35" s="32"/>
      <c r="H35" s="26"/>
      <c r="I35" s="32"/>
      <c r="J35" s="26">
        <f>30.5+4.5+109</f>
        <v>144</v>
      </c>
      <c r="K35" s="32"/>
      <c r="L35" s="26"/>
      <c r="M35" s="32"/>
      <c r="N35" s="26"/>
      <c r="O35" s="32"/>
      <c r="P35" s="26"/>
      <c r="Q35" s="32"/>
      <c r="R35" s="26"/>
      <c r="S35" s="32"/>
      <c r="T35" s="26"/>
      <c r="U35" s="32"/>
      <c r="V35" s="26"/>
      <c r="W35" s="32"/>
      <c r="X35" s="26"/>
      <c r="Y35" s="32"/>
      <c r="Z35" s="26"/>
      <c r="AA35" s="106"/>
      <c r="AB35" s="26"/>
      <c r="AC35" s="32"/>
    </row>
    <row r="36" spans="1:29">
      <c r="A36" s="196"/>
      <c r="B36" s="16" t="s">
        <v>20</v>
      </c>
      <c r="C36" s="16" t="s">
        <v>18</v>
      </c>
      <c r="D36" s="11" t="s">
        <v>346</v>
      </c>
      <c r="E36" s="10">
        <v>1650</v>
      </c>
      <c r="F36" s="26"/>
      <c r="G36" s="32"/>
      <c r="H36" s="26"/>
      <c r="I36" s="32"/>
      <c r="J36" s="26">
        <f>5+1.75+11</f>
        <v>17.75</v>
      </c>
      <c r="K36" s="32"/>
      <c r="L36" s="26">
        <f>10+1.5+21.5</f>
        <v>33</v>
      </c>
      <c r="M36" s="32"/>
      <c r="N36" s="26">
        <f>6.75+0.5+16.5</f>
        <v>23.75</v>
      </c>
      <c r="O36" s="32"/>
      <c r="P36" s="26"/>
      <c r="Q36" s="32"/>
      <c r="R36" s="26"/>
      <c r="S36" s="32"/>
      <c r="T36" s="26"/>
      <c r="U36" s="32"/>
      <c r="V36" s="26"/>
      <c r="W36" s="32"/>
      <c r="X36" s="26"/>
      <c r="Y36" s="32"/>
      <c r="Z36" s="26"/>
      <c r="AA36" s="106"/>
      <c r="AB36" s="26"/>
      <c r="AC36" s="32"/>
    </row>
    <row r="37" spans="1:29">
      <c r="A37" s="196"/>
      <c r="B37" s="16" t="s">
        <v>20</v>
      </c>
      <c r="C37" s="16" t="s">
        <v>531</v>
      </c>
      <c r="D37" s="11" t="s">
        <v>533</v>
      </c>
      <c r="E37" s="10">
        <v>1650</v>
      </c>
      <c r="F37" s="26">
        <f>67.5+32+148.5</f>
        <v>248</v>
      </c>
      <c r="G37" s="32"/>
      <c r="H37" s="26">
        <f>65+33.25+143</f>
        <v>241.25</v>
      </c>
      <c r="I37" s="32"/>
      <c r="J37" s="26">
        <f>65+24.5+143</f>
        <v>232.5</v>
      </c>
      <c r="K37" s="32"/>
      <c r="L37" s="26">
        <f>65+9.25+143</f>
        <v>217.25</v>
      </c>
      <c r="M37" s="32"/>
      <c r="N37" s="26">
        <f>65+13.5+143</f>
        <v>221.5</v>
      </c>
      <c r="O37" s="32"/>
      <c r="P37" s="26">
        <f>66.75+10.5+148.5</f>
        <v>225.75</v>
      </c>
      <c r="Q37" s="32"/>
      <c r="R37" s="26"/>
      <c r="S37" s="32"/>
      <c r="T37" s="26"/>
      <c r="U37" s="32"/>
      <c r="V37" s="26"/>
      <c r="W37" s="32"/>
      <c r="X37" s="26"/>
      <c r="Y37" s="32"/>
      <c r="Z37" s="26"/>
      <c r="AA37" s="106"/>
      <c r="AB37" s="26"/>
      <c r="AC37" s="113"/>
    </row>
    <row r="38" spans="1:29">
      <c r="A38" s="196"/>
      <c r="B38" s="16" t="s">
        <v>20</v>
      </c>
      <c r="C38" s="16" t="s">
        <v>18</v>
      </c>
      <c r="D38" s="142" t="s">
        <v>590</v>
      </c>
      <c r="E38" s="143">
        <v>1650</v>
      </c>
      <c r="F38" s="26"/>
      <c r="G38" s="32"/>
      <c r="H38" s="26"/>
      <c r="I38" s="32"/>
      <c r="J38" s="144">
        <f>57.5+30.5+126.5</f>
        <v>214.5</v>
      </c>
      <c r="K38" s="32" t="s">
        <v>539</v>
      </c>
      <c r="L38" s="26">
        <f>62.5+29.75+137.5</f>
        <v>229.75</v>
      </c>
      <c r="M38" s="32"/>
      <c r="N38" s="26">
        <f>64.25+34+140.5</f>
        <v>238.75</v>
      </c>
      <c r="O38" s="32"/>
      <c r="P38" s="26">
        <f>65+30.75+143</f>
        <v>238.75</v>
      </c>
      <c r="Q38" s="32"/>
      <c r="R38" s="26"/>
      <c r="S38" s="32"/>
      <c r="T38" s="26"/>
      <c r="U38" s="32"/>
      <c r="V38" s="26"/>
      <c r="W38" s="32"/>
      <c r="X38" s="26"/>
      <c r="Y38" s="32"/>
      <c r="Z38" s="26"/>
      <c r="AA38" s="32"/>
      <c r="AB38" s="26"/>
      <c r="AC38" s="32"/>
    </row>
    <row r="39" spans="1:29">
      <c r="A39" s="196"/>
      <c r="B39" s="16" t="s">
        <v>20</v>
      </c>
      <c r="C39" s="16" t="s">
        <v>18</v>
      </c>
      <c r="D39" s="142" t="s">
        <v>591</v>
      </c>
      <c r="E39" s="143">
        <v>1650</v>
      </c>
      <c r="F39" s="26"/>
      <c r="G39" s="32"/>
      <c r="H39" s="26"/>
      <c r="I39" s="32"/>
      <c r="J39" s="144">
        <f>4+1.5+11</f>
        <v>16.5</v>
      </c>
      <c r="K39" s="32" t="s">
        <v>539</v>
      </c>
      <c r="L39" s="26">
        <f>62.5+8.25+137.3</f>
        <v>208.05</v>
      </c>
      <c r="M39" s="32"/>
      <c r="N39" s="26">
        <f>52.5+11+115.5</f>
        <v>179</v>
      </c>
      <c r="O39" s="32"/>
      <c r="P39" s="26">
        <f>57.75+7.5+132</f>
        <v>197.25</v>
      </c>
      <c r="Q39" s="32"/>
      <c r="R39" s="26"/>
      <c r="S39" s="32"/>
      <c r="T39" s="26"/>
      <c r="U39" s="32"/>
      <c r="V39" s="26"/>
      <c r="W39" s="32"/>
      <c r="X39" s="26"/>
      <c r="Y39" s="32"/>
      <c r="Z39" s="26"/>
      <c r="AA39" s="32"/>
      <c r="AB39" s="26"/>
      <c r="AC39" s="32"/>
    </row>
    <row r="40" spans="1:29">
      <c r="A40" s="196"/>
      <c r="B40" s="16" t="s">
        <v>20</v>
      </c>
      <c r="C40" s="16" t="s">
        <v>18</v>
      </c>
      <c r="D40" s="142" t="s">
        <v>581</v>
      </c>
      <c r="E40" s="143">
        <v>1650</v>
      </c>
      <c r="F40" s="26"/>
      <c r="G40" s="32"/>
      <c r="H40" s="26"/>
      <c r="I40" s="32"/>
      <c r="J40" s="26"/>
      <c r="K40" s="32"/>
      <c r="L40" s="26"/>
      <c r="M40" s="32"/>
      <c r="N40" s="144">
        <f>2.5+0.5+5.5</f>
        <v>8.5</v>
      </c>
      <c r="O40" s="32" t="s">
        <v>539</v>
      </c>
      <c r="P40" s="26">
        <f>7.5+1.5+16.5</f>
        <v>25.5</v>
      </c>
      <c r="Q40" s="32"/>
      <c r="R40" s="26"/>
      <c r="S40" s="32"/>
      <c r="T40" s="26"/>
      <c r="U40" s="32"/>
      <c r="V40" s="26"/>
      <c r="W40" s="32"/>
      <c r="X40" s="26"/>
      <c r="Y40" s="32"/>
      <c r="Z40" s="26"/>
      <c r="AA40" s="32"/>
      <c r="AB40" s="26"/>
      <c r="AC40" s="32"/>
    </row>
    <row r="41" spans="1:29">
      <c r="A41" s="196"/>
      <c r="B41" s="16" t="s">
        <v>20</v>
      </c>
      <c r="C41" s="16" t="s">
        <v>18</v>
      </c>
      <c r="D41" s="142" t="s">
        <v>636</v>
      </c>
      <c r="E41" s="143">
        <v>1650</v>
      </c>
      <c r="F41" s="26"/>
      <c r="G41" s="32"/>
      <c r="H41" s="26"/>
      <c r="I41" s="32"/>
      <c r="J41" s="26"/>
      <c r="K41" s="32"/>
      <c r="L41" s="26"/>
      <c r="M41" s="32"/>
      <c r="N41" s="26"/>
      <c r="O41" s="32"/>
      <c r="P41" s="144">
        <f>5+1.25+11</f>
        <v>17.25</v>
      </c>
      <c r="Q41" s="32" t="s">
        <v>539</v>
      </c>
      <c r="R41" s="26"/>
      <c r="S41" s="32"/>
      <c r="T41" s="26"/>
      <c r="U41" s="32"/>
      <c r="V41" s="26"/>
      <c r="W41" s="32"/>
      <c r="X41" s="26"/>
      <c r="Y41" s="32"/>
      <c r="Z41" s="26"/>
      <c r="AA41" s="32"/>
      <c r="AB41" s="26"/>
      <c r="AC41" s="32"/>
    </row>
    <row r="42" spans="1:29" ht="16.5" customHeight="1">
      <c r="A42" s="196"/>
      <c r="B42" s="16" t="s">
        <v>20</v>
      </c>
      <c r="C42" s="16" t="s">
        <v>531</v>
      </c>
      <c r="D42" s="146" t="s">
        <v>545</v>
      </c>
      <c r="E42" s="143">
        <v>1650</v>
      </c>
      <c r="F42" s="144">
        <v>18.5</v>
      </c>
      <c r="G42" s="32" t="s">
        <v>539</v>
      </c>
      <c r="H42" s="26">
        <v>9.5</v>
      </c>
      <c r="I42" s="32"/>
      <c r="J42" s="26"/>
      <c r="K42" s="32"/>
      <c r="L42" s="26">
        <v>6</v>
      </c>
      <c r="M42" s="32"/>
      <c r="N42" s="26"/>
      <c r="O42" s="32"/>
      <c r="P42" s="144">
        <f>5+1.25+11</f>
        <v>17.25</v>
      </c>
      <c r="Q42" s="32" t="s">
        <v>539</v>
      </c>
      <c r="R42" s="26"/>
      <c r="S42" s="32"/>
      <c r="T42" s="26"/>
      <c r="U42" s="32"/>
      <c r="V42" s="26"/>
      <c r="W42" s="32"/>
      <c r="X42" s="26"/>
      <c r="Y42" s="32"/>
      <c r="Z42" s="26"/>
      <c r="AA42" s="32"/>
      <c r="AB42" s="26"/>
      <c r="AC42" s="32"/>
    </row>
    <row r="43" spans="1:29">
      <c r="A43" s="196"/>
      <c r="B43" s="16" t="s">
        <v>22</v>
      </c>
      <c r="C43" s="16" t="s">
        <v>18</v>
      </c>
      <c r="D43" s="11" t="s">
        <v>23</v>
      </c>
      <c r="E43" s="10">
        <v>1600</v>
      </c>
      <c r="F43" s="26"/>
      <c r="G43" s="32"/>
      <c r="H43" s="26"/>
      <c r="I43" s="32"/>
      <c r="J43" s="26"/>
      <c r="K43" s="32"/>
      <c r="L43" s="26"/>
      <c r="M43" s="32"/>
      <c r="N43" s="26"/>
      <c r="O43" s="32"/>
      <c r="P43" s="26"/>
      <c r="Q43" s="32"/>
      <c r="R43" s="26"/>
      <c r="S43" s="32"/>
      <c r="T43" s="26"/>
      <c r="U43" s="32"/>
      <c r="V43" s="26"/>
      <c r="W43" s="32"/>
      <c r="X43" s="26"/>
      <c r="Y43" s="32"/>
      <c r="Z43" s="26"/>
      <c r="AA43" s="32"/>
      <c r="AB43" s="26"/>
      <c r="AC43" s="32"/>
    </row>
    <row r="44" spans="1:29">
      <c r="A44" s="196"/>
      <c r="B44" s="16" t="s">
        <v>4</v>
      </c>
      <c r="C44" s="16" t="s">
        <v>8</v>
      </c>
      <c r="D44" s="11" t="s">
        <v>158</v>
      </c>
      <c r="E44" s="10">
        <v>1460</v>
      </c>
      <c r="F44" s="26"/>
      <c r="G44" s="32"/>
      <c r="H44" s="26"/>
      <c r="I44" s="32"/>
      <c r="J44" s="26"/>
      <c r="K44" s="32"/>
      <c r="L44" s="26"/>
      <c r="M44" s="32"/>
      <c r="N44" s="26"/>
      <c r="O44" s="32"/>
      <c r="P44" s="26"/>
      <c r="Q44" s="32"/>
      <c r="R44" s="26"/>
      <c r="S44" s="32"/>
      <c r="T44" s="26"/>
      <c r="U44" s="32"/>
      <c r="V44" s="26"/>
      <c r="W44" s="32"/>
      <c r="X44" s="26"/>
      <c r="Y44" s="32"/>
      <c r="Z44" s="26"/>
      <c r="AA44" s="32"/>
      <c r="AB44" s="26"/>
      <c r="AC44" s="32"/>
    </row>
    <row r="45" spans="1:29">
      <c r="A45" s="196"/>
      <c r="B45" s="16" t="s">
        <v>4</v>
      </c>
      <c r="C45" s="16" t="s">
        <v>8</v>
      </c>
      <c r="D45" s="11" t="s">
        <v>309</v>
      </c>
      <c r="E45" s="10">
        <v>1410</v>
      </c>
      <c r="F45" s="26"/>
      <c r="G45" s="32"/>
      <c r="H45" s="26"/>
      <c r="I45" s="32"/>
      <c r="J45" s="26"/>
      <c r="K45" s="32"/>
      <c r="L45" s="26"/>
      <c r="M45" s="32"/>
      <c r="N45" s="26"/>
      <c r="O45" s="32"/>
      <c r="P45" s="26"/>
      <c r="Q45" s="32"/>
      <c r="R45" s="26"/>
      <c r="S45" s="32"/>
      <c r="T45" s="26"/>
      <c r="U45" s="32"/>
      <c r="V45" s="26"/>
      <c r="W45" s="32"/>
      <c r="X45" s="26"/>
      <c r="Y45" s="32"/>
      <c r="Z45" s="26"/>
      <c r="AA45" s="32"/>
      <c r="AB45" s="26"/>
      <c r="AC45" s="32"/>
    </row>
    <row r="46" spans="1:29">
      <c r="A46" s="196"/>
      <c r="B46" s="16" t="s">
        <v>4</v>
      </c>
      <c r="C46" s="16" t="s">
        <v>8</v>
      </c>
      <c r="D46" s="11" t="s">
        <v>511</v>
      </c>
      <c r="E46" s="10">
        <v>1460</v>
      </c>
      <c r="F46" s="26">
        <v>164.5</v>
      </c>
      <c r="G46" s="32"/>
      <c r="H46" s="26">
        <v>159.5</v>
      </c>
      <c r="I46" s="32"/>
      <c r="J46" s="26">
        <v>150</v>
      </c>
      <c r="K46" s="32"/>
      <c r="L46" s="26">
        <v>158</v>
      </c>
      <c r="M46" s="32"/>
      <c r="N46" s="26">
        <v>165</v>
      </c>
      <c r="O46" s="32"/>
      <c r="P46" s="26">
        <f>125.5+5</f>
        <v>130.5</v>
      </c>
      <c r="Q46" s="32"/>
      <c r="R46" s="26"/>
      <c r="S46" s="32"/>
      <c r="T46" s="26"/>
      <c r="U46" s="32"/>
      <c r="V46" s="26"/>
      <c r="W46" s="32"/>
      <c r="X46" s="26"/>
      <c r="Y46" s="32"/>
      <c r="Z46" s="26"/>
      <c r="AA46" s="32"/>
      <c r="AB46" s="26"/>
      <c r="AC46" s="117"/>
    </row>
    <row r="47" spans="1:29">
      <c r="A47" s="196"/>
      <c r="B47" s="16" t="s">
        <v>4</v>
      </c>
      <c r="C47" s="16" t="s">
        <v>157</v>
      </c>
      <c r="D47" s="11" t="s">
        <v>303</v>
      </c>
      <c r="E47" s="10">
        <v>1610</v>
      </c>
      <c r="F47" s="26">
        <f>89.5+1.75</f>
        <v>91.25</v>
      </c>
      <c r="G47" s="32"/>
      <c r="H47" s="26">
        <f>28.75+0.25</f>
        <v>29</v>
      </c>
      <c r="I47" s="32"/>
      <c r="J47" s="26">
        <f>71.75+2.5</f>
        <v>74.25</v>
      </c>
      <c r="K47" s="32"/>
      <c r="L47" s="26">
        <f>139+6.5</f>
        <v>145.5</v>
      </c>
      <c r="M47" s="32"/>
      <c r="N47" s="26">
        <f>168+21.75</f>
        <v>189.75</v>
      </c>
      <c r="O47" s="32"/>
      <c r="P47" s="26">
        <f>164.75+18.5</f>
        <v>183.25</v>
      </c>
      <c r="Q47" s="32"/>
      <c r="R47" s="26"/>
      <c r="S47" s="32"/>
      <c r="T47" s="26"/>
      <c r="U47" s="32"/>
      <c r="V47" s="26"/>
      <c r="W47" s="32"/>
      <c r="X47" s="26"/>
      <c r="Y47" s="32"/>
      <c r="Z47" s="26"/>
      <c r="AA47" s="32"/>
      <c r="AB47" s="26"/>
      <c r="AC47" s="32"/>
    </row>
    <row r="48" spans="1:29">
      <c r="A48" s="196"/>
      <c r="B48" s="16" t="s">
        <v>4</v>
      </c>
      <c r="C48" s="16" t="s">
        <v>157</v>
      </c>
      <c r="D48" s="11" t="s">
        <v>310</v>
      </c>
      <c r="E48" s="10">
        <v>1460</v>
      </c>
      <c r="F48" s="26">
        <f>170.5+8</f>
        <v>178.5</v>
      </c>
      <c r="G48" s="32"/>
      <c r="H48" s="26">
        <f>174.5+12.25</f>
        <v>186.75</v>
      </c>
      <c r="I48" s="32"/>
      <c r="J48" s="26">
        <f>175+9.75</f>
        <v>184.75</v>
      </c>
      <c r="K48" s="32"/>
      <c r="L48" s="26">
        <f>198.25+8.5</f>
        <v>206.75</v>
      </c>
      <c r="M48" s="32"/>
      <c r="N48" s="26">
        <f>192+22.5</f>
        <v>214.5</v>
      </c>
      <c r="O48" s="32"/>
      <c r="P48" s="26">
        <f>169.25+10.75</f>
        <v>180</v>
      </c>
      <c r="Q48" s="32"/>
      <c r="R48" s="26"/>
      <c r="S48" s="32"/>
      <c r="T48" s="26"/>
      <c r="U48" s="32"/>
      <c r="V48" s="26"/>
      <c r="W48" s="32"/>
      <c r="X48" s="26"/>
      <c r="Y48" s="32"/>
      <c r="Z48" s="26"/>
      <c r="AA48" s="32"/>
      <c r="AB48" s="26"/>
      <c r="AC48" s="32"/>
    </row>
    <row r="49" spans="1:29">
      <c r="A49" s="196"/>
      <c r="B49" s="16" t="s">
        <v>4</v>
      </c>
      <c r="C49" s="16" t="s">
        <v>157</v>
      </c>
      <c r="D49" s="11" t="s">
        <v>311</v>
      </c>
      <c r="E49" s="10">
        <v>1460</v>
      </c>
      <c r="F49" s="26">
        <f>154.5+6.25</f>
        <v>160.75</v>
      </c>
      <c r="G49" s="32"/>
      <c r="H49" s="26">
        <f>206.25+17</f>
        <v>223.25</v>
      </c>
      <c r="I49" s="32"/>
      <c r="J49" s="26">
        <f>207+11.5</f>
        <v>218.5</v>
      </c>
      <c r="K49" s="32"/>
      <c r="L49" s="26">
        <f>198.25+8.5</f>
        <v>206.75</v>
      </c>
      <c r="M49" s="32"/>
      <c r="N49" s="26">
        <f>208+23.5</f>
        <v>231.5</v>
      </c>
      <c r="O49" s="32"/>
      <c r="P49" s="26">
        <f>192.5+8</f>
        <v>200.5</v>
      </c>
      <c r="Q49" s="32"/>
      <c r="R49" s="26"/>
      <c r="S49" s="32"/>
      <c r="T49" s="26"/>
      <c r="U49" s="32"/>
      <c r="V49" s="26"/>
      <c r="W49" s="32"/>
      <c r="X49" s="26"/>
      <c r="Y49" s="32"/>
      <c r="Z49" s="26"/>
      <c r="AA49" s="32"/>
      <c r="AB49" s="26"/>
      <c r="AC49" s="32"/>
    </row>
    <row r="50" spans="1:29">
      <c r="A50" s="196"/>
      <c r="B50" s="16" t="s">
        <v>4</v>
      </c>
      <c r="C50" s="16" t="s">
        <v>157</v>
      </c>
      <c r="D50" s="11" t="s">
        <v>312</v>
      </c>
      <c r="E50" s="10">
        <v>1460</v>
      </c>
      <c r="F50" s="26">
        <v>129.75</v>
      </c>
      <c r="G50" s="32"/>
      <c r="H50" s="26">
        <f>161.5+2.75</f>
        <v>164.25</v>
      </c>
      <c r="I50" s="32"/>
      <c r="J50" s="26">
        <v>151.75</v>
      </c>
      <c r="K50" s="32"/>
      <c r="L50" s="26">
        <v>160.25</v>
      </c>
      <c r="M50" s="32"/>
      <c r="N50" s="26">
        <v>156.75</v>
      </c>
      <c r="O50" s="32"/>
      <c r="P50" s="26">
        <f>152.25+0.75</f>
        <v>153</v>
      </c>
      <c r="Q50" s="32"/>
      <c r="R50" s="26"/>
      <c r="S50" s="32"/>
      <c r="T50" s="26"/>
      <c r="U50" s="32"/>
      <c r="V50" s="26"/>
      <c r="W50" s="32"/>
      <c r="X50" s="26"/>
      <c r="Y50" s="32"/>
      <c r="Z50" s="26"/>
      <c r="AA50" s="32"/>
      <c r="AB50" s="26"/>
      <c r="AC50" s="32"/>
    </row>
    <row r="51" spans="1:29">
      <c r="A51" s="196"/>
      <c r="B51" s="16" t="s">
        <v>4</v>
      </c>
      <c r="C51" s="16" t="s">
        <v>157</v>
      </c>
      <c r="D51" s="11" t="s">
        <v>313</v>
      </c>
      <c r="E51" s="10">
        <v>1460</v>
      </c>
      <c r="F51" s="26">
        <f>203.25+10.5</f>
        <v>213.75</v>
      </c>
      <c r="G51" s="32"/>
      <c r="H51" s="26">
        <f>198.25+16.25</f>
        <v>214.5</v>
      </c>
      <c r="I51" s="32"/>
      <c r="J51" s="26">
        <f>199+10.25</f>
        <v>209.25</v>
      </c>
      <c r="K51" s="32"/>
      <c r="L51" s="26">
        <f>198.25+8.5</f>
        <v>206.75</v>
      </c>
      <c r="M51" s="32"/>
      <c r="N51" s="26">
        <f>208+23.75</f>
        <v>231.75</v>
      </c>
      <c r="O51" s="32"/>
      <c r="P51" s="26">
        <f>142+6.5</f>
        <v>148.5</v>
      </c>
      <c r="Q51" s="32"/>
      <c r="R51" s="26"/>
      <c r="S51" s="32"/>
      <c r="T51" s="26"/>
      <c r="U51" s="32"/>
      <c r="V51" s="26"/>
      <c r="W51" s="32"/>
      <c r="X51" s="26"/>
      <c r="Y51" s="32"/>
      <c r="Z51" s="26"/>
      <c r="AA51" s="32"/>
      <c r="AB51" s="26"/>
      <c r="AC51" s="32"/>
    </row>
    <row r="52" spans="1:29">
      <c r="A52" s="196"/>
      <c r="B52" s="16" t="s">
        <v>4</v>
      </c>
      <c r="C52" s="16" t="s">
        <v>157</v>
      </c>
      <c r="D52" s="11" t="s">
        <v>344</v>
      </c>
      <c r="E52" s="10">
        <v>1410</v>
      </c>
      <c r="F52" s="26"/>
      <c r="G52" s="32"/>
      <c r="H52" s="26"/>
      <c r="I52" s="32"/>
      <c r="J52" s="26"/>
      <c r="K52" s="32"/>
      <c r="L52" s="26"/>
      <c r="M52" s="32"/>
      <c r="N52" s="26"/>
      <c r="O52" s="32"/>
      <c r="P52" s="26"/>
      <c r="Q52" s="32"/>
      <c r="R52" s="26"/>
      <c r="S52" s="32"/>
      <c r="T52" s="26"/>
      <c r="U52" s="32"/>
      <c r="V52" s="26"/>
      <c r="W52" s="32"/>
      <c r="X52" s="26"/>
      <c r="Y52" s="32"/>
      <c r="Z52" s="26"/>
      <c r="AA52" s="32"/>
      <c r="AB52" s="26"/>
      <c r="AC52" s="32"/>
    </row>
    <row r="53" spans="1:29">
      <c r="A53" s="196"/>
      <c r="B53" s="16" t="s">
        <v>4</v>
      </c>
      <c r="C53" s="16" t="s">
        <v>157</v>
      </c>
      <c r="D53" s="11" t="s">
        <v>314</v>
      </c>
      <c r="E53" s="10">
        <v>1460</v>
      </c>
      <c r="F53" s="26">
        <f>154.5+7.5</f>
        <v>162</v>
      </c>
      <c r="G53" s="32"/>
      <c r="H53" s="26">
        <f>198.5+17</f>
        <v>215.5</v>
      </c>
      <c r="I53" s="32"/>
      <c r="J53" s="26">
        <f>199+10.25</f>
        <v>209.25</v>
      </c>
      <c r="K53" s="32"/>
      <c r="L53" s="26">
        <f>198.25+8</f>
        <v>206.25</v>
      </c>
      <c r="M53" s="32"/>
      <c r="N53" s="26">
        <f>216+24.75</f>
        <v>240.75</v>
      </c>
      <c r="O53" s="32"/>
      <c r="P53" s="26">
        <f>201+11</f>
        <v>212</v>
      </c>
      <c r="Q53" s="32"/>
      <c r="R53" s="26"/>
      <c r="S53" s="32"/>
      <c r="T53" s="26"/>
      <c r="U53" s="32"/>
      <c r="V53" s="26"/>
      <c r="W53" s="32"/>
      <c r="X53" s="26"/>
      <c r="Y53" s="32"/>
      <c r="Z53" s="26"/>
      <c r="AA53" s="32"/>
      <c r="AB53" s="26"/>
      <c r="AC53" s="32"/>
    </row>
    <row r="54" spans="1:29">
      <c r="A54" s="196"/>
      <c r="B54" s="16" t="s">
        <v>4</v>
      </c>
      <c r="C54" s="16" t="s">
        <v>157</v>
      </c>
      <c r="D54" s="11" t="s">
        <v>315</v>
      </c>
      <c r="E54" s="10">
        <v>1460</v>
      </c>
      <c r="F54" s="26">
        <f>154+7</f>
        <v>161</v>
      </c>
      <c r="G54" s="32"/>
      <c r="H54" s="26">
        <f>206.25+17</f>
        <v>223.25</v>
      </c>
      <c r="I54" s="32"/>
      <c r="J54" s="26">
        <f>191.5+10.25</f>
        <v>201.75</v>
      </c>
      <c r="K54" s="32"/>
      <c r="L54" s="26">
        <f>190.25+7.5</f>
        <v>197.75</v>
      </c>
      <c r="M54" s="32"/>
      <c r="N54" s="26">
        <f>214.75+23.75</f>
        <v>238.5</v>
      </c>
      <c r="O54" s="32"/>
      <c r="P54" s="26">
        <f>179+9.25</f>
        <v>188.25</v>
      </c>
      <c r="Q54" s="32"/>
      <c r="R54" s="26"/>
      <c r="S54" s="32"/>
      <c r="T54" s="26"/>
      <c r="U54" s="32"/>
      <c r="V54" s="26"/>
      <c r="W54" s="32"/>
      <c r="X54" s="26"/>
      <c r="Y54" s="32"/>
      <c r="Z54" s="26"/>
      <c r="AA54" s="32"/>
      <c r="AB54" s="26"/>
      <c r="AC54" s="32"/>
    </row>
    <row r="55" spans="1:29">
      <c r="A55" s="196"/>
      <c r="B55" s="16" t="s">
        <v>4</v>
      </c>
      <c r="C55" s="16" t="s">
        <v>157</v>
      </c>
      <c r="D55" s="11" t="s">
        <v>511</v>
      </c>
      <c r="E55" s="10">
        <v>1460</v>
      </c>
      <c r="F55" s="26"/>
      <c r="G55" s="32"/>
      <c r="H55" s="26"/>
      <c r="I55" s="32"/>
      <c r="J55" s="26"/>
      <c r="K55" s="32"/>
      <c r="L55" s="26"/>
      <c r="M55" s="32"/>
      <c r="N55" s="26"/>
      <c r="O55" s="32"/>
      <c r="P55" s="26"/>
      <c r="Q55" s="32"/>
      <c r="R55" s="26"/>
      <c r="S55" s="32"/>
      <c r="T55" s="26"/>
      <c r="U55" s="32"/>
      <c r="V55" s="26"/>
      <c r="W55" s="32"/>
      <c r="X55" s="26"/>
      <c r="Y55" s="32"/>
      <c r="Z55" s="26"/>
      <c r="AA55" s="106"/>
      <c r="AB55" s="26"/>
      <c r="AC55" s="32"/>
    </row>
    <row r="56" spans="1:29">
      <c r="A56" s="196"/>
      <c r="B56" s="16" t="s">
        <v>4</v>
      </c>
      <c r="C56" s="16" t="s">
        <v>157</v>
      </c>
      <c r="D56" s="11" t="s">
        <v>529</v>
      </c>
      <c r="E56" s="10">
        <v>1460</v>
      </c>
      <c r="F56" s="26"/>
      <c r="G56" s="32"/>
      <c r="H56" s="26"/>
      <c r="I56" s="32"/>
      <c r="J56" s="26"/>
      <c r="K56" s="32"/>
      <c r="L56" s="26"/>
      <c r="M56" s="32"/>
      <c r="N56" s="26"/>
      <c r="O56" s="32"/>
      <c r="P56" s="26"/>
      <c r="Q56" s="32"/>
      <c r="R56" s="26"/>
      <c r="S56" s="32"/>
      <c r="T56" s="26"/>
      <c r="U56" s="32"/>
      <c r="V56" s="26"/>
      <c r="W56" s="32"/>
      <c r="X56" s="26"/>
      <c r="Y56" s="32"/>
      <c r="Z56" s="26"/>
      <c r="AA56" s="106"/>
      <c r="AB56" s="26"/>
      <c r="AC56" s="113"/>
    </row>
    <row r="57" spans="1:29">
      <c r="A57" s="196"/>
      <c r="B57" s="16" t="s">
        <v>4</v>
      </c>
      <c r="C57" s="16" t="s">
        <v>157</v>
      </c>
      <c r="D57" s="11" t="s">
        <v>530</v>
      </c>
      <c r="E57" s="10">
        <v>1460</v>
      </c>
      <c r="F57" s="26">
        <f>48+2.75</f>
        <v>50.75</v>
      </c>
      <c r="G57" s="32"/>
      <c r="H57" s="26"/>
      <c r="I57" s="32"/>
      <c r="J57" s="26"/>
      <c r="K57" s="32"/>
      <c r="L57" s="26"/>
      <c r="M57" s="32"/>
      <c r="N57" s="26"/>
      <c r="O57" s="32"/>
      <c r="P57" s="26"/>
      <c r="Q57" s="32"/>
      <c r="R57" s="26"/>
      <c r="S57" s="32"/>
      <c r="T57" s="26"/>
      <c r="U57" s="32"/>
      <c r="V57" s="26"/>
      <c r="W57" s="32"/>
      <c r="X57" s="26"/>
      <c r="Y57" s="32"/>
      <c r="Z57" s="26"/>
      <c r="AA57" s="106"/>
      <c r="AB57" s="26"/>
      <c r="AC57" s="113"/>
    </row>
    <row r="58" spans="1:29">
      <c r="A58" s="196"/>
      <c r="B58" s="16" t="s">
        <v>4</v>
      </c>
      <c r="C58" s="16" t="s">
        <v>157</v>
      </c>
      <c r="D58" s="142" t="s">
        <v>532</v>
      </c>
      <c r="E58" s="143">
        <v>1460</v>
      </c>
      <c r="F58" s="144">
        <f>92+3.25</f>
        <v>95.25</v>
      </c>
      <c r="G58" s="32" t="s">
        <v>539</v>
      </c>
      <c r="H58" s="26">
        <f>174.75+13</f>
        <v>187.75</v>
      </c>
      <c r="I58" s="32"/>
      <c r="J58" s="26">
        <f>199+9.5</f>
        <v>208.5</v>
      </c>
      <c r="K58" s="32"/>
      <c r="L58" s="26">
        <f>182.25+7.75</f>
        <v>190</v>
      </c>
      <c r="M58" s="32"/>
      <c r="N58" s="26">
        <f>200+22.5</f>
        <v>222.5</v>
      </c>
      <c r="O58" s="32"/>
      <c r="P58" s="26">
        <f>193+10</f>
        <v>203</v>
      </c>
      <c r="Q58" s="32"/>
      <c r="R58" s="26"/>
      <c r="S58" s="32"/>
      <c r="T58" s="26"/>
      <c r="U58" s="32"/>
      <c r="V58" s="26"/>
      <c r="W58" s="32"/>
      <c r="X58" s="26"/>
      <c r="Y58" s="32"/>
      <c r="Z58" s="26"/>
      <c r="AA58" s="106"/>
      <c r="AB58" s="26"/>
      <c r="AC58" s="113"/>
    </row>
    <row r="59" spans="1:29">
      <c r="A59" s="196"/>
      <c r="B59" s="16" t="s">
        <v>4</v>
      </c>
      <c r="C59" s="16" t="s">
        <v>157</v>
      </c>
      <c r="D59" s="142" t="s">
        <v>560</v>
      </c>
      <c r="E59" s="143">
        <v>1460</v>
      </c>
      <c r="F59" s="26"/>
      <c r="G59" s="32"/>
      <c r="H59" s="144">
        <v>15.75</v>
      </c>
      <c r="I59" s="32" t="s">
        <v>539</v>
      </c>
      <c r="J59" s="26"/>
      <c r="K59" s="32"/>
      <c r="L59" s="26">
        <v>15.75</v>
      </c>
      <c r="M59" s="32"/>
      <c r="N59" s="26"/>
      <c r="O59" s="32"/>
      <c r="P59" s="26"/>
      <c r="Q59" s="32"/>
      <c r="R59" s="26"/>
      <c r="S59" s="32"/>
      <c r="T59" s="26"/>
      <c r="U59" s="32"/>
      <c r="V59" s="26"/>
      <c r="W59" s="32"/>
      <c r="X59" s="26"/>
      <c r="Y59" s="32"/>
      <c r="Z59" s="26"/>
      <c r="AA59" s="106"/>
      <c r="AB59" s="26"/>
      <c r="AC59" s="113"/>
    </row>
    <row r="60" spans="1:29">
      <c r="A60" s="196"/>
      <c r="B60" s="16" t="s">
        <v>4</v>
      </c>
      <c r="C60" s="16" t="s">
        <v>157</v>
      </c>
      <c r="D60" s="142" t="s">
        <v>635</v>
      </c>
      <c r="E60" s="143">
        <v>1460</v>
      </c>
      <c r="F60" s="26"/>
      <c r="G60" s="32"/>
      <c r="H60" s="26"/>
      <c r="I60" s="32"/>
      <c r="J60" s="26"/>
      <c r="K60" s="32"/>
      <c r="L60" s="26"/>
      <c r="M60" s="32"/>
      <c r="N60" s="26"/>
      <c r="O60" s="32"/>
      <c r="P60" s="144">
        <f>53.75+2</f>
        <v>55.75</v>
      </c>
      <c r="Q60" s="32" t="s">
        <v>539</v>
      </c>
      <c r="R60" s="26"/>
      <c r="S60" s="32"/>
      <c r="T60" s="26"/>
      <c r="U60" s="32"/>
      <c r="V60" s="26"/>
      <c r="W60" s="32"/>
      <c r="X60" s="26"/>
      <c r="Y60" s="32"/>
      <c r="Z60" s="26"/>
      <c r="AA60" s="106"/>
      <c r="AB60" s="26"/>
      <c r="AC60" s="113"/>
    </row>
    <row r="61" spans="1:29">
      <c r="A61" s="196"/>
      <c r="B61" s="16" t="s">
        <v>302</v>
      </c>
      <c r="C61" s="16" t="s">
        <v>25</v>
      </c>
      <c r="D61" s="11"/>
      <c r="E61" s="10" t="s">
        <v>26</v>
      </c>
      <c r="F61" s="26"/>
      <c r="G61" s="32"/>
      <c r="H61" s="26"/>
      <c r="I61" s="32"/>
      <c r="J61" s="26"/>
      <c r="K61" s="32"/>
      <c r="L61" s="26"/>
      <c r="M61" s="32"/>
      <c r="N61" s="26"/>
      <c r="O61" s="32"/>
      <c r="P61" s="26"/>
      <c r="Q61" s="32"/>
      <c r="R61" s="26"/>
      <c r="S61" s="32"/>
      <c r="T61" s="26"/>
      <c r="U61" s="32"/>
      <c r="V61" s="26"/>
      <c r="W61" s="32"/>
      <c r="X61" s="26"/>
      <c r="Y61" s="32"/>
      <c r="Z61" s="26"/>
      <c r="AA61" s="32"/>
      <c r="AB61" s="26"/>
      <c r="AC61" s="32"/>
    </row>
    <row r="62" spans="1:29">
      <c r="A62" s="196"/>
      <c r="B62" s="15" t="s">
        <v>302</v>
      </c>
      <c r="C62" s="15" t="s">
        <v>257</v>
      </c>
      <c r="D62" s="17"/>
      <c r="E62" s="8" t="s">
        <v>27</v>
      </c>
      <c r="F62" s="27"/>
      <c r="G62" s="33"/>
      <c r="H62" s="27"/>
      <c r="I62" s="33"/>
      <c r="J62" s="27"/>
      <c r="K62" s="33"/>
      <c r="L62" s="27"/>
      <c r="M62" s="33"/>
      <c r="N62" s="27"/>
      <c r="O62" s="33"/>
      <c r="P62" s="27"/>
      <c r="Q62" s="33"/>
      <c r="R62" s="27"/>
      <c r="S62" s="33"/>
      <c r="T62" s="27"/>
      <c r="U62" s="33"/>
      <c r="V62" s="27"/>
      <c r="W62" s="33"/>
      <c r="X62" s="27"/>
      <c r="Y62" s="33"/>
      <c r="Z62" s="27"/>
      <c r="AA62" s="33"/>
      <c r="AB62" s="27"/>
      <c r="AC62" s="33"/>
    </row>
    <row r="63" spans="1:29">
      <c r="A63" s="196" t="s">
        <v>28</v>
      </c>
      <c r="B63" s="14" t="s">
        <v>4</v>
      </c>
      <c r="C63" s="14"/>
      <c r="D63" s="9" t="s">
        <v>159</v>
      </c>
      <c r="E63" s="6">
        <v>1970</v>
      </c>
      <c r="F63" s="24"/>
      <c r="G63" s="30"/>
      <c r="H63" s="24"/>
      <c r="I63" s="30"/>
      <c r="J63" s="24"/>
      <c r="K63" s="30"/>
      <c r="L63" s="24"/>
      <c r="M63" s="30"/>
      <c r="N63" s="24"/>
      <c r="O63" s="30"/>
      <c r="P63" s="24"/>
      <c r="Q63" s="30"/>
      <c r="R63" s="24"/>
      <c r="S63" s="30"/>
      <c r="T63" s="24"/>
      <c r="U63" s="30"/>
      <c r="V63" s="24"/>
      <c r="W63" s="30"/>
      <c r="X63" s="24"/>
      <c r="Y63" s="30"/>
      <c r="Z63" s="24"/>
      <c r="AA63" s="30"/>
      <c r="AB63" s="24"/>
      <c r="AC63" s="30"/>
    </row>
    <row r="64" spans="1:29">
      <c r="A64" s="196"/>
      <c r="B64" s="59" t="s">
        <v>4</v>
      </c>
      <c r="C64" s="59"/>
      <c r="D64" s="60" t="s">
        <v>160</v>
      </c>
      <c r="E64" s="7">
        <v>1940</v>
      </c>
      <c r="F64" s="25">
        <f>174.5+9</f>
        <v>183.5</v>
      </c>
      <c r="G64" s="31"/>
      <c r="H64" s="25">
        <f>167.5+14.75</f>
        <v>182.25</v>
      </c>
      <c r="I64" s="31"/>
      <c r="J64" s="25">
        <f>152+9</f>
        <v>161</v>
      </c>
      <c r="K64" s="31"/>
      <c r="L64" s="25">
        <f>168+9</f>
        <v>177</v>
      </c>
      <c r="M64" s="31"/>
      <c r="N64" s="25">
        <f>184+13.5+0</f>
        <v>197.5</v>
      </c>
      <c r="O64" s="31"/>
      <c r="P64" s="25">
        <f>175.5+6.5</f>
        <v>182</v>
      </c>
      <c r="Q64" s="31"/>
      <c r="R64" s="25"/>
      <c r="S64" s="31"/>
      <c r="T64" s="25"/>
      <c r="U64" s="31"/>
      <c r="V64" s="25"/>
      <c r="W64" s="31"/>
      <c r="X64" s="25"/>
      <c r="Y64" s="31"/>
      <c r="Z64" s="25"/>
      <c r="AA64" s="135"/>
      <c r="AB64" s="25"/>
      <c r="AC64" s="31"/>
    </row>
    <row r="65" spans="1:29">
      <c r="A65" s="203" t="s">
        <v>32</v>
      </c>
      <c r="B65" s="14"/>
      <c r="C65" s="14" t="s">
        <v>307</v>
      </c>
      <c r="D65" s="69"/>
      <c r="E65" s="6">
        <v>10000</v>
      </c>
      <c r="F65" s="24"/>
      <c r="G65" s="30" t="s">
        <v>535</v>
      </c>
      <c r="H65" s="24"/>
      <c r="I65" s="30" t="s">
        <v>561</v>
      </c>
      <c r="J65" s="24"/>
      <c r="K65" s="30" t="s">
        <v>592</v>
      </c>
      <c r="L65" s="24"/>
      <c r="M65" s="30" t="s">
        <v>605</v>
      </c>
      <c r="N65" s="24"/>
      <c r="O65" s="30">
        <v>18</v>
      </c>
      <c r="P65" s="24"/>
      <c r="Q65" s="30"/>
      <c r="R65" s="24"/>
      <c r="S65" s="30"/>
      <c r="T65" s="24"/>
      <c r="U65" s="30"/>
      <c r="V65" s="24"/>
      <c r="W65" s="30"/>
      <c r="X65" s="24"/>
      <c r="Y65" s="30"/>
      <c r="Z65" s="24"/>
      <c r="AA65" s="30"/>
      <c r="AB65" s="24"/>
      <c r="AC65" s="30"/>
    </row>
    <row r="66" spans="1:29">
      <c r="A66" s="205"/>
      <c r="B66" s="59"/>
      <c r="C66" s="59" t="s">
        <v>443</v>
      </c>
      <c r="D66" s="60"/>
      <c r="E66" s="7">
        <v>5000</v>
      </c>
      <c r="F66" s="25"/>
      <c r="G66" s="31"/>
      <c r="H66" s="25"/>
      <c r="I66" s="31"/>
      <c r="J66" s="25"/>
      <c r="K66" s="31"/>
      <c r="L66" s="25"/>
      <c r="M66" s="31"/>
      <c r="N66" s="25"/>
      <c r="O66" s="31"/>
      <c r="P66" s="25"/>
      <c r="Q66" s="31"/>
      <c r="R66" s="25"/>
      <c r="S66" s="31"/>
      <c r="T66" s="25"/>
      <c r="U66" s="31"/>
      <c r="V66" s="25"/>
      <c r="W66" s="31"/>
      <c r="X66" s="25"/>
      <c r="Y66" s="31"/>
      <c r="Z66" s="25"/>
      <c r="AA66" s="31"/>
      <c r="AB66" s="25"/>
      <c r="AC66" s="31"/>
    </row>
    <row r="67" spans="1:29">
      <c r="A67" s="36" t="s">
        <v>29</v>
      </c>
      <c r="B67" s="57" t="s">
        <v>4</v>
      </c>
      <c r="C67" s="57" t="s">
        <v>18</v>
      </c>
      <c r="D67" s="58" t="s">
        <v>30</v>
      </c>
      <c r="E67" s="5">
        <v>1800</v>
      </c>
      <c r="F67" s="28">
        <f>176+10.25+0</f>
        <v>186.25</v>
      </c>
      <c r="G67" s="34"/>
      <c r="H67" s="28">
        <f>176+17</f>
        <v>193</v>
      </c>
      <c r="I67" s="34"/>
      <c r="J67" s="28">
        <f>176+15.25</f>
        <v>191.25</v>
      </c>
      <c r="K67" s="34"/>
      <c r="L67" s="28">
        <f>168+11.75</f>
        <v>179.75</v>
      </c>
      <c r="M67" s="34"/>
      <c r="N67" s="28">
        <f>184+27.75</f>
        <v>211.75</v>
      </c>
      <c r="O67" s="34"/>
      <c r="P67" s="28">
        <f>176+10.75+0</f>
        <v>186.75</v>
      </c>
      <c r="Q67" s="34"/>
      <c r="R67" s="28"/>
      <c r="S67" s="34"/>
      <c r="T67" s="28"/>
      <c r="U67" s="34"/>
      <c r="V67" s="28"/>
      <c r="W67" s="34"/>
      <c r="X67" s="28"/>
      <c r="Y67" s="34"/>
      <c r="Z67" s="28"/>
      <c r="AA67" s="34"/>
      <c r="AB67" s="28"/>
      <c r="AC67" s="34"/>
    </row>
    <row r="68" spans="1:29">
      <c r="A68" s="150" t="s">
        <v>37</v>
      </c>
      <c r="B68" s="158"/>
      <c r="C68" s="158" t="s">
        <v>531</v>
      </c>
      <c r="D68" s="142" t="s">
        <v>625</v>
      </c>
      <c r="E68" s="143">
        <v>1950</v>
      </c>
      <c r="F68" s="26"/>
      <c r="G68" s="32"/>
      <c r="H68" s="26"/>
      <c r="I68" s="32"/>
      <c r="J68" s="26"/>
      <c r="K68" s="32"/>
      <c r="L68" s="26"/>
      <c r="M68" s="32"/>
      <c r="N68" s="144">
        <f>7+2.25+24</f>
        <v>33.25</v>
      </c>
      <c r="O68" s="32" t="s">
        <v>539</v>
      </c>
      <c r="P68" s="26">
        <f>57.5+10.5+126.5</f>
        <v>194.5</v>
      </c>
      <c r="Q68" s="32"/>
      <c r="R68" s="26"/>
      <c r="S68" s="32"/>
      <c r="T68" s="26"/>
      <c r="U68" s="32"/>
      <c r="V68" s="26"/>
      <c r="W68" s="32"/>
      <c r="X68" s="26"/>
      <c r="Y68" s="32"/>
      <c r="Z68" s="26"/>
      <c r="AA68" s="32"/>
      <c r="AB68" s="26"/>
      <c r="AC68" s="32"/>
    </row>
    <row r="69" spans="1:29">
      <c r="A69" s="182"/>
      <c r="B69" s="158"/>
      <c r="C69" s="158" t="s">
        <v>531</v>
      </c>
      <c r="D69" s="142" t="s">
        <v>633</v>
      </c>
      <c r="E69" s="143">
        <v>1950</v>
      </c>
      <c r="F69" s="26"/>
      <c r="G69" s="32"/>
      <c r="H69" s="26"/>
      <c r="I69" s="32"/>
      <c r="J69" s="26"/>
      <c r="K69" s="32"/>
      <c r="L69" s="26"/>
      <c r="M69" s="32"/>
      <c r="N69" s="26"/>
      <c r="O69" s="32"/>
      <c r="P69" s="144">
        <f>14.5+0.5+38.5</f>
        <v>53.5</v>
      </c>
      <c r="Q69" s="32" t="s">
        <v>539</v>
      </c>
      <c r="R69" s="26"/>
      <c r="S69" s="32"/>
      <c r="T69" s="26"/>
      <c r="U69" s="32"/>
      <c r="V69" s="26"/>
      <c r="W69" s="32"/>
      <c r="X69" s="26"/>
      <c r="Y69" s="32"/>
      <c r="Z69" s="26"/>
      <c r="AA69" s="32"/>
      <c r="AB69" s="26"/>
      <c r="AC69" s="32"/>
    </row>
  </sheetData>
  <autoFilter ref="A3:AC69" xr:uid="{40CD6F91-77C2-4931-BD48-1E99519632CE}"/>
  <mergeCells count="24">
    <mergeCell ref="D2:D3"/>
    <mergeCell ref="E2:E3"/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65:A66"/>
    <mergeCell ref="A1:C1"/>
    <mergeCell ref="A2:A3"/>
    <mergeCell ref="B2:B3"/>
    <mergeCell ref="C2:C3"/>
    <mergeCell ref="A4:A5"/>
    <mergeCell ref="A6:A9"/>
    <mergeCell ref="A12:A13"/>
    <mergeCell ref="A14:A62"/>
    <mergeCell ref="A63:A64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7162-C260-4492-B95E-E00ED8A66662}">
  <sheetPr>
    <tabColor theme="9" tint="0.79998168889431442"/>
    <pageSetUpPr fitToPage="1"/>
  </sheetPr>
  <dimension ref="A1:AC34"/>
  <sheetViews>
    <sheetView view="pageBreakPreview" zoomScale="115" zoomScaleNormal="85" zoomScaleSheetLayoutView="115" workbookViewId="0">
      <pane xSplit="5" ySplit="3" topLeftCell="N25" activePane="bottomRight" state="frozen"/>
      <selection activeCell="Z95" sqref="Z95"/>
      <selection pane="topRight" activeCell="Z95" sqref="Z95"/>
      <selection pane="bottomLeft" activeCell="Z95" sqref="Z95"/>
      <selection pane="bottomRight" activeCell="A4" sqref="A4:E34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7.1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420</v>
      </c>
      <c r="B1" s="195"/>
      <c r="C1" s="195"/>
    </row>
    <row r="2" spans="1:29" s="86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7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36" t="s">
        <v>32</v>
      </c>
      <c r="B4" s="57"/>
      <c r="C4" s="57" t="s">
        <v>256</v>
      </c>
      <c r="D4" s="58"/>
      <c r="E4" s="5" t="s">
        <v>33</v>
      </c>
      <c r="F4" s="28"/>
      <c r="G4" s="34" t="s">
        <v>542</v>
      </c>
      <c r="H4" s="28"/>
      <c r="I4" s="34" t="s">
        <v>559</v>
      </c>
      <c r="J4" s="28"/>
      <c r="K4" s="34" t="s">
        <v>595</v>
      </c>
      <c r="L4" s="28"/>
      <c r="M4" s="34" t="s">
        <v>610</v>
      </c>
      <c r="N4" s="28"/>
      <c r="O4" s="34" t="s">
        <v>611</v>
      </c>
      <c r="P4" s="28"/>
      <c r="Q4" s="34" t="s">
        <v>637</v>
      </c>
      <c r="R4" s="28"/>
      <c r="S4" s="34"/>
      <c r="T4" s="28"/>
      <c r="U4" s="34"/>
      <c r="V4" s="28"/>
      <c r="W4" s="34"/>
      <c r="X4" s="28"/>
      <c r="Y4" s="34"/>
      <c r="Z4" s="28"/>
      <c r="AA4" s="34"/>
      <c r="AB4" s="28"/>
      <c r="AC4" s="34"/>
    </row>
    <row r="5" spans="1:29">
      <c r="A5" s="196" t="s">
        <v>34</v>
      </c>
      <c r="B5" s="14"/>
      <c r="C5" s="14"/>
      <c r="D5" s="9" t="s">
        <v>35</v>
      </c>
      <c r="E5" s="6">
        <v>2300</v>
      </c>
      <c r="F5" s="24"/>
      <c r="G5" s="30"/>
      <c r="H5" s="24"/>
      <c r="I5" s="30"/>
      <c r="J5" s="24"/>
      <c r="K5" s="30"/>
      <c r="L5" s="24"/>
      <c r="M5" s="30"/>
      <c r="N5" s="24"/>
      <c r="O5" s="30"/>
      <c r="P5" s="24"/>
      <c r="Q5" s="30"/>
      <c r="R5" s="24"/>
      <c r="S5" s="30"/>
      <c r="T5" s="24"/>
      <c r="U5" s="30"/>
      <c r="V5" s="24"/>
      <c r="W5" s="30"/>
      <c r="X5" s="24"/>
      <c r="Y5" s="30"/>
      <c r="Z5" s="24"/>
      <c r="AA5" s="30"/>
      <c r="AB5" s="24"/>
      <c r="AC5" s="30"/>
    </row>
    <row r="6" spans="1:29">
      <c r="A6" s="196"/>
      <c r="B6" s="59"/>
      <c r="C6" s="59"/>
      <c r="D6" s="42" t="s">
        <v>36</v>
      </c>
      <c r="E6" s="7">
        <v>1900</v>
      </c>
      <c r="F6" s="25">
        <f>184+25</f>
        <v>209</v>
      </c>
      <c r="G6" s="31"/>
      <c r="H6" s="25">
        <f>165.25+20</f>
        <v>185.25</v>
      </c>
      <c r="I6" s="31"/>
      <c r="J6" s="25">
        <f>160+9.5</f>
        <v>169.5</v>
      </c>
      <c r="K6" s="31"/>
      <c r="L6" s="25">
        <f>176+4.75</f>
        <v>180.75</v>
      </c>
      <c r="M6" s="31"/>
      <c r="N6" s="25">
        <f>176+13.5+0</f>
        <v>189.5</v>
      </c>
      <c r="O6" s="31"/>
      <c r="P6" s="25"/>
      <c r="Q6" s="31"/>
      <c r="R6" s="25"/>
      <c r="S6" s="31"/>
      <c r="T6" s="25"/>
      <c r="U6" s="31"/>
      <c r="V6" s="25"/>
      <c r="W6" s="31"/>
      <c r="X6" s="25"/>
      <c r="Y6" s="31"/>
      <c r="Z6" s="25"/>
      <c r="AA6" s="31"/>
      <c r="AB6" s="25"/>
      <c r="AC6" s="31"/>
    </row>
    <row r="7" spans="1:29">
      <c r="A7" s="196" t="s">
        <v>37</v>
      </c>
      <c r="B7" s="14"/>
      <c r="C7" s="14" t="s">
        <v>157</v>
      </c>
      <c r="D7" s="9" t="s">
        <v>161</v>
      </c>
      <c r="E7" s="6">
        <v>1700</v>
      </c>
      <c r="F7" s="24"/>
      <c r="G7" s="30"/>
      <c r="H7" s="24"/>
      <c r="I7" s="30"/>
      <c r="J7" s="24"/>
      <c r="K7" s="30"/>
      <c r="L7" s="24"/>
      <c r="M7" s="30"/>
      <c r="N7" s="24"/>
      <c r="O7" s="30"/>
      <c r="P7" s="24"/>
      <c r="Q7" s="30"/>
      <c r="R7" s="24"/>
      <c r="S7" s="30"/>
      <c r="T7" s="24"/>
      <c r="U7" s="30"/>
      <c r="V7" s="24"/>
      <c r="W7" s="30"/>
      <c r="X7" s="24"/>
      <c r="Y7" s="30"/>
      <c r="Z7" s="24"/>
      <c r="AA7" s="30"/>
      <c r="AB7" s="24"/>
      <c r="AC7" s="30"/>
    </row>
    <row r="8" spans="1:29">
      <c r="A8" s="196"/>
      <c r="B8" s="158"/>
      <c r="C8" s="158" t="s">
        <v>612</v>
      </c>
      <c r="D8" s="142" t="s">
        <v>613</v>
      </c>
      <c r="E8" s="143">
        <v>1750</v>
      </c>
      <c r="F8" s="26"/>
      <c r="G8" s="32"/>
      <c r="H8" s="26"/>
      <c r="I8" s="32"/>
      <c r="J8" s="26"/>
      <c r="K8" s="32"/>
      <c r="L8" s="26"/>
      <c r="M8" s="32"/>
      <c r="N8" s="144">
        <f>112+0.25</f>
        <v>112.25</v>
      </c>
      <c r="O8" s="32" t="s">
        <v>539</v>
      </c>
      <c r="P8" s="26">
        <v>160</v>
      </c>
      <c r="Q8" s="32"/>
      <c r="R8" s="26"/>
      <c r="S8" s="32"/>
      <c r="T8" s="26"/>
      <c r="U8" s="32"/>
      <c r="V8" s="26"/>
      <c r="W8" s="32"/>
      <c r="X8" s="26"/>
      <c r="Y8" s="32"/>
      <c r="Z8" s="26"/>
      <c r="AA8" s="32"/>
      <c r="AB8" s="26"/>
      <c r="AC8" s="32"/>
    </row>
    <row r="9" spans="1:29">
      <c r="A9" s="196"/>
      <c r="B9" s="59" t="s">
        <v>4</v>
      </c>
      <c r="C9" s="59" t="s">
        <v>18</v>
      </c>
      <c r="D9" s="42" t="s">
        <v>39</v>
      </c>
      <c r="E9" s="7">
        <v>1900</v>
      </c>
      <c r="F9" s="25"/>
      <c r="G9" s="31"/>
      <c r="H9" s="25"/>
      <c r="I9" s="31"/>
      <c r="J9" s="25"/>
      <c r="K9" s="31"/>
      <c r="L9" s="25"/>
      <c r="M9" s="31"/>
      <c r="N9" s="25"/>
      <c r="O9" s="31"/>
      <c r="P9" s="25"/>
      <c r="Q9" s="31"/>
      <c r="R9" s="25"/>
      <c r="S9" s="31"/>
      <c r="T9" s="25"/>
      <c r="U9" s="31"/>
      <c r="V9" s="25"/>
      <c r="W9" s="31"/>
      <c r="X9" s="25"/>
      <c r="Y9" s="31"/>
      <c r="Z9" s="25"/>
      <c r="AA9" s="31"/>
      <c r="AB9" s="25"/>
      <c r="AC9" s="31"/>
    </row>
    <row r="10" spans="1:29">
      <c r="A10" s="196" t="s">
        <v>40</v>
      </c>
      <c r="B10" s="14"/>
      <c r="C10" s="14" t="s">
        <v>41</v>
      </c>
      <c r="D10" s="62" t="s">
        <v>42</v>
      </c>
      <c r="E10" s="6" t="s">
        <v>43</v>
      </c>
      <c r="F10" s="24">
        <v>104</v>
      </c>
      <c r="G10" s="30"/>
      <c r="H10" s="24">
        <v>92</v>
      </c>
      <c r="I10" s="30"/>
      <c r="J10" s="24">
        <v>100</v>
      </c>
      <c r="K10" s="30"/>
      <c r="L10" s="24"/>
      <c r="M10" s="30"/>
      <c r="N10" s="24">
        <v>100</v>
      </c>
      <c r="O10" s="30"/>
      <c r="P10" s="24">
        <v>84</v>
      </c>
      <c r="Q10" s="30"/>
      <c r="R10" s="24"/>
      <c r="S10" s="30"/>
      <c r="T10" s="24"/>
      <c r="U10" s="30"/>
      <c r="V10" s="24"/>
      <c r="W10" s="30"/>
      <c r="X10" s="24"/>
      <c r="Y10" s="30"/>
      <c r="Z10" s="24"/>
      <c r="AA10" s="30"/>
      <c r="AB10" s="24"/>
      <c r="AC10" s="30"/>
    </row>
    <row r="11" spans="1:29">
      <c r="A11" s="196"/>
      <c r="B11" s="16" t="s">
        <v>4</v>
      </c>
      <c r="C11" s="16"/>
      <c r="D11" s="11" t="s">
        <v>255</v>
      </c>
      <c r="E11" s="10" t="s">
        <v>44</v>
      </c>
      <c r="F11" s="26">
        <v>209.5</v>
      </c>
      <c r="G11" s="32"/>
      <c r="H11" s="26">
        <v>196.5</v>
      </c>
      <c r="I11" s="32"/>
      <c r="J11" s="26">
        <f>182.5+22</f>
        <v>204.5</v>
      </c>
      <c r="K11" s="32"/>
      <c r="L11" s="26">
        <v>189</v>
      </c>
      <c r="M11" s="32"/>
      <c r="N11" s="26">
        <f>184+31.5</f>
        <v>215.5</v>
      </c>
      <c r="O11" s="32"/>
      <c r="P11" s="26">
        <v>180</v>
      </c>
      <c r="Q11" s="32"/>
      <c r="R11" s="26"/>
      <c r="S11" s="32"/>
      <c r="T11" s="26"/>
      <c r="U11" s="32"/>
      <c r="V11" s="26"/>
      <c r="W11" s="32"/>
      <c r="X11" s="26"/>
      <c r="Y11" s="32"/>
      <c r="Z11" s="26"/>
      <c r="AA11" s="32"/>
      <c r="AB11" s="26"/>
      <c r="AC11" s="32"/>
    </row>
    <row r="12" spans="1:29">
      <c r="A12" s="196"/>
      <c r="B12" s="16"/>
      <c r="C12" s="16"/>
      <c r="D12" s="11" t="s">
        <v>558</v>
      </c>
      <c r="E12" s="10" t="s">
        <v>44</v>
      </c>
      <c r="F12" s="26">
        <v>168</v>
      </c>
      <c r="G12" s="32"/>
      <c r="H12" s="26">
        <v>160</v>
      </c>
      <c r="I12" s="32"/>
      <c r="J12" s="26">
        <v>160</v>
      </c>
      <c r="K12" s="32"/>
      <c r="L12" s="26">
        <v>160</v>
      </c>
      <c r="M12" s="32"/>
      <c r="N12" s="26">
        <f>144+0</f>
        <v>144</v>
      </c>
      <c r="O12" s="32"/>
      <c r="P12" s="26">
        <v>144</v>
      </c>
      <c r="Q12" s="32"/>
      <c r="R12" s="26"/>
      <c r="S12" s="32"/>
      <c r="T12" s="26"/>
      <c r="U12" s="32"/>
      <c r="V12" s="26"/>
      <c r="W12" s="32"/>
      <c r="X12" s="26"/>
      <c r="Y12" s="32"/>
      <c r="Z12" s="26"/>
      <c r="AA12" s="32"/>
      <c r="AB12" s="26"/>
      <c r="AC12" s="32"/>
    </row>
    <row r="13" spans="1:29">
      <c r="A13" s="196"/>
      <c r="B13" s="16"/>
      <c r="C13" s="16"/>
      <c r="D13" s="11" t="s">
        <v>45</v>
      </c>
      <c r="E13" s="10" t="s">
        <v>46</v>
      </c>
      <c r="F13" s="26">
        <v>104.5</v>
      </c>
      <c r="G13" s="32"/>
      <c r="H13" s="26">
        <v>90</v>
      </c>
      <c r="I13" s="32"/>
      <c r="J13" s="26">
        <v>158</v>
      </c>
      <c r="K13" s="32"/>
      <c r="L13" s="26">
        <v>90</v>
      </c>
      <c r="M13" s="32"/>
      <c r="N13" s="26">
        <v>94.5</v>
      </c>
      <c r="O13" s="32"/>
      <c r="P13" s="26">
        <v>81</v>
      </c>
      <c r="Q13" s="32"/>
      <c r="R13" s="26"/>
      <c r="S13" s="32"/>
      <c r="T13" s="26"/>
      <c r="U13" s="32"/>
      <c r="V13" s="26"/>
      <c r="W13" s="32"/>
      <c r="X13" s="26"/>
      <c r="Y13" s="32"/>
      <c r="Z13" s="26"/>
      <c r="AA13" s="32"/>
      <c r="AB13" s="26"/>
      <c r="AC13" s="32"/>
    </row>
    <row r="14" spans="1:29">
      <c r="A14" s="196"/>
      <c r="B14" s="16" t="s">
        <v>4</v>
      </c>
      <c r="C14" s="16"/>
      <c r="D14" s="11" t="s">
        <v>47</v>
      </c>
      <c r="E14" s="10" t="s">
        <v>44</v>
      </c>
      <c r="F14" s="26"/>
      <c r="G14" s="32"/>
      <c r="H14" s="26"/>
      <c r="I14" s="32"/>
      <c r="J14" s="26"/>
      <c r="K14" s="32"/>
      <c r="L14" s="26">
        <v>92</v>
      </c>
      <c r="M14" s="32"/>
      <c r="N14" s="26"/>
      <c r="O14" s="32"/>
      <c r="P14" s="26"/>
      <c r="Q14" s="32"/>
      <c r="R14" s="26"/>
      <c r="S14" s="32"/>
      <c r="T14" s="26"/>
      <c r="U14" s="32"/>
      <c r="V14" s="26"/>
      <c r="W14" s="32"/>
      <c r="X14" s="26"/>
      <c r="Y14" s="32"/>
      <c r="Z14" s="26"/>
      <c r="AA14" s="32"/>
      <c r="AB14" s="26"/>
      <c r="AC14" s="32"/>
    </row>
    <row r="15" spans="1:29">
      <c r="A15" s="196"/>
      <c r="B15" s="16"/>
      <c r="C15" s="16"/>
      <c r="D15" s="11" t="s">
        <v>48</v>
      </c>
      <c r="E15" s="10">
        <v>1600</v>
      </c>
      <c r="F15" s="26"/>
      <c r="G15" s="32"/>
      <c r="H15" s="26">
        <v>72</v>
      </c>
      <c r="I15" s="32"/>
      <c r="J15" s="26">
        <v>82</v>
      </c>
      <c r="K15" s="32"/>
      <c r="L15" s="26">
        <v>85.5</v>
      </c>
      <c r="M15" s="32"/>
      <c r="N15" s="26">
        <v>64</v>
      </c>
      <c r="O15" s="32"/>
      <c r="P15" s="26"/>
      <c r="Q15" s="32"/>
      <c r="R15" s="26"/>
      <c r="S15" s="32"/>
      <c r="T15" s="26"/>
      <c r="U15" s="32"/>
      <c r="V15" s="26"/>
      <c r="W15" s="32"/>
      <c r="X15" s="26"/>
      <c r="Y15" s="32"/>
      <c r="Z15" s="26"/>
      <c r="AA15" s="32"/>
      <c r="AB15" s="26"/>
      <c r="AC15" s="32"/>
    </row>
    <row r="16" spans="1:29">
      <c r="A16" s="196"/>
      <c r="B16" s="15"/>
      <c r="C16" s="15" t="s">
        <v>254</v>
      </c>
      <c r="D16" s="17"/>
      <c r="E16" s="8">
        <v>1600</v>
      </c>
      <c r="F16" s="27">
        <v>82</v>
      </c>
      <c r="G16" s="33"/>
      <c r="H16" s="27"/>
      <c r="I16" s="33"/>
      <c r="J16" s="27"/>
      <c r="K16" s="33"/>
      <c r="L16" s="27"/>
      <c r="M16" s="33"/>
      <c r="N16" s="27"/>
      <c r="O16" s="33"/>
      <c r="P16" s="27">
        <v>64</v>
      </c>
      <c r="Q16" s="33"/>
      <c r="R16" s="27"/>
      <c r="S16" s="33"/>
      <c r="T16" s="27"/>
      <c r="U16" s="33"/>
      <c r="V16" s="27"/>
      <c r="W16" s="33"/>
      <c r="X16" s="27"/>
      <c r="Y16" s="33"/>
      <c r="Z16" s="27"/>
      <c r="AA16" s="33"/>
      <c r="AB16" s="27"/>
      <c r="AC16" s="33"/>
    </row>
    <row r="17" spans="1:29">
      <c r="A17" s="196" t="s">
        <v>49</v>
      </c>
      <c r="B17" s="14"/>
      <c r="C17" s="14" t="s">
        <v>253</v>
      </c>
      <c r="D17" s="9"/>
      <c r="E17" s="6" t="s">
        <v>357</v>
      </c>
      <c r="F17" s="24"/>
      <c r="G17" s="30" t="s">
        <v>541</v>
      </c>
      <c r="H17" s="24"/>
      <c r="I17" s="30" t="s">
        <v>541</v>
      </c>
      <c r="J17" s="24"/>
      <c r="K17" s="30" t="s">
        <v>596</v>
      </c>
      <c r="L17" s="24"/>
      <c r="M17" s="30" t="s">
        <v>596</v>
      </c>
      <c r="N17" s="24"/>
      <c r="O17" s="30" t="s">
        <v>541</v>
      </c>
      <c r="P17" s="24"/>
      <c r="Q17" s="30" t="s">
        <v>596</v>
      </c>
      <c r="R17" s="24"/>
      <c r="S17" s="30"/>
      <c r="T17" s="24"/>
      <c r="U17" s="30"/>
      <c r="V17" s="24"/>
      <c r="W17" s="30"/>
      <c r="X17" s="24"/>
      <c r="Y17" s="30"/>
      <c r="Z17" s="24"/>
      <c r="AA17" s="30"/>
      <c r="AB17" s="24"/>
      <c r="AC17" s="30"/>
    </row>
    <row r="18" spans="1:29">
      <c r="A18" s="196"/>
      <c r="B18" s="59"/>
      <c r="C18" s="59" t="s">
        <v>259</v>
      </c>
      <c r="D18" s="42"/>
      <c r="E18" s="7" t="s">
        <v>50</v>
      </c>
      <c r="F18" s="25"/>
      <c r="G18" s="31" t="s">
        <v>541</v>
      </c>
      <c r="H18" s="25"/>
      <c r="I18" s="31" t="s">
        <v>541</v>
      </c>
      <c r="J18" s="25"/>
      <c r="K18" s="31" t="s">
        <v>596</v>
      </c>
      <c r="L18" s="25"/>
      <c r="M18" s="31" t="s">
        <v>596</v>
      </c>
      <c r="N18" s="25"/>
      <c r="O18" s="31" t="s">
        <v>541</v>
      </c>
      <c r="P18" s="25"/>
      <c r="Q18" s="31" t="s">
        <v>596</v>
      </c>
      <c r="R18" s="25"/>
      <c r="S18" s="31"/>
      <c r="T18" s="25"/>
      <c r="U18" s="30"/>
      <c r="V18" s="25"/>
      <c r="W18" s="30"/>
      <c r="X18" s="25"/>
      <c r="Y18" s="31"/>
      <c r="Z18" s="25"/>
      <c r="AA18" s="31"/>
      <c r="AB18" s="25"/>
      <c r="AC18" s="31"/>
    </row>
    <row r="19" spans="1:29">
      <c r="A19" s="36" t="s">
        <v>51</v>
      </c>
      <c r="B19" s="57" t="s">
        <v>4</v>
      </c>
      <c r="C19" s="57"/>
      <c r="D19" s="58" t="s">
        <v>52</v>
      </c>
      <c r="E19" s="5">
        <v>1900</v>
      </c>
      <c r="F19" s="28">
        <f>148.5+1.5</f>
        <v>150</v>
      </c>
      <c r="G19" s="34"/>
      <c r="H19" s="28">
        <v>167</v>
      </c>
      <c r="I19" s="34"/>
      <c r="J19" s="28">
        <v>160</v>
      </c>
      <c r="K19" s="34"/>
      <c r="L19" s="28">
        <v>162.5</v>
      </c>
      <c r="M19" s="34"/>
      <c r="N19" s="28">
        <f>134+1.5</f>
        <v>135.5</v>
      </c>
      <c r="O19" s="34"/>
      <c r="P19" s="28">
        <v>147.5</v>
      </c>
      <c r="Q19" s="34"/>
      <c r="R19" s="28"/>
      <c r="S19" s="34"/>
      <c r="T19" s="28"/>
      <c r="U19" s="34"/>
      <c r="V19" s="28"/>
      <c r="W19" s="34"/>
      <c r="X19" s="28"/>
      <c r="Y19" s="34"/>
      <c r="Z19" s="28"/>
      <c r="AA19" s="34"/>
      <c r="AB19" s="28"/>
      <c r="AC19" s="34"/>
    </row>
    <row r="20" spans="1:29">
      <c r="A20" s="196" t="s">
        <v>343</v>
      </c>
      <c r="B20" s="16"/>
      <c r="C20" s="16"/>
      <c r="D20" s="11" t="s">
        <v>53</v>
      </c>
      <c r="E20" s="10">
        <v>1900</v>
      </c>
      <c r="F20" s="26"/>
      <c r="G20" s="32"/>
      <c r="H20" s="26"/>
      <c r="I20" s="32"/>
      <c r="J20" s="26"/>
      <c r="K20" s="32"/>
      <c r="L20" s="26"/>
      <c r="M20" s="32"/>
      <c r="N20" s="26"/>
      <c r="O20" s="32"/>
      <c r="P20" s="26"/>
      <c r="Q20" s="32"/>
      <c r="R20" s="26"/>
      <c r="S20" s="32"/>
      <c r="T20" s="26"/>
      <c r="U20" s="32"/>
      <c r="V20" s="26"/>
      <c r="W20" s="32"/>
      <c r="X20" s="26"/>
      <c r="Y20" s="32"/>
      <c r="Z20" s="26"/>
      <c r="AA20" s="32"/>
      <c r="AB20" s="26"/>
      <c r="AC20" s="32"/>
    </row>
    <row r="21" spans="1:29">
      <c r="A21" s="196"/>
      <c r="B21" s="15"/>
      <c r="C21" s="15"/>
      <c r="D21" s="17" t="s">
        <v>54</v>
      </c>
      <c r="E21" s="8">
        <v>1650</v>
      </c>
      <c r="F21" s="27"/>
      <c r="G21" s="33"/>
      <c r="H21" s="27"/>
      <c r="I21" s="33"/>
      <c r="J21" s="27"/>
      <c r="K21" s="33"/>
      <c r="L21" s="27"/>
      <c r="M21" s="33"/>
      <c r="N21" s="27"/>
      <c r="O21" s="33"/>
      <c r="P21" s="27"/>
      <c r="Q21" s="33"/>
      <c r="R21" s="27"/>
      <c r="S21" s="33"/>
      <c r="T21" s="27"/>
      <c r="U21" s="33"/>
      <c r="V21" s="27"/>
      <c r="W21" s="33"/>
      <c r="X21" s="27"/>
      <c r="Y21" s="33"/>
      <c r="Z21" s="27"/>
      <c r="AA21" s="33"/>
      <c r="AB21" s="27"/>
      <c r="AC21" s="33"/>
    </row>
    <row r="22" spans="1:29">
      <c r="A22" s="196" t="s">
        <v>55</v>
      </c>
      <c r="B22" s="14" t="s">
        <v>4</v>
      </c>
      <c r="C22" s="9" t="s">
        <v>250</v>
      </c>
      <c r="D22" s="9" t="s">
        <v>251</v>
      </c>
      <c r="E22" s="6">
        <v>2000</v>
      </c>
      <c r="F22" s="24"/>
      <c r="G22" s="30"/>
      <c r="H22" s="24">
        <v>7</v>
      </c>
      <c r="I22" s="30"/>
      <c r="J22" s="24">
        <v>14</v>
      </c>
      <c r="K22" s="30"/>
      <c r="L22" s="24">
        <v>7.25</v>
      </c>
      <c r="M22" s="30"/>
      <c r="N22" s="24"/>
      <c r="O22" s="30"/>
      <c r="P22" s="24"/>
      <c r="Q22" s="30"/>
      <c r="R22" s="24"/>
      <c r="S22" s="30"/>
      <c r="T22" s="24"/>
      <c r="U22" s="30"/>
      <c r="V22" s="24"/>
      <c r="W22" s="30"/>
      <c r="X22" s="24"/>
      <c r="Y22" s="30"/>
      <c r="Z22" s="24"/>
      <c r="AA22" s="30"/>
      <c r="AB22" s="24"/>
      <c r="AC22" s="30"/>
    </row>
    <row r="23" spans="1:29">
      <c r="A23" s="196"/>
      <c r="B23" s="16" t="s">
        <v>4</v>
      </c>
      <c r="C23" s="16" t="s">
        <v>250</v>
      </c>
      <c r="D23" s="11" t="s">
        <v>252</v>
      </c>
      <c r="E23" s="10">
        <v>2000</v>
      </c>
      <c r="F23" s="26">
        <f>156+6</f>
        <v>162</v>
      </c>
      <c r="G23" s="32"/>
      <c r="H23" s="26">
        <f>159.75+1.25</f>
        <v>161</v>
      </c>
      <c r="I23" s="32"/>
      <c r="J23" s="26">
        <f>157+5</f>
        <v>162</v>
      </c>
      <c r="K23" s="32"/>
      <c r="L23" s="26">
        <f>151.25+2.25</f>
        <v>153.5</v>
      </c>
      <c r="M23" s="32"/>
      <c r="N23" s="26">
        <f>175.75+0.5</f>
        <v>176.25</v>
      </c>
      <c r="O23" s="32"/>
      <c r="P23" s="26">
        <v>146</v>
      </c>
      <c r="Q23" s="32"/>
      <c r="R23" s="26"/>
      <c r="S23" s="32"/>
      <c r="T23" s="26"/>
      <c r="U23" s="32"/>
      <c r="V23" s="26"/>
      <c r="W23" s="32"/>
      <c r="X23" s="26"/>
      <c r="Y23" s="32"/>
      <c r="Z23" s="26"/>
      <c r="AA23" s="32"/>
      <c r="AB23" s="26"/>
      <c r="AC23" s="32"/>
    </row>
    <row r="24" spans="1:29">
      <c r="A24" s="196"/>
      <c r="B24" s="39" t="s">
        <v>4</v>
      </c>
      <c r="C24" s="16" t="s">
        <v>250</v>
      </c>
      <c r="D24" s="11" t="s">
        <v>491</v>
      </c>
      <c r="E24" s="10">
        <v>1800</v>
      </c>
      <c r="F24" s="26">
        <v>46</v>
      </c>
      <c r="G24" s="32"/>
      <c r="H24" s="26">
        <v>77.25</v>
      </c>
      <c r="I24" s="32"/>
      <c r="J24" s="26">
        <v>85</v>
      </c>
      <c r="K24" s="32"/>
      <c r="L24" s="26">
        <v>86.75</v>
      </c>
      <c r="M24" s="32"/>
      <c r="N24" s="26">
        <v>102</v>
      </c>
      <c r="O24" s="32"/>
      <c r="P24" s="26">
        <v>105.75</v>
      </c>
      <c r="Q24" s="32"/>
      <c r="R24" s="26"/>
      <c r="S24" s="32"/>
      <c r="T24" s="26"/>
      <c r="U24" s="32"/>
      <c r="V24" s="26"/>
      <c r="W24" s="32"/>
      <c r="X24" s="26"/>
      <c r="Y24" s="32"/>
      <c r="Z24" s="26"/>
      <c r="AA24" s="32"/>
      <c r="AB24" s="26"/>
      <c r="AC24" s="32"/>
    </row>
    <row r="25" spans="1:29">
      <c r="A25" s="196"/>
      <c r="B25" s="15" t="s">
        <v>4</v>
      </c>
      <c r="C25" s="59" t="s">
        <v>69</v>
      </c>
      <c r="D25" s="42" t="s">
        <v>38</v>
      </c>
      <c r="E25" s="7">
        <v>1800</v>
      </c>
      <c r="F25" s="25">
        <v>236.25</v>
      </c>
      <c r="G25" s="31"/>
      <c r="H25" s="25">
        <v>212.75</v>
      </c>
      <c r="I25" s="31"/>
      <c r="J25" s="25">
        <v>184</v>
      </c>
      <c r="K25" s="31"/>
      <c r="L25" s="25">
        <v>149.5</v>
      </c>
      <c r="M25" s="31"/>
      <c r="N25" s="25">
        <v>168.75</v>
      </c>
      <c r="O25" s="31"/>
      <c r="P25" s="25">
        <v>176.75</v>
      </c>
      <c r="Q25" s="31"/>
      <c r="R25" s="25"/>
      <c r="S25" s="31"/>
      <c r="T25" s="25"/>
      <c r="U25" s="31"/>
      <c r="V25" s="25"/>
      <c r="W25" s="31"/>
      <c r="X25" s="25"/>
      <c r="Y25" s="31"/>
      <c r="Z25" s="25"/>
      <c r="AA25" s="31"/>
      <c r="AB25" s="25"/>
      <c r="AC25" s="31"/>
    </row>
    <row r="26" spans="1:29">
      <c r="A26" s="209" t="s">
        <v>57</v>
      </c>
      <c r="B26" s="14" t="s">
        <v>4</v>
      </c>
      <c r="C26" s="14"/>
      <c r="D26" s="9" t="s">
        <v>58</v>
      </c>
      <c r="E26" s="6">
        <v>1720</v>
      </c>
      <c r="F26" s="24">
        <f>184+3.25</f>
        <v>187.25</v>
      </c>
      <c r="G26" s="30"/>
      <c r="H26" s="24">
        <f>168+3.25</f>
        <v>171.25</v>
      </c>
      <c r="I26" s="30"/>
      <c r="J26" s="24">
        <f>168+0.75</f>
        <v>168.75</v>
      </c>
      <c r="K26" s="30"/>
      <c r="L26" s="24">
        <f>176+0.25</f>
        <v>176.25</v>
      </c>
      <c r="M26" s="30"/>
      <c r="N26" s="24">
        <f>184+1</f>
        <v>185</v>
      </c>
      <c r="O26" s="30"/>
      <c r="P26" s="24">
        <f>168+1.5</f>
        <v>169.5</v>
      </c>
      <c r="Q26" s="30"/>
      <c r="R26" s="24"/>
      <c r="S26" s="30"/>
      <c r="T26" s="24"/>
      <c r="U26" s="30"/>
      <c r="V26" s="24"/>
      <c r="W26" s="30"/>
      <c r="X26" s="24"/>
      <c r="Y26" s="30"/>
      <c r="Z26" s="24"/>
      <c r="AA26" s="30"/>
      <c r="AB26" s="24"/>
      <c r="AC26" s="30"/>
    </row>
    <row r="27" spans="1:29">
      <c r="A27" s="210"/>
      <c r="B27" s="16" t="s">
        <v>20</v>
      </c>
      <c r="C27" s="16"/>
      <c r="D27" s="11" t="s">
        <v>59</v>
      </c>
      <c r="E27" s="10">
        <v>1720</v>
      </c>
      <c r="F27" s="26">
        <v>132.5</v>
      </c>
      <c r="G27" s="32"/>
      <c r="H27" s="26">
        <v>175.5</v>
      </c>
      <c r="I27" s="32"/>
      <c r="J27" s="26"/>
      <c r="K27" s="32"/>
      <c r="L27" s="26"/>
      <c r="M27" s="32"/>
      <c r="N27" s="26">
        <f>165+25</f>
        <v>190</v>
      </c>
      <c r="O27" s="32"/>
      <c r="P27" s="26"/>
      <c r="Q27" s="32"/>
      <c r="R27" s="26"/>
      <c r="S27" s="32"/>
      <c r="T27" s="26"/>
      <c r="U27" s="32"/>
      <c r="V27" s="26"/>
      <c r="W27" s="32"/>
      <c r="X27" s="26"/>
      <c r="Y27" s="32"/>
      <c r="Z27" s="26"/>
      <c r="AA27" s="32"/>
      <c r="AB27" s="26"/>
      <c r="AC27" s="32"/>
    </row>
    <row r="28" spans="1:29" ht="18" customHeight="1">
      <c r="A28" s="210"/>
      <c r="B28" s="16" t="s">
        <v>4</v>
      </c>
      <c r="C28" s="16"/>
      <c r="D28" s="11" t="s">
        <v>60</v>
      </c>
      <c r="E28" s="10">
        <v>1720</v>
      </c>
      <c r="F28" s="26"/>
      <c r="G28" s="32"/>
      <c r="H28" s="26"/>
      <c r="I28" s="32"/>
      <c r="J28" s="26"/>
      <c r="K28" s="32"/>
      <c r="L28" s="26"/>
      <c r="M28" s="32"/>
      <c r="N28" s="26"/>
      <c r="O28" s="32"/>
      <c r="P28" s="26"/>
      <c r="Q28" s="32"/>
      <c r="R28" s="26"/>
      <c r="S28" s="32"/>
      <c r="T28" s="26"/>
      <c r="U28" s="32"/>
      <c r="V28" s="26"/>
      <c r="W28" s="32"/>
      <c r="X28" s="26"/>
      <c r="Y28" s="32"/>
      <c r="Z28" s="26"/>
      <c r="AA28" s="32"/>
      <c r="AB28" s="26"/>
      <c r="AC28" s="32"/>
    </row>
    <row r="29" spans="1:29">
      <c r="A29" s="210"/>
      <c r="B29" s="39" t="s">
        <v>4</v>
      </c>
      <c r="C29" s="39"/>
      <c r="D29" s="40" t="s">
        <v>62</v>
      </c>
      <c r="E29" s="20">
        <v>1720</v>
      </c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5"/>
      <c r="R29" s="44"/>
      <c r="S29" s="45"/>
      <c r="T29" s="44"/>
      <c r="U29" s="45"/>
      <c r="V29" s="44"/>
      <c r="W29" s="45"/>
      <c r="X29" s="44"/>
      <c r="Y29" s="45"/>
      <c r="Z29" s="44"/>
      <c r="AA29" s="45"/>
      <c r="AB29" s="44"/>
      <c r="AC29" s="45"/>
    </row>
    <row r="30" spans="1:29">
      <c r="A30" s="114" t="s">
        <v>490</v>
      </c>
      <c r="B30" s="22" t="s">
        <v>4</v>
      </c>
      <c r="C30" s="22"/>
      <c r="D30" s="23" t="s">
        <v>38</v>
      </c>
      <c r="E30" s="21">
        <v>1800</v>
      </c>
      <c r="F30" s="167">
        <f>8+8+8+8+8+8+8+8+8+8+8.25+0.25</f>
        <v>88.5</v>
      </c>
      <c r="G30" s="168"/>
      <c r="H30" s="167"/>
      <c r="I30" s="168"/>
      <c r="J30" s="167"/>
      <c r="K30" s="168"/>
      <c r="L30" s="167"/>
      <c r="M30" s="168"/>
      <c r="N30" s="167"/>
      <c r="O30" s="168"/>
      <c r="P30" s="167"/>
      <c r="Q30" s="168"/>
      <c r="R30" s="167"/>
      <c r="S30" s="168"/>
      <c r="T30" s="167"/>
      <c r="U30" s="168"/>
      <c r="V30" s="167"/>
      <c r="W30" s="168"/>
      <c r="X30" s="167"/>
      <c r="Y30" s="168"/>
      <c r="Z30" s="167"/>
      <c r="AA30" s="168"/>
      <c r="AB30" s="167"/>
      <c r="AC30" s="168"/>
    </row>
    <row r="31" spans="1:29">
      <c r="A31" s="115"/>
      <c r="B31" s="59" t="s">
        <v>4</v>
      </c>
      <c r="C31" s="59"/>
      <c r="D31" s="171" t="s">
        <v>575</v>
      </c>
      <c r="E31" s="7">
        <v>1800</v>
      </c>
      <c r="F31" s="169"/>
      <c r="G31" s="170"/>
      <c r="H31" s="172">
        <f>8.5+8+7.5+8.5+8+8+8+8+8.75+8+8+8+8+8+8+8+7.5+8+8+8+8+8</f>
        <v>176.75</v>
      </c>
      <c r="I31" s="170" t="s">
        <v>539</v>
      </c>
      <c r="J31" s="169">
        <f>40.5+0.5</f>
        <v>41</v>
      </c>
      <c r="K31" s="170"/>
      <c r="L31" s="169">
        <v>26</v>
      </c>
      <c r="M31" s="170"/>
      <c r="N31" s="169"/>
      <c r="O31" s="170"/>
      <c r="P31" s="169"/>
      <c r="Q31" s="170"/>
      <c r="R31" s="169"/>
      <c r="S31" s="170"/>
      <c r="T31" s="169"/>
      <c r="U31" s="170"/>
      <c r="V31" s="169"/>
      <c r="W31" s="170"/>
      <c r="X31" s="169"/>
      <c r="Y31" s="170"/>
      <c r="Z31" s="169"/>
      <c r="AA31" s="170"/>
      <c r="AB31" s="169"/>
      <c r="AC31" s="170"/>
    </row>
    <row r="32" spans="1:29">
      <c r="A32" s="36" t="s">
        <v>504</v>
      </c>
      <c r="B32" s="57" t="s">
        <v>4</v>
      </c>
      <c r="C32" s="57"/>
      <c r="D32" s="58" t="s">
        <v>505</v>
      </c>
      <c r="E32" s="5">
        <v>1800</v>
      </c>
      <c r="F32" s="105">
        <v>143.5</v>
      </c>
      <c r="G32" s="104"/>
      <c r="H32" s="105">
        <f>165.25+0.25</f>
        <v>165.5</v>
      </c>
      <c r="I32" s="104"/>
      <c r="J32" s="105">
        <f>168+3</f>
        <v>171</v>
      </c>
      <c r="K32" s="104"/>
      <c r="L32" s="105">
        <f>168+3.5</f>
        <v>171.5</v>
      </c>
      <c r="M32" s="104"/>
      <c r="N32" s="105">
        <f>184+5.5</f>
        <v>189.5</v>
      </c>
      <c r="O32" s="104"/>
      <c r="P32" s="105">
        <f>168+5.05</f>
        <v>173.05</v>
      </c>
      <c r="Q32" s="104"/>
      <c r="R32" s="105"/>
      <c r="S32" s="104"/>
      <c r="T32" s="105"/>
      <c r="U32" s="104"/>
      <c r="V32" s="105"/>
      <c r="W32" s="104"/>
      <c r="X32" s="105"/>
      <c r="Y32" s="104"/>
      <c r="Z32" s="105"/>
      <c r="AA32" s="104"/>
      <c r="AB32" s="105"/>
      <c r="AC32" s="104"/>
    </row>
    <row r="33" spans="1:29">
      <c r="A33" s="150" t="s">
        <v>614</v>
      </c>
      <c r="B33" s="179"/>
      <c r="C33" s="179"/>
      <c r="D33" s="180" t="s">
        <v>615</v>
      </c>
      <c r="E33" s="181">
        <v>1600</v>
      </c>
      <c r="F33" s="167"/>
      <c r="G33" s="168"/>
      <c r="H33" s="167"/>
      <c r="I33" s="168"/>
      <c r="J33" s="167"/>
      <c r="K33" s="168"/>
      <c r="L33" s="167"/>
      <c r="M33" s="168"/>
      <c r="N33" s="184">
        <f>168+0.5</f>
        <v>168.5</v>
      </c>
      <c r="O33" s="186" t="s">
        <v>539</v>
      </c>
      <c r="P33" s="167"/>
      <c r="Q33" s="168"/>
      <c r="R33" s="167"/>
      <c r="S33" s="168"/>
      <c r="T33" s="167"/>
      <c r="U33" s="168"/>
      <c r="V33" s="167"/>
      <c r="W33" s="168"/>
      <c r="X33" s="167"/>
      <c r="Y33" s="168"/>
      <c r="Z33" s="167"/>
      <c r="AA33" s="168"/>
      <c r="AB33" s="167"/>
      <c r="AC33" s="168"/>
    </row>
    <row r="34" spans="1:29">
      <c r="A34" s="182"/>
      <c r="B34" s="183"/>
      <c r="C34" s="183"/>
      <c r="D34" s="171" t="s">
        <v>616</v>
      </c>
      <c r="E34" s="174">
        <v>1600</v>
      </c>
      <c r="F34" s="169"/>
      <c r="G34" s="170"/>
      <c r="H34" s="169"/>
      <c r="I34" s="170"/>
      <c r="J34" s="169"/>
      <c r="K34" s="170"/>
      <c r="L34" s="169"/>
      <c r="M34" s="170"/>
      <c r="N34" s="185">
        <f>167.75+0.5</f>
        <v>168.25</v>
      </c>
      <c r="O34" s="187" t="s">
        <v>539</v>
      </c>
      <c r="P34" s="169"/>
      <c r="Q34" s="170"/>
      <c r="R34" s="169"/>
      <c r="S34" s="170"/>
      <c r="T34" s="169"/>
      <c r="U34" s="170"/>
      <c r="V34" s="169"/>
      <c r="W34" s="170"/>
      <c r="X34" s="169"/>
      <c r="Y34" s="170"/>
      <c r="Z34" s="169"/>
      <c r="AA34" s="170"/>
      <c r="AB34" s="169"/>
      <c r="AC34" s="170"/>
    </row>
  </sheetData>
  <autoFilter ref="A3:AC3" xr:uid="{41F07162-C260-4492-B95E-E00ED8A66662}"/>
  <mergeCells count="25">
    <mergeCell ref="A1:C1"/>
    <mergeCell ref="X2:Y2"/>
    <mergeCell ref="Z2:AA2"/>
    <mergeCell ref="AB2:AC2"/>
    <mergeCell ref="F2:G2"/>
    <mergeCell ref="H2:I2"/>
    <mergeCell ref="J2:K2"/>
    <mergeCell ref="L2:M2"/>
    <mergeCell ref="N2:O2"/>
    <mergeCell ref="P2:Q2"/>
    <mergeCell ref="A26:A29"/>
    <mergeCell ref="A22:A25"/>
    <mergeCell ref="R2:S2"/>
    <mergeCell ref="T2:U2"/>
    <mergeCell ref="V2:W2"/>
    <mergeCell ref="A2:A3"/>
    <mergeCell ref="B2:B3"/>
    <mergeCell ref="C2:C3"/>
    <mergeCell ref="D2:D3"/>
    <mergeCell ref="E2:E3"/>
    <mergeCell ref="A5:A6"/>
    <mergeCell ref="A7:A9"/>
    <mergeCell ref="A10:A16"/>
    <mergeCell ref="A17:A18"/>
    <mergeCell ref="A20:A21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3B95-6A3A-4403-AC9E-24351CDFFA01}">
  <sheetPr>
    <tabColor theme="9" tint="0.79998168889431442"/>
    <pageSetUpPr fitToPage="1"/>
  </sheetPr>
  <dimension ref="A1:AC20"/>
  <sheetViews>
    <sheetView view="pageBreakPreview" zoomScale="115" zoomScaleNormal="85" zoomScaleSheetLayoutView="115" workbookViewId="0">
      <pane xSplit="5" ySplit="3" topLeftCell="N10" activePane="bottomRight" state="frozen"/>
      <selection activeCell="Z95" sqref="Z95"/>
      <selection pane="topRight" activeCell="Z95" sqref="Z95"/>
      <selection pane="bottomLeft" activeCell="Z95" sqref="Z95"/>
      <selection pane="bottomRight" activeCell="A4" sqref="A4:E20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6.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396</v>
      </c>
      <c r="B1" s="195"/>
      <c r="C1" s="195"/>
    </row>
    <row r="2" spans="1:29" s="88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9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36" t="s">
        <v>61</v>
      </c>
      <c r="B4" s="57" t="s">
        <v>4</v>
      </c>
      <c r="C4" s="57" t="s">
        <v>18</v>
      </c>
      <c r="D4" s="61" t="s">
        <v>249</v>
      </c>
      <c r="E4" s="5">
        <v>1800</v>
      </c>
      <c r="F4" s="28"/>
      <c r="G4" s="34"/>
      <c r="H4" s="28"/>
      <c r="I4" s="34"/>
      <c r="J4" s="28"/>
      <c r="K4" s="34"/>
      <c r="L4" s="28"/>
      <c r="M4" s="34"/>
      <c r="N4" s="28"/>
      <c r="O4" s="34"/>
      <c r="P4" s="28"/>
      <c r="Q4" s="34"/>
      <c r="R4" s="28"/>
      <c r="S4" s="34"/>
      <c r="T4" s="28"/>
      <c r="U4" s="34"/>
      <c r="V4" s="28"/>
      <c r="W4" s="34"/>
      <c r="X4" s="28"/>
      <c r="Y4" s="34"/>
      <c r="Z4" s="28"/>
      <c r="AA4" s="34"/>
      <c r="AB4" s="28"/>
      <c r="AC4" s="34"/>
    </row>
    <row r="5" spans="1:29" ht="16.5" customHeight="1">
      <c r="A5" s="114" t="s">
        <v>507</v>
      </c>
      <c r="B5" s="14" t="s">
        <v>4</v>
      </c>
      <c r="C5" s="14" t="s">
        <v>18</v>
      </c>
      <c r="D5" s="9" t="s">
        <v>162</v>
      </c>
      <c r="E5" s="6">
        <v>1900</v>
      </c>
      <c r="F5" s="24"/>
      <c r="G5" s="30"/>
      <c r="H5" s="24"/>
      <c r="I5" s="30"/>
      <c r="J5" s="24"/>
      <c r="K5" s="30"/>
      <c r="L5" s="24"/>
      <c r="M5" s="30"/>
      <c r="N5" s="24"/>
      <c r="O5" s="30"/>
      <c r="P5" s="24"/>
      <c r="Q5" s="30"/>
      <c r="R5" s="24"/>
      <c r="S5" s="30"/>
      <c r="T5" s="24"/>
      <c r="U5" s="30"/>
      <c r="V5" s="24"/>
      <c r="W5" s="30"/>
      <c r="X5" s="24"/>
      <c r="Y5" s="30"/>
      <c r="Z5" s="24"/>
      <c r="AA5" s="30"/>
      <c r="AB5" s="24"/>
      <c r="AC5" s="30"/>
    </row>
    <row r="6" spans="1:29">
      <c r="A6" s="116" t="s">
        <v>508</v>
      </c>
      <c r="B6" s="16" t="s">
        <v>4</v>
      </c>
      <c r="C6" s="16" t="s">
        <v>397</v>
      </c>
      <c r="D6" s="11" t="s">
        <v>163</v>
      </c>
      <c r="E6" s="10">
        <v>1900</v>
      </c>
      <c r="F6" s="26"/>
      <c r="G6" s="32"/>
      <c r="H6" s="26"/>
      <c r="I6" s="32"/>
      <c r="J6" s="26"/>
      <c r="K6" s="32"/>
      <c r="L6" s="26"/>
      <c r="M6" s="32"/>
      <c r="N6" s="26"/>
      <c r="O6" s="32"/>
      <c r="P6" s="26"/>
      <c r="Q6" s="32"/>
      <c r="R6" s="26"/>
      <c r="S6" s="32"/>
      <c r="T6" s="26"/>
      <c r="U6" s="32"/>
      <c r="V6" s="26"/>
      <c r="W6" s="32"/>
      <c r="X6" s="26"/>
      <c r="Y6" s="32"/>
      <c r="Z6" s="26"/>
      <c r="AA6" s="32"/>
      <c r="AB6" s="26"/>
      <c r="AC6" s="32"/>
    </row>
    <row r="7" spans="1:29">
      <c r="A7" s="116"/>
      <c r="B7" s="16" t="s">
        <v>4</v>
      </c>
      <c r="C7" s="16" t="s">
        <v>8</v>
      </c>
      <c r="D7" s="11" t="s">
        <v>164</v>
      </c>
      <c r="E7" s="10">
        <v>1900</v>
      </c>
      <c r="F7" s="26">
        <f>173.5+17</f>
        <v>190.5</v>
      </c>
      <c r="G7" s="32"/>
      <c r="H7" s="26">
        <f>164.5+16.25</f>
        <v>180.75</v>
      </c>
      <c r="I7" s="32"/>
      <c r="J7" s="26">
        <f>87.5+10.25+0</f>
        <v>97.75</v>
      </c>
      <c r="K7" s="32"/>
      <c r="L7" s="26"/>
      <c r="M7" s="32"/>
      <c r="N7" s="26"/>
      <c r="O7" s="32"/>
      <c r="P7" s="26"/>
      <c r="Q7" s="32"/>
      <c r="R7" s="26"/>
      <c r="S7" s="32"/>
      <c r="T7" s="26"/>
      <c r="U7" s="32"/>
      <c r="V7" s="26"/>
      <c r="W7" s="32"/>
      <c r="X7" s="26"/>
      <c r="Y7" s="32"/>
      <c r="Z7" s="26"/>
      <c r="AA7" s="32"/>
      <c r="AB7" s="26"/>
      <c r="AC7" s="32"/>
    </row>
    <row r="8" spans="1:29">
      <c r="A8" s="116"/>
      <c r="B8" s="39" t="s">
        <v>4</v>
      </c>
      <c r="C8" s="39" t="s">
        <v>397</v>
      </c>
      <c r="D8" s="40" t="s">
        <v>165</v>
      </c>
      <c r="E8" s="20">
        <v>1900</v>
      </c>
      <c r="F8" s="44">
        <f>184+94.75</f>
        <v>278.75</v>
      </c>
      <c r="G8" s="45"/>
      <c r="H8" s="44">
        <f>176+87.5</f>
        <v>263.5</v>
      </c>
      <c r="I8" s="45"/>
      <c r="J8" s="44">
        <f>168+77.5+0</f>
        <v>245.5</v>
      </c>
      <c r="K8" s="45"/>
      <c r="L8" s="44">
        <f>176+72.5+0</f>
        <v>248.5</v>
      </c>
      <c r="M8" s="45"/>
      <c r="N8" s="44">
        <f>176+105.75+4</f>
        <v>285.75</v>
      </c>
      <c r="O8" s="45"/>
      <c r="P8" s="44">
        <f>176+64.75</f>
        <v>240.75</v>
      </c>
      <c r="Q8" s="45"/>
      <c r="R8" s="44"/>
      <c r="S8" s="45"/>
      <c r="T8" s="44"/>
      <c r="U8" s="45"/>
      <c r="V8" s="44"/>
      <c r="W8" s="45"/>
      <c r="X8" s="44"/>
      <c r="Y8" s="45"/>
      <c r="Z8" s="44"/>
      <c r="AA8" s="45"/>
      <c r="AB8" s="44"/>
      <c r="AC8" s="45"/>
    </row>
    <row r="9" spans="1:29">
      <c r="A9" s="116"/>
      <c r="B9" s="68" t="s">
        <v>4</v>
      </c>
      <c r="C9" s="68" t="s">
        <v>433</v>
      </c>
      <c r="D9" s="97" t="s">
        <v>432</v>
      </c>
      <c r="E9" s="72">
        <v>1900</v>
      </c>
      <c r="F9" s="53"/>
      <c r="G9" s="54"/>
      <c r="H9" s="53"/>
      <c r="I9" s="54"/>
      <c r="J9" s="53"/>
      <c r="K9" s="54"/>
      <c r="L9" s="53"/>
      <c r="M9" s="54"/>
      <c r="N9" s="53"/>
      <c r="O9" s="54"/>
      <c r="P9" s="53"/>
      <c r="Q9" s="54"/>
      <c r="R9" s="53"/>
      <c r="S9" s="54"/>
      <c r="T9" s="53"/>
      <c r="U9" s="54"/>
      <c r="V9" s="53"/>
      <c r="W9" s="54"/>
      <c r="X9" s="53"/>
      <c r="Y9" s="54"/>
      <c r="Z9" s="53"/>
      <c r="AA9" s="54"/>
      <c r="AB9" s="53"/>
      <c r="AC9" s="54"/>
    </row>
    <row r="10" spans="1:29" s="99" customFormat="1">
      <c r="A10" s="116"/>
      <c r="B10" s="68" t="s">
        <v>4</v>
      </c>
      <c r="C10" s="68" t="s">
        <v>433</v>
      </c>
      <c r="D10" s="97" t="s">
        <v>488</v>
      </c>
      <c r="E10" s="72">
        <v>1900</v>
      </c>
      <c r="F10" s="53"/>
      <c r="G10" s="54"/>
      <c r="H10" s="53"/>
      <c r="I10" s="54"/>
      <c r="J10" s="53"/>
      <c r="K10" s="54"/>
      <c r="L10" s="53"/>
      <c r="M10" s="54"/>
      <c r="N10" s="53"/>
      <c r="O10" s="54"/>
      <c r="P10" s="53"/>
      <c r="Q10" s="54"/>
      <c r="R10" s="53"/>
      <c r="S10" s="54"/>
      <c r="T10" s="53"/>
      <c r="U10" s="54"/>
      <c r="V10" s="53"/>
      <c r="W10" s="54"/>
      <c r="X10" s="53"/>
      <c r="Y10" s="54"/>
      <c r="Z10" s="53"/>
      <c r="AA10" s="54"/>
      <c r="AB10" s="53"/>
      <c r="AC10" s="54"/>
    </row>
    <row r="11" spans="1:29">
      <c r="A11" s="116"/>
      <c r="B11" s="68" t="s">
        <v>4</v>
      </c>
      <c r="C11" s="68"/>
      <c r="D11" s="97" t="s">
        <v>509</v>
      </c>
      <c r="E11" s="72">
        <v>1900</v>
      </c>
      <c r="F11" s="53">
        <f>183+22.5</f>
        <v>205.5</v>
      </c>
      <c r="G11" s="54"/>
      <c r="H11" s="53">
        <f>174.5+21.75</f>
        <v>196.25</v>
      </c>
      <c r="I11" s="54"/>
      <c r="J11" s="53">
        <f>170+28.25+0</f>
        <v>198.25</v>
      </c>
      <c r="K11" s="54"/>
      <c r="L11" s="53">
        <f>175.25+22.75</f>
        <v>198</v>
      </c>
      <c r="M11" s="54"/>
      <c r="N11" s="53">
        <f>177.25+30</f>
        <v>207.25</v>
      </c>
      <c r="O11" s="54"/>
      <c r="P11" s="53"/>
      <c r="Q11" s="54"/>
      <c r="R11" s="53"/>
      <c r="S11" s="54"/>
      <c r="T11" s="53"/>
      <c r="U11" s="54"/>
      <c r="V11" s="53"/>
      <c r="W11" s="54"/>
      <c r="X11" s="53"/>
      <c r="Y11" s="54"/>
      <c r="Z11" s="53"/>
      <c r="AA11" s="109"/>
      <c r="AB11" s="53"/>
      <c r="AC11" s="54"/>
    </row>
    <row r="12" spans="1:29">
      <c r="A12" s="116"/>
      <c r="B12" s="68" t="s">
        <v>4</v>
      </c>
      <c r="C12" s="68"/>
      <c r="D12" s="151" t="s">
        <v>562</v>
      </c>
      <c r="E12" s="93">
        <v>1900</v>
      </c>
      <c r="F12" s="53"/>
      <c r="G12" s="54"/>
      <c r="H12" s="41">
        <v>5.5</v>
      </c>
      <c r="I12" s="54" t="s">
        <v>539</v>
      </c>
      <c r="J12" s="53"/>
      <c r="K12" s="54"/>
      <c r="L12" s="53"/>
      <c r="M12" s="54"/>
      <c r="N12" s="53"/>
      <c r="O12" s="54"/>
      <c r="P12" s="53"/>
      <c r="Q12" s="54"/>
      <c r="R12" s="53"/>
      <c r="S12" s="54"/>
      <c r="T12" s="53"/>
      <c r="U12" s="54"/>
      <c r="V12" s="53"/>
      <c r="W12" s="54"/>
      <c r="X12" s="53"/>
      <c r="Y12" s="54"/>
      <c r="Z12" s="53"/>
      <c r="AA12" s="109"/>
      <c r="AB12" s="53"/>
      <c r="AC12" s="54"/>
    </row>
    <row r="13" spans="1:29">
      <c r="A13" s="116"/>
      <c r="B13" s="68" t="s">
        <v>4</v>
      </c>
      <c r="C13" s="68"/>
      <c r="D13" s="151" t="s">
        <v>594</v>
      </c>
      <c r="E13" s="93">
        <v>1900</v>
      </c>
      <c r="F13" s="53"/>
      <c r="G13" s="54"/>
      <c r="H13" s="53"/>
      <c r="I13" s="54"/>
      <c r="J13" s="41">
        <f>88+33.75+0.75</f>
        <v>122.5</v>
      </c>
      <c r="K13" s="54" t="s">
        <v>539</v>
      </c>
      <c r="L13" s="53">
        <f>168+78.5</f>
        <v>246.5</v>
      </c>
      <c r="M13" s="54"/>
      <c r="N13" s="53">
        <f>184+87.75+4.25</f>
        <v>276</v>
      </c>
      <c r="O13" s="54"/>
      <c r="P13" s="53">
        <f>176+55</f>
        <v>231</v>
      </c>
      <c r="Q13" s="54"/>
      <c r="R13" s="53"/>
      <c r="S13" s="54"/>
      <c r="T13" s="53"/>
      <c r="U13" s="54"/>
      <c r="V13" s="53"/>
      <c r="W13" s="54"/>
      <c r="X13" s="53"/>
      <c r="Y13" s="54"/>
      <c r="Z13" s="53"/>
      <c r="AA13" s="109"/>
      <c r="AB13" s="53"/>
      <c r="AC13" s="54"/>
    </row>
    <row r="14" spans="1:29">
      <c r="A14" s="115"/>
      <c r="B14" s="59" t="s">
        <v>4</v>
      </c>
      <c r="C14" s="59"/>
      <c r="D14" s="42" t="s">
        <v>510</v>
      </c>
      <c r="E14" s="7">
        <v>1900</v>
      </c>
      <c r="F14" s="25">
        <f>184+94.5</f>
        <v>278.5</v>
      </c>
      <c r="G14" s="31"/>
      <c r="H14" s="25">
        <f>168+88.5</f>
        <v>256.5</v>
      </c>
      <c r="I14" s="31"/>
      <c r="J14" s="25">
        <f>176+69.25+0</f>
        <v>245.25</v>
      </c>
      <c r="K14" s="31"/>
      <c r="L14" s="25">
        <f>168+7.25</f>
        <v>175.25</v>
      </c>
      <c r="M14" s="31"/>
      <c r="N14" s="25">
        <f>184+91.5+4</f>
        <v>279.5</v>
      </c>
      <c r="O14" s="31"/>
      <c r="P14" s="25">
        <f>176+60</f>
        <v>236</v>
      </c>
      <c r="Q14" s="31"/>
      <c r="R14" s="25"/>
      <c r="S14" s="31"/>
      <c r="T14" s="25"/>
      <c r="U14" s="31"/>
      <c r="V14" s="25"/>
      <c r="W14" s="31"/>
      <c r="X14" s="25"/>
      <c r="Y14" s="31"/>
      <c r="Z14" s="25"/>
      <c r="AA14" s="109"/>
      <c r="AB14" s="25"/>
      <c r="AC14" s="31"/>
    </row>
    <row r="15" spans="1:29">
      <c r="A15" s="115" t="s">
        <v>316</v>
      </c>
      <c r="B15" s="57" t="s">
        <v>4</v>
      </c>
      <c r="C15" s="57" t="s">
        <v>8</v>
      </c>
      <c r="D15" s="58" t="s">
        <v>317</v>
      </c>
      <c r="E15" s="5">
        <v>1900</v>
      </c>
      <c r="F15" s="28"/>
      <c r="G15" s="34"/>
      <c r="H15" s="28"/>
      <c r="I15" s="34"/>
      <c r="J15" s="28"/>
      <c r="K15" s="34"/>
      <c r="L15" s="28"/>
      <c r="M15" s="34"/>
      <c r="N15" s="28"/>
      <c r="O15" s="34"/>
      <c r="P15" s="28"/>
      <c r="Q15" s="34"/>
      <c r="R15" s="28"/>
      <c r="S15" s="34"/>
      <c r="T15" s="28"/>
      <c r="U15" s="34"/>
      <c r="V15" s="28"/>
      <c r="W15" s="34"/>
      <c r="X15" s="28"/>
      <c r="Y15" s="34"/>
      <c r="Z15" s="28"/>
      <c r="AA15" s="34"/>
      <c r="AB15" s="28"/>
      <c r="AC15" s="34"/>
    </row>
    <row r="16" spans="1:29">
      <c r="A16" s="211" t="s">
        <v>349</v>
      </c>
      <c r="B16" s="22"/>
      <c r="C16" s="22"/>
      <c r="D16" s="23" t="s">
        <v>350</v>
      </c>
      <c r="E16" s="21">
        <v>1850</v>
      </c>
      <c r="F16" s="29"/>
      <c r="G16" s="35"/>
      <c r="H16" s="29"/>
      <c r="I16" s="35"/>
      <c r="J16" s="29"/>
      <c r="K16" s="35"/>
      <c r="L16" s="29"/>
      <c r="M16" s="35"/>
      <c r="N16" s="29"/>
      <c r="O16" s="35"/>
      <c r="P16" s="29"/>
      <c r="Q16" s="35"/>
      <c r="R16" s="94"/>
      <c r="S16" s="30"/>
      <c r="T16" s="24"/>
      <c r="U16" s="30"/>
      <c r="V16" s="24"/>
      <c r="W16" s="30"/>
      <c r="X16" s="24"/>
      <c r="Y16" s="30"/>
      <c r="Z16" s="24"/>
      <c r="AA16" s="30"/>
      <c r="AB16" s="24"/>
      <c r="AC16" s="30"/>
    </row>
    <row r="17" spans="1:29">
      <c r="A17" s="212"/>
      <c r="B17" s="16"/>
      <c r="C17" s="16"/>
      <c r="D17" s="11" t="s">
        <v>351</v>
      </c>
      <c r="E17" s="10">
        <v>1900</v>
      </c>
      <c r="F17" s="26"/>
      <c r="G17" s="32"/>
      <c r="H17" s="26"/>
      <c r="I17" s="32"/>
      <c r="J17" s="26"/>
      <c r="K17" s="32"/>
      <c r="L17" s="26"/>
      <c r="M17" s="32"/>
      <c r="N17" s="26"/>
      <c r="O17" s="32"/>
      <c r="P17" s="26"/>
      <c r="Q17" s="32"/>
      <c r="R17" s="95"/>
      <c r="S17" s="32"/>
      <c r="T17" s="26"/>
      <c r="U17" s="32"/>
      <c r="V17" s="26"/>
      <c r="W17" s="32"/>
      <c r="X17" s="26"/>
      <c r="Y17" s="32"/>
      <c r="Z17" s="26"/>
      <c r="AA17" s="32"/>
      <c r="AB17" s="26"/>
      <c r="AC17" s="32"/>
    </row>
    <row r="18" spans="1:29">
      <c r="A18" s="212"/>
      <c r="B18" s="68"/>
      <c r="C18" s="68"/>
      <c r="D18" s="97" t="s">
        <v>492</v>
      </c>
      <c r="E18" s="72">
        <v>1850</v>
      </c>
      <c r="F18" s="53"/>
      <c r="G18" s="54"/>
      <c r="H18" s="100"/>
      <c r="I18" s="54"/>
      <c r="J18" s="53"/>
      <c r="K18" s="54"/>
      <c r="L18" s="100"/>
      <c r="M18" s="54"/>
      <c r="N18" s="53"/>
      <c r="O18" s="54"/>
      <c r="P18" s="100"/>
      <c r="Q18" s="54"/>
      <c r="R18" s="101"/>
      <c r="S18" s="32"/>
      <c r="T18" s="26"/>
      <c r="U18" s="32"/>
      <c r="V18" s="26"/>
      <c r="W18" s="32"/>
      <c r="X18" s="26"/>
      <c r="Y18" s="32"/>
      <c r="Z18" s="26"/>
      <c r="AA18" s="32"/>
      <c r="AB18" s="26"/>
      <c r="AC18" s="32"/>
    </row>
    <row r="19" spans="1:29">
      <c r="A19" s="212"/>
      <c r="B19" s="68"/>
      <c r="C19" s="68"/>
      <c r="D19" s="136" t="s">
        <v>421</v>
      </c>
      <c r="E19" s="72">
        <v>1850</v>
      </c>
      <c r="F19" s="137">
        <f>184+31+1.5</f>
        <v>216.5</v>
      </c>
      <c r="G19" s="112"/>
      <c r="H19" s="99">
        <f>176+28+4</f>
        <v>208</v>
      </c>
      <c r="I19" s="112"/>
      <c r="J19" s="137">
        <f>168+36+2</f>
        <v>206</v>
      </c>
      <c r="K19" s="112"/>
      <c r="L19" s="99">
        <f>113+10.5+2.5</f>
        <v>126</v>
      </c>
      <c r="M19" s="112"/>
      <c r="N19" s="53">
        <f>176+41+3</f>
        <v>220</v>
      </c>
      <c r="O19" s="112"/>
      <c r="P19" s="100">
        <f>176+31+2</f>
        <v>209</v>
      </c>
      <c r="Q19" s="112"/>
      <c r="R19" s="101"/>
      <c r="S19" s="32"/>
      <c r="T19" s="26"/>
      <c r="U19" s="32"/>
      <c r="V19" s="26"/>
      <c r="W19" s="32"/>
      <c r="X19" s="26"/>
      <c r="Y19" s="32"/>
      <c r="Z19" s="26"/>
      <c r="AA19" s="32"/>
      <c r="AB19" s="26"/>
      <c r="AC19" s="32"/>
    </row>
    <row r="20" spans="1:29">
      <c r="A20" s="213"/>
      <c r="B20" s="59"/>
      <c r="C20" s="59"/>
      <c r="D20" s="66" t="s">
        <v>422</v>
      </c>
      <c r="E20" s="7">
        <v>1850</v>
      </c>
      <c r="F20" s="138"/>
      <c r="G20" s="111"/>
      <c r="H20" s="139"/>
      <c r="I20" s="111"/>
      <c r="J20" s="138"/>
      <c r="K20" s="111"/>
      <c r="L20" s="139"/>
      <c r="M20" s="111"/>
      <c r="N20" s="25"/>
      <c r="O20" s="111"/>
      <c r="P20" s="140"/>
      <c r="Q20" s="111"/>
      <c r="R20" s="100"/>
      <c r="S20" s="32"/>
      <c r="T20" s="26"/>
      <c r="U20" s="32"/>
      <c r="V20" s="26"/>
      <c r="W20" s="32"/>
      <c r="X20" s="26"/>
      <c r="Y20" s="32"/>
      <c r="Z20" s="26"/>
      <c r="AA20" s="32"/>
      <c r="AB20" s="26"/>
      <c r="AC20" s="32"/>
    </row>
  </sheetData>
  <autoFilter ref="A3:AC20" xr:uid="{F3DC3B95-6A3A-4403-AC9E-24351CDFFA01}"/>
  <mergeCells count="19">
    <mergeCell ref="D2:D3"/>
    <mergeCell ref="E2:E3"/>
    <mergeCell ref="A16:A20"/>
    <mergeCell ref="A1:C1"/>
    <mergeCell ref="A2:A3"/>
    <mergeCell ref="B2:B3"/>
    <mergeCell ref="C2:C3"/>
    <mergeCell ref="X2:Y2"/>
    <mergeCell ref="Z2:AA2"/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037A-42F7-4237-96B2-028039B5D8C5}">
  <sheetPr>
    <tabColor theme="9" tint="0.79998168889431442"/>
    <pageSetUpPr fitToPage="1"/>
  </sheetPr>
  <dimension ref="A1:AC6"/>
  <sheetViews>
    <sheetView view="pageBreakPreview" zoomScale="115" zoomScaleNormal="85" zoomScaleSheetLayoutView="115" workbookViewId="0">
      <pane xSplit="5" ySplit="3" topLeftCell="N4" activePane="bottomRight" state="frozen"/>
      <selection activeCell="Z95" sqref="Z95"/>
      <selection pane="topRight" activeCell="Z95" sqref="Z95"/>
      <selection pane="bottomLeft" activeCell="Z95" sqref="Z95"/>
      <selection pane="bottomRight" activeCell="A4" sqref="A4:E6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6.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414</v>
      </c>
      <c r="B1" s="195"/>
      <c r="C1" s="195"/>
    </row>
    <row r="2" spans="1:29" s="86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7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36" t="s">
        <v>347</v>
      </c>
      <c r="B4" s="57" t="s">
        <v>4</v>
      </c>
      <c r="C4" s="57"/>
      <c r="D4" s="74"/>
      <c r="E4" s="75">
        <v>350000</v>
      </c>
      <c r="F4" s="37"/>
      <c r="G4" s="38">
        <v>1</v>
      </c>
      <c r="H4" s="28"/>
      <c r="I4" s="38">
        <v>1</v>
      </c>
      <c r="J4" s="28"/>
      <c r="K4" s="38">
        <v>1</v>
      </c>
      <c r="L4" s="28"/>
      <c r="M4" s="38">
        <v>1</v>
      </c>
      <c r="N4" s="28"/>
      <c r="O4" s="38">
        <v>1</v>
      </c>
      <c r="P4" s="28"/>
      <c r="Q4" s="38">
        <v>1</v>
      </c>
      <c r="R4" s="28"/>
      <c r="S4" s="38"/>
      <c r="T4" s="28"/>
      <c r="U4" s="38"/>
      <c r="V4" s="28"/>
      <c r="W4" s="38"/>
      <c r="X4" s="28"/>
      <c r="Y4" s="38"/>
      <c r="Z4" s="28"/>
      <c r="AA4" s="38"/>
      <c r="AB4" s="28"/>
      <c r="AC4" s="38"/>
    </row>
    <row r="5" spans="1:29">
      <c r="A5" s="36" t="s">
        <v>89</v>
      </c>
      <c r="B5" s="57" t="s">
        <v>4</v>
      </c>
      <c r="C5" s="57" t="s">
        <v>348</v>
      </c>
      <c r="D5" s="57" t="s">
        <v>193</v>
      </c>
      <c r="E5" s="5">
        <v>1700</v>
      </c>
      <c r="F5" s="37">
        <f>151+4.5+0</f>
        <v>155.5</v>
      </c>
      <c r="G5" s="38"/>
      <c r="H5" s="28">
        <f>151.75+5.5</f>
        <v>157.25</v>
      </c>
      <c r="I5" s="38"/>
      <c r="J5" s="28"/>
      <c r="K5" s="38"/>
      <c r="L5" s="28">
        <v>164.5</v>
      </c>
      <c r="M5" s="38"/>
      <c r="N5" s="28">
        <f>160+40.75+0</f>
        <v>200.75</v>
      </c>
      <c r="O5" s="38"/>
      <c r="P5" s="28">
        <f>128+8.5</f>
        <v>136.5</v>
      </c>
      <c r="Q5" s="38"/>
      <c r="R5" s="28"/>
      <c r="S5" s="38"/>
      <c r="T5" s="28"/>
      <c r="U5" s="38"/>
      <c r="V5" s="28"/>
      <c r="W5" s="38"/>
      <c r="X5" s="28"/>
      <c r="Y5" s="38"/>
      <c r="Z5" s="28"/>
      <c r="AA5" s="38"/>
      <c r="AB5" s="28"/>
      <c r="AC5" s="38"/>
    </row>
    <row r="6" spans="1:29">
      <c r="A6" s="162" t="s">
        <v>17</v>
      </c>
      <c r="B6" s="163" t="s">
        <v>4</v>
      </c>
      <c r="C6" s="163"/>
      <c r="D6" s="164" t="s">
        <v>560</v>
      </c>
      <c r="E6" s="166">
        <v>1460</v>
      </c>
      <c r="F6" s="37"/>
      <c r="G6" s="38"/>
      <c r="H6" s="165">
        <v>49.25</v>
      </c>
      <c r="I6" s="38" t="s">
        <v>539</v>
      </c>
      <c r="J6" s="28">
        <f>142.75+7.5</f>
        <v>150.25</v>
      </c>
      <c r="K6" s="38"/>
      <c r="L6" s="28">
        <v>153</v>
      </c>
      <c r="M6" s="38"/>
      <c r="N6" s="28">
        <f>166+25.75</f>
        <v>191.75</v>
      </c>
      <c r="O6" s="38"/>
      <c r="P6" s="28"/>
      <c r="Q6" s="38"/>
      <c r="R6" s="28"/>
      <c r="S6" s="38"/>
      <c r="T6" s="28"/>
      <c r="U6" s="38"/>
      <c r="V6" s="28"/>
      <c r="W6" s="38"/>
      <c r="X6" s="28"/>
      <c r="Y6" s="38"/>
      <c r="Z6" s="28"/>
      <c r="AA6" s="38"/>
      <c r="AB6" s="28"/>
      <c r="AC6" s="38"/>
    </row>
  </sheetData>
  <mergeCells count="18">
    <mergeCell ref="A1:C1"/>
    <mergeCell ref="A2:A3"/>
    <mergeCell ref="B2:B3"/>
    <mergeCell ref="C2:C3"/>
    <mergeCell ref="D2:D3"/>
    <mergeCell ref="E2:E3"/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2776-6C54-4322-AA75-1B0FD56EA4BB}">
  <sheetPr>
    <tabColor theme="9" tint="0.79998168889431442"/>
    <pageSetUpPr fitToPage="1"/>
  </sheetPr>
  <dimension ref="A1:AC27"/>
  <sheetViews>
    <sheetView view="pageBreakPreview" zoomScale="115" zoomScaleNormal="85" zoomScaleSheetLayoutView="115" workbookViewId="0">
      <pane xSplit="5" ySplit="3" topLeftCell="N4" activePane="bottomRight" state="frozen"/>
      <selection activeCell="Z95" sqref="Z95"/>
      <selection pane="topRight" activeCell="Z95" sqref="Z95"/>
      <selection pane="bottomLeft" activeCell="Z95" sqref="Z95"/>
      <selection pane="bottomRight" activeCell="A4" sqref="A4:E26"/>
    </sheetView>
  </sheetViews>
  <sheetFormatPr defaultColWidth="8.75" defaultRowHeight="16.5"/>
  <cols>
    <col min="1" max="1" width="20.75" style="19" customWidth="1"/>
    <col min="2" max="2" width="6.5" style="3" bestFit="1" customWidth="1"/>
    <col min="3" max="3" width="32.125" style="3" bestFit="1" customWidth="1"/>
    <col min="4" max="4" width="19.125" style="2" bestFit="1" customWidth="1"/>
    <col min="5" max="5" width="12.375" style="4" bestFit="1" customWidth="1"/>
    <col min="6" max="6" width="6.25" style="1" bestFit="1" customWidth="1"/>
    <col min="7" max="7" width="11.875" style="1" bestFit="1" customWidth="1"/>
    <col min="8" max="8" width="6.25" style="1" bestFit="1" customWidth="1"/>
    <col min="9" max="9" width="11.875" style="1" bestFit="1" customWidth="1"/>
    <col min="10" max="10" width="7.125" style="1" bestFit="1" customWidth="1"/>
    <col min="11" max="11" width="11.875" style="1" bestFit="1" customWidth="1"/>
    <col min="12" max="12" width="6.25" style="1" customWidth="1"/>
    <col min="13" max="13" width="11.875" style="1" customWidth="1"/>
    <col min="14" max="14" width="6.25" style="1" customWidth="1"/>
    <col min="15" max="15" width="11.875" style="1" customWidth="1"/>
    <col min="16" max="16" width="6.25" style="1" customWidth="1"/>
    <col min="17" max="17" width="11.875" style="1" customWidth="1"/>
    <col min="18" max="18" width="6.25" style="1" customWidth="1"/>
    <col min="19" max="19" width="11.875" style="1" customWidth="1"/>
    <col min="20" max="20" width="6.25" style="1" customWidth="1"/>
    <col min="21" max="21" width="11.875" style="1" customWidth="1"/>
    <col min="22" max="22" width="6.25" style="1" customWidth="1"/>
    <col min="23" max="23" width="11.875" style="1" customWidth="1"/>
    <col min="24" max="24" width="6.25" style="1" customWidth="1"/>
    <col min="25" max="25" width="11.875" style="1" customWidth="1"/>
    <col min="26" max="26" width="6.25" style="1" customWidth="1"/>
    <col min="27" max="27" width="11.875" style="1" customWidth="1"/>
    <col min="28" max="28" width="6.25" style="1" customWidth="1"/>
    <col min="29" max="29" width="11.875" style="1" customWidth="1"/>
    <col min="30" max="16384" width="8.75" style="1"/>
  </cols>
  <sheetData>
    <row r="1" spans="1:29" ht="30">
      <c r="A1" s="195" t="s">
        <v>394</v>
      </c>
      <c r="B1" s="195"/>
      <c r="C1" s="195"/>
    </row>
    <row r="2" spans="1:29" s="81" customFormat="1" ht="18" customHeight="1">
      <c r="A2" s="200" t="s">
        <v>1</v>
      </c>
      <c r="B2" s="201" t="s">
        <v>2</v>
      </c>
      <c r="C2" s="201" t="s">
        <v>341</v>
      </c>
      <c r="D2" s="201" t="s">
        <v>305</v>
      </c>
      <c r="E2" s="194" t="s">
        <v>393</v>
      </c>
      <c r="F2" s="193">
        <v>44774</v>
      </c>
      <c r="G2" s="193"/>
      <c r="H2" s="198">
        <v>44805</v>
      </c>
      <c r="I2" s="199"/>
      <c r="J2" s="193">
        <v>44835</v>
      </c>
      <c r="K2" s="193"/>
      <c r="L2" s="193">
        <v>44866</v>
      </c>
      <c r="M2" s="193"/>
      <c r="N2" s="193">
        <v>44896</v>
      </c>
      <c r="O2" s="193"/>
      <c r="P2" s="193">
        <v>44927</v>
      </c>
      <c r="Q2" s="193"/>
      <c r="R2" s="193">
        <v>44958</v>
      </c>
      <c r="S2" s="193"/>
      <c r="T2" s="193">
        <v>44986</v>
      </c>
      <c r="U2" s="193"/>
      <c r="V2" s="193">
        <v>45017</v>
      </c>
      <c r="W2" s="193"/>
      <c r="X2" s="193">
        <v>45047</v>
      </c>
      <c r="Y2" s="193"/>
      <c r="Z2" s="193">
        <v>45078</v>
      </c>
      <c r="AA2" s="193"/>
      <c r="AB2" s="193">
        <v>45108</v>
      </c>
      <c r="AC2" s="193"/>
    </row>
    <row r="3" spans="1:29" s="84" customFormat="1">
      <c r="A3" s="200"/>
      <c r="B3" s="202"/>
      <c r="C3" s="202"/>
      <c r="D3" s="202"/>
      <c r="E3" s="194"/>
      <c r="F3" s="82" t="s">
        <v>306</v>
      </c>
      <c r="G3" s="83" t="s">
        <v>342</v>
      </c>
      <c r="H3" s="82" t="s">
        <v>306</v>
      </c>
      <c r="I3" s="83" t="s">
        <v>342</v>
      </c>
      <c r="J3" s="82" t="s">
        <v>306</v>
      </c>
      <c r="K3" s="83" t="s">
        <v>342</v>
      </c>
      <c r="L3" s="82" t="s">
        <v>306</v>
      </c>
      <c r="M3" s="83" t="s">
        <v>342</v>
      </c>
      <c r="N3" s="82" t="s">
        <v>306</v>
      </c>
      <c r="O3" s="83" t="s">
        <v>342</v>
      </c>
      <c r="P3" s="82" t="s">
        <v>306</v>
      </c>
      <c r="Q3" s="83" t="s">
        <v>342</v>
      </c>
      <c r="R3" s="82" t="s">
        <v>306</v>
      </c>
      <c r="S3" s="83" t="s">
        <v>342</v>
      </c>
      <c r="T3" s="82" t="s">
        <v>306</v>
      </c>
      <c r="U3" s="83" t="s">
        <v>342</v>
      </c>
      <c r="V3" s="82" t="s">
        <v>306</v>
      </c>
      <c r="W3" s="83" t="s">
        <v>342</v>
      </c>
      <c r="X3" s="82" t="s">
        <v>306</v>
      </c>
      <c r="Y3" s="83" t="s">
        <v>342</v>
      </c>
      <c r="Z3" s="82" t="s">
        <v>306</v>
      </c>
      <c r="AA3" s="83" t="s">
        <v>342</v>
      </c>
      <c r="AB3" s="82" t="s">
        <v>306</v>
      </c>
      <c r="AC3" s="83" t="s">
        <v>342</v>
      </c>
    </row>
    <row r="4" spans="1:29">
      <c r="A4" s="203" t="s">
        <v>89</v>
      </c>
      <c r="B4" s="14" t="s">
        <v>4</v>
      </c>
      <c r="C4" s="14" t="s">
        <v>192</v>
      </c>
      <c r="D4" s="14" t="s">
        <v>193</v>
      </c>
      <c r="E4" s="6">
        <v>1900</v>
      </c>
      <c r="F4" s="24"/>
      <c r="G4" s="30"/>
      <c r="H4" s="24"/>
      <c r="I4" s="30"/>
      <c r="J4" s="24">
        <f>144+6+0</f>
        <v>150</v>
      </c>
      <c r="K4" s="30"/>
      <c r="L4" s="24"/>
      <c r="M4" s="30"/>
      <c r="N4" s="24"/>
      <c r="O4" s="30"/>
      <c r="P4" s="24"/>
      <c r="Q4" s="30"/>
      <c r="R4" s="24"/>
      <c r="S4" s="30"/>
      <c r="T4" s="24"/>
      <c r="U4" s="30"/>
      <c r="V4" s="24"/>
      <c r="W4" s="30"/>
      <c r="X4" s="24"/>
      <c r="Y4" s="30"/>
      <c r="Z4" s="24"/>
      <c r="AA4" s="30"/>
      <c r="AB4" s="24"/>
      <c r="AC4" s="30"/>
    </row>
    <row r="5" spans="1:29">
      <c r="A5" s="204"/>
      <c r="B5" s="16" t="s">
        <v>20</v>
      </c>
      <c r="C5" s="16"/>
      <c r="D5" s="16" t="s">
        <v>194</v>
      </c>
      <c r="E5" s="10">
        <v>1900</v>
      </c>
      <c r="F5" s="26">
        <v>176</v>
      </c>
      <c r="G5" s="32"/>
      <c r="H5" s="26">
        <f>44+132</f>
        <v>176</v>
      </c>
      <c r="I5" s="32"/>
      <c r="J5" s="26">
        <f>50+150</f>
        <v>200</v>
      </c>
      <c r="K5" s="32"/>
      <c r="L5" s="26">
        <f>46+138</f>
        <v>184</v>
      </c>
      <c r="M5" s="32"/>
      <c r="N5" s="26">
        <f>50+8.5+150</f>
        <v>208.5</v>
      </c>
      <c r="O5" s="32"/>
      <c r="P5" s="26">
        <f>28+84</f>
        <v>112</v>
      </c>
      <c r="Q5" s="32"/>
      <c r="R5" s="26"/>
      <c r="S5" s="32"/>
      <c r="T5" s="26"/>
      <c r="U5" s="32"/>
      <c r="V5" s="26"/>
      <c r="W5" s="32"/>
      <c r="X5" s="26"/>
      <c r="Y5" s="32"/>
      <c r="Z5" s="26"/>
      <c r="AA5" s="32"/>
      <c r="AB5" s="26"/>
      <c r="AC5" s="32"/>
    </row>
    <row r="6" spans="1:29">
      <c r="A6" s="205"/>
      <c r="B6" s="15" t="s">
        <v>20</v>
      </c>
      <c r="C6" s="15"/>
      <c r="D6" s="15" t="s">
        <v>195</v>
      </c>
      <c r="E6" s="8">
        <v>1900</v>
      </c>
      <c r="F6" s="27">
        <v>202.5</v>
      </c>
      <c r="G6" s="33"/>
      <c r="H6" s="27">
        <f>47.5+6.5+138</f>
        <v>192</v>
      </c>
      <c r="I6" s="33"/>
      <c r="J6" s="27">
        <f>53.5+9+150</f>
        <v>212.5</v>
      </c>
      <c r="K6" s="33"/>
      <c r="L6" s="27">
        <f>51.5+6+144</f>
        <v>201.5</v>
      </c>
      <c r="M6" s="33"/>
      <c r="N6" s="27">
        <f>49.5+24.5+144</f>
        <v>218</v>
      </c>
      <c r="O6" s="33"/>
      <c r="P6" s="27">
        <f>49+5.5+138</f>
        <v>192.5</v>
      </c>
      <c r="Q6" s="33"/>
      <c r="R6" s="27"/>
      <c r="S6" s="33"/>
      <c r="T6" s="27"/>
      <c r="U6" s="33"/>
      <c r="V6" s="27"/>
      <c r="W6" s="33"/>
      <c r="X6" s="27"/>
      <c r="Y6" s="33"/>
      <c r="Z6" s="27"/>
      <c r="AA6" s="33"/>
      <c r="AB6" s="27"/>
      <c r="AC6" s="33"/>
    </row>
    <row r="7" spans="1:29">
      <c r="A7" s="196" t="s">
        <v>40</v>
      </c>
      <c r="B7" s="14"/>
      <c r="C7" s="14" t="s">
        <v>318</v>
      </c>
      <c r="D7" s="9"/>
      <c r="E7" s="12" t="s">
        <v>90</v>
      </c>
      <c r="F7" s="24"/>
      <c r="G7" s="30">
        <v>151414</v>
      </c>
      <c r="H7" s="24"/>
      <c r="I7" s="30">
        <v>172288</v>
      </c>
      <c r="J7" s="24"/>
      <c r="K7" s="77">
        <v>196393</v>
      </c>
      <c r="L7" s="24"/>
      <c r="M7" s="30">
        <v>200216</v>
      </c>
      <c r="N7" s="24"/>
      <c r="O7" s="30">
        <v>250300</v>
      </c>
      <c r="P7" s="24"/>
      <c r="Q7" s="30">
        <v>153937</v>
      </c>
      <c r="R7" s="24"/>
      <c r="S7" s="30"/>
      <c r="T7" s="24"/>
      <c r="U7" s="30"/>
      <c r="V7" s="24"/>
      <c r="W7" s="30"/>
      <c r="X7" s="24"/>
      <c r="Y7" s="30"/>
      <c r="Z7" s="24"/>
      <c r="AA7" s="30"/>
      <c r="AB7" s="24"/>
      <c r="AC7" s="30"/>
    </row>
    <row r="8" spans="1:29">
      <c r="A8" s="196"/>
      <c r="B8" s="16"/>
      <c r="C8" s="16" t="s">
        <v>319</v>
      </c>
      <c r="D8" s="11"/>
      <c r="E8" s="13" t="s">
        <v>91</v>
      </c>
      <c r="F8" s="26"/>
      <c r="G8" s="32">
        <v>175471</v>
      </c>
      <c r="H8" s="26"/>
      <c r="I8" s="32">
        <v>190333</v>
      </c>
      <c r="J8" s="26"/>
      <c r="K8" s="78">
        <v>190285</v>
      </c>
      <c r="L8" s="26"/>
      <c r="M8" s="32">
        <v>208570</v>
      </c>
      <c r="N8" s="26"/>
      <c r="O8" s="32">
        <v>252374</v>
      </c>
      <c r="P8" s="26"/>
      <c r="Q8" s="32">
        <v>140503</v>
      </c>
      <c r="R8" s="26"/>
      <c r="S8" s="32"/>
      <c r="T8" s="26"/>
      <c r="U8" s="32"/>
      <c r="V8" s="26"/>
      <c r="W8" s="32"/>
      <c r="X8" s="26"/>
      <c r="Y8" s="32"/>
      <c r="Z8" s="26"/>
      <c r="AA8" s="32"/>
      <c r="AB8" s="26"/>
      <c r="AC8" s="32"/>
    </row>
    <row r="9" spans="1:29">
      <c r="A9" s="196"/>
      <c r="B9" s="16"/>
      <c r="C9" s="16" t="s">
        <v>320</v>
      </c>
      <c r="D9" s="11"/>
      <c r="E9" s="13" t="s">
        <v>92</v>
      </c>
      <c r="F9" s="26"/>
      <c r="G9" s="32">
        <v>184890</v>
      </c>
      <c r="H9" s="26"/>
      <c r="I9" s="32">
        <v>201360</v>
      </c>
      <c r="J9" s="26"/>
      <c r="K9" s="78">
        <v>201043</v>
      </c>
      <c r="L9" s="26"/>
      <c r="M9" s="32">
        <v>220483</v>
      </c>
      <c r="N9" s="26"/>
      <c r="O9" s="32">
        <v>269598</v>
      </c>
      <c r="P9" s="26"/>
      <c r="Q9" s="32">
        <v>151356</v>
      </c>
      <c r="R9" s="26"/>
      <c r="S9" s="32"/>
      <c r="T9" s="26"/>
      <c r="U9" s="32"/>
      <c r="V9" s="26"/>
      <c r="W9" s="32"/>
      <c r="X9" s="26"/>
      <c r="Y9" s="32"/>
      <c r="Z9" s="26"/>
      <c r="AA9" s="32"/>
      <c r="AB9" s="26"/>
      <c r="AC9" s="32"/>
    </row>
    <row r="10" spans="1:29">
      <c r="A10" s="196"/>
      <c r="B10" s="16"/>
      <c r="C10" s="16" t="s">
        <v>321</v>
      </c>
      <c r="D10" s="11"/>
      <c r="E10" s="13" t="s">
        <v>90</v>
      </c>
      <c r="F10" s="26"/>
      <c r="G10" s="32">
        <v>5405</v>
      </c>
      <c r="H10" s="26"/>
      <c r="I10" s="32">
        <v>48</v>
      </c>
      <c r="J10" s="26"/>
      <c r="K10" s="78">
        <v>90</v>
      </c>
      <c r="L10" s="26"/>
      <c r="M10" s="32">
        <v>122</v>
      </c>
      <c r="N10" s="26"/>
      <c r="O10" s="32">
        <v>381</v>
      </c>
      <c r="P10" s="26"/>
      <c r="Q10" s="32">
        <v>66</v>
      </c>
      <c r="R10" s="26"/>
      <c r="S10" s="32"/>
      <c r="T10" s="26"/>
      <c r="U10" s="32"/>
      <c r="V10" s="26"/>
      <c r="W10" s="32"/>
      <c r="X10" s="26"/>
      <c r="Y10" s="32"/>
      <c r="Z10" s="26"/>
      <c r="AA10" s="32"/>
      <c r="AB10" s="26"/>
      <c r="AC10" s="32"/>
    </row>
    <row r="11" spans="1:29">
      <c r="A11" s="196"/>
      <c r="B11" s="16"/>
      <c r="C11" s="16" t="s">
        <v>93</v>
      </c>
      <c r="D11" s="11"/>
      <c r="E11" s="13" t="s">
        <v>94</v>
      </c>
      <c r="F11" s="26"/>
      <c r="G11" s="32">
        <v>2327</v>
      </c>
      <c r="H11" s="26"/>
      <c r="I11" s="32">
        <v>4817</v>
      </c>
      <c r="J11" s="26"/>
      <c r="K11" s="78">
        <v>4333</v>
      </c>
      <c r="L11" s="26"/>
      <c r="M11" s="32">
        <v>4956</v>
      </c>
      <c r="N11" s="26"/>
      <c r="O11" s="32">
        <v>4099</v>
      </c>
      <c r="P11" s="26"/>
      <c r="Q11" s="32">
        <v>3392</v>
      </c>
      <c r="R11" s="26"/>
      <c r="S11" s="32"/>
      <c r="T11" s="26"/>
      <c r="U11" s="32"/>
      <c r="V11" s="26"/>
      <c r="W11" s="32"/>
      <c r="X11" s="26"/>
      <c r="Y11" s="32"/>
      <c r="Z11" s="26"/>
      <c r="AA11" s="32"/>
      <c r="AB11" s="26"/>
      <c r="AC11" s="32"/>
    </row>
    <row r="12" spans="1:29">
      <c r="A12" s="196"/>
      <c r="B12" s="16"/>
      <c r="C12" s="16" t="s">
        <v>95</v>
      </c>
      <c r="D12" s="11"/>
      <c r="E12" s="13" t="s">
        <v>96</v>
      </c>
      <c r="F12" s="26"/>
      <c r="G12" s="32">
        <v>1</v>
      </c>
      <c r="H12" s="26"/>
      <c r="I12" s="32">
        <v>1</v>
      </c>
      <c r="J12" s="26"/>
      <c r="K12" s="32">
        <v>1</v>
      </c>
      <c r="L12" s="26"/>
      <c r="M12" s="32">
        <v>1</v>
      </c>
      <c r="N12" s="26"/>
      <c r="O12" s="32">
        <v>1</v>
      </c>
      <c r="P12" s="26"/>
      <c r="Q12" s="32">
        <v>1</v>
      </c>
      <c r="R12" s="26"/>
      <c r="S12" s="32"/>
      <c r="T12" s="26"/>
      <c r="U12" s="32"/>
      <c r="V12" s="26"/>
      <c r="W12" s="32"/>
      <c r="X12" s="26"/>
      <c r="Y12" s="32"/>
      <c r="Z12" s="26"/>
      <c r="AA12" s="32"/>
      <c r="AB12" s="26"/>
      <c r="AC12" s="32"/>
    </row>
    <row r="13" spans="1:29">
      <c r="A13" s="196"/>
      <c r="B13" s="16"/>
      <c r="C13" s="16" t="s">
        <v>97</v>
      </c>
      <c r="D13" s="11"/>
      <c r="E13" s="13" t="s">
        <v>98</v>
      </c>
      <c r="F13" s="26"/>
      <c r="G13" s="32">
        <v>1</v>
      </c>
      <c r="H13" s="26"/>
      <c r="I13" s="32">
        <v>1</v>
      </c>
      <c r="J13" s="26"/>
      <c r="K13" s="32">
        <v>1</v>
      </c>
      <c r="L13" s="26"/>
      <c r="M13" s="32">
        <v>1</v>
      </c>
      <c r="N13" s="26"/>
      <c r="O13" s="32">
        <v>1</v>
      </c>
      <c r="P13" s="26"/>
      <c r="Q13" s="32">
        <v>1</v>
      </c>
      <c r="R13" s="26"/>
      <c r="S13" s="32"/>
      <c r="T13" s="26"/>
      <c r="U13" s="32"/>
      <c r="V13" s="26"/>
      <c r="W13" s="32"/>
      <c r="X13" s="26"/>
      <c r="Y13" s="32"/>
      <c r="Z13" s="26"/>
      <c r="AA13" s="32"/>
      <c r="AB13" s="26"/>
      <c r="AC13" s="32"/>
    </row>
    <row r="14" spans="1:29">
      <c r="A14" s="196"/>
      <c r="B14" s="16"/>
      <c r="C14" s="16" t="s">
        <v>99</v>
      </c>
      <c r="D14" s="11"/>
      <c r="E14" s="13" t="s">
        <v>100</v>
      </c>
      <c r="F14" s="26"/>
      <c r="G14" s="32">
        <v>1</v>
      </c>
      <c r="H14" s="26"/>
      <c r="I14" s="32">
        <v>1</v>
      </c>
      <c r="J14" s="26"/>
      <c r="K14" s="32">
        <v>1</v>
      </c>
      <c r="L14" s="26"/>
      <c r="M14" s="32">
        <v>1</v>
      </c>
      <c r="N14" s="26"/>
      <c r="O14" s="32">
        <v>1</v>
      </c>
      <c r="P14" s="26"/>
      <c r="Q14" s="32">
        <v>1</v>
      </c>
      <c r="R14" s="26"/>
      <c r="S14" s="32"/>
      <c r="T14" s="26"/>
      <c r="U14" s="32"/>
      <c r="V14" s="26"/>
      <c r="W14" s="32"/>
      <c r="X14" s="26"/>
      <c r="Y14" s="32"/>
      <c r="Z14" s="26"/>
      <c r="AA14" s="32"/>
      <c r="AB14" s="26"/>
      <c r="AC14" s="32"/>
    </row>
    <row r="15" spans="1:29">
      <c r="A15" s="196"/>
      <c r="B15" s="16"/>
      <c r="C15" s="16" t="s">
        <v>101</v>
      </c>
      <c r="D15" s="11"/>
      <c r="E15" s="13" t="s">
        <v>102</v>
      </c>
      <c r="F15" s="26"/>
      <c r="G15" s="32">
        <v>1</v>
      </c>
      <c r="H15" s="26"/>
      <c r="I15" s="32">
        <v>1</v>
      </c>
      <c r="J15" s="26"/>
      <c r="K15" s="32">
        <v>1</v>
      </c>
      <c r="L15" s="26"/>
      <c r="M15" s="32">
        <v>1</v>
      </c>
      <c r="N15" s="26"/>
      <c r="O15" s="32">
        <v>1</v>
      </c>
      <c r="P15" s="26"/>
      <c r="Q15" s="32">
        <v>1</v>
      </c>
      <c r="R15" s="26"/>
      <c r="S15" s="32"/>
      <c r="T15" s="26"/>
      <c r="U15" s="32"/>
      <c r="V15" s="26"/>
      <c r="W15" s="32"/>
      <c r="X15" s="26"/>
      <c r="Y15" s="32"/>
      <c r="Z15" s="26"/>
      <c r="AA15" s="32"/>
      <c r="AB15" s="26"/>
      <c r="AC15" s="32"/>
    </row>
    <row r="16" spans="1:29">
      <c r="A16" s="196"/>
      <c r="B16" s="16"/>
      <c r="C16" s="16" t="s">
        <v>103</v>
      </c>
      <c r="D16" s="11"/>
      <c r="E16" s="13" t="s">
        <v>104</v>
      </c>
      <c r="F16" s="26"/>
      <c r="G16" s="32">
        <v>2</v>
      </c>
      <c r="H16" s="26"/>
      <c r="I16" s="32">
        <v>2</v>
      </c>
      <c r="J16" s="26"/>
      <c r="K16" s="32">
        <v>2</v>
      </c>
      <c r="L16" s="26"/>
      <c r="M16" s="32">
        <v>2</v>
      </c>
      <c r="N16" s="26"/>
      <c r="O16" s="32">
        <v>2</v>
      </c>
      <c r="P16" s="26"/>
      <c r="Q16" s="32">
        <v>2</v>
      </c>
      <c r="R16" s="26"/>
      <c r="S16" s="32"/>
      <c r="T16" s="26"/>
      <c r="U16" s="32"/>
      <c r="V16" s="26"/>
      <c r="W16" s="32"/>
      <c r="X16" s="26"/>
      <c r="Y16" s="32"/>
      <c r="Z16" s="26"/>
      <c r="AA16" s="32"/>
      <c r="AB16" s="26"/>
      <c r="AC16" s="32"/>
    </row>
    <row r="17" spans="1:29">
      <c r="A17" s="196"/>
      <c r="B17" s="16"/>
      <c r="C17" s="16" t="s">
        <v>105</v>
      </c>
      <c r="D17" s="11"/>
      <c r="E17" s="13" t="s">
        <v>106</v>
      </c>
      <c r="F17" s="26"/>
      <c r="G17" s="32">
        <v>1</v>
      </c>
      <c r="H17" s="26"/>
      <c r="I17" s="32">
        <v>1</v>
      </c>
      <c r="J17" s="26"/>
      <c r="K17" s="32">
        <v>1</v>
      </c>
      <c r="L17" s="26"/>
      <c r="M17" s="32">
        <v>1</v>
      </c>
      <c r="N17" s="26"/>
      <c r="O17" s="32">
        <v>1</v>
      </c>
      <c r="P17" s="26"/>
      <c r="Q17" s="32">
        <v>1</v>
      </c>
      <c r="R17" s="26"/>
      <c r="S17" s="32"/>
      <c r="T17" s="26"/>
      <c r="U17" s="32"/>
      <c r="V17" s="26"/>
      <c r="W17" s="32"/>
      <c r="X17" s="26"/>
      <c r="Y17" s="32"/>
      <c r="Z17" s="26"/>
      <c r="AA17" s="32"/>
      <c r="AB17" s="26"/>
      <c r="AC17" s="32"/>
    </row>
    <row r="18" spans="1:29">
      <c r="A18" s="196"/>
      <c r="B18" s="16"/>
      <c r="C18" s="16" t="s">
        <v>322</v>
      </c>
      <c r="D18" s="11"/>
      <c r="E18" s="13" t="s">
        <v>323</v>
      </c>
      <c r="F18" s="26"/>
      <c r="G18" s="32">
        <v>1</v>
      </c>
      <c r="H18" s="26"/>
      <c r="I18" s="32">
        <v>1</v>
      </c>
      <c r="J18" s="26"/>
      <c r="K18" s="32">
        <v>1</v>
      </c>
      <c r="L18" s="26"/>
      <c r="M18" s="32">
        <v>1</v>
      </c>
      <c r="N18" s="26"/>
      <c r="O18" s="32">
        <v>1</v>
      </c>
      <c r="P18" s="26"/>
      <c r="Q18" s="32">
        <v>1</v>
      </c>
      <c r="R18" s="26"/>
      <c r="S18" s="32"/>
      <c r="T18" s="26"/>
      <c r="U18" s="32"/>
      <c r="V18" s="26"/>
      <c r="W18" s="32"/>
      <c r="X18" s="26"/>
      <c r="Y18" s="32"/>
      <c r="Z18" s="26"/>
      <c r="AA18" s="32"/>
      <c r="AB18" s="26"/>
      <c r="AC18" s="32"/>
    </row>
    <row r="19" spans="1:29">
      <c r="A19" s="196"/>
      <c r="B19" s="16"/>
      <c r="C19" s="16" t="s">
        <v>245</v>
      </c>
      <c r="D19" s="11"/>
      <c r="E19" s="13" t="s">
        <v>102</v>
      </c>
      <c r="F19" s="26"/>
      <c r="G19" s="32">
        <v>3</v>
      </c>
      <c r="H19" s="26"/>
      <c r="I19" s="32">
        <v>3</v>
      </c>
      <c r="J19" s="26"/>
      <c r="K19" s="32">
        <v>3</v>
      </c>
      <c r="L19" s="26"/>
      <c r="M19" s="32">
        <v>3</v>
      </c>
      <c r="N19" s="26"/>
      <c r="O19" s="32">
        <v>3</v>
      </c>
      <c r="P19" s="26"/>
      <c r="Q19" s="32">
        <v>3</v>
      </c>
      <c r="R19" s="26"/>
      <c r="S19" s="32"/>
      <c r="T19" s="26"/>
      <c r="U19" s="32"/>
      <c r="V19" s="26"/>
      <c r="W19" s="32"/>
      <c r="X19" s="26"/>
      <c r="Y19" s="32"/>
      <c r="Z19" s="26"/>
      <c r="AA19" s="32"/>
      <c r="AB19" s="26"/>
      <c r="AC19" s="32"/>
    </row>
    <row r="20" spans="1:29">
      <c r="A20" s="196"/>
      <c r="B20" s="16"/>
      <c r="C20" s="16" t="s">
        <v>246</v>
      </c>
      <c r="D20" s="11"/>
      <c r="E20" s="13" t="s">
        <v>102</v>
      </c>
      <c r="F20" s="26"/>
      <c r="G20" s="32"/>
      <c r="H20" s="26"/>
      <c r="I20" s="32"/>
      <c r="J20" s="26"/>
      <c r="K20" s="32"/>
      <c r="L20" s="26"/>
      <c r="M20" s="32"/>
      <c r="N20" s="26"/>
      <c r="O20" s="32"/>
      <c r="P20" s="26"/>
      <c r="Q20" s="32"/>
      <c r="R20" s="26"/>
      <c r="S20" s="32"/>
      <c r="T20" s="26"/>
      <c r="U20" s="32"/>
      <c r="V20" s="26"/>
      <c r="W20" s="32"/>
      <c r="X20" s="26"/>
      <c r="Y20" s="32"/>
      <c r="Z20" s="26"/>
      <c r="AA20" s="32"/>
      <c r="AB20" s="26"/>
      <c r="AC20" s="32"/>
    </row>
    <row r="21" spans="1:29">
      <c r="A21" s="196"/>
      <c r="B21" s="16"/>
      <c r="C21" s="16" t="s">
        <v>247</v>
      </c>
      <c r="D21" s="11"/>
      <c r="E21" s="13" t="s">
        <v>107</v>
      </c>
      <c r="F21" s="26"/>
      <c r="G21" s="32"/>
      <c r="H21" s="26"/>
      <c r="I21" s="32"/>
      <c r="J21" s="26"/>
      <c r="K21" s="32"/>
      <c r="L21" s="26"/>
      <c r="M21" s="32"/>
      <c r="N21" s="26"/>
      <c r="O21" s="32"/>
      <c r="P21" s="26"/>
      <c r="Q21" s="32"/>
      <c r="R21" s="26"/>
      <c r="S21" s="32"/>
      <c r="T21" s="26"/>
      <c r="U21" s="32"/>
      <c r="V21" s="26"/>
      <c r="W21" s="32"/>
      <c r="X21" s="26"/>
      <c r="Y21" s="32"/>
      <c r="Z21" s="26"/>
      <c r="AA21" s="32"/>
      <c r="AB21" s="26"/>
      <c r="AC21" s="32"/>
    </row>
    <row r="22" spans="1:29">
      <c r="A22" s="196"/>
      <c r="B22" s="16"/>
      <c r="C22" s="16" t="s">
        <v>324</v>
      </c>
      <c r="D22" s="11"/>
      <c r="E22" s="13" t="s">
        <v>325</v>
      </c>
      <c r="F22" s="26"/>
      <c r="G22" s="32"/>
      <c r="H22" s="26"/>
      <c r="I22" s="32"/>
      <c r="J22" s="26"/>
      <c r="K22" s="32"/>
      <c r="L22" s="26"/>
      <c r="M22" s="32"/>
      <c r="N22" s="26"/>
      <c r="O22" s="32"/>
      <c r="P22" s="26"/>
      <c r="Q22" s="32"/>
      <c r="R22" s="26"/>
      <c r="S22" s="32"/>
      <c r="T22" s="26"/>
      <c r="U22" s="32"/>
      <c r="V22" s="26"/>
      <c r="W22" s="32"/>
      <c r="X22" s="26"/>
      <c r="Y22" s="32"/>
      <c r="Z22" s="26"/>
      <c r="AA22" s="32"/>
      <c r="AB22" s="26"/>
      <c r="AC22" s="32"/>
    </row>
    <row r="23" spans="1:29">
      <c r="A23" s="196"/>
      <c r="B23" s="16"/>
      <c r="C23" s="16" t="s">
        <v>324</v>
      </c>
      <c r="D23" s="11"/>
      <c r="E23" s="13" t="s">
        <v>326</v>
      </c>
      <c r="F23" s="26"/>
      <c r="G23" s="32">
        <v>15</v>
      </c>
      <c r="H23" s="26"/>
      <c r="I23" s="32">
        <v>13</v>
      </c>
      <c r="J23" s="26"/>
      <c r="K23" s="32">
        <v>20</v>
      </c>
      <c r="L23" s="26"/>
      <c r="M23" s="32">
        <v>24</v>
      </c>
      <c r="N23" s="26"/>
      <c r="O23" s="32">
        <v>11</v>
      </c>
      <c r="P23" s="26"/>
      <c r="Q23" s="32">
        <v>6</v>
      </c>
      <c r="R23" s="26"/>
      <c r="S23" s="32"/>
      <c r="T23" s="26"/>
      <c r="U23" s="32"/>
      <c r="V23" s="26"/>
      <c r="W23" s="32"/>
      <c r="X23" s="26"/>
      <c r="Y23" s="32"/>
      <c r="Z23" s="26"/>
      <c r="AA23" s="32"/>
      <c r="AB23" s="26"/>
      <c r="AC23" s="32"/>
    </row>
    <row r="24" spans="1:29" ht="15" customHeight="1">
      <c r="A24" s="196"/>
      <c r="B24" s="16"/>
      <c r="C24" s="39" t="s">
        <v>324</v>
      </c>
      <c r="D24" s="40"/>
      <c r="E24" s="85" t="s">
        <v>327</v>
      </c>
      <c r="F24" s="44"/>
      <c r="G24" s="45"/>
      <c r="H24" s="44"/>
      <c r="I24" s="45"/>
      <c r="J24" s="44"/>
      <c r="K24" s="45"/>
      <c r="L24" s="44"/>
      <c r="M24" s="45"/>
      <c r="N24" s="44"/>
      <c r="O24" s="45">
        <v>2</v>
      </c>
      <c r="P24" s="44"/>
      <c r="Q24" s="45"/>
      <c r="R24" s="44"/>
      <c r="S24" s="45"/>
      <c r="T24" s="44"/>
      <c r="U24" s="45"/>
      <c r="V24" s="44"/>
      <c r="W24" s="45"/>
      <c r="X24" s="44"/>
      <c r="Y24" s="45"/>
      <c r="Z24" s="44"/>
      <c r="AA24" s="45"/>
      <c r="AB24" s="44"/>
      <c r="AC24" s="45"/>
    </row>
    <row r="25" spans="1:29" ht="15" customHeight="1">
      <c r="A25" s="196"/>
      <c r="B25" s="39"/>
      <c r="C25" s="16" t="s">
        <v>395</v>
      </c>
      <c r="D25" s="11"/>
      <c r="E25" s="13">
        <v>10000</v>
      </c>
      <c r="F25" s="26"/>
      <c r="G25" s="32"/>
      <c r="H25" s="26"/>
      <c r="I25" s="32"/>
      <c r="J25" s="26"/>
      <c r="K25" s="32"/>
      <c r="L25" s="26"/>
      <c r="M25" s="32"/>
      <c r="N25" s="26"/>
      <c r="O25" s="32"/>
      <c r="P25" s="26"/>
      <c r="Q25" s="32"/>
      <c r="R25" s="26"/>
      <c r="S25" s="32"/>
      <c r="T25" s="26"/>
      <c r="U25" s="32"/>
      <c r="V25" s="26"/>
      <c r="W25" s="32"/>
      <c r="X25" s="26"/>
      <c r="Y25" s="32"/>
      <c r="Z25" s="26"/>
      <c r="AA25" s="32"/>
      <c r="AB25" s="26"/>
      <c r="AC25" s="32"/>
    </row>
    <row r="26" spans="1:29" ht="15" customHeight="1">
      <c r="A26" s="196"/>
      <c r="B26" s="16"/>
      <c r="C26" s="16" t="s">
        <v>395</v>
      </c>
      <c r="D26" s="11"/>
      <c r="E26" s="13">
        <v>1800</v>
      </c>
      <c r="F26" s="26"/>
      <c r="G26" s="32"/>
      <c r="H26" s="26"/>
      <c r="I26" s="32"/>
      <c r="J26" s="26"/>
      <c r="K26" s="32"/>
      <c r="L26" s="26"/>
      <c r="M26" s="32"/>
      <c r="N26" s="26"/>
      <c r="O26" s="32"/>
      <c r="P26" s="26"/>
      <c r="Q26" s="32"/>
      <c r="R26" s="26"/>
      <c r="S26" s="32"/>
      <c r="T26" s="26"/>
      <c r="U26" s="32"/>
      <c r="V26" s="26"/>
      <c r="W26" s="32"/>
      <c r="X26" s="26"/>
      <c r="Y26" s="32"/>
      <c r="Z26" s="26"/>
      <c r="AA26" s="32"/>
      <c r="AB26" s="26"/>
      <c r="AC26" s="32"/>
    </row>
    <row r="27" spans="1:29" hidden="1"/>
  </sheetData>
  <autoFilter ref="A3:AC3" xr:uid="{45082776-6C54-4322-AA75-1B0FD56EA4BB}"/>
  <mergeCells count="20">
    <mergeCell ref="A1:C1"/>
    <mergeCell ref="A4:A6"/>
    <mergeCell ref="A7:A26"/>
    <mergeCell ref="R2:S2"/>
    <mergeCell ref="T2:U2"/>
    <mergeCell ref="A2:A3"/>
    <mergeCell ref="B2:B3"/>
    <mergeCell ref="C2:C3"/>
    <mergeCell ref="D2:D3"/>
    <mergeCell ref="E2:E3"/>
    <mergeCell ref="V2:W2"/>
    <mergeCell ref="X2:Y2"/>
    <mergeCell ref="Z2:AA2"/>
    <mergeCell ref="AB2:AC2"/>
    <mergeCell ref="F2:G2"/>
    <mergeCell ref="H2:I2"/>
    <mergeCell ref="J2:K2"/>
    <mergeCell ref="L2:M2"/>
    <mergeCell ref="N2:O2"/>
    <mergeCell ref="P2:Q2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1C40-6E0C-49EB-BB15-5B83FD592C7D}">
  <sheetPr>
    <tabColor theme="9" tint="0.79998168889431442"/>
    <pageSetUpPr fitToPage="1"/>
  </sheetPr>
  <dimension ref="A1:AD12"/>
  <sheetViews>
    <sheetView view="pageBreakPreview" zoomScale="110" zoomScaleNormal="85" zoomScaleSheetLayoutView="110" workbookViewId="0">
      <pane xSplit="6" ySplit="3" topLeftCell="N4" activePane="bottomRight" state="frozen"/>
      <selection activeCell="Z95" sqref="Z95"/>
      <selection pane="topRight" activeCell="Z95" sqref="Z95"/>
      <selection pane="bottomLeft" activeCell="Z95" sqref="Z95"/>
      <selection pane="bottomRight" activeCell="E10" sqref="E10"/>
    </sheetView>
  </sheetViews>
  <sheetFormatPr defaultColWidth="8.75" defaultRowHeight="16.5"/>
  <cols>
    <col min="1" max="1" width="6.5" style="18" hidden="1" customWidth="1"/>
    <col min="2" max="2" width="20.75" style="19" customWidth="1"/>
    <col min="3" max="3" width="6.5" style="3" bestFit="1" customWidth="1"/>
    <col min="4" max="4" width="32.125" style="3" bestFit="1" customWidth="1"/>
    <col min="5" max="5" width="19.125" style="2" bestFit="1" customWidth="1"/>
    <col min="6" max="6" width="12.375" style="4" bestFit="1" customWidth="1"/>
    <col min="7" max="7" width="6.25" style="1" bestFit="1" customWidth="1"/>
    <col min="8" max="8" width="11.875" style="1" bestFit="1" customWidth="1"/>
    <col min="9" max="9" width="6.25" style="1" bestFit="1" customWidth="1"/>
    <col min="10" max="10" width="11.875" style="1" bestFit="1" customWidth="1"/>
    <col min="11" max="11" width="6.25" style="1" bestFit="1" customWidth="1"/>
    <col min="12" max="12" width="11.875" style="1" bestFit="1" customWidth="1"/>
    <col min="13" max="13" width="6.25" style="1" customWidth="1"/>
    <col min="14" max="14" width="11.875" style="1" customWidth="1"/>
    <col min="15" max="15" width="6.25" style="1" customWidth="1"/>
    <col min="16" max="16" width="11.875" style="1" customWidth="1"/>
    <col min="17" max="17" width="6.25" style="1" customWidth="1"/>
    <col min="18" max="18" width="11.875" style="1" customWidth="1"/>
    <col min="19" max="19" width="6.25" style="1" customWidth="1"/>
    <col min="20" max="20" width="11.875" style="1" customWidth="1"/>
    <col min="21" max="21" width="6.25" style="1" customWidth="1"/>
    <col min="22" max="22" width="11.875" style="1" customWidth="1"/>
    <col min="23" max="23" width="6.25" style="1" customWidth="1"/>
    <col min="24" max="24" width="11.875" style="1" customWidth="1"/>
    <col min="25" max="25" width="6.25" style="1" customWidth="1"/>
    <col min="26" max="26" width="11.875" style="1" customWidth="1"/>
    <col min="27" max="27" width="6.25" style="1" customWidth="1"/>
    <col min="28" max="28" width="11.875" style="1" customWidth="1"/>
    <col min="29" max="29" width="6.25" style="1" customWidth="1"/>
    <col min="30" max="30" width="11.875" style="1" customWidth="1"/>
    <col min="31" max="16384" width="8.75" style="1"/>
  </cols>
  <sheetData>
    <row r="1" spans="1:30" ht="30">
      <c r="A1" s="92"/>
      <c r="B1" s="195" t="s">
        <v>404</v>
      </c>
      <c r="C1" s="195"/>
      <c r="D1" s="195"/>
      <c r="E1" s="4"/>
      <c r="F1" s="1"/>
    </row>
    <row r="2" spans="1:30" s="86" customFormat="1" ht="18" customHeight="1">
      <c r="A2" s="217" t="s">
        <v>0</v>
      </c>
      <c r="B2" s="200" t="s">
        <v>1</v>
      </c>
      <c r="C2" s="201" t="s">
        <v>2</v>
      </c>
      <c r="D2" s="201" t="s">
        <v>341</v>
      </c>
      <c r="E2" s="201" t="s">
        <v>305</v>
      </c>
      <c r="F2" s="194" t="s">
        <v>393</v>
      </c>
      <c r="G2" s="193">
        <v>44774</v>
      </c>
      <c r="H2" s="193"/>
      <c r="I2" s="198">
        <v>44805</v>
      </c>
      <c r="J2" s="199"/>
      <c r="K2" s="193">
        <v>44835</v>
      </c>
      <c r="L2" s="193"/>
      <c r="M2" s="193">
        <v>44866</v>
      </c>
      <c r="N2" s="193"/>
      <c r="O2" s="193">
        <v>44896</v>
      </c>
      <c r="P2" s="193"/>
      <c r="Q2" s="193">
        <v>44927</v>
      </c>
      <c r="R2" s="193"/>
      <c r="S2" s="193">
        <v>44958</v>
      </c>
      <c r="T2" s="193"/>
      <c r="U2" s="193">
        <v>44986</v>
      </c>
      <c r="V2" s="193"/>
      <c r="W2" s="193">
        <v>45017</v>
      </c>
      <c r="X2" s="193"/>
      <c r="Y2" s="193">
        <v>45047</v>
      </c>
      <c r="Z2" s="193"/>
      <c r="AA2" s="193">
        <v>45078</v>
      </c>
      <c r="AB2" s="193"/>
      <c r="AC2" s="193">
        <v>45108</v>
      </c>
      <c r="AD2" s="193"/>
    </row>
    <row r="3" spans="1:30" s="87" customFormat="1">
      <c r="A3" s="218"/>
      <c r="B3" s="200"/>
      <c r="C3" s="202"/>
      <c r="D3" s="202"/>
      <c r="E3" s="202"/>
      <c r="F3" s="194"/>
      <c r="G3" s="82" t="s">
        <v>306</v>
      </c>
      <c r="H3" s="83" t="s">
        <v>342</v>
      </c>
      <c r="I3" s="82" t="s">
        <v>306</v>
      </c>
      <c r="J3" s="83" t="s">
        <v>342</v>
      </c>
      <c r="K3" s="82" t="s">
        <v>306</v>
      </c>
      <c r="L3" s="83" t="s">
        <v>342</v>
      </c>
      <c r="M3" s="82" t="s">
        <v>306</v>
      </c>
      <c r="N3" s="83" t="s">
        <v>342</v>
      </c>
      <c r="O3" s="82" t="s">
        <v>306</v>
      </c>
      <c r="P3" s="83" t="s">
        <v>342</v>
      </c>
      <c r="Q3" s="82" t="s">
        <v>306</v>
      </c>
      <c r="R3" s="83" t="s">
        <v>342</v>
      </c>
      <c r="S3" s="82" t="s">
        <v>306</v>
      </c>
      <c r="T3" s="83" t="s">
        <v>342</v>
      </c>
      <c r="U3" s="82" t="s">
        <v>306</v>
      </c>
      <c r="V3" s="83" t="s">
        <v>342</v>
      </c>
      <c r="W3" s="82" t="s">
        <v>306</v>
      </c>
      <c r="X3" s="83" t="s">
        <v>342</v>
      </c>
      <c r="Y3" s="82" t="s">
        <v>306</v>
      </c>
      <c r="Z3" s="83" t="s">
        <v>342</v>
      </c>
      <c r="AA3" s="82" t="s">
        <v>306</v>
      </c>
      <c r="AB3" s="83" t="s">
        <v>342</v>
      </c>
      <c r="AC3" s="82" t="s">
        <v>306</v>
      </c>
      <c r="AD3" s="83" t="s">
        <v>342</v>
      </c>
    </row>
    <row r="4" spans="1:30">
      <c r="A4" s="214" t="s">
        <v>144</v>
      </c>
      <c r="B4" s="196" t="s">
        <v>145</v>
      </c>
      <c r="C4" s="14" t="s">
        <v>4</v>
      </c>
      <c r="D4" s="14"/>
      <c r="E4" s="9" t="s">
        <v>236</v>
      </c>
      <c r="F4" s="6">
        <v>1680</v>
      </c>
      <c r="G4" s="24">
        <f>164+9.5</f>
        <v>173.5</v>
      </c>
      <c r="H4" s="30"/>
      <c r="I4" s="24">
        <f>172.5+13.5</f>
        <v>186</v>
      </c>
      <c r="J4" s="30"/>
      <c r="K4" s="24">
        <f>138.5+17</f>
        <v>155.5</v>
      </c>
      <c r="L4" s="30"/>
      <c r="M4" s="24">
        <f>162.5+12</f>
        <v>174.5</v>
      </c>
      <c r="N4" s="30"/>
      <c r="O4" s="24">
        <f>155.5+14</f>
        <v>169.5</v>
      </c>
      <c r="P4" s="30"/>
      <c r="Q4" s="24">
        <f>160.5+10.5</f>
        <v>171</v>
      </c>
      <c r="R4" s="30"/>
      <c r="S4" s="24"/>
      <c r="T4" s="30"/>
      <c r="U4" s="24"/>
      <c r="V4" s="30"/>
      <c r="W4" s="24"/>
      <c r="X4" s="30"/>
      <c r="Y4" s="24"/>
      <c r="Z4" s="30"/>
      <c r="AA4" s="24"/>
      <c r="AB4" s="30"/>
      <c r="AC4" s="24"/>
      <c r="AD4" s="30"/>
    </row>
    <row r="5" spans="1:30">
      <c r="A5" s="215"/>
      <c r="B5" s="196"/>
      <c r="C5" s="16" t="s">
        <v>4</v>
      </c>
      <c r="D5" s="16"/>
      <c r="E5" s="11" t="s">
        <v>237</v>
      </c>
      <c r="F5" s="10">
        <v>1680</v>
      </c>
      <c r="G5" s="26">
        <f>172.5+9.5</f>
        <v>182</v>
      </c>
      <c r="H5" s="32"/>
      <c r="I5" s="26">
        <f>181+4</f>
        <v>185</v>
      </c>
      <c r="J5" s="32"/>
      <c r="K5" s="26">
        <f>178+12.5</f>
        <v>190.5</v>
      </c>
      <c r="L5" s="32"/>
      <c r="M5" s="26">
        <f>175.5+10</f>
        <v>185.5</v>
      </c>
      <c r="N5" s="32"/>
      <c r="O5" s="26">
        <f>164+10</f>
        <v>174</v>
      </c>
      <c r="P5" s="32"/>
      <c r="Q5" s="26">
        <f>130+9</f>
        <v>139</v>
      </c>
      <c r="R5" s="32"/>
      <c r="S5" s="26"/>
      <c r="T5" s="32"/>
      <c r="U5" s="26"/>
      <c r="V5" s="32"/>
      <c r="W5" s="26"/>
      <c r="X5" s="32"/>
      <c r="Y5" s="26"/>
      <c r="Z5" s="32"/>
      <c r="AA5" s="26"/>
      <c r="AB5" s="32"/>
      <c r="AC5" s="26"/>
      <c r="AD5" s="32"/>
    </row>
    <row r="6" spans="1:30">
      <c r="A6" s="215"/>
      <c r="B6" s="196"/>
      <c r="C6" s="15" t="s">
        <v>4</v>
      </c>
      <c r="D6" s="15"/>
      <c r="E6" s="17" t="s">
        <v>238</v>
      </c>
      <c r="F6" s="8">
        <v>1680</v>
      </c>
      <c r="G6" s="27">
        <f>99+12</f>
        <v>111</v>
      </c>
      <c r="H6" s="33"/>
      <c r="I6" s="27">
        <f>181+19.5</f>
        <v>200.5</v>
      </c>
      <c r="J6" s="33"/>
      <c r="K6" s="27">
        <f>184.5+17</f>
        <v>201.5</v>
      </c>
      <c r="L6" s="33"/>
      <c r="M6" s="27">
        <f>178+15.5</f>
        <v>193.5</v>
      </c>
      <c r="N6" s="33"/>
      <c r="O6" s="27">
        <f>172.5+8.5</f>
        <v>181</v>
      </c>
      <c r="P6" s="33"/>
      <c r="Q6" s="27">
        <f>164+9.5</f>
        <v>173.5</v>
      </c>
      <c r="R6" s="33"/>
      <c r="S6" s="27"/>
      <c r="T6" s="33"/>
      <c r="U6" s="27"/>
      <c r="V6" s="33"/>
      <c r="W6" s="27"/>
      <c r="X6" s="33"/>
      <c r="Y6" s="27"/>
      <c r="Z6" s="33"/>
      <c r="AA6" s="27"/>
      <c r="AB6" s="33"/>
      <c r="AC6" s="27"/>
      <c r="AD6" s="33"/>
    </row>
    <row r="7" spans="1:30">
      <c r="A7" s="215"/>
      <c r="B7" s="196" t="s">
        <v>55</v>
      </c>
      <c r="C7" s="14" t="s">
        <v>4</v>
      </c>
      <c r="D7" s="14" t="s">
        <v>260</v>
      </c>
      <c r="E7" s="9"/>
      <c r="F7" s="6" t="s">
        <v>146</v>
      </c>
      <c r="G7" s="24"/>
      <c r="H7" s="30" t="s">
        <v>554</v>
      </c>
      <c r="I7" s="24"/>
      <c r="J7" s="30" t="s">
        <v>564</v>
      </c>
      <c r="K7" s="24"/>
      <c r="L7" s="30" t="s">
        <v>577</v>
      </c>
      <c r="M7" s="24"/>
      <c r="N7" s="30">
        <v>558</v>
      </c>
      <c r="O7" s="24"/>
      <c r="P7" s="30">
        <v>528</v>
      </c>
      <c r="Q7" s="24"/>
      <c r="R7" s="30">
        <v>418</v>
      </c>
      <c r="S7" s="24"/>
      <c r="T7" s="30"/>
      <c r="U7" s="24"/>
      <c r="V7" s="30"/>
      <c r="W7" s="24"/>
      <c r="X7" s="30"/>
      <c r="Y7" s="24"/>
      <c r="Z7" s="30"/>
      <c r="AA7" s="24"/>
      <c r="AB7" s="30"/>
      <c r="AC7" s="24"/>
      <c r="AD7" s="30"/>
    </row>
    <row r="8" spans="1:30">
      <c r="A8" s="215"/>
      <c r="B8" s="196"/>
      <c r="C8" s="16" t="s">
        <v>4</v>
      </c>
      <c r="D8" s="16" t="s">
        <v>64</v>
      </c>
      <c r="E8" s="11"/>
      <c r="F8" s="10" t="s">
        <v>147</v>
      </c>
      <c r="G8" s="26"/>
      <c r="H8" s="32" t="s">
        <v>555</v>
      </c>
      <c r="I8" s="26"/>
      <c r="J8" s="32" t="s">
        <v>565</v>
      </c>
      <c r="K8" s="26"/>
      <c r="L8" s="32" t="s">
        <v>578</v>
      </c>
      <c r="M8" s="26"/>
      <c r="N8" s="32">
        <v>20</v>
      </c>
      <c r="O8" s="26"/>
      <c r="P8" s="32">
        <v>19</v>
      </c>
      <c r="Q8" s="26"/>
      <c r="R8" s="32">
        <v>14</v>
      </c>
      <c r="S8" s="26"/>
      <c r="T8" s="32"/>
      <c r="U8" s="26"/>
      <c r="V8" s="32"/>
      <c r="W8" s="26"/>
      <c r="X8" s="32"/>
      <c r="Y8" s="26"/>
      <c r="Z8" s="32"/>
      <c r="AA8" s="26"/>
      <c r="AB8" s="32"/>
      <c r="AC8" s="26"/>
      <c r="AD8" s="32"/>
    </row>
    <row r="9" spans="1:30">
      <c r="A9" s="215"/>
      <c r="B9" s="196"/>
      <c r="C9" s="15" t="s">
        <v>4</v>
      </c>
      <c r="D9" s="15" t="s">
        <v>241</v>
      </c>
      <c r="E9" s="17"/>
      <c r="F9" s="8" t="s">
        <v>148</v>
      </c>
      <c r="G9" s="27"/>
      <c r="H9" s="33" t="s">
        <v>556</v>
      </c>
      <c r="I9" s="27"/>
      <c r="J9" s="33" t="s">
        <v>566</v>
      </c>
      <c r="K9" s="27"/>
      <c r="L9" s="33" t="s">
        <v>579</v>
      </c>
      <c r="M9" s="27"/>
      <c r="N9" s="33">
        <v>3914</v>
      </c>
      <c r="O9" s="27"/>
      <c r="P9" s="33">
        <v>3145</v>
      </c>
      <c r="Q9" s="27"/>
      <c r="R9" s="33">
        <v>3748</v>
      </c>
      <c r="S9" s="27"/>
      <c r="T9" s="33"/>
      <c r="U9" s="27"/>
      <c r="V9" s="33"/>
      <c r="W9" s="27"/>
      <c r="X9" s="33"/>
      <c r="Y9" s="27"/>
      <c r="Z9" s="33"/>
      <c r="AA9" s="27"/>
      <c r="AB9" s="33"/>
      <c r="AC9" s="27"/>
      <c r="AD9" s="33"/>
    </row>
    <row r="10" spans="1:30">
      <c r="A10" s="215"/>
      <c r="B10" s="196" t="s">
        <v>40</v>
      </c>
      <c r="C10" s="14" t="s">
        <v>4</v>
      </c>
      <c r="D10" s="14" t="s">
        <v>239</v>
      </c>
      <c r="E10" s="9" t="s">
        <v>240</v>
      </c>
      <c r="F10" s="6" t="s">
        <v>149</v>
      </c>
      <c r="G10" s="24">
        <v>177</v>
      </c>
      <c r="H10" s="30"/>
      <c r="I10" s="24">
        <f>154+21</f>
        <v>175</v>
      </c>
      <c r="J10" s="30"/>
      <c r="K10" s="24">
        <v>168.5</v>
      </c>
      <c r="L10" s="30"/>
      <c r="M10" s="24">
        <f>171+32.5</f>
        <v>203.5</v>
      </c>
      <c r="N10" s="91"/>
      <c r="O10" s="24">
        <f>200.5-O11-O12</f>
        <v>152</v>
      </c>
      <c r="P10" s="30"/>
      <c r="Q10" s="24">
        <v>161</v>
      </c>
      <c r="R10" s="77"/>
      <c r="S10" s="24"/>
      <c r="T10" s="30"/>
      <c r="U10" s="24"/>
      <c r="V10" s="30"/>
      <c r="W10" s="24"/>
      <c r="X10" s="30"/>
      <c r="Y10" s="24"/>
      <c r="Z10" s="102"/>
      <c r="AA10" s="24"/>
      <c r="AB10" s="102"/>
      <c r="AC10" s="24"/>
      <c r="AD10" s="102"/>
    </row>
    <row r="11" spans="1:30">
      <c r="A11" s="215"/>
      <c r="B11" s="196"/>
      <c r="C11" s="16" t="s">
        <v>4</v>
      </c>
      <c r="D11" s="11" t="s">
        <v>150</v>
      </c>
      <c r="E11" s="11"/>
      <c r="F11" s="10">
        <v>1500</v>
      </c>
      <c r="G11" s="26"/>
      <c r="H11" s="32"/>
      <c r="I11" s="26"/>
      <c r="J11" s="32"/>
      <c r="K11" s="26">
        <v>16.5</v>
      </c>
      <c r="L11" s="32"/>
      <c r="M11" s="26">
        <v>11</v>
      </c>
      <c r="N11" s="32"/>
      <c r="O11" s="26">
        <v>11</v>
      </c>
      <c r="P11" s="32"/>
      <c r="Q11" s="26">
        <v>11</v>
      </c>
      <c r="R11" s="32"/>
      <c r="S11" s="26"/>
      <c r="T11" s="32"/>
      <c r="U11" s="26"/>
      <c r="V11" s="32"/>
      <c r="W11" s="26"/>
      <c r="X11" s="32"/>
      <c r="Y11" s="26"/>
      <c r="Z11" s="32"/>
      <c r="AA11" s="26"/>
      <c r="AB11" s="32"/>
      <c r="AC11" s="26"/>
      <c r="AD11" s="32"/>
    </row>
    <row r="12" spans="1:30">
      <c r="A12" s="216"/>
      <c r="B12" s="196"/>
      <c r="C12" s="15" t="s">
        <v>4</v>
      </c>
      <c r="D12" s="17" t="s">
        <v>151</v>
      </c>
      <c r="E12" s="17"/>
      <c r="F12" s="8">
        <v>1750</v>
      </c>
      <c r="G12" s="27"/>
      <c r="H12" s="33"/>
      <c r="I12" s="27"/>
      <c r="J12" s="33"/>
      <c r="K12" s="27">
        <v>28.5</v>
      </c>
      <c r="L12" s="33"/>
      <c r="M12" s="27">
        <v>32.5</v>
      </c>
      <c r="N12" s="33"/>
      <c r="O12" s="27">
        <v>37.5</v>
      </c>
      <c r="P12" s="33"/>
      <c r="Q12" s="27">
        <v>15</v>
      </c>
      <c r="R12" s="33"/>
      <c r="S12" s="27"/>
      <c r="T12" s="33"/>
      <c r="U12" s="27"/>
      <c r="V12" s="33"/>
      <c r="W12" s="27"/>
      <c r="X12" s="33"/>
      <c r="Y12" s="27"/>
      <c r="Z12" s="33"/>
      <c r="AA12" s="27"/>
      <c r="AB12" s="33"/>
      <c r="AC12" s="27"/>
      <c r="AD12" s="33"/>
    </row>
  </sheetData>
  <mergeCells count="23">
    <mergeCell ref="C2:C3"/>
    <mergeCell ref="A4:A12"/>
    <mergeCell ref="B4:B6"/>
    <mergeCell ref="B7:B9"/>
    <mergeCell ref="B10:B12"/>
    <mergeCell ref="A2:A3"/>
    <mergeCell ref="B2:B3"/>
    <mergeCell ref="D2:D3"/>
    <mergeCell ref="E2:E3"/>
    <mergeCell ref="F2:F3"/>
    <mergeCell ref="B1:D1"/>
    <mergeCell ref="AC2:AD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phoneticPr fontId="2"/>
  <pageMargins left="0.51181102362204722" right="3.937007874015748E-2" top="0.74803149606299213" bottom="0.35433070866141736" header="0.31496062992125984" footer="0.11811023622047245"/>
  <pageSetup paperSize="8" scale="60" fitToHeight="0" orientation="landscape" r:id="rId1"/>
  <headerFooter>
    <oddHeader>&amp;L&amp;14人材派遣契約単価一覧&amp;R　　　</oddHeader>
    <oddFooter>&amp;C&amp;P/&amp;N&amp;R業務推進本部</oddFooter>
  </headerFooter>
  <rowBreaks count="1" manualBreakCount="1">
    <brk id="12" max="2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26</vt:i4>
      </vt:variant>
    </vt:vector>
  </HeadingPairs>
  <TitlesOfParts>
    <vt:vector size="40" baseType="lpstr">
      <vt:lpstr>戸田</vt:lpstr>
      <vt:lpstr>栃木</vt:lpstr>
      <vt:lpstr>千葉</vt:lpstr>
      <vt:lpstr>足立</vt:lpstr>
      <vt:lpstr>川口弥平</vt:lpstr>
      <vt:lpstr>名古屋</vt:lpstr>
      <vt:lpstr>川口朝日</vt:lpstr>
      <vt:lpstr>川崎</vt:lpstr>
      <vt:lpstr>日光</vt:lpstr>
      <vt:lpstr>群馬</vt:lpstr>
      <vt:lpstr>宇都宮</vt:lpstr>
      <vt:lpstr>Sheet1</vt:lpstr>
      <vt:lpstr>川越</vt:lpstr>
      <vt:lpstr>阿見</vt:lpstr>
      <vt:lpstr>阿見!Print_Area</vt:lpstr>
      <vt:lpstr>宇都宮!Print_Area</vt:lpstr>
      <vt:lpstr>群馬!Print_Area</vt:lpstr>
      <vt:lpstr>戸田!Print_Area</vt:lpstr>
      <vt:lpstr>千葉!Print_Area</vt:lpstr>
      <vt:lpstr>川越!Print_Area</vt:lpstr>
      <vt:lpstr>川口朝日!Print_Area</vt:lpstr>
      <vt:lpstr>川口弥平!Print_Area</vt:lpstr>
      <vt:lpstr>川崎!Print_Area</vt:lpstr>
      <vt:lpstr>足立!Print_Area</vt:lpstr>
      <vt:lpstr>栃木!Print_Area</vt:lpstr>
      <vt:lpstr>日光!Print_Area</vt:lpstr>
      <vt:lpstr>名古屋!Print_Area</vt:lpstr>
      <vt:lpstr>阿見!Print_Titles</vt:lpstr>
      <vt:lpstr>宇都宮!Print_Titles</vt:lpstr>
      <vt:lpstr>群馬!Print_Titles</vt:lpstr>
      <vt:lpstr>戸田!Print_Titles</vt:lpstr>
      <vt:lpstr>千葉!Print_Titles</vt:lpstr>
      <vt:lpstr>川越!Print_Titles</vt:lpstr>
      <vt:lpstr>川口朝日!Print_Titles</vt:lpstr>
      <vt:lpstr>川口弥平!Print_Titles</vt:lpstr>
      <vt:lpstr>川崎!Print_Titles</vt:lpstr>
      <vt:lpstr>足立!Print_Titles</vt:lpstr>
      <vt:lpstr>栃木!Print_Titles</vt:lpstr>
      <vt:lpstr>日光!Print_Titles</vt:lpstr>
      <vt:lpstr>名古屋!Print_Titles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遠井綾</dc:creator>
  <cp:lastModifiedBy>幸雄 塩崎</cp:lastModifiedBy>
  <cp:lastPrinted>2022-08-17T07:00:13Z</cp:lastPrinted>
  <dcterms:created xsi:type="dcterms:W3CDTF">2021-10-30T00:30:23Z</dcterms:created>
  <dcterms:modified xsi:type="dcterms:W3CDTF">2023-10-15T00:17:28Z</dcterms:modified>
</cp:coreProperties>
</file>