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showInkAnnotation="0" defaultThemeVersion="166925"/>
  <xr:revisionPtr revIDLastSave="599" documentId="8_{461B4BAD-1220-468A-A796-06862115009B}" xr6:coauthVersionLast="47" xr6:coauthVersionMax="47" xr10:uidLastSave="{63468A14-CDD3-47ED-B735-81C7C2D0374E}"/>
  <bookViews>
    <workbookView xWindow="0" yWindow="0" windowWidth="0" windowHeight="0" xr2:uid="{00000000-000D-0000-FFFF-FFFF00000000}"/>
  </bookViews>
  <sheets>
    <sheet name="Instrument costings" sheetId="1" r:id="rId1"/>
    <sheet name="Researcher savings in time" sheetId="4" r:id="rId2"/>
    <sheet name="Hypothetical Replacements" sheetId="2" r:id="rId3"/>
    <sheet name="Tape calculation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D17" i="1"/>
  <c r="D16" i="1"/>
  <c r="D15" i="1"/>
  <c r="B7" i="3"/>
  <c r="B9" i="4"/>
  <c r="B4" i="4"/>
  <c r="B8" i="4" s="1"/>
  <c r="C6" i="4"/>
  <c r="I15" i="3"/>
  <c r="C32" i="3"/>
  <c r="C33" i="3"/>
  <c r="B21" i="3"/>
  <c r="I17" i="3" s="1"/>
  <c r="B16" i="3"/>
  <c r="I16" i="3" s="1"/>
  <c r="G7" i="3"/>
  <c r="B9" i="3"/>
  <c r="B10" i="3" s="1"/>
  <c r="B12" i="3" s="1"/>
  <c r="J2" i="1"/>
  <c r="J22" i="1"/>
  <c r="J21" i="1"/>
  <c r="J20" i="1"/>
  <c r="J19" i="1"/>
  <c r="J15" i="1"/>
  <c r="J12" i="1"/>
  <c r="J10" i="1"/>
  <c r="J6" i="1"/>
  <c r="J4" i="1"/>
  <c r="M2" i="1"/>
  <c r="C16" i="1"/>
  <c r="K15" i="1"/>
  <c r="I15" i="1"/>
  <c r="H15" i="1"/>
  <c r="G15" i="1"/>
  <c r="A15" i="1"/>
  <c r="A16" i="1"/>
  <c r="M15" i="1"/>
  <c r="P15" i="1" s="1"/>
  <c r="K6" i="1"/>
  <c r="H6" i="1"/>
  <c r="G6" i="1"/>
  <c r="I6" i="1"/>
  <c r="L2" i="1"/>
  <c r="L10" i="1"/>
  <c r="L4" i="1"/>
  <c r="K4" i="1"/>
  <c r="I4" i="1"/>
  <c r="H4" i="1"/>
  <c r="G4" i="1"/>
  <c r="F2" i="1"/>
  <c r="K22" i="1"/>
  <c r="I22" i="1"/>
  <c r="H22" i="1"/>
  <c r="G22" i="1"/>
  <c r="K21" i="1"/>
  <c r="I21" i="1"/>
  <c r="H21" i="1"/>
  <c r="G21" i="1"/>
  <c r="K20" i="1"/>
  <c r="I20" i="1"/>
  <c r="H20" i="1"/>
  <c r="G20" i="1"/>
  <c r="K19" i="1"/>
  <c r="I19" i="1"/>
  <c r="H19" i="1"/>
  <c r="G19" i="1"/>
  <c r="C17" i="1"/>
  <c r="J17" i="1" s="1"/>
  <c r="K17" i="1"/>
  <c r="I17" i="1"/>
  <c r="O17" i="1" s="1"/>
  <c r="H17" i="1"/>
  <c r="G17" i="1"/>
  <c r="K16" i="1"/>
  <c r="I16" i="1"/>
  <c r="O16" i="1" s="1"/>
  <c r="H16" i="1"/>
  <c r="G16" i="1"/>
  <c r="K12" i="1"/>
  <c r="I12" i="1"/>
  <c r="H12" i="1"/>
  <c r="G12" i="1"/>
  <c r="K10" i="1"/>
  <c r="I10" i="1"/>
  <c r="H10" i="1"/>
  <c r="G10" i="1"/>
  <c r="G9" i="1" s="1"/>
  <c r="F47" i="1"/>
  <c r="F48" i="1" s="1"/>
  <c r="F49" i="1" s="1"/>
  <c r="F50" i="1" s="1"/>
  <c r="F51" i="1" s="1"/>
  <c r="F52" i="1" s="1"/>
  <c r="F53" i="1" s="1"/>
  <c r="F54" i="1" s="1"/>
  <c r="F55" i="1" s="1"/>
  <c r="J16" i="1" l="1"/>
  <c r="E23" i="1"/>
  <c r="C34" i="3"/>
  <c r="C35" i="3" s="1"/>
  <c r="B26" i="3" s="1"/>
  <c r="I18" i="3" s="1"/>
  <c r="I19" i="3" s="1"/>
  <c r="K19" i="3" s="1"/>
  <c r="H9" i="1"/>
  <c r="I9" i="1"/>
  <c r="K9" i="1"/>
  <c r="L9" i="1"/>
  <c r="J9" i="1"/>
  <c r="Q15" i="1"/>
  <c r="N15" i="1"/>
  <c r="L6" i="1"/>
  <c r="L15" i="1"/>
  <c r="O15" i="1"/>
  <c r="L17" i="1"/>
  <c r="M17" i="1"/>
  <c r="P17" i="1" s="1"/>
  <c r="F4" i="1"/>
  <c r="F6" i="1"/>
  <c r="M22" i="1"/>
  <c r="M21" i="1"/>
  <c r="M20" i="1"/>
  <c r="M19" i="1"/>
  <c r="M16" i="1"/>
  <c r="P16" i="1" s="1"/>
  <c r="M12" i="1"/>
  <c r="M6" i="1"/>
  <c r="M4" i="1"/>
  <c r="M10" i="1"/>
  <c r="M9" i="1" s="1"/>
  <c r="L22" i="1"/>
  <c r="L21" i="1"/>
  <c r="L20" i="1"/>
  <c r="L19" i="1"/>
  <c r="L16" i="1"/>
  <c r="L12" i="1"/>
  <c r="F22" i="1"/>
  <c r="N22" i="1" s="1"/>
  <c r="F21" i="1"/>
  <c r="N21" i="1" s="1"/>
  <c r="F20" i="1"/>
  <c r="N20" i="1" s="1"/>
  <c r="F17" i="1"/>
  <c r="F19" i="1"/>
  <c r="N19" i="1" s="1"/>
  <c r="F16" i="1"/>
  <c r="F12" i="1"/>
  <c r="F10" i="1"/>
  <c r="F9" i="1" s="1"/>
  <c r="Q16" i="1" l="1"/>
  <c r="N16" i="1"/>
  <c r="Q17" i="1"/>
  <c r="N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tc={28D601E3-5DA9-4BD7-80E7-DF1C44348859}</author>
  </authors>
  <commentList>
    <comment ref="F4" authorId="0" shapeId="0" xr:uid="{28D601E3-5DA9-4BD7-80E7-DF1C44348859}">
      <text>
        <t>[Threaded comment]
Your version of Excel allows you to read this threaded comment; however, any edits to it will get removed if the file is opened in a newer version of Excel. Learn more: https://go.microsoft.com/fwlink/?linkid=870924
Comment:
    S3 seems to be close to ~$5M for 1PB for 5 years. I don't really understand this table.
Reply:
    This is a comparison to the cost of running the same storage on S3.
Reply:
    That is why F4 is 100% in the AWS column.
Reply:
    E4 is wrong then.
Reply:
    Why are E2 and F2 different?
Reply:
    For 1PB, WEHI is $1M. S3 is 4860000 for 5 years (based on E2).
Reply:
    Why is E4 wrong? It is E2/F2 in a %?
Reply:
    I think there is a misunderstanding. Each column is a different storage tier.</t>
      </text>
    </comment>
  </commentList>
</comments>
</file>

<file path=xl/sharedStrings.xml><?xml version="1.0" encoding="utf-8"?>
<sst xmlns="http://schemas.openxmlformats.org/spreadsheetml/2006/main" count="124" uniqueCount="113">
  <si>
    <t>TB of data</t>
  </si>
  <si>
    <t>WEHI $1000/tb one off</t>
  </si>
  <si>
    <t>aws s3 (500TB+)</t>
  </si>
  <si>
    <t>aws deep glacier</t>
  </si>
  <si>
    <t>ceph unimelb one off</t>
  </si>
  <si>
    <t>Tape LTO8 (not including drives)</t>
  </si>
  <si>
    <t>ceph unimelb aggregate</t>
  </si>
  <si>
    <t>10TB HDD Officeworks</t>
  </si>
  <si>
    <t>45d ceph server</t>
  </si>
  <si>
    <t>GB/month AUD</t>
  </si>
  <si>
    <t>Confidence Level of the amount</t>
  </si>
  <si>
    <t>Comparison</t>
  </si>
  <si>
    <t>High</t>
  </si>
  <si>
    <t>Low</t>
  </si>
  <si>
    <t>Medium-Low</t>
  </si>
  <si>
    <t>Medium</t>
  </si>
  <si>
    <t>% of S3 price</t>
  </si>
  <si>
    <t>Accumulation multiplier over 5 years</t>
  </si>
  <si>
    <t>$ per PB (over 5 years non-accumulated)</t>
  </si>
  <si>
    <t>% of S3 price after accumulation</t>
  </si>
  <si>
    <t>Update TB in the yellow per year</t>
  </si>
  <si>
    <t>tb per year =&gt; total costs over 5 years</t>
  </si>
  <si>
    <t>OR</t>
  </si>
  <si>
    <t>Update TB in the yellow per day</t>
  </si>
  <si>
    <t>tb per day =&gt; total costs over 5 years</t>
  </si>
  <si>
    <t>GB per day</t>
  </si>
  <si>
    <t>TB over 5 years</t>
  </si>
  <si>
    <t>$100k FTE diff hire</t>
  </si>
  <si>
    <t>Glacier % cost (no analysis)</t>
  </si>
  <si>
    <t>45d servers %</t>
  </si>
  <si>
    <t>WEHI current %</t>
  </si>
  <si>
    <t>Krios Beam-shift collection @100%</t>
  </si>
  <si>
    <t>GB per day =&gt; total costs over 5 years</t>
  </si>
  <si>
    <t>Krios Beam-shift collection @30%</t>
  </si>
  <si>
    <t>Confocal PC3 2TB per week</t>
  </si>
  <si>
    <t>Imaging ATB</t>
  </si>
  <si>
    <t>Flow Cytometry ATB</t>
  </si>
  <si>
    <t>High throughput screening ATB</t>
  </si>
  <si>
    <t>Colonial ATB</t>
  </si>
  <si>
    <t>Assumptions</t>
  </si>
  <si>
    <t>Instrument lasts 5 years</t>
  </si>
  <si>
    <t>45d not taking into account staff and electricity and space and assuming 5 year warranty</t>
  </si>
  <si>
    <t>Unimelb taking into account ????</t>
  </si>
  <si>
    <t>Instrument does work on 1 day per year at start of year</t>
  </si>
  <si>
    <t>WEHI taking into account other factors</t>
  </si>
  <si>
    <t>Would like to have something showing movement to tape</t>
  </si>
  <si>
    <t>TCO of instrument</t>
  </si>
  <si>
    <t>Focus on raw data or analysis data too?</t>
  </si>
  <si>
    <t>Year</t>
  </si>
  <si>
    <t>Accumulation Multiplier</t>
  </si>
  <si>
    <t>Graphical representation</t>
  </si>
  <si>
    <t xml:space="preserve">weeks per year </t>
  </si>
  <si>
    <t>hours per week</t>
  </si>
  <si>
    <t>Average salary (A3) pa</t>
  </si>
  <si>
    <t>hourly rate</t>
  </si>
  <si>
    <t>researchers at WEHI</t>
  </si>
  <si>
    <t>Time saved hours per week</t>
  </si>
  <si>
    <t>minutes</t>
  </si>
  <si>
    <t>Savings</t>
  </si>
  <si>
    <t>Savings over 3 years</t>
  </si>
  <si>
    <t>Tape System</t>
  </si>
  <si>
    <t>Quantity</t>
  </si>
  <si>
    <t>$$/unit</t>
  </si>
  <si>
    <t>Total $$</t>
  </si>
  <si>
    <t>tapes (LTO8)</t>
  </si>
  <si>
    <t>https://www.kogan.com/au/buy/jw-computers-ibm-lto-ultrium-8-tape-drive-12tb-01pl041-501401/?utm_source=bing&amp;utm_medium=cpc&amp;utm_campaign=Bing+PLAs&amp;utm_term=1101400107879&amp;utm_content=Ad+group+%231</t>
  </si>
  <si>
    <t>Libraries</t>
  </si>
  <si>
    <t>Licensed slots</t>
  </si>
  <si>
    <t>Drives</t>
  </si>
  <si>
    <t>$20k</t>
  </si>
  <si>
    <t>Pricing estimate for 6 LTO-8 drives was $120k, support pricing unknown. </t>
  </si>
  <si>
    <t>Other Licenses?</t>
  </si>
  <si>
    <t>Library + licensing</t>
  </si>
  <si>
    <t>approx $1000000, currently holding ~10PB primary copy data</t>
  </si>
  <si>
    <t>Tape Cost</t>
  </si>
  <si>
    <t>approx $150 per tape - LTO8 tapes 15TB, you need two tapes to allow for offsite duplication</t>
  </si>
  <si>
    <t>People time</t>
  </si>
  <si>
    <t>About 20% of Migs time - WEHI uses $400/day, so about $20k/year</t>
  </si>
  <si>
    <t>Total data (TB)</t>
  </si>
  <si>
    <t>ish</t>
  </si>
  <si>
    <t>actual value</t>
  </si>
  <si>
    <t>Capacity/tape (TB)</t>
  </si>
  <si>
    <t>Not accounting for multiple tape versions over life of data</t>
  </si>
  <si>
    <t>Required tapes - primary copy</t>
  </si>
  <si>
    <t>not accounting for migration to new system - costs and time (could get this from asking vendors etc - what would it cost to move XPB of data to new versions)</t>
  </si>
  <si>
    <t>Required tapes - total (offsite dup)</t>
  </si>
  <si>
    <t>Only looking at 5 years</t>
  </si>
  <si>
    <t>Cost/tape</t>
  </si>
  <si>
    <t>Excluding networking/infrastructure other than strictly tape</t>
  </si>
  <si>
    <t>Total tape cost ($$)</t>
  </si>
  <si>
    <t>Excluding space/rack costs</t>
  </si>
  <si>
    <t>Offsite duplication will continue</t>
  </si>
  <si>
    <t>Number in PB</t>
  </si>
  <si>
    <t>Ratio of data to drives should be maintained at current level (ie 24 drives for 12PB primary copy data)</t>
  </si>
  <si>
    <t>Fixed costs over 5 years</t>
  </si>
  <si>
    <t>Number of TB</t>
  </si>
  <si>
    <t>Excluded support costs for additional drives</t>
  </si>
  <si>
    <t>Fixed Costs</t>
  </si>
  <si>
    <t>Library + licensing (for up to 10PB)</t>
  </si>
  <si>
    <t>Variable costs</t>
  </si>
  <si>
    <t>Variable costs (&gt;10PB)</t>
  </si>
  <si>
    <t>Total</t>
  </si>
  <si>
    <t>Variable Costs (per TB), up to 10PB</t>
  </si>
  <si>
    <t>Tape Cost (per TB primary copy data)</t>
  </si>
  <si>
    <t>PB</t>
  </si>
  <si>
    <t>Cost</t>
  </si>
  <si>
    <t>Variable Costs (per TB), beyond 10PB</t>
  </si>
  <si>
    <t>Drives/slots? additional capacity</t>
  </si>
  <si>
    <t>pricing estimate for 6 LTO8 drives was $120k excluding support</t>
  </si>
  <si>
    <t>Cost/drive</t>
  </si>
  <si>
    <t>drives/PB (primary copy)</t>
  </si>
  <si>
    <t>Drive cost/PB (primary copy)</t>
  </si>
  <si>
    <t>drive cost/TB (primary copy)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</si>
</sst>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540A]#,##0.00"/>
    <numFmt numFmtId="165" formatCode="0.000"/>
    <numFmt numFmtId="166" formatCode="&quot;$&quot;#,##0.00"/>
    <numFmt numFmtId="167" formatCode="0.0"/>
    <numFmt numFmtId="168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9"/>
      <color rgb="FF2FFF12"/>
      <name val="Andale Mono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1"/>
    <xf numFmtId="0" fontId="4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/>
    <xf numFmtId="168" fontId="0" fillId="5" borderId="0" xfId="0" applyNumberFormat="1" applyFill="1"/>
    <xf numFmtId="168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'Cost' of tape by 'PB'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'Tape calculation'!$I$23:$I$26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'Tape calculation'!$J$23:$J$26</c:f>
              <c:numCache>
                <c:formatCode>_([$$-409]* #,##0.00_);_([$$-409]* \(#,##0.00\);_([$$-409]* "-"??_);_(@_)</c:formatCode>
                <c:ptCount val="4"/>
                <c:pt idx="0">
                  <c:v>1004800</c:v>
                </c:pt>
                <c:pt idx="1">
                  <c:v>1630080</c:v>
                </c:pt>
                <c:pt idx="2">
                  <c:v>2245120</c:v>
                </c:pt>
                <c:pt idx="3">
                  <c:v>2860160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95-45A3-838B-152A37C6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15944"/>
        <c:axId val="294791016"/>
      </c:lineChart>
      <c:catAx>
        <c:axId val="358915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91016"/>
        <c:crosses val="autoZero"/>
        <c:auto val="1"/>
        <c:lblAlgn val="ctr"/>
        <c:lblOffset val="100"/>
        <c:noMultiLvlLbl val="0"/>
      </c:catAx>
      <c:valAx>
        <c:axId val="2947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594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21</xdr:row>
      <xdr:rowOff>57150</xdr:rowOff>
    </xdr:from>
    <xdr:to>
      <xdr:col>17</xdr:col>
      <xdr:colOff>114300</xdr:colOff>
      <xdr:row>35</xdr:row>
      <xdr:rowOff>133350</xdr:rowOff>
    </xdr:to>
    <xdr:graphicFrame macro="">
      <xdr:nvGraphicFramePr>
        <xdr:cNvPr id="61" name="Chart 3" descr="Chart type: Line. 'Cost' by 'PB'&#10;&#10;Description automatically generated">
          <a:extLst>
            <a:ext uri="{FF2B5EF4-FFF2-40B4-BE49-F238E27FC236}">
              <a16:creationId xmlns:a16="http://schemas.microsoft.com/office/drawing/2014/main" id="{E0644440-664E-4B79-9987-68DAB1327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van Thomas" id="{93043F72-3897-4797-8E90-8B4C4E4DADE5}" userId="S::thomas.e@wehi.edu.au::d8879679-3ff6-4b2c-b96b-ffba6a00b8a2" providerId="AD"/>
  <person displayName="Rowland Mosbergen" id="{D7183913-4D02-4A79-96AC-FC0518EE4516}" userId="S::mosbergen.r@wehi.edu.au::72629c7b-921b-4936-9bb5-bbdd233924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1-09-06T01:18:48.48" personId="{93043F72-3897-4797-8E90-8B4C4E4DADE5}" id="{28D601E3-5DA9-4BD7-80E7-DF1C44348859}">
    <text>S3 seems to be close to ~$5M for 1PB for 5 years. I don't really understand this table.</text>
  </threadedComment>
  <threadedComment ref="F4" dT="2021-09-06T01:23:26.96" personId="{D7183913-4D02-4A79-96AC-FC0518EE4516}" id="{A9523234-4E63-4AA9-8DBB-1AD77F0A9A81}" parentId="{28D601E3-5DA9-4BD7-80E7-DF1C44348859}">
    <text>This is a comparison to the cost of running the same storage on S3.</text>
  </threadedComment>
  <threadedComment ref="F4" dT="2021-09-06T01:23:58.84" personId="{D7183913-4D02-4A79-96AC-FC0518EE4516}" id="{13FE3031-8642-4009-8FB4-68377E363A8D}" parentId="{28D601E3-5DA9-4BD7-80E7-DF1C44348859}">
    <text>That is why F4 is 100% in the AWS column.</text>
  </threadedComment>
  <threadedComment ref="F4" dT="2021-09-06T01:29:39.36" personId="{93043F72-3897-4797-8E90-8B4C4E4DADE5}" id="{1CADCDF3-5A0B-4C99-84A8-2AA37BBE788E}" parentId="{28D601E3-5DA9-4BD7-80E7-DF1C44348859}">
    <text>E4 is wrong then.</text>
  </threadedComment>
  <threadedComment ref="F4" dT="2021-09-06T01:30:39.13" personId="{93043F72-3897-4797-8E90-8B4C4E4DADE5}" id="{C7355533-32AF-4A1B-80F5-D6CEB90EE621}" parentId="{28D601E3-5DA9-4BD7-80E7-DF1C44348859}">
    <text>Why are E2 and F2 different?</text>
  </threadedComment>
  <threadedComment ref="F4" dT="2021-09-06T01:34:55.17" personId="{93043F72-3897-4797-8E90-8B4C4E4DADE5}" id="{47EB2F55-30DD-4463-A8E4-B2CD21081440}" parentId="{28D601E3-5DA9-4BD7-80E7-DF1C44348859}">
    <text>For 1PB, WEHI is $1M. S3 is 4860000 for 5 years (based on E2).</text>
  </threadedComment>
  <threadedComment ref="F4" dT="2021-09-06T01:59:40.87" personId="{D7183913-4D02-4A79-96AC-FC0518EE4516}" id="{A46615CF-B375-434F-AD4F-8952B0C588D9}" parentId="{28D601E3-5DA9-4BD7-80E7-DF1C44348859}">
    <text>Why is E4 wrong? It is E2/F2 in a %?</text>
  </threadedComment>
  <threadedComment ref="F4" dT="2021-09-06T02:00:35.87" personId="{D7183913-4D02-4A79-96AC-FC0518EE4516}" id="{6BEBD0D6-77BD-43F3-B01F-8AE4B169601C}" parentId="{28D601E3-5DA9-4BD7-80E7-DF1C44348859}">
    <text>I think there is a misunderstanding. Each column is a different storage tier.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ogan.com/au/buy/jw-computers-ibm-lto-ultrium-8-tape-drive-12tb-01pl041-501401/?utm_source=bing&amp;utm_medium=cpc&amp;utm_campaign=Bing+PLAs&amp;utm_term=1101400107879&amp;utm_content=Ad+group+%231" TargetMode="External"/><Relationship Id="rId2" Type="http://schemas.openxmlformats.org/officeDocument/2006/relationships/hyperlink" Target="https://www.45drives.com/products/cluster/" TargetMode="External"/><Relationship Id="rId1" Type="http://schemas.openxmlformats.org/officeDocument/2006/relationships/hyperlink" Target="https://www.officeworks.com.au/shop/officeworks/p/wd-elements-10tb-desktop-hard-drive-wdeldt10t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gan.com/au/buy/jw-computers-ibm-lto-ultrium-8-tape-drive-12tb-01pl041-501401/?utm_source=bing&amp;utm_medium=cpc&amp;utm_campaign=Bing+PLAs&amp;utm_term=1101400107879&amp;utm_content=Ad+group+%23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D40E-EF47-9C4C-A2CB-7A8760A07802}">
  <dimension ref="A1:Q55"/>
  <sheetViews>
    <sheetView tabSelected="1" zoomScaleNormal="60" zoomScaleSheetLayoutView="100" workbookViewId="0">
      <selection activeCell="F16" sqref="F16"/>
    </sheetView>
  </sheetViews>
  <sheetFormatPr defaultRowHeight="15"/>
  <cols>
    <col min="1" max="1" width="13.85546875" bestFit="1" customWidth="1"/>
    <col min="2" max="2" width="30.42578125" customWidth="1"/>
    <col min="3" max="3" width="12.5703125" style="1" customWidth="1"/>
    <col min="4" max="4" width="14.5703125" style="1" customWidth="1"/>
    <col min="5" max="5" width="37.140625" style="1" customWidth="1"/>
    <col min="6" max="6" width="24.5703125" style="1" customWidth="1"/>
    <col min="7" max="7" width="17.28515625" style="1" customWidth="1"/>
    <col min="8" max="8" width="17.85546875" style="1" customWidth="1"/>
    <col min="9" max="10" width="27.5703125" style="1" customWidth="1"/>
    <col min="11" max="11" width="26.28515625" style="1" customWidth="1"/>
    <col min="12" max="12" width="20.85546875" style="10" customWidth="1"/>
    <col min="13" max="14" width="18.140625" style="10" customWidth="1"/>
    <col min="15" max="15" width="26" style="10" customWidth="1"/>
    <col min="16" max="16" width="16" style="10" customWidth="1"/>
    <col min="17" max="17" width="14.7109375" style="10" customWidth="1"/>
  </cols>
  <sheetData>
    <row r="1" spans="1:17">
      <c r="D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8" t="s">
        <v>5</v>
      </c>
      <c r="K1" s="1" t="s">
        <v>6</v>
      </c>
      <c r="L1" s="13" t="s">
        <v>7</v>
      </c>
      <c r="M1" s="13" t="s">
        <v>8</v>
      </c>
      <c r="N1" s="13"/>
      <c r="O1" s="14"/>
    </row>
    <row r="2" spans="1:17">
      <c r="E2" s="1" t="s">
        <v>9</v>
      </c>
      <c r="F2" s="2">
        <f>1000/1024/12</f>
        <v>8.1380208333333329E-2</v>
      </c>
      <c r="G2" s="2">
        <v>0.23</v>
      </c>
      <c r="H2" s="1">
        <v>2E-3</v>
      </c>
      <c r="I2" s="1">
        <v>4.0000000000000001E-3</v>
      </c>
      <c r="J2" s="1">
        <f>180/12/12/1024</f>
        <v>1.220703125E-3</v>
      </c>
      <c r="K2" s="1">
        <v>4.0000000000000001E-3</v>
      </c>
      <c r="L2" s="11">
        <f>400/1024/12/10</f>
        <v>3.2552083333333335E-3</v>
      </c>
      <c r="M2" s="11">
        <f>30000/1024/12/210</f>
        <v>1.1625744047619048E-2</v>
      </c>
      <c r="N2" s="11"/>
      <c r="O2" s="14"/>
    </row>
    <row r="3" spans="1:17">
      <c r="E3" s="1" t="s">
        <v>10</v>
      </c>
      <c r="F3" s="2" t="s">
        <v>11</v>
      </c>
      <c r="G3" s="2" t="s">
        <v>12</v>
      </c>
      <c r="H3" s="1" t="s">
        <v>12</v>
      </c>
      <c r="I3" s="1" t="s">
        <v>13</v>
      </c>
      <c r="J3" s="1" t="s">
        <v>14</v>
      </c>
      <c r="K3" s="1" t="s">
        <v>13</v>
      </c>
      <c r="L3" s="11" t="s">
        <v>11</v>
      </c>
      <c r="M3" s="11" t="s">
        <v>15</v>
      </c>
      <c r="N3" s="11"/>
      <c r="O3" s="14"/>
    </row>
    <row r="4" spans="1:17">
      <c r="E4" s="6" t="s">
        <v>16</v>
      </c>
      <c r="F4" s="5">
        <f>F2/$G$2</f>
        <v>0.35382699275362317</v>
      </c>
      <c r="G4" s="5">
        <f t="shared" ref="G4:M4" si="0">G2/$G$2</f>
        <v>1</v>
      </c>
      <c r="H4" s="5">
        <f t="shared" si="0"/>
        <v>8.6956521739130436E-3</v>
      </c>
      <c r="I4" s="5">
        <f t="shared" si="0"/>
        <v>1.7391304347826087E-2</v>
      </c>
      <c r="J4" s="5">
        <f t="shared" si="0"/>
        <v>5.307404891304348E-3</v>
      </c>
      <c r="K4" s="5">
        <f t="shared" si="0"/>
        <v>1.7391304347826087E-2</v>
      </c>
      <c r="L4" s="5">
        <f t="shared" si="0"/>
        <v>1.4153079710144928E-2</v>
      </c>
      <c r="M4" s="5">
        <f t="shared" si="0"/>
        <v>5.05467132505176E-2</v>
      </c>
      <c r="N4" s="5"/>
      <c r="O4" s="14"/>
    </row>
    <row r="5" spans="1:17">
      <c r="E5" s="1" t="s">
        <v>17</v>
      </c>
      <c r="F5" s="1">
        <v>5</v>
      </c>
      <c r="G5" s="1">
        <v>15</v>
      </c>
      <c r="H5" s="1">
        <v>15</v>
      </c>
      <c r="I5" s="1">
        <v>5</v>
      </c>
      <c r="J5" s="1">
        <v>5</v>
      </c>
      <c r="K5" s="1">
        <v>15</v>
      </c>
      <c r="L5" s="10">
        <v>5</v>
      </c>
      <c r="M5" s="10">
        <v>5</v>
      </c>
      <c r="O5" s="14"/>
    </row>
    <row r="6" spans="1:17">
      <c r="E6" s="6" t="s">
        <v>18</v>
      </c>
      <c r="F6" s="12">
        <f>F2*12*1024*1024</f>
        <v>1024000</v>
      </c>
      <c r="G6" s="12">
        <f>G2*12*1024*1024*5</f>
        <v>14470348.800000001</v>
      </c>
      <c r="H6" s="12">
        <f>H2*12*1024*1024*5</f>
        <v>125829.12</v>
      </c>
      <c r="I6" s="12">
        <f t="shared" ref="I6:L6" si="1">I2*12*1024*1024</f>
        <v>50331.648000000001</v>
      </c>
      <c r="J6" s="12">
        <f t="shared" si="1"/>
        <v>15360</v>
      </c>
      <c r="K6" s="12">
        <f>K2*12*1024*1024*5</f>
        <v>251658.23999999999</v>
      </c>
      <c r="L6" s="12">
        <f t="shared" si="1"/>
        <v>40960</v>
      </c>
      <c r="M6" s="12">
        <f t="shared" ref="M6" si="2">M2*12*1024*1024</f>
        <v>146285.71428571429</v>
      </c>
      <c r="N6" s="12"/>
      <c r="O6" s="14"/>
    </row>
    <row r="7" spans="1:17">
      <c r="E7"/>
      <c r="F7"/>
      <c r="G7" s="3"/>
      <c r="H7" s="3"/>
      <c r="I7" s="3"/>
      <c r="J7" s="3"/>
      <c r="K7" s="3"/>
      <c r="L7" s="3"/>
      <c r="M7" s="3"/>
      <c r="N7" s="3"/>
      <c r="O7" s="14"/>
    </row>
    <row r="8" spans="1:17">
      <c r="F8" s="3"/>
      <c r="G8" s="3"/>
      <c r="H8" s="3"/>
      <c r="I8" s="3"/>
      <c r="J8" s="3"/>
      <c r="K8" s="3"/>
      <c r="L8" s="3"/>
      <c r="M8" s="3"/>
      <c r="N8" s="3"/>
      <c r="O8" s="14"/>
    </row>
    <row r="9" spans="1:17">
      <c r="E9" s="1" t="s">
        <v>19</v>
      </c>
      <c r="F9" s="19">
        <f>F10/$G$10</f>
        <v>0.1179423309178744</v>
      </c>
      <c r="G9" s="19">
        <f t="shared" ref="G9:M9" si="3">G10/$G$10</f>
        <v>1</v>
      </c>
      <c r="H9" s="19">
        <f t="shared" si="3"/>
        <v>8.6956521739130436E-3</v>
      </c>
      <c r="I9" s="19">
        <f t="shared" si="3"/>
        <v>5.7971014492753624E-3</v>
      </c>
      <c r="J9" s="19">
        <f t="shared" si="3"/>
        <v>1.769134963768116E-3</v>
      </c>
      <c r="K9" s="19">
        <f t="shared" si="3"/>
        <v>1.7391304347826087E-2</v>
      </c>
      <c r="L9" s="19">
        <f t="shared" si="3"/>
        <v>4.717693236714976E-3</v>
      </c>
      <c r="M9" s="19">
        <f t="shared" si="3"/>
        <v>1.68489044168392E-2</v>
      </c>
      <c r="O9" s="14"/>
    </row>
    <row r="10" spans="1:17">
      <c r="B10" s="29" t="s">
        <v>20</v>
      </c>
      <c r="C10" s="4">
        <v>4</v>
      </c>
      <c r="D10" s="4"/>
      <c r="E10" s="1" t="s">
        <v>21</v>
      </c>
      <c r="F10" s="3">
        <f>$C10*1024*F$5*12*F$2</f>
        <v>20000</v>
      </c>
      <c r="G10" s="3">
        <f t="shared" ref="G10:K10" si="4">$C10*1024*G$5*12*G$2</f>
        <v>169574.39999999999</v>
      </c>
      <c r="H10" s="3">
        <f t="shared" si="4"/>
        <v>1474.56</v>
      </c>
      <c r="I10" s="3">
        <f t="shared" si="4"/>
        <v>983.04</v>
      </c>
      <c r="J10" s="3">
        <f t="shared" si="4"/>
        <v>300</v>
      </c>
      <c r="K10" s="3">
        <f t="shared" si="4"/>
        <v>2949.12</v>
      </c>
      <c r="L10" s="3">
        <f>$C10*1024*L$5*12*L$2</f>
        <v>800</v>
      </c>
      <c r="M10" s="3">
        <f>$C10*1024*M$5*12*M$2</f>
        <v>2857.1428571428573</v>
      </c>
      <c r="N10" s="3"/>
    </row>
    <row r="11" spans="1:17">
      <c r="C11" s="1" t="s">
        <v>22</v>
      </c>
      <c r="F11" s="3"/>
      <c r="G11" s="3"/>
      <c r="H11" s="3"/>
      <c r="I11" s="3"/>
      <c r="J11" s="3"/>
      <c r="K11" s="3"/>
    </row>
    <row r="12" spans="1:17">
      <c r="B12" s="29" t="s">
        <v>23</v>
      </c>
      <c r="C12" s="4">
        <v>0</v>
      </c>
      <c r="D12" s="4"/>
      <c r="E12" s="1" t="s">
        <v>24</v>
      </c>
      <c r="F12" s="3">
        <f>$C12*365*F$5*12*1024*F$2</f>
        <v>0</v>
      </c>
      <c r="G12" s="3">
        <f t="shared" ref="G12:K12" si="5">$C12*365*G$5*12*1024*G$2</f>
        <v>0</v>
      </c>
      <c r="H12" s="3">
        <f t="shared" si="5"/>
        <v>0</v>
      </c>
      <c r="I12" s="3">
        <f t="shared" si="5"/>
        <v>0</v>
      </c>
      <c r="J12" s="3">
        <f t="shared" si="5"/>
        <v>0</v>
      </c>
      <c r="K12" s="3">
        <f t="shared" si="5"/>
        <v>0</v>
      </c>
      <c r="L12" s="3">
        <f>$C12*1024*L$5*12*L$2*365</f>
        <v>0</v>
      </c>
      <c r="M12" s="3">
        <f>$C12*1024*M$5*12*M$2*365</f>
        <v>0</v>
      </c>
      <c r="N12" s="3"/>
    </row>
    <row r="13" spans="1:17">
      <c r="F13" s="3"/>
      <c r="G13" s="3"/>
      <c r="H13" s="3"/>
      <c r="I13" s="3"/>
      <c r="J13" s="3"/>
      <c r="K13" s="3"/>
    </row>
    <row r="14" spans="1:17">
      <c r="C14" s="1" t="s">
        <v>25</v>
      </c>
      <c r="D14" s="1" t="s">
        <v>26</v>
      </c>
      <c r="N14" s="10" t="s">
        <v>27</v>
      </c>
      <c r="O14" s="10" t="s">
        <v>28</v>
      </c>
      <c r="P14" s="10" t="s">
        <v>29</v>
      </c>
      <c r="Q14" s="10" t="s">
        <v>30</v>
      </c>
    </row>
    <row r="15" spans="1:17">
      <c r="A15" s="16">
        <f>5000000*0.3</f>
        <v>1500000</v>
      </c>
      <c r="B15" t="s">
        <v>31</v>
      </c>
      <c r="C15" s="1">
        <v>830</v>
      </c>
      <c r="D15" s="1">
        <f>365*C15/1024*5</f>
        <v>1479.248046875</v>
      </c>
      <c r="E15" s="1" t="s">
        <v>32</v>
      </c>
      <c r="F15" s="3">
        <f>$C15*365*F$5*12*1024*(F$2/1024)</f>
        <v>1479248.046875</v>
      </c>
      <c r="G15" s="3">
        <f t="shared" ref="G15:M17" si="6">$C15*365*G$5*12*1024*G$2/1024</f>
        <v>12542130</v>
      </c>
      <c r="H15" s="3">
        <f t="shared" si="6"/>
        <v>109062</v>
      </c>
      <c r="I15" s="3">
        <f t="shared" si="6"/>
        <v>72708</v>
      </c>
      <c r="J15" s="3">
        <f t="shared" si="6"/>
        <v>22188.720703125</v>
      </c>
      <c r="K15" s="3">
        <f t="shared" si="6"/>
        <v>218124</v>
      </c>
      <c r="L15" s="3">
        <f t="shared" si="6"/>
        <v>59169.921875</v>
      </c>
      <c r="M15" s="3">
        <f t="shared" si="6"/>
        <v>211321.14955357142</v>
      </c>
      <c r="N15" s="17">
        <f>(F15-M15)/5/100000</f>
        <v>2.5358537946428572</v>
      </c>
      <c r="O15" s="15">
        <f>I15/A15</f>
        <v>4.8472000000000001E-2</v>
      </c>
      <c r="P15" s="15">
        <f>M15/A15</f>
        <v>0.14088076636904762</v>
      </c>
      <c r="Q15" s="15">
        <f>F15/A15</f>
        <v>0.98616536458333337</v>
      </c>
    </row>
    <row r="16" spans="1:17">
      <c r="A16" s="16">
        <f>5000000*0.3</f>
        <v>1500000</v>
      </c>
      <c r="B16" t="s">
        <v>33</v>
      </c>
      <c r="C16" s="1">
        <f>C15*0.3</f>
        <v>249</v>
      </c>
      <c r="D16" s="1">
        <f>365*C16/1024*5</f>
        <v>443.7744140625</v>
      </c>
      <c r="E16" s="1" t="s">
        <v>32</v>
      </c>
      <c r="F16" s="3">
        <f>$C16*365*F$5*12*1024*F$2/1024</f>
        <v>443774.4140625</v>
      </c>
      <c r="G16" s="3">
        <f t="shared" si="6"/>
        <v>3762639</v>
      </c>
      <c r="H16" s="3">
        <f t="shared" si="6"/>
        <v>32718.600000000002</v>
      </c>
      <c r="I16" s="3">
        <f t="shared" si="6"/>
        <v>21812.400000000001</v>
      </c>
      <c r="J16" s="3">
        <f t="shared" si="6"/>
        <v>6656.6162109375</v>
      </c>
      <c r="K16" s="3">
        <f t="shared" si="6"/>
        <v>65437.200000000004</v>
      </c>
      <c r="L16" s="3">
        <f t="shared" si="6"/>
        <v>17750.9765625</v>
      </c>
      <c r="M16" s="3">
        <f t="shared" si="6"/>
        <v>63396.344866071428</v>
      </c>
      <c r="N16" s="17">
        <f>(F16-M16)/5/100000</f>
        <v>0.76075613839285705</v>
      </c>
      <c r="O16" s="15">
        <f>I16/A16</f>
        <v>1.4541600000000002E-2</v>
      </c>
      <c r="P16" s="15">
        <f>M16/A16</f>
        <v>4.2264229910714282E-2</v>
      </c>
      <c r="Q16" s="15">
        <f>F16/A16</f>
        <v>0.29584960937499999</v>
      </c>
    </row>
    <row r="17" spans="1:17">
      <c r="A17" s="16">
        <v>800000</v>
      </c>
      <c r="B17" t="s">
        <v>34</v>
      </c>
      <c r="C17" s="9">
        <f>2048/7</f>
        <v>292.57142857142856</v>
      </c>
      <c r="D17" s="1">
        <f>365*C17/1024*5</f>
        <v>521.42857142857133</v>
      </c>
      <c r="E17" s="1" t="s">
        <v>32</v>
      </c>
      <c r="F17" s="3">
        <f>$C17*365*F$5*12*1024*F$2/1024</f>
        <v>521428.5714285713</v>
      </c>
      <c r="G17" s="3">
        <f t="shared" si="6"/>
        <v>4421046.8571428573</v>
      </c>
      <c r="H17" s="3">
        <f t="shared" si="6"/>
        <v>38443.885714285716</v>
      </c>
      <c r="I17" s="3">
        <f t="shared" si="6"/>
        <v>25629.257142857139</v>
      </c>
      <c r="J17" s="3">
        <f t="shared" si="6"/>
        <v>7821.4285714285697</v>
      </c>
      <c r="K17" s="3">
        <f t="shared" si="6"/>
        <v>76887.771428571432</v>
      </c>
      <c r="L17" s="3">
        <f t="shared" si="6"/>
        <v>20857.142857142855</v>
      </c>
      <c r="M17" s="3">
        <f t="shared" si="6"/>
        <v>74489.795918367337</v>
      </c>
      <c r="N17" s="17">
        <f>(F17-M17)/5/100000</f>
        <v>0.893877551020408</v>
      </c>
      <c r="O17" s="15">
        <f>I17/A17</f>
        <v>3.2036571428571421E-2</v>
      </c>
      <c r="P17" s="15">
        <f>M17/A17</f>
        <v>9.3112244897959176E-2</v>
      </c>
      <c r="Q17" s="15">
        <f>F17/A17</f>
        <v>0.65178571428571408</v>
      </c>
    </row>
    <row r="19" spans="1:17">
      <c r="B19" t="s">
        <v>35</v>
      </c>
      <c r="C19" s="1">
        <v>100</v>
      </c>
      <c r="E19" s="1" t="s">
        <v>21</v>
      </c>
      <c r="F19" s="3">
        <f>$C19*1024*F$5*12*F$2</f>
        <v>500000</v>
      </c>
      <c r="G19" s="3">
        <f t="shared" ref="G19:M22" si="7">$C19*1024*G$5*12*G$2</f>
        <v>4239360</v>
      </c>
      <c r="H19" s="3">
        <f t="shared" si="7"/>
        <v>36864</v>
      </c>
      <c r="I19" s="3">
        <f t="shared" si="7"/>
        <v>24576</v>
      </c>
      <c r="J19" s="3">
        <f t="shared" si="7"/>
        <v>7500</v>
      </c>
      <c r="K19" s="3">
        <f t="shared" si="7"/>
        <v>73728</v>
      </c>
      <c r="L19" s="3">
        <f t="shared" si="7"/>
        <v>20000</v>
      </c>
      <c r="M19" s="3">
        <f t="shared" si="7"/>
        <v>71428.571428571435</v>
      </c>
      <c r="N19" s="17">
        <f t="shared" ref="N19:N22" si="8">(F19-M19)/5/100000</f>
        <v>0.8571428571428571</v>
      </c>
    </row>
    <row r="20" spans="1:17">
      <c r="B20" t="s">
        <v>36</v>
      </c>
      <c r="C20" s="1">
        <v>4</v>
      </c>
      <c r="E20" s="1" t="s">
        <v>21</v>
      </c>
      <c r="F20" s="3">
        <f t="shared" ref="F20:F22" si="9">$C20*1024*F$5*12*F$2</f>
        <v>20000</v>
      </c>
      <c r="G20" s="3">
        <f t="shared" si="7"/>
        <v>169574.39999999999</v>
      </c>
      <c r="H20" s="3">
        <f t="shared" si="7"/>
        <v>1474.56</v>
      </c>
      <c r="I20" s="3">
        <f t="shared" si="7"/>
        <v>983.04</v>
      </c>
      <c r="J20" s="3">
        <f t="shared" si="7"/>
        <v>300</v>
      </c>
      <c r="K20" s="3">
        <f t="shared" si="7"/>
        <v>2949.12</v>
      </c>
      <c r="L20" s="3">
        <f t="shared" si="7"/>
        <v>800</v>
      </c>
      <c r="M20" s="3">
        <f t="shared" si="7"/>
        <v>2857.1428571428573</v>
      </c>
      <c r="N20" s="17">
        <f t="shared" si="8"/>
        <v>3.4285714285714287E-2</v>
      </c>
    </row>
    <row r="21" spans="1:17">
      <c r="B21" t="s">
        <v>37</v>
      </c>
      <c r="C21" s="1">
        <v>50</v>
      </c>
      <c r="E21" s="1" t="s">
        <v>21</v>
      </c>
      <c r="F21" s="3">
        <f t="shared" si="9"/>
        <v>250000</v>
      </c>
      <c r="G21" s="3">
        <f t="shared" si="7"/>
        <v>2119680</v>
      </c>
      <c r="H21" s="3">
        <f t="shared" si="7"/>
        <v>18432</v>
      </c>
      <c r="I21" s="3">
        <f t="shared" si="7"/>
        <v>12288</v>
      </c>
      <c r="J21" s="3">
        <f t="shared" si="7"/>
        <v>3750</v>
      </c>
      <c r="K21" s="3">
        <f t="shared" si="7"/>
        <v>36864</v>
      </c>
      <c r="L21" s="3">
        <f t="shared" si="7"/>
        <v>10000</v>
      </c>
      <c r="M21" s="3">
        <f t="shared" si="7"/>
        <v>35714.285714285717</v>
      </c>
      <c r="N21" s="17">
        <f t="shared" si="8"/>
        <v>0.42857142857142855</v>
      </c>
    </row>
    <row r="22" spans="1:17">
      <c r="B22" t="s">
        <v>38</v>
      </c>
      <c r="C22" s="1">
        <v>33</v>
      </c>
      <c r="E22" s="1" t="s">
        <v>21</v>
      </c>
      <c r="F22" s="3">
        <f t="shared" si="9"/>
        <v>165000</v>
      </c>
      <c r="G22" s="3">
        <f t="shared" si="7"/>
        <v>1398988.8</v>
      </c>
      <c r="H22" s="3">
        <f t="shared" si="7"/>
        <v>12165.12</v>
      </c>
      <c r="I22" s="3">
        <f t="shared" si="7"/>
        <v>8110.08</v>
      </c>
      <c r="J22" s="3">
        <f t="shared" si="7"/>
        <v>2475</v>
      </c>
      <c r="K22" s="3">
        <f t="shared" si="7"/>
        <v>24330.240000000002</v>
      </c>
      <c r="L22" s="3">
        <f t="shared" si="7"/>
        <v>6600</v>
      </c>
      <c r="M22" s="3">
        <f t="shared" si="7"/>
        <v>23571.428571428572</v>
      </c>
      <c r="N22" s="17">
        <f t="shared" si="8"/>
        <v>0.28285714285714281</v>
      </c>
    </row>
    <row r="23" spans="1:17">
      <c r="E23" s="1">
        <f>C16*365*5/1024/1024</f>
        <v>0.43337345123291016</v>
      </c>
      <c r="F23" s="3"/>
      <c r="G23" s="3"/>
      <c r="H23" s="3"/>
      <c r="I23" s="3"/>
      <c r="J23" s="3"/>
      <c r="K23" s="3"/>
    </row>
    <row r="24" spans="1:17">
      <c r="F24" s="3"/>
      <c r="G24" s="3"/>
      <c r="H24" s="3"/>
      <c r="I24" s="3"/>
      <c r="J24" s="3"/>
      <c r="K24" s="3"/>
    </row>
    <row r="25" spans="1:17">
      <c r="E25" s="8" t="s">
        <v>39</v>
      </c>
    </row>
    <row r="26" spans="1:17">
      <c r="E26" s="7" t="s">
        <v>40</v>
      </c>
    </row>
    <row r="27" spans="1:17">
      <c r="E27" s="7" t="s">
        <v>41</v>
      </c>
    </row>
    <row r="28" spans="1:17">
      <c r="E28" s="7" t="s">
        <v>42</v>
      </c>
    </row>
    <row r="29" spans="1:17">
      <c r="E29" s="7" t="s">
        <v>43</v>
      </c>
    </row>
    <row r="30" spans="1:17">
      <c r="E30" s="1" t="s">
        <v>44</v>
      </c>
    </row>
    <row r="31" spans="1:17">
      <c r="E31" s="1" t="s">
        <v>45</v>
      </c>
    </row>
    <row r="32" spans="1:17">
      <c r="E32" s="1" t="s">
        <v>46</v>
      </c>
    </row>
    <row r="33" spans="5:7">
      <c r="E33" s="1" t="s">
        <v>47</v>
      </c>
    </row>
    <row r="45" spans="5:7">
      <c r="E45" s="1" t="s">
        <v>48</v>
      </c>
      <c r="F45" s="1" t="s">
        <v>49</v>
      </c>
      <c r="G45" s="7" t="s">
        <v>50</v>
      </c>
    </row>
    <row r="46" spans="5:7">
      <c r="E46" s="1">
        <v>1</v>
      </c>
      <c r="F46" s="1">
        <v>1</v>
      </c>
      <c r="G46" s="1">
        <v>1</v>
      </c>
    </row>
    <row r="47" spans="5:7">
      <c r="E47" s="1">
        <v>2</v>
      </c>
      <c r="F47" s="1">
        <f>E47+F46</f>
        <v>3</v>
      </c>
      <c r="G47" s="1">
        <v>11</v>
      </c>
    </row>
    <row r="48" spans="5:7">
      <c r="E48" s="1">
        <v>3</v>
      </c>
      <c r="F48" s="1">
        <f>E48+F47</f>
        <v>6</v>
      </c>
      <c r="G48" s="1">
        <v>111</v>
      </c>
    </row>
    <row r="49" spans="5:7">
      <c r="E49" s="1">
        <v>4</v>
      </c>
      <c r="F49" s="1">
        <f>E49+F48</f>
        <v>10</v>
      </c>
      <c r="G49" s="1">
        <v>1111</v>
      </c>
    </row>
    <row r="50" spans="5:7">
      <c r="E50" s="1">
        <v>5</v>
      </c>
      <c r="F50" s="1">
        <f>E50+F49</f>
        <v>15</v>
      </c>
      <c r="G50" s="1">
        <v>11111</v>
      </c>
    </row>
    <row r="51" spans="5:7">
      <c r="E51" s="1">
        <v>6</v>
      </c>
      <c r="F51" s="1">
        <f t="shared" ref="F51:F55" si="10">E51+F50</f>
        <v>21</v>
      </c>
      <c r="G51" s="1">
        <v>111111</v>
      </c>
    </row>
    <row r="52" spans="5:7">
      <c r="E52" s="1">
        <v>7</v>
      </c>
      <c r="F52" s="1">
        <f t="shared" si="10"/>
        <v>28</v>
      </c>
      <c r="G52" s="1">
        <v>1111111</v>
      </c>
    </row>
    <row r="53" spans="5:7">
      <c r="E53" s="1">
        <v>8</v>
      </c>
      <c r="F53" s="1">
        <f t="shared" si="10"/>
        <v>36</v>
      </c>
      <c r="G53" s="1">
        <v>11111111</v>
      </c>
    </row>
    <row r="54" spans="5:7">
      <c r="E54" s="1">
        <v>9</v>
      </c>
      <c r="F54" s="1">
        <f t="shared" si="10"/>
        <v>45</v>
      </c>
      <c r="G54" s="1">
        <v>111111111</v>
      </c>
    </row>
    <row r="55" spans="5:7">
      <c r="E55" s="1">
        <v>10</v>
      </c>
      <c r="F55" s="1">
        <f t="shared" si="10"/>
        <v>55</v>
      </c>
      <c r="G55" s="1">
        <v>1111111111</v>
      </c>
    </row>
  </sheetData>
  <hyperlinks>
    <hyperlink ref="L1" r:id="rId1" xr:uid="{7E0EB0B5-907B-4861-BD43-B6D3148EC331}"/>
    <hyperlink ref="M1" r:id="rId2" xr:uid="{73F4CA6D-5B4F-4DE3-A250-F804B27E5839}"/>
    <hyperlink ref="J1" r:id="rId3" display="Tape LTO8" xr:uid="{DF2C3F48-13E1-4C7F-9397-5C06CABD2B86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0B69-7567-478F-AF2D-6D44DF6C28ED}">
  <dimension ref="A1:D9"/>
  <sheetViews>
    <sheetView workbookViewId="0">
      <selection activeCell="A4" sqref="A4"/>
    </sheetView>
  </sheetViews>
  <sheetFormatPr defaultRowHeight="15"/>
  <cols>
    <col min="1" max="1" width="29.5703125" customWidth="1"/>
    <col min="2" max="2" width="13.85546875" bestFit="1" customWidth="1"/>
  </cols>
  <sheetData>
    <row r="1" spans="1:4">
      <c r="A1" t="s">
        <v>51</v>
      </c>
      <c r="B1">
        <v>48</v>
      </c>
    </row>
    <row r="2" spans="1:4">
      <c r="A2" t="s">
        <v>52</v>
      </c>
      <c r="B2">
        <v>35</v>
      </c>
    </row>
    <row r="3" spans="1:4">
      <c r="A3" t="s">
        <v>53</v>
      </c>
      <c r="B3" s="28">
        <v>80000</v>
      </c>
    </row>
    <row r="4" spans="1:4">
      <c r="A4" t="s">
        <v>54</v>
      </c>
      <c r="B4" s="28">
        <f>B3/B2/B1</f>
        <v>47.61904761904762</v>
      </c>
    </row>
    <row r="5" spans="1:4">
      <c r="A5" t="s">
        <v>55</v>
      </c>
      <c r="B5">
        <v>800</v>
      </c>
    </row>
    <row r="6" spans="1:4">
      <c r="A6" t="s">
        <v>56</v>
      </c>
      <c r="B6">
        <v>0.2</v>
      </c>
      <c r="C6">
        <f>B6*60</f>
        <v>12</v>
      </c>
      <c r="D6" t="s">
        <v>57</v>
      </c>
    </row>
    <row r="8" spans="1:4">
      <c r="A8" t="s">
        <v>58</v>
      </c>
      <c r="B8" s="28">
        <f>B4*B6*B1*B5</f>
        <v>365714.28571428568</v>
      </c>
    </row>
    <row r="9" spans="1:4">
      <c r="A9" t="s">
        <v>59</v>
      </c>
      <c r="B9" s="28">
        <f>B8*3</f>
        <v>1097142.857142857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44F5-730D-4FE3-9C37-143C44764893}">
  <dimension ref="A1:E7"/>
  <sheetViews>
    <sheetView topLeftCell="A2" workbookViewId="0">
      <selection activeCell="B6" sqref="B6"/>
    </sheetView>
  </sheetViews>
  <sheetFormatPr defaultRowHeight="15"/>
  <cols>
    <col min="1" max="1" width="18.42578125" customWidth="1"/>
    <col min="5" max="5" width="55" customWidth="1"/>
  </cols>
  <sheetData>
    <row r="1" spans="1:5">
      <c r="A1" s="21" t="s">
        <v>60</v>
      </c>
    </row>
    <row r="2" spans="1:5">
      <c r="A2" s="20"/>
      <c r="B2" s="20" t="s">
        <v>61</v>
      </c>
      <c r="C2" s="20" t="s">
        <v>62</v>
      </c>
      <c r="D2" t="s">
        <v>63</v>
      </c>
    </row>
    <row r="3" spans="1:5" ht="30">
      <c r="A3" s="20" t="s">
        <v>64</v>
      </c>
      <c r="B3" s="20"/>
      <c r="C3" s="20"/>
      <c r="E3" s="23" t="s">
        <v>65</v>
      </c>
    </row>
    <row r="4" spans="1:5">
      <c r="A4" s="20" t="s">
        <v>66</v>
      </c>
      <c r="B4" s="20">
        <v>2</v>
      </c>
      <c r="C4" s="20"/>
    </row>
    <row r="5" spans="1:5" ht="30">
      <c r="A5" s="20" t="s">
        <v>67</v>
      </c>
      <c r="B5" s="20">
        <v>3000</v>
      </c>
      <c r="C5" s="20"/>
    </row>
    <row r="6" spans="1:5" ht="20.25" customHeight="1">
      <c r="A6" t="s">
        <v>68</v>
      </c>
      <c r="C6" t="s">
        <v>69</v>
      </c>
      <c r="E6" s="22" t="s">
        <v>70</v>
      </c>
    </row>
    <row r="7" spans="1:5">
      <c r="A7" t="s">
        <v>71</v>
      </c>
    </row>
  </sheetData>
  <hyperlinks>
    <hyperlink ref="E3" r:id="rId1" xr:uid="{9A273C2E-C20F-4107-B508-13FF1ABA797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026F-D1A2-49E3-BED9-4E185BBE5A3B}">
  <dimension ref="A3:R37"/>
  <sheetViews>
    <sheetView workbookViewId="0">
      <selection activeCell="B15" sqref="B15"/>
    </sheetView>
  </sheetViews>
  <sheetFormatPr defaultRowHeight="15"/>
  <cols>
    <col min="1" max="1" width="37.140625" customWidth="1"/>
    <col min="2" max="2" width="18.5703125" customWidth="1"/>
    <col min="5" max="5" width="11.5703125" bestFit="1" customWidth="1"/>
    <col min="8" max="8" width="20.5703125" customWidth="1"/>
    <col min="9" max="9" width="29.140625" customWidth="1"/>
    <col min="10" max="10" width="17.85546875" customWidth="1"/>
    <col min="13" max="13" width="13.7109375" customWidth="1"/>
  </cols>
  <sheetData>
    <row r="3" spans="1:10">
      <c r="A3" t="s">
        <v>72</v>
      </c>
      <c r="B3" t="s">
        <v>73</v>
      </c>
    </row>
    <row r="4" spans="1:10">
      <c r="A4" t="s">
        <v>74</v>
      </c>
      <c r="B4" t="s">
        <v>75</v>
      </c>
    </row>
    <row r="5" spans="1:10">
      <c r="A5" t="s">
        <v>76</v>
      </c>
      <c r="B5" t="s">
        <v>77</v>
      </c>
    </row>
    <row r="7" spans="1:10">
      <c r="A7" t="s">
        <v>78</v>
      </c>
      <c r="B7">
        <f>10*1024</f>
        <v>10240</v>
      </c>
      <c r="C7" t="s">
        <v>79</v>
      </c>
      <c r="E7" t="s">
        <v>80</v>
      </c>
      <c r="F7" s="24">
        <v>13125339</v>
      </c>
      <c r="G7">
        <f>F7/1024</f>
        <v>12817.7138671875</v>
      </c>
      <c r="J7" s="21" t="s">
        <v>39</v>
      </c>
    </row>
    <row r="8" spans="1:10">
      <c r="A8" t="s">
        <v>81</v>
      </c>
      <c r="B8">
        <v>15</v>
      </c>
      <c r="J8" t="s">
        <v>82</v>
      </c>
    </row>
    <row r="9" spans="1:10">
      <c r="A9" t="s">
        <v>83</v>
      </c>
      <c r="B9">
        <f>B7/B8</f>
        <v>682.66666666666663</v>
      </c>
      <c r="J9" t="s">
        <v>84</v>
      </c>
    </row>
    <row r="10" spans="1:10">
      <c r="A10" t="s">
        <v>85</v>
      </c>
      <c r="B10">
        <f>B9*2</f>
        <v>1365.3333333333333</v>
      </c>
      <c r="J10" t="s">
        <v>86</v>
      </c>
    </row>
    <row r="11" spans="1:10">
      <c r="A11" t="s">
        <v>87</v>
      </c>
      <c r="B11">
        <v>150</v>
      </c>
      <c r="J11" t="s">
        <v>88</v>
      </c>
    </row>
    <row r="12" spans="1:10">
      <c r="A12" t="s">
        <v>89</v>
      </c>
      <c r="B12">
        <f>B11*B10</f>
        <v>204800</v>
      </c>
      <c r="J12" t="s">
        <v>90</v>
      </c>
    </row>
    <row r="13" spans="1:10">
      <c r="J13" t="s">
        <v>91</v>
      </c>
    </row>
    <row r="14" spans="1:10">
      <c r="H14" t="s">
        <v>92</v>
      </c>
      <c r="I14">
        <v>18</v>
      </c>
      <c r="J14" t="s">
        <v>93</v>
      </c>
    </row>
    <row r="15" spans="1:10">
      <c r="A15" s="21" t="s">
        <v>94</v>
      </c>
      <c r="H15" t="s">
        <v>95</v>
      </c>
      <c r="I15">
        <f>I14*1024</f>
        <v>18432</v>
      </c>
      <c r="J15" t="s">
        <v>96</v>
      </c>
    </row>
    <row r="16" spans="1:10">
      <c r="A16" t="s">
        <v>76</v>
      </c>
      <c r="B16">
        <f>5*20000</f>
        <v>100000</v>
      </c>
      <c r="H16" t="s">
        <v>97</v>
      </c>
      <c r="I16">
        <f>B16+B17</f>
        <v>800000</v>
      </c>
    </row>
    <row r="17" spans="1:18">
      <c r="A17" t="s">
        <v>98</v>
      </c>
      <c r="B17">
        <v>700000</v>
      </c>
      <c r="H17" t="s">
        <v>99</v>
      </c>
      <c r="I17">
        <f>B21*I15</f>
        <v>368640</v>
      </c>
    </row>
    <row r="18" spans="1:18">
      <c r="H18" t="s">
        <v>100</v>
      </c>
      <c r="I18">
        <f>IF(I14&gt;10,(I15-10*1024)*B26,0)</f>
        <v>320000</v>
      </c>
    </row>
    <row r="19" spans="1:18">
      <c r="H19" t="s">
        <v>101</v>
      </c>
      <c r="I19">
        <f>SUM(I15:I18)</f>
        <v>1507072</v>
      </c>
      <c r="J19">
        <v>1199552</v>
      </c>
      <c r="K19">
        <f>I19-J19</f>
        <v>307520</v>
      </c>
    </row>
    <row r="20" spans="1:18">
      <c r="A20" s="21" t="s">
        <v>102</v>
      </c>
    </row>
    <row r="21" spans="1:18">
      <c r="A21" t="s">
        <v>103</v>
      </c>
      <c r="B21">
        <f>B11/B8*2</f>
        <v>20</v>
      </c>
    </row>
    <row r="22" spans="1:18">
      <c r="I22" s="25" t="s">
        <v>104</v>
      </c>
      <c r="J22" s="26" t="s">
        <v>105</v>
      </c>
      <c r="K22" s="26"/>
      <c r="L22" s="26"/>
      <c r="M22" s="26"/>
      <c r="N22" s="26"/>
      <c r="O22" s="26"/>
      <c r="P22" s="26"/>
      <c r="Q22" s="26"/>
      <c r="R22" s="26"/>
    </row>
    <row r="23" spans="1:18">
      <c r="I23" s="26">
        <v>10</v>
      </c>
      <c r="J23" s="27">
        <v>1004800</v>
      </c>
      <c r="K23" s="26"/>
      <c r="L23" s="26"/>
      <c r="M23" s="26"/>
      <c r="N23" s="26"/>
      <c r="O23" s="26"/>
      <c r="P23" s="26"/>
      <c r="Q23" s="26"/>
      <c r="R23" s="26"/>
    </row>
    <row r="24" spans="1:18">
      <c r="I24" s="26">
        <v>20</v>
      </c>
      <c r="J24" s="27">
        <v>1630080</v>
      </c>
      <c r="K24" s="26"/>
      <c r="L24" s="26"/>
      <c r="M24" s="26"/>
      <c r="N24" s="26"/>
      <c r="O24" s="26"/>
      <c r="P24" s="26"/>
      <c r="Q24" s="26"/>
      <c r="R24" s="26"/>
    </row>
    <row r="25" spans="1:18">
      <c r="A25" s="21" t="s">
        <v>106</v>
      </c>
      <c r="I25" s="26">
        <v>30</v>
      </c>
      <c r="J25" s="27">
        <v>2245120</v>
      </c>
      <c r="K25" s="26"/>
      <c r="L25" s="26"/>
      <c r="M25" s="26"/>
      <c r="N25" s="26"/>
      <c r="O25" s="26"/>
      <c r="P25" s="26"/>
      <c r="Q25" s="26"/>
      <c r="R25" s="26"/>
    </row>
    <row r="26" spans="1:18">
      <c r="A26" t="s">
        <v>107</v>
      </c>
      <c r="B26">
        <f>C35</f>
        <v>39.0625</v>
      </c>
      <c r="I26" s="26">
        <v>40</v>
      </c>
      <c r="J26" s="27">
        <v>2860160</v>
      </c>
      <c r="K26" s="26"/>
      <c r="L26" s="26"/>
      <c r="M26" s="26"/>
      <c r="N26" s="26"/>
      <c r="O26" s="26"/>
      <c r="P26" s="26"/>
      <c r="Q26" s="26"/>
      <c r="R26" s="26"/>
    </row>
    <row r="27" spans="1:18"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B28" t="s">
        <v>108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I29" s="26"/>
      <c r="J29" s="26"/>
      <c r="K29" s="26"/>
      <c r="L29" s="26"/>
      <c r="M29" s="26"/>
      <c r="N29" s="26"/>
      <c r="O29" s="26"/>
      <c r="P29" s="26"/>
      <c r="Q29" s="26"/>
      <c r="R29" s="26"/>
    </row>
    <row r="30" spans="1:18"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B32" t="s">
        <v>109</v>
      </c>
      <c r="C32">
        <f>(120000+C31)/6</f>
        <v>20000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 spans="2:18">
      <c r="B33" t="s">
        <v>110</v>
      </c>
      <c r="C33">
        <f>24/12</f>
        <v>2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2:18">
      <c r="B34" t="s">
        <v>111</v>
      </c>
      <c r="C34">
        <f>C33*C32</f>
        <v>40000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</row>
    <row r="35" spans="2:18">
      <c r="B35" t="s">
        <v>112</v>
      </c>
      <c r="C35">
        <f>C34/1024</f>
        <v>39.0625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 spans="2:18"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2:18">
      <c r="I37" s="26"/>
      <c r="J37" s="26"/>
      <c r="K37" s="26"/>
      <c r="L37" s="26"/>
      <c r="M37" s="26"/>
      <c r="N37" s="26"/>
      <c r="O37" s="26"/>
      <c r="P37" s="26"/>
      <c r="Q37" s="26"/>
      <c r="R37" s="2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383067D6EEE4E8ACEA30962E5DE00" ma:contentTypeVersion="9" ma:contentTypeDescription="Create a new document." ma:contentTypeScope="" ma:versionID="0f2154af37a31f561e67f2fa70bd2959">
  <xsd:schema xmlns:xsd="http://www.w3.org/2001/XMLSchema" xmlns:xs="http://www.w3.org/2001/XMLSchema" xmlns:p="http://schemas.microsoft.com/office/2006/metadata/properties" xmlns:ns2="17163bdb-27fe-447c-a7bb-3ea6416b971c" targetNamespace="http://schemas.microsoft.com/office/2006/metadata/properties" ma:root="true" ma:fieldsID="a5dba9b2bf4ecb41fd5b0b5442fadaa6" ns2:_="">
    <xsd:import namespace="17163bdb-27fe-447c-a7bb-3ea6416b97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D70C96-B3BD-44A9-B221-5C527CC97637}"/>
</file>

<file path=customXml/itemProps2.xml><?xml version="1.0" encoding="utf-8"?>
<ds:datastoreItem xmlns:ds="http://schemas.openxmlformats.org/officeDocument/2006/customXml" ds:itemID="{C3AD47F7-C248-4F17-884D-60E73206B439}"/>
</file>

<file path=customXml/itemProps3.xml><?xml version="1.0" encoding="utf-8"?>
<ds:datastoreItem xmlns:ds="http://schemas.openxmlformats.org/officeDocument/2006/customXml" ds:itemID="{6E90BB7E-F43D-4DF6-B47E-D537703300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Rowland Mosbergen</dc:creator>
  <cp:keywords/>
  <dc:description/>
  <cp:lastModifiedBy>harlimgilbert</cp:lastModifiedBy>
  <cp:revision/>
  <dcterms:created xsi:type="dcterms:W3CDTF">2021-05-01T05:47:33Z</dcterms:created>
  <dcterms:modified xsi:type="dcterms:W3CDTF">2022-03-07T00:37:35Z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</Properties>
</file>