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Light"/>
  <workbookPr codeName="ThisWorkbook"/>
  <bookViews>
    <workbookView xWindow="-120" yWindow="-120" windowWidth="20730" windowHeight="11310" tabRatio="821"/>
  </bookViews>
  <sheets>
    <sheet name="GENERAL INFO" sheetId="30" r:id="rId1"/>
    <sheet name="OVERSEAS INCOME" sheetId="39" r:id="rId2"/>
    <sheet name="A &amp; L INFO" sheetId="31" r:id="rId3"/>
    <sheet name="DRAFT A&amp;L" sheetId="59" r:id="rId4"/>
    <sheet name="Appointment" sheetId="58" r:id="rId5"/>
    <sheet name="EXC RATES" sheetId="50" r:id="rId6"/>
    <sheet name="ENVELOPE FORM" sheetId="54" r:id="rId7"/>
    <sheet name="FE-1770S" sheetId="22" r:id="rId8"/>
    <sheet name="FE-1770 S-1" sheetId="26" r:id="rId9"/>
    <sheet name="FE-1770 S-II" sheetId="24" r:id="rId10"/>
    <sheet name="FE-1770 S-II (2)" sheetId="53" r:id="rId11"/>
    <sheet name="Attachment" sheetId="36" r:id="rId12"/>
    <sheet name="1721A1 (1)" sheetId="47" r:id="rId13"/>
    <sheet name="1721A1 (2)" sheetId="48" r:id="rId14"/>
    <sheet name="1721A1 (3)" sheetId="49" r:id="rId15"/>
    <sheet name="1770S" sheetId="27" r:id="rId16"/>
    <sheet name="1770 S-1" sheetId="28" r:id="rId17"/>
    <sheet name="1770 S-II" sheetId="29" r:id="rId18"/>
    <sheet name="1770 S-II (2)" sheetId="52" r:id="rId19"/>
    <sheet name="LAMPIRAN" sheetId="37" r:id="rId20"/>
    <sheet name="CalculationSheet" sheetId="38" r:id="rId21"/>
    <sheet name="MASTER" sheetId="60" r:id="rId22"/>
  </sheets>
  <definedNames>
    <definedName name="_art21">'GENERAL INFO'!$V$147</definedName>
    <definedName name="_art24">'OVERSEAS INCOME'!$AC$660</definedName>
    <definedName name="_xlnm._FilterDatabase" localSheetId="2" hidden="1">'A &amp; L INFO'!$AY$7:$BI$155</definedName>
    <definedName name="_xlnm._FilterDatabase" localSheetId="0" hidden="1">'GENERAL INFO'!$AD$63:$AD$65</definedName>
    <definedName name="_Occ1">'GENERAL INFO'!$G$18</definedName>
    <definedName name="_Occ10">'GENERAL INFO'!$P$18</definedName>
    <definedName name="_Occ11">'GENERAL INFO'!$Q$18</definedName>
    <definedName name="_Occ12">'GENERAL INFO'!$R$18</definedName>
    <definedName name="_Occ13">'GENERAL INFO'!$S$18</definedName>
    <definedName name="_Occ14">'GENERAL INFO'!$T$18</definedName>
    <definedName name="_Occ15">'GENERAL INFO'!$U$18</definedName>
    <definedName name="_Occ16">'GENERAL INFO'!$V$18</definedName>
    <definedName name="_Occ17">'GENERAL INFO'!$W$18</definedName>
    <definedName name="_Occ18">'GENERAL INFO'!$X$18</definedName>
    <definedName name="_Occ19">'GENERAL INFO'!$Y$18</definedName>
    <definedName name="_Occ2">'GENERAL INFO'!$H$18</definedName>
    <definedName name="_Occ20">'GENERAL INFO'!$Z$18</definedName>
    <definedName name="_Occ3">'GENERAL INFO'!$I$18</definedName>
    <definedName name="_Occ4">'GENERAL INFO'!$J$18</definedName>
    <definedName name="_Occ5">'GENERAL INFO'!$K$18</definedName>
    <definedName name="_Occ6">'GENERAL INFO'!$L$18</definedName>
    <definedName name="_Occ7">'GENERAL INFO'!$M$18</definedName>
    <definedName name="_Occ8">'GENERAL INFO'!$N$18</definedName>
    <definedName name="_Occ9">'GENERAL INFO'!$O$18</definedName>
    <definedName name="ALH">'GENERAL INFO'!$U$14</definedName>
    <definedName name="anndomesticnetincome">'CalculationSheet'!$N$24</definedName>
    <definedName name="annempbonus">'CalculationSheet'!$J$22</definedName>
    <definedName name="annempincome">'CalculationSheet'!$J$21</definedName>
    <definedName name="annoverseasincome">'CalculationSheet'!$N$25</definedName>
    <definedName name="b">'GENERAL INFO'!$J$14</definedName>
    <definedName name="Cash">'A &amp; L INFO'!$T$8</definedName>
    <definedName name="CheckingAccoint">'A &amp; L INFO'!$T$10</definedName>
    <definedName name="CheckingAccount">'A &amp; L INFO'!$T$10</definedName>
    <definedName name="_xlnm.Criteria" localSheetId="0">'GENERAL INFO'!$AD$63:$AD$65</definedName>
    <definedName name="dateofdeparture">'GENERAL INFO'!$F$33</definedName>
    <definedName name="DEPENDENT">'GENERAL INFO'!$F$65</definedName>
    <definedName name="emp_taxID1">'GENERAL INFO'!$G$111</definedName>
    <definedName name="emp_taxID2">'GENERAL INFO'!$L$111</definedName>
    <definedName name="emp_taxID3">'GENERAL INFO'!$Q$111</definedName>
    <definedName name="empbonus">'GENERAL INFO'!$V$124</definedName>
    <definedName name="employer1">'GENERAL INFO'!$G$110</definedName>
    <definedName name="employer2">'GENERAL INFO'!$L$110</definedName>
    <definedName name="employer3">'GENERAL INFO'!$Q$110</definedName>
    <definedName name="_xlnm.Extract" localSheetId="0">'GENERAL INFO'!$V$64</definedName>
    <definedName name="faxNo01">'GENERAL INFO'!$G$22</definedName>
    <definedName name="faxNo02">'GENERAL INFO'!$K$22</definedName>
    <definedName name="irregulardomesticincome">'GENERAL INFO'!$V$165</definedName>
    <definedName name="irregularincome" localSheetId="1">'OVERSEAS INCOME'!$T$630</definedName>
    <definedName name="irregularincome">'OVERSEAS INCOME'!$V$630</definedName>
    <definedName name="MARITAL">'GENERAL INFO'!$F$64</definedName>
    <definedName name="name">'GENERAL INFO'!$AD$15</definedName>
    <definedName name="name01">'GENERAL INFO'!$G$16</definedName>
    <definedName name="name02">'GENERAL INFO'!$H$16</definedName>
    <definedName name="name03">'GENERAL INFO'!$I$16</definedName>
    <definedName name="name04">'GENERAL INFO'!$J$16</definedName>
    <definedName name="name05">'GENERAL INFO'!$K$16</definedName>
    <definedName name="name06">'GENERAL INFO'!$L$16</definedName>
    <definedName name="name07">'GENERAL INFO'!$M$16</definedName>
    <definedName name="name08">'GENERAL INFO'!$N$16</definedName>
    <definedName name="name09">'GENERAL INFO'!$O$16</definedName>
    <definedName name="name10">'GENERAL INFO'!$P$16</definedName>
    <definedName name="name11">'GENERAL INFO'!$Q$16</definedName>
    <definedName name="name12">'GENERAL INFO'!$R$16</definedName>
    <definedName name="name13">'GENERAL INFO'!$S$16</definedName>
    <definedName name="name14">'GENERAL INFO'!$T$16</definedName>
    <definedName name="name15">'GENERAL INFO'!$U$16</definedName>
    <definedName name="name16">'GENERAL INFO'!$V$16</definedName>
    <definedName name="name17">'GENERAL INFO'!$W$16</definedName>
    <definedName name="name18">'GENERAL INFO'!$X$16</definedName>
    <definedName name="name19">'GENERAL INFO'!$Y$16</definedName>
    <definedName name="name20">'GENERAL INFO'!$Z$16</definedName>
    <definedName name="netdomesticincome">'GENERAL INFO'!$V$163</definedName>
    <definedName name="netempincome">'GENERAL INFO'!$V$133</definedName>
    <definedName name="npwp">'GENERAL INFO'!$AD$14</definedName>
    <definedName name="npwp01">'GENERAL INFO'!$G$14</definedName>
    <definedName name="npwp02">'GENERAL INFO'!$H$14</definedName>
    <definedName name="npwp03">'GENERAL INFO'!$J$14</definedName>
    <definedName name="npwp04">'GENERAL INFO'!$K$14</definedName>
    <definedName name="npwp05">'GENERAL INFO'!$L$14</definedName>
    <definedName name="npwp06">'GENERAL INFO'!$N$14</definedName>
    <definedName name="npwp07">'GENERAL INFO'!$O$14</definedName>
    <definedName name="npwp08">'GENERAL INFO'!$P$14</definedName>
    <definedName name="npwp09">'GENERAL INFO'!$R$14</definedName>
    <definedName name="npwp10">'GENERAL INFO'!$T$14</definedName>
    <definedName name="npwp11">'GENERAL INFO'!$U$14</definedName>
    <definedName name="npwp12">'GENERAL INFO'!$V$14</definedName>
    <definedName name="npwp13">'GENERAL INFO'!$X$14</definedName>
    <definedName name="npwp14">'GENERAL INFO'!$Y$14</definedName>
    <definedName name="npwp15">'GENERAL INFO'!$Z$14</definedName>
    <definedName name="npwpGeneral">'GENERAL INFO'!$G$14</definedName>
    <definedName name="o">'GENERAL INFO'!$G$14</definedName>
    <definedName name="OtherCash">'A &amp; L INFO'!$T$12</definedName>
    <definedName name="personalreliefs">'GENERAL INFO'!$F$66</definedName>
    <definedName name="phone01">'GENERAL INFO'!$G$20</definedName>
    <definedName name="phone02">'GENERAL INFO'!$K$20</definedName>
    <definedName name="postcode">'GENERAL INFO'!$Q$22</definedName>
    <definedName name="PPh25exSTP">'GENERAL INFO'!$L$99</definedName>
    <definedName name="PPH25TOTAL">'GENERAL INFO'!$H$99</definedName>
    <definedName name="_xlnm.Print_Area" localSheetId="12">'1721A1 (1)'!$A$1:$CF$76</definedName>
    <definedName name="_xlnm.Print_Area" localSheetId="13">'1721A1 (2)'!$A$1:$CF$76</definedName>
    <definedName name="_xlnm.Print_Area" localSheetId="14">'1721A1 (3)'!$A$1:$CF$76</definedName>
    <definedName name="_xlnm.Print_Area" localSheetId="16">'1770 S-1'!$A$1:$AO$114</definedName>
    <definedName name="_xlnm.Print_Area" localSheetId="17">'1770 S-II'!$A$1:$AO$144</definedName>
    <definedName name="_xlnm.Print_Area" localSheetId="18">'1770 S-II (2)'!$A$1:$AO$144</definedName>
    <definedName name="_xlnm.Print_Area" localSheetId="15">'1770S'!$B$1:$AS$129</definedName>
    <definedName name="_xlnm.Print_Area" localSheetId="2">'A &amp; L INFO'!$A$1:$U$156</definedName>
    <definedName name="_xlnm.Print_Area" localSheetId="4">'Appointment'!$A$1:$AA$55</definedName>
    <definedName name="_xlnm.Print_Area" localSheetId="11">'Attachment'!$A$1:$AC$223</definedName>
    <definedName name="_xlnm.Print_Area" localSheetId="20">'CalculationSheet'!$A$1:$AK$184</definedName>
    <definedName name="_xlnm.Print_Area" localSheetId="6">'ENVELOPE FORM'!$B$3:$AA$47</definedName>
    <definedName name="_xlnm.Print_Area" localSheetId="8">'FE-1770 S-1'!$A$1:$AO$114</definedName>
    <definedName name="_xlnm.Print_Area" localSheetId="9">'FE-1770 S-II'!$A$1:$AO$149</definedName>
    <definedName name="_xlnm.Print_Area" localSheetId="10">'FE-1770 S-II (2)'!$A$1:$AO$149</definedName>
    <definedName name="_xlnm.Print_Area" localSheetId="7">'FE-1770S'!$B$1:$AS$129</definedName>
    <definedName name="_xlnm.Print_Area" localSheetId="0">'GENERAL INFO'!$A$1:$Z$219</definedName>
    <definedName name="_xlnm.Print_Area" localSheetId="19">'LAMPIRAN'!$A$1:$AC$110</definedName>
    <definedName name="_xlnm.Print_Area" localSheetId="1">'OVERSEAS INCOME'!$A$1:$AI$661</definedName>
    <definedName name="_xlnm.Print_Titles" localSheetId="2">'A &amp; L INFO'!$1:$1</definedName>
    <definedName name="_xlnm.Print_Titles" localSheetId="11">'Attachment'!$1:$8</definedName>
    <definedName name="_xlnm.Print_Titles" localSheetId="0">'GENERAL INFO'!$1:$1</definedName>
    <definedName name="_xlnm.Print_Titles" localSheetId="19">'LAMPIRAN'!$1:$10</definedName>
    <definedName name="_xlnm.Print_Titles" localSheetId="1">'OVERSEAS INCOME'!$1:$1</definedName>
    <definedName name="proxy01">'GENERAL INFO'!$D$59</definedName>
    <definedName name="proxy02">'GENERAL INFO'!$E$59</definedName>
    <definedName name="proxy03">'GENERAL INFO'!$F$59</definedName>
    <definedName name="proxy04">'GENERAL INFO'!$G$59</definedName>
    <definedName name="proxy05">'GENERAL INFO'!$H$59</definedName>
    <definedName name="proxy06">'GENERAL INFO'!$I$59</definedName>
    <definedName name="proxy07">'GENERAL INFO'!$J$59</definedName>
    <definedName name="proxy08">'GENERAL INFO'!$K$59</definedName>
    <definedName name="proxy09">'GENERAL INFO'!$L$59</definedName>
    <definedName name="proxy10">'GENERAL INFO'!$M$59</definedName>
    <definedName name="proxy11">'GENERAL INFO'!$N$59</definedName>
    <definedName name="proxy12">'GENERAL INFO'!$O$59</definedName>
    <definedName name="proxy13">'GENERAL INFO'!$P$59</definedName>
    <definedName name="proxy14">'GENERAL INFO'!$Q$59</definedName>
    <definedName name="proxy15">'GENERAL INFO'!$R$59</definedName>
    <definedName name="proxy16">'GENERAL INFO'!$S$59</definedName>
    <definedName name="proxy17">'GENERAL INFO'!$T$59</definedName>
    <definedName name="proxy18">'GENERAL INFO'!$U$59</definedName>
    <definedName name="proxy19">'GENERAL INFO'!$V$59</definedName>
    <definedName name="proxy20">'GENERAL INFO'!$W$59</definedName>
    <definedName name="proxyid01">'GENERAL INFO'!$D$60</definedName>
    <definedName name="proxyid02">'GENERAL INFO'!$E$60</definedName>
    <definedName name="proxyid03">'GENERAL INFO'!$G$60</definedName>
    <definedName name="proxyid04">'GENERAL INFO'!$H$60</definedName>
    <definedName name="proxyid05">'GENERAL INFO'!$I$60</definedName>
    <definedName name="proxyid06">'GENERAL INFO'!$K$60</definedName>
    <definedName name="proxyid07">'GENERAL INFO'!$L$60</definedName>
    <definedName name="proxyid08">'GENERAL INFO'!$M$60</definedName>
    <definedName name="proxyid09">'GENERAL INFO'!$O$60</definedName>
    <definedName name="proxyid10">'GENERAL INFO'!$Q$60</definedName>
    <definedName name="proxyid11">'GENERAL INFO'!$R$60</definedName>
    <definedName name="proxyid12">'GENERAL INFO'!$S$60</definedName>
    <definedName name="proxyid13">'GENERAL INFO'!$U$60</definedName>
    <definedName name="proxyid14">'GENERAL INFO'!$V$60</definedName>
    <definedName name="proxyid15">'GENERAL INFO'!$W$60</definedName>
    <definedName name="SavingAccount">'A &amp; L INFO'!$T$9</definedName>
    <definedName name="slip01">'GENERAL INFO'!$G$112</definedName>
    <definedName name="slip02">'GENERAL INFO'!$L$112</definedName>
    <definedName name="slip03">'GENERAL INFO'!$Q$112</definedName>
    <definedName name="spouseNpwp">'GENERAL INFO'!$G$26</definedName>
    <definedName name="tax_due">'CalculationSheet'!$R$44</definedName>
    <definedName name="taxableincome">'FE-1770S'!$AH$53</definedName>
    <definedName name="taxdue">'CalculationSheet'!$R$44</definedName>
    <definedName name="taxId1">'FE-1770S'!$L$12</definedName>
    <definedName name="taxId10">'FE-1770S'!$Y$12</definedName>
    <definedName name="taxId11">'FE-1770S'!$Z$12</definedName>
    <definedName name="taxId12">'FE-1770S'!$AA$12</definedName>
    <definedName name="taxId13">'FE-1770S'!$AC$12</definedName>
    <definedName name="taxId14">'FE-1770S'!$AD$12</definedName>
    <definedName name="taxId15">'FE-1770S'!$AE$12</definedName>
    <definedName name="taxId2">'FE-1770S'!$M$12</definedName>
    <definedName name="taxId3">'FE-1770S'!$O$12</definedName>
    <definedName name="taxId4">'FE-1770S'!$P$12</definedName>
    <definedName name="taxId5">'FE-1770S'!$Q$12</definedName>
    <definedName name="taxId6">'FE-1770S'!$S$12</definedName>
    <definedName name="taxId7">'FE-1770S'!$T$12</definedName>
    <definedName name="taxId8">'FE-1770S'!$U$12</definedName>
    <definedName name="taxId9">'FE-1770S'!$W$12</definedName>
    <definedName name="taxyear">'GENERAL INFO'!$AD$31</definedName>
    <definedName name="taxyearend">'GENERAL INFO'!$AD$32</definedName>
    <definedName name="TimeDeposit">'A &amp; L INFO'!$T$11</definedName>
    <definedName name="TOTAL_ALL_ASSET">'A &amp; L INFO'!$AD$45</definedName>
    <definedName name="TOTAL_CASH">'A &amp; L INFO'!$M$24</definedName>
    <definedName name="TOTAL_INVESTMENT">'A &amp; L INFO'!$M$66</definedName>
    <definedName name="TOTAL_OTHER_PROP">'A &amp; L INFO'!$M$108</definedName>
    <definedName name="TOTAL_PAGES">'A &amp; L INFO'!$AD$43</definedName>
    <definedName name="TOTAL_PROP">'A &amp; L INFO'!$M$129</definedName>
    <definedName name="TOTAL_RECEIVABLE">'A &amp; L INFO'!$M$45</definedName>
    <definedName name="TOTAL_TRANSPORT">'A &amp; L INFO'!$M$87</definedName>
    <definedName name="TOTALASSETS">'A &amp; L INFO'!$M$131</definedName>
    <definedName name="TOTALCASH">'A &amp; L INFO'!$M$24</definedName>
    <definedName name="TOTALLIABILITIES">'A &amp; L INFO'!$M$154</definedName>
    <definedName name="totaloverseasincome">'OVERSEAS INCOME'!$Y$660</definedName>
    <definedName name="TOTALRECEIVABLE">'A &amp; L INFO'!$M$45</definedName>
    <definedName name="TOTALSHARES">'A &amp; L INFO'!$M$45</definedName>
    <definedName name="WORKPERIOD">'GENERAL INFO'!$V$109</definedName>
    <definedName name="year01">'GENERAL INFO'!$F$31</definedName>
    <definedName name="year02">'GENERAL INFO'!$G$31</definedName>
    <definedName name="year03">'GENERAL INFO'!$H$31</definedName>
    <definedName name="year04">'GENERAL INFO'!$I$31</definedName>
  </definedNames>
  <calcPr fullPrecision="1" calcMode="auto" calcId="162913"/>
  <x:extLst xmlns:x="http://schemas.openxmlformats.org/spreadsheetml/2006/main"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workbook>
</file>

<file path=xl/sharedStrings.xml><?xml version="1.0" encoding="utf-8"?>
<sst xmlns="http://schemas.openxmlformats.org/spreadsheetml/2006/main" uniqueCount="1388">
  <si>
    <t>IDENTITAS</t>
  </si>
  <si>
    <t>PENGHASILAN NETO LUAR NEGERI</t>
  </si>
  <si>
    <t>PENGHASILAN TIDAK KENA PAJAK</t>
  </si>
  <si>
    <t xml:space="preserve">PPh TERUTANG </t>
  </si>
  <si>
    <t>PENGEMBALIAN / PENGURANGAN PPh PASAL 24 YANG TELAH DIKREDITKAN</t>
  </si>
  <si>
    <t>PPh YANG LEBIH DIPOTONG/DIPUNGUT</t>
  </si>
  <si>
    <t>a.</t>
  </si>
  <si>
    <t>b.</t>
  </si>
  <si>
    <t>c.</t>
  </si>
  <si>
    <t>a. PPh YANG KURANG DIBAYAR (PPh PASAL 29)</t>
  </si>
  <si>
    <t>b. PPh YANG LEBIH DIBAYAR (PPh PASAL 28 A)</t>
  </si>
  <si>
    <t>PENGHITUNGAN DALAM LAMPIRAN TERSENDIRI</t>
  </si>
  <si>
    <t>TANDA TANGAN</t>
  </si>
  <si>
    <t>WAJIB PAJAK</t>
  </si>
  <si>
    <t>KUASA</t>
  </si>
  <si>
    <t>1770 S</t>
  </si>
  <si>
    <t>PENGHASILAN NETO DALAM NEGERI LAINNYA</t>
  </si>
  <si>
    <t>JUMLAH PENGHASILAN NETO (1+2+3)</t>
  </si>
  <si>
    <t>PENGHASILAN KENA PAJAK (6-7)</t>
  </si>
  <si>
    <t>PPh YANG DIBAYAR SENDIRI</t>
  </si>
  <si>
    <t>PPh YANG HARUS DIBAYAR SENDIRI</t>
  </si>
  <si>
    <t>PPh PASAL 25</t>
  </si>
  <si>
    <t>STP PPh Pasal 25 (Hanya Pokok Pajak)</t>
  </si>
  <si>
    <t>•</t>
  </si>
  <si>
    <t>Surat Kuasa Khusus (Bila dikuasakan)</t>
  </si>
  <si>
    <t>NPWP</t>
  </si>
  <si>
    <t>:</t>
  </si>
  <si>
    <t>NAMA WAJIB PAJAK</t>
  </si>
  <si>
    <t>PEKERJAAN</t>
  </si>
  <si>
    <t>TAHUN PAJAK</t>
  </si>
  <si>
    <t>-</t>
  </si>
  <si>
    <t>DIREKTORAT JENDERAL PAJAK</t>
  </si>
  <si>
    <t>PENGHASILAN YANG TIDAK TERMASUK OBJEK PAJAK</t>
  </si>
  <si>
    <t>N P W P</t>
  </si>
  <si>
    <t>NAMA LENGKAP</t>
  </si>
  <si>
    <t>SEBELUM MENGISI BACA DAHULU BUKU PETUNJUK PENGISIAN</t>
  </si>
  <si>
    <t>ISI DENGAN HURUF CETAK /DIKETIK DENGAN TINTA HITAM</t>
  </si>
  <si>
    <t>BERI TANDA "X" PADA</t>
  </si>
  <si>
    <t>FORMULIR</t>
  </si>
  <si>
    <t>BAGIAN A</t>
  </si>
  <si>
    <t>JENIS PENGHASILAN</t>
  </si>
  <si>
    <t>Bunga</t>
  </si>
  <si>
    <t>Royalti</t>
  </si>
  <si>
    <t>Sewa</t>
  </si>
  <si>
    <t>Penghargaan dan Hadiah</t>
  </si>
  <si>
    <t>Penghasilan Lainnya</t>
  </si>
  <si>
    <t>BAGIAN B</t>
  </si>
  <si>
    <t>Warisan</t>
  </si>
  <si>
    <t>Klaim Asuransi Kesehatan, Kecelakaan, Jiwa, Dwiguna, Beasiswa</t>
  </si>
  <si>
    <t>SUMBER/JENIS PENGHASILAN</t>
  </si>
  <si>
    <t>TANGGAL</t>
  </si>
  <si>
    <t>Hadiah Undian</t>
  </si>
  <si>
    <t>DIRESTITUSIKAN</t>
  </si>
  <si>
    <t>14a</t>
  </si>
  <si>
    <t>14b</t>
  </si>
  <si>
    <t>SPT TAHUNAN PPh WAJIB PAJAK ORANG PRIBADI</t>
  </si>
  <si>
    <t>TGL</t>
  </si>
  <si>
    <t>BLN</t>
  </si>
  <si>
    <t>THN</t>
  </si>
  <si>
    <t>BAGIAN C</t>
  </si>
  <si>
    <t>Catatan :</t>
  </si>
  <si>
    <t xml:space="preserve">NAMA WAJIB PAJAK   </t>
  </si>
  <si>
    <t>*)</t>
  </si>
  <si>
    <t>(11-12)</t>
  </si>
  <si>
    <t>(2)</t>
  </si>
  <si>
    <t>(1)</t>
  </si>
  <si>
    <t>(3)</t>
  </si>
  <si>
    <t>(4)</t>
  </si>
  <si>
    <t>(5)</t>
  </si>
  <si>
    <t xml:space="preserve">HARGA PEROLEHAN </t>
  </si>
  <si>
    <t>(Rupiah)</t>
  </si>
  <si>
    <t xml:space="preserve">TAHUN </t>
  </si>
  <si>
    <t>PEROLEHAN</t>
  </si>
  <si>
    <t>KETERANGAN</t>
  </si>
  <si>
    <t>JUMLAH</t>
  </si>
  <si>
    <t>PEMBERI PINJAMAN</t>
  </si>
  <si>
    <t>NO.</t>
  </si>
  <si>
    <t xml:space="preserve">ANGSURAN PPh PASAL 25 TAHUN PAJAK BERIKUTNYA SEBESAR </t>
  </si>
  <si>
    <t xml:space="preserve">SPT TAHUNAN </t>
  </si>
  <si>
    <t>………………………………………</t>
  </si>
  <si>
    <t>……………………………………………………………………………</t>
  </si>
  <si>
    <t>Perkumpulan, Firma, Kongsi</t>
  </si>
  <si>
    <t>1770 S - I</t>
  </si>
  <si>
    <t>- DTP : Ditanggung Pemerintah</t>
  </si>
  <si>
    <t>NO</t>
  </si>
  <si>
    <t>1770 S - II</t>
  </si>
  <si>
    <t xml:space="preserve">Pesangon, Tunjangan Hari Tua dan Tebusan Pensiun </t>
  </si>
  <si>
    <t>F.1.1.32.18</t>
  </si>
  <si>
    <t>PERNYATAAN</t>
  </si>
  <si>
    <t>A. PENGHASILAN NETO</t>
  </si>
  <si>
    <t>B.PENGHASILAN KENA PAJAK</t>
  </si>
  <si>
    <t>C. PPh TERUTANG</t>
  </si>
  <si>
    <t>D. KREDIT PAJAK</t>
  </si>
  <si>
    <t>F. ANGSURAN PPh PASAL 25 TAHUN PAJAK BERIKUTNYA</t>
  </si>
  <si>
    <t>G. LAMPIRAN</t>
  </si>
  <si>
    <t>PEMUNGUT PAJAK</t>
  </si>
  <si>
    <t>BUKTI PEMOTONGAN/</t>
  </si>
  <si>
    <t>PPh PASAL 21/</t>
  </si>
  <si>
    <t>PENGHASILAN NETO DALAM NEGERI SEHUBUNGAN DENGAN PEKERJAAN</t>
  </si>
  <si>
    <t>(6)</t>
  </si>
  <si>
    <t>PAJAK PENGHASILAN WAJIB PAJAK  ORANG PRIBADI</t>
  </si>
  <si>
    <t xml:space="preserve">1/12 x JUMLAH PADA ANGKA 13 </t>
  </si>
  <si>
    <t>ALAMAT</t>
  </si>
  <si>
    <t xml:space="preserve">NAMA </t>
  </si>
  <si>
    <t>PEMUNGUTAN</t>
  </si>
  <si>
    <t xml:space="preserve">JUMLAH PPh YANG </t>
  </si>
  <si>
    <t>DIPOTONG / DIPUNGUT</t>
  </si>
  <si>
    <t>JBA</t>
  </si>
  <si>
    <t>JUMLAH BAGIAN A</t>
  </si>
  <si>
    <t>JUMLAH BAGIAN B</t>
  </si>
  <si>
    <t>JBB</t>
  </si>
  <si>
    <t xml:space="preserve">[Diisi sesuai dengan Formulir 1770 S-I Jumlah Bagian A ] </t>
  </si>
  <si>
    <t>(13-15)</t>
  </si>
  <si>
    <t>………………………………………………………</t>
  </si>
  <si>
    <t>JBC</t>
  </si>
  <si>
    <t>JUMLAH BAGIAN C</t>
  </si>
  <si>
    <t>……………………………………………………………………………………………………………………..</t>
  </si>
  <si>
    <t xml:space="preserve">DASAR PENGENAAN PAJAK/ </t>
  </si>
  <si>
    <t>PENGHASILAN BRUTO</t>
  </si>
  <si>
    <t>PEMINJAMAN</t>
  </si>
  <si>
    <t>KLU :</t>
  </si>
  <si>
    <t>Bantuan / Sumbangan / Hibah</t>
  </si>
  <si>
    <t xml:space="preserve">Bagian Laba Anggota Perseroan Komanditer Tidak Atas Saham, Persekutuan, </t>
  </si>
  <si>
    <t>Penghasilan Lainnya yang Tidak Termasuk Objek Pajak</t>
  </si>
  <si>
    <t>dst</t>
  </si>
  <si>
    <t>Penjualan Saham di Bursa Efek</t>
  </si>
  <si>
    <t>atau Bersifat Final</t>
  </si>
  <si>
    <t>JUMLAH PPh TERUTANG (9+10)</t>
  </si>
  <si>
    <t>NPWP PEMOTONG/</t>
  </si>
  <si>
    <t xml:space="preserve">Dengan menyadari sepenuhnya akan segala akibatnya termasuk sanksi-sanksi sesuai dengan ketentuan peraturan </t>
  </si>
  <si>
    <t>NAMA PEMOTONG/</t>
  </si>
  <si>
    <t xml:space="preserve">JUMLAH PENGHASILAN </t>
  </si>
  <si>
    <t>JIKA FORMULIR INI TIDAK MENCUKUPI, DAPAT DIBUAT SENDIRI SESUAI DENGAN BENTUK INI</t>
  </si>
  <si>
    <t>(TARIF PASAL 17 UU PPh x ANGKA 8)</t>
  </si>
  <si>
    <t xml:space="preserve">Pindahkan Jumlah Bagian A ke Formulir Induk 1770 S Bagian A </t>
  </si>
  <si>
    <t xml:space="preserve">Pindahkan Jumlah Bagian C ke Formulir Induk </t>
  </si>
  <si>
    <t>Halaman ke-</t>
  </si>
  <si>
    <t xml:space="preserve">dari </t>
  </si>
  <si>
    <t>- Jika terdapat kredit pajak PPh Pasal 24, maka jumlah yang diisi adalah maksimum yang dapat dikreditkan sesuai lampiran tersendiri</t>
  </si>
  <si>
    <t>Dividen</t>
  </si>
  <si>
    <t>d.</t>
  </si>
  <si>
    <t>e.</t>
  </si>
  <si>
    <t xml:space="preserve">    (KOTAK PILIHAN) YANG SESUAI</t>
  </si>
  <si>
    <t>TGL LUNAS</t>
  </si>
  <si>
    <t>LAMPIRAN - II</t>
  </si>
  <si>
    <t>LAMPIRAN - I</t>
  </si>
  <si>
    <t>E. PPh KURANG/LEBIH BAYAR</t>
  </si>
  <si>
    <t>Fotokopi Formulir 1721-A1 atau 1721-A2 atau Bukti Potong PPh Pasal 21</t>
  </si>
  <si>
    <t>NOMOR</t>
  </si>
  <si>
    <t>(7)</t>
  </si>
  <si>
    <t>Perdagangannya di Bursa Efek</t>
  </si>
  <si>
    <t>Honorarium atas Beban APBN/APBD</t>
  </si>
  <si>
    <t>JENIS PAJAK :</t>
  </si>
  <si>
    <t>……………………………………………..</t>
  </si>
  <si>
    <t>………………………………………………………………………………………………………………………….</t>
  </si>
  <si>
    <t>- Kolom (6) diisi dengan pilihan PPh Pasal 21/22/23/24/26/DTP (Contoh : ditulis 21, 22, 23, 24, 26, DTP)</t>
  </si>
  <si>
    <t>[Apabila memiliki penghasilan dari luar negeri agar diisi dari Lampiran Tersendiri, lihat buku petunjuk]</t>
  </si>
  <si>
    <t>NO. TELEPON</t>
  </si>
  <si>
    <t>NO. FAKS</t>
  </si>
  <si>
    <t>TK/</t>
  </si>
  <si>
    <t>K/</t>
  </si>
  <si>
    <t>K/I/</t>
  </si>
  <si>
    <t xml:space="preserve">   (lihat buku petunjuk tentang Lampiran I Bagian C dan Induk SPT angka 3)</t>
  </si>
  <si>
    <t>halaman Lampiran-I</t>
  </si>
  <si>
    <t>halaman Lampiran-II</t>
  </si>
  <si>
    <t>RUPIAH *)</t>
  </si>
  <si>
    <r>
      <t xml:space="preserve">   *) </t>
    </r>
    <r>
      <rPr>
        <sz val="7"/>
        <rFont val="Arial"/>
        <charset val="0"/>
        <color theme="1"/>
      </rPr>
      <t>Pengisian kolom-kolom yang berisi nilai rupiah harus tanpa nilai desimal (contoh penulisan lihat buku petunjuk hal. 3)</t>
    </r>
  </si>
  <si>
    <t xml:space="preserve">Surat Setoran Pajak Lembar ke-3 PPh Pasal 29 </t>
  </si>
  <si>
    <t>PENGHASILAN YANG DIKENAKAN PPh FINAL DAN/ATAU BERSIFAT FINAL</t>
  </si>
  <si>
    <t>NEGERI DAN/ATAU TERUTANG DI LUAR NEGERI  [Diisi dari Formulir 1770 S-I Jumlah Bagian C Kolom (7)]</t>
  </si>
  <si>
    <t>(Tidak Termasuk Penghasilan Dikenakan PPh Final dan/atau Bersifat Final)</t>
  </si>
  <si>
    <t>Pengalihan Hak atas Tanah dan/atau Bangunan</t>
  </si>
  <si>
    <t>Sewa atas Tanah dan/atau Bangunan</t>
  </si>
  <si>
    <t>Penghasilan Lain yang dikenakan Pajak Final dan/</t>
  </si>
  <si>
    <t>PPh YANG DIPOTONG/DIPUNGUT PIHAK LAIN/DITANGGUNG PEMERINTAH DAN/ATAU KREDIT PAJAK LUAR</t>
  </si>
  <si>
    <t>FORM</t>
  </si>
  <si>
    <t>ANNUAL INCOME TAX RETURN</t>
  </si>
  <si>
    <t>INDIVIDUAL TAXPAYER</t>
  </si>
  <si>
    <t>TAX YEAR</t>
  </si>
  <si>
    <t xml:space="preserve">PUT " X " ON THE </t>
  </si>
  <si>
    <t>IDENTITY</t>
  </si>
  <si>
    <t>TAX ID NUMBER</t>
  </si>
  <si>
    <t xml:space="preserve">TAXPAYER NAME </t>
  </si>
  <si>
    <t>OCCUPATION</t>
  </si>
  <si>
    <t>DOMESTIC NET INCOME FROM EMPLOYMENT</t>
  </si>
  <si>
    <t>A. NET INCOME</t>
  </si>
  <si>
    <t xml:space="preserve">OTHER DOMESTIC NET INCOME                                                                                         </t>
  </si>
  <si>
    <t>OVERSEAS NET INCOME</t>
  </si>
  <si>
    <t>TOTAL NET INCOME (1+2+3)</t>
  </si>
  <si>
    <t>TITHE OF INCOME</t>
  </si>
  <si>
    <t>NET INCOME AFTER TITHE OF INCOME DEDUCTION (4-5)</t>
  </si>
  <si>
    <t>B.TAXABLE INCOME</t>
  </si>
  <si>
    <t>NON-TAXABLE INCOME</t>
  </si>
  <si>
    <t>TAXABLE INCOME (6-7)</t>
  </si>
  <si>
    <t>C. TAX LIABILITY</t>
  </si>
  <si>
    <t xml:space="preserve">TAX LIABILITY </t>
  </si>
  <si>
    <t>ART. 24 TAX REFUND/DEDUCTION WHICH HAS BEEN CREDITED</t>
  </si>
  <si>
    <t>TOTAL TAX STILL LIABLE (9+10)</t>
  </si>
  <si>
    <t xml:space="preserve">D. TAX CREDITS </t>
  </si>
  <si>
    <t>INCOME TAX YET TO BE SELF-PAID</t>
  </si>
  <si>
    <t>OVERWITHHELD/OVERCOLLECTED TAX</t>
  </si>
  <si>
    <t xml:space="preserve">SELF-PAID INCOME TAX </t>
  </si>
  <si>
    <t>ART. 25 COLLECTION LETTER (PRINCIPLE ONLY)</t>
  </si>
  <si>
    <t>E. UNDERPAID/ OVERPAID TAX</t>
  </si>
  <si>
    <t>a. UNDER PAID INCOME TAX (PPh Art. 29)</t>
  </si>
  <si>
    <t>b. OVERPAID INCOME TAX (PPh Art. 28 A)</t>
  </si>
  <si>
    <t>Date</t>
  </si>
  <si>
    <t>Mth</t>
  </si>
  <si>
    <t>Yr</t>
  </si>
  <si>
    <t>REFUND</t>
  </si>
  <si>
    <t>THIS AMOUNT HAS BEEN CALCULATED AS FOLLOWS:</t>
  </si>
  <si>
    <t>REFER TO THE SEPARATELY CALCULATION ATTACHED</t>
  </si>
  <si>
    <t>G. ATTACHMENT</t>
  </si>
  <si>
    <t>SIGNATURE</t>
  </si>
  <si>
    <t>TAX PAYER</t>
  </si>
  <si>
    <t>PROXY</t>
  </si>
  <si>
    <t>DATE</t>
  </si>
  <si>
    <t xml:space="preserve">TAX PAYER NAME </t>
  </si>
  <si>
    <t>ATTACHMENT - I</t>
  </si>
  <si>
    <t>ANNUAL TAX RETURN INCOME TAX INDIVIDUAL TAXPAYER</t>
  </si>
  <si>
    <t>OTHER DOMESTIC NET INCOME</t>
  </si>
  <si>
    <t>NON TAX OBJECT INCOME</t>
  </si>
  <si>
    <t>SUMMARY OF WITHHOLDING TAX,TAXES COLLECTED BY OTHERS, AND</t>
  </si>
  <si>
    <t>GOVERNMENT BORNE TAXES</t>
  </si>
  <si>
    <t>SECTION A :</t>
  </si>
  <si>
    <t>INCOME TYPE</t>
  </si>
  <si>
    <t>NET INCOME</t>
  </si>
  <si>
    <t>TOTAL SECTION A</t>
  </si>
  <si>
    <t xml:space="preserve">Move Total Section A to Form 1770 S Section A </t>
  </si>
  <si>
    <t>SECTION B :</t>
  </si>
  <si>
    <t>TYPE OF INCOME</t>
  </si>
  <si>
    <t>TOTAL SECTION B</t>
  </si>
  <si>
    <t>SECTION C :</t>
  </si>
  <si>
    <t>NAME OF TAX WITHHOLDER/</t>
  </si>
  <si>
    <t xml:space="preserve">COLLECTOR </t>
  </si>
  <si>
    <t>TAX SLIP</t>
  </si>
  <si>
    <t xml:space="preserve">NUMBER </t>
  </si>
  <si>
    <t>TYPE OF TAXES</t>
  </si>
  <si>
    <t>ART. 21/</t>
  </si>
  <si>
    <t>TOTAL SECTION C</t>
  </si>
  <si>
    <t>FAX NUMBER</t>
  </si>
  <si>
    <t>ATTACHMENT - II</t>
  </si>
  <si>
    <t>SECTION A</t>
  </si>
  <si>
    <t>SOURCE/TYPE OF INCOME</t>
  </si>
  <si>
    <t>GROSS INCOME</t>
  </si>
  <si>
    <t>INCOME TAX DUE</t>
  </si>
  <si>
    <t>SECTION B</t>
  </si>
  <si>
    <t>YEAR OF</t>
  </si>
  <si>
    <t>ACQUISITION</t>
  </si>
  <si>
    <t>ACQUISITION COST</t>
  </si>
  <si>
    <t>REMARKS</t>
  </si>
  <si>
    <t>SECTION C</t>
  </si>
  <si>
    <t>LENDER</t>
  </si>
  <si>
    <t>ADDRESS OF</t>
  </si>
  <si>
    <t>AMOUNT</t>
  </si>
  <si>
    <t>TAX BASE/</t>
  </si>
  <si>
    <t>Page</t>
  </si>
  <si>
    <t>From</t>
  </si>
  <si>
    <t>Pages of Attachment - I</t>
  </si>
  <si>
    <t>TOTAL TAX</t>
  </si>
  <si>
    <t>WITHHELD/COLLECTED</t>
  </si>
  <si>
    <t>Move Total Section C to Form 1770 S Section D</t>
  </si>
  <si>
    <t xml:space="preserve">Page </t>
  </si>
  <si>
    <t>from</t>
  </si>
  <si>
    <t>Interest</t>
  </si>
  <si>
    <t>FULL NAME</t>
  </si>
  <si>
    <t>3rd Copy of Tax Payment Slip - Article 29 Income Tax</t>
  </si>
  <si>
    <t>Proxy (Where Relevant)</t>
  </si>
  <si>
    <t>Copy of form 1721-A1 or 1721-A2 or Art.21 withholding income tax slip</t>
  </si>
  <si>
    <t>Being fully aware of all the consequences, including the sanctions in accordance with the prevailing tax</t>
  </si>
  <si>
    <t>PAYMENT DATE</t>
  </si>
  <si>
    <t>Royalties</t>
  </si>
  <si>
    <t>Rentals</t>
  </si>
  <si>
    <t>Prize and Awards</t>
  </si>
  <si>
    <t>Other Income</t>
  </si>
  <si>
    <t>Inheritance</t>
  </si>
  <si>
    <t>Other Non-Assessable Income</t>
  </si>
  <si>
    <t xml:space="preserve">One Time Payment Of Severance Pay, Old Age Benefit </t>
  </si>
  <si>
    <t>And One-Off Pension Payment</t>
  </si>
  <si>
    <t>State Budget Financed Honorarium</t>
  </si>
  <si>
    <t xml:space="preserve">The Buildings Received Under a "BOT" Arrangement </t>
  </si>
  <si>
    <t>Wife's Employment Income</t>
  </si>
  <si>
    <t>Income Tax</t>
  </si>
  <si>
    <t xml:space="preserve">Other Income Which Has Been Subject To Final </t>
  </si>
  <si>
    <t>ATTENTION</t>
  </si>
  <si>
    <t>MINISTRY OF FINANCE</t>
  </si>
  <si>
    <t>THE DIRECTORATE GENERAL</t>
  </si>
  <si>
    <t>OF TAXATION</t>
  </si>
  <si>
    <t xml:space="preserve">THE DIRECTORATE GENERAL </t>
  </si>
  <si>
    <t xml:space="preserve">MINISTRY OF FINANCE </t>
  </si>
  <si>
    <t>G E N E R A L   I N F O R M A T I O N</t>
  </si>
  <si>
    <t>A.   PERMANENT INFO</t>
  </si>
  <si>
    <t>npwp</t>
  </si>
  <si>
    <t>TAXPAYER'S NAME</t>
  </si>
  <si>
    <t xml:space="preserve">  </t>
  </si>
  <si>
    <t xml:space="preserve"> </t>
  </si>
  <si>
    <t>X</t>
  </si>
  <si>
    <t>B.   CURRENT-YEAR QUALITATIVE INFO</t>
  </si>
  <si>
    <t>WHAT YEAR</t>
  </si>
  <si>
    <t>2</t>
  </si>
  <si>
    <t>0</t>
  </si>
  <si>
    <t>Tax Year</t>
  </si>
  <si>
    <t>Tax Year End</t>
  </si>
  <si>
    <t>DATE OF DEPARTURE FROM INDONESIA</t>
  </si>
  <si>
    <t>(EPO DATE)</t>
  </si>
  <si>
    <t>TAX OVERPAYMENT</t>
  </si>
  <si>
    <t>TAX LIABILITES</t>
  </si>
  <si>
    <t>LIST OF ATTACHMENTS</t>
  </si>
  <si>
    <t>a</t>
  </si>
  <si>
    <t>COPY OF FORMS 1721A1/A2</t>
  </si>
  <si>
    <t>b</t>
  </si>
  <si>
    <t>c</t>
  </si>
  <si>
    <t>SSP PPH 29</t>
  </si>
  <si>
    <t>d</t>
  </si>
  <si>
    <t>e</t>
  </si>
  <si>
    <t>SIGNATORY</t>
  </si>
  <si>
    <t>TAXPAYER</t>
  </si>
  <si>
    <t>C   LIST OF FAMILY</t>
  </si>
  <si>
    <t>MARITAL STATUS</t>
  </si>
  <si>
    <t>DEPENDANTS</t>
  </si>
  <si>
    <t>PERSONAL RELIEFS</t>
  </si>
  <si>
    <t>No.</t>
  </si>
  <si>
    <t>Name</t>
  </si>
  <si>
    <t>Relationship</t>
  </si>
  <si>
    <t>Any Occupation?</t>
  </si>
  <si>
    <t>INCOME TAX WITHHELD</t>
  </si>
  <si>
    <t>Gross income</t>
  </si>
  <si>
    <t>Prizes from lotteries</t>
  </si>
  <si>
    <t>One time payment of severance pay, old-age savings and pension benefits</t>
  </si>
  <si>
    <t>State budget financed honorarium</t>
  </si>
  <si>
    <t>Rental of land and or building</t>
  </si>
  <si>
    <t>Other income which has been subject to final income tax</t>
  </si>
  <si>
    <t>Total</t>
  </si>
  <si>
    <t>Wife's employment income</t>
  </si>
  <si>
    <t>NON-ASSESSABLE INCOME</t>
  </si>
  <si>
    <t>Donations/Gifts/Grants</t>
  </si>
  <si>
    <t>Claim for health, accident, life, or schoolarship insurance</t>
  </si>
  <si>
    <t>Other non-assessable income</t>
  </si>
  <si>
    <t>A S S E T S   A N D   L I A B I L I T I E S</t>
  </si>
  <si>
    <t>ASSETS</t>
  </si>
  <si>
    <t>DESCRIPTION</t>
  </si>
  <si>
    <t>ACQUISITION/BALANCE DATE</t>
  </si>
  <si>
    <t>CURRENCY</t>
  </si>
  <si>
    <t>ACQUISITION PRICE/BALANCE</t>
  </si>
  <si>
    <t>IN ORG. CURRENCY</t>
  </si>
  <si>
    <t>APPLICABLE EXCH. RATE</t>
  </si>
  <si>
    <t>IN RUPIAH</t>
  </si>
  <si>
    <t>SUBTOTAL</t>
  </si>
  <si>
    <t>TOTAL ASSETS</t>
  </si>
  <si>
    <t>LIABILITIES</t>
  </si>
  <si>
    <t>BALANCE DATE</t>
  </si>
  <si>
    <t>TOTAL LIABILITIES</t>
  </si>
  <si>
    <t>Dividend</t>
  </si>
  <si>
    <t>PHONE NUMBER</t>
  </si>
  <si>
    <t xml:space="preserve">F   OTHER DOMESTIC NET INCOME </t>
  </si>
  <si>
    <t>Expenses</t>
  </si>
  <si>
    <t>Net Income</t>
  </si>
  <si>
    <t xml:space="preserve">Interest </t>
  </si>
  <si>
    <t>Royalty</t>
  </si>
  <si>
    <t>Prize and awards</t>
  </si>
  <si>
    <t>Gains on sales/transfer of assets</t>
  </si>
  <si>
    <t>Others</t>
  </si>
  <si>
    <t>Irregular items</t>
  </si>
  <si>
    <t>Tax on irregular items</t>
  </si>
  <si>
    <t>E   INDONESIAN EMPLOYMENT INCOME (AS STATED IN THE FORMS 1721A1/A2)</t>
  </si>
  <si>
    <t>EMPLOYER 1</t>
  </si>
  <si>
    <t>EMPLOYER 2</t>
  </si>
  <si>
    <t>EMPLOYER 3</t>
  </si>
  <si>
    <t>TOTAL</t>
  </si>
  <si>
    <t>QUALITATIVE INFO</t>
  </si>
  <si>
    <t>WORKING PERIOD</t>
  </si>
  <si>
    <t>s/d</t>
  </si>
  <si>
    <t>NUMBER OF PERIOD</t>
  </si>
  <si>
    <t>NAME OF EMPLOYER</t>
  </si>
  <si>
    <t>EMPLOYER'S TAX ID NUMBER</t>
  </si>
  <si>
    <t>NUMBER OF WITHHOLDING TAX SLIP</t>
  </si>
  <si>
    <t>DATE OF WITHHOLDING TAX SLIP</t>
  </si>
  <si>
    <t>ROUNDING DOWN</t>
  </si>
  <si>
    <t>QUANTITATIVE INFO</t>
  </si>
  <si>
    <t>a. Salaries/pension payment/old-age savings</t>
  </si>
  <si>
    <t>b. Income tax allowance</t>
  </si>
  <si>
    <t xml:space="preserve">c. Other allowances, cash compensation, overtime, etc. </t>
  </si>
  <si>
    <t xml:space="preserve">d. Honorarium, and other similar remuneration </t>
  </si>
  <si>
    <t>e. Employer-provided insurance premiums</t>
  </si>
  <si>
    <t>g. Tantiem,bonuses,gratuities,production comepnsation, THR</t>
  </si>
  <si>
    <t>h. TOTAL (a to g)</t>
  </si>
  <si>
    <t>DEDUCTIONS</t>
  </si>
  <si>
    <t xml:space="preserve">a. Occupational costs </t>
  </si>
  <si>
    <t>b. Pension costs</t>
  </si>
  <si>
    <t>c. Pension and old-age saving contributions</t>
  </si>
  <si>
    <t>d. TOTAL (a + b + c)</t>
  </si>
  <si>
    <t>S/</t>
  </si>
  <si>
    <t>M/</t>
  </si>
  <si>
    <t>M/W/</t>
  </si>
  <si>
    <t>D   SELF-PAID INCOME TAX</t>
  </si>
  <si>
    <t>MONTHLY INSTALMENT (PPh 25) PAYMENTS</t>
  </si>
  <si>
    <t>Month</t>
  </si>
  <si>
    <t>Instalment amount</t>
  </si>
  <si>
    <t>Reguler Payments</t>
  </si>
  <si>
    <t>Payments through STP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</si>
  <si>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</si>
  <si>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</si>
  <si>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</si>
  <si>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</si>
  <si>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</si>
  <si>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</si>
  <si>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</si>
  <si>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</si>
  <si>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</si>
  <si>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</si>
  <si>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</si>
  <si>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</si>
  <si>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PPh 25 PAYMENTS</t>
  </si>
  <si>
    <t>REFUND OF PPh 24 WHICH HAS BEEN CREDITED</t>
  </si>
  <si>
    <t xml:space="preserve">G   INCOME SUBJECT TO FINAL TAX,  SEPARATELY TAXED INCOME, AND NON-ASSESSABLE INCOME </t>
  </si>
  <si>
    <t>VERSION 1 - ARTICLE 21 INCOME TAX CALCULATION IS ROUNDED DOWN</t>
  </si>
  <si>
    <t>INDIVIDUAL INCOME TAX CALCULATION</t>
  </si>
  <si>
    <t xml:space="preserve"> NET INCOME </t>
  </si>
  <si>
    <t>Net employment income</t>
  </si>
  <si>
    <t>Net employment bonus</t>
  </si>
  <si>
    <t>Subtotal net employment income &amp; bonus</t>
  </si>
  <si>
    <t>Other domestic net income</t>
  </si>
  <si>
    <t>Overseas net income</t>
  </si>
  <si>
    <t>Total net income</t>
  </si>
  <si>
    <t>ANNUALIZED NET INCOME</t>
  </si>
  <si>
    <t>ANNUALIZED TAX BASE</t>
  </si>
  <si>
    <t>Employment income</t>
  </si>
  <si>
    <t>Employment bonus</t>
  </si>
  <si>
    <t>Total employment income + bonus</t>
  </si>
  <si>
    <t>Total annualized net income</t>
  </si>
  <si>
    <t>ANNUALIZED TAXABLE INCOME</t>
  </si>
  <si>
    <t>ANNUALIZED INCOME TAX DUE</t>
  </si>
  <si>
    <t>Subtotal employment income and bonus</t>
  </si>
  <si>
    <t>On other income</t>
  </si>
  <si>
    <t>Total annualized income tax due</t>
  </si>
  <si>
    <t>Tax base</t>
  </si>
  <si>
    <t>ACTUAL INCOME TAX DUE</t>
  </si>
  <si>
    <t>Total actual income tax due</t>
  </si>
  <si>
    <t>ANNUALIZED REGULAR NET INCOME</t>
  </si>
  <si>
    <t xml:space="preserve">Net employment income </t>
  </si>
  <si>
    <t>Irregular domestic net income</t>
  </si>
  <si>
    <t>Regular domestic net income</t>
  </si>
  <si>
    <t>Irregular overseas net income</t>
  </si>
  <si>
    <t>Regular overseas net income</t>
  </si>
  <si>
    <t>Total annualized regular net income</t>
  </si>
  <si>
    <t xml:space="preserve">PERSONAL RELIEFS </t>
  </si>
  <si>
    <t>Total annualized tax base</t>
  </si>
  <si>
    <t>TAX CREDIT</t>
  </si>
  <si>
    <t>Art. 21 income tax</t>
  </si>
  <si>
    <t>Art. 24 income tax</t>
  </si>
  <si>
    <t>Irregular income tax</t>
  </si>
  <si>
    <t>Total tax credit</t>
  </si>
  <si>
    <t>TAX BASE TO CALCULATE ART. 25</t>
  </si>
  <si>
    <t>NUMBER OF TAX PERIODS</t>
  </si>
  <si>
    <t xml:space="preserve">MONTHLY PPh 25 </t>
  </si>
  <si>
    <t xml:space="preserve">VERSION 2 - ARTICLE 21 INCOME TAX CALCULATION IS NOT ROUNDED </t>
  </si>
  <si>
    <t>ANNUALIZED TAX DUE</t>
  </si>
  <si>
    <t>INDIVIDUAL TAX RETURN ATTACHMENT</t>
  </si>
  <si>
    <t>Net employment income &amp; bonus</t>
  </si>
  <si>
    <t>On employment income &amp; bonus</t>
  </si>
  <si>
    <t>CALCULATION OF MONTHLY PPh 25 INSTALLMENT</t>
  </si>
  <si>
    <t xml:space="preserve">FOR YEAR </t>
  </si>
  <si>
    <t>LESS: IRREGULAR INCOME</t>
  </si>
  <si>
    <t>ANNUALIZED NET REGULAR INCOME</t>
  </si>
  <si>
    <t>NOTIONAL TAXABLE INCOME</t>
  </si>
  <si>
    <t>NOTIONAL TAX DUE</t>
  </si>
  <si>
    <t>LESS:</t>
  </si>
  <si>
    <t>TAX BASE FOR MONTHLY PPh 25 INSTALMENT CALCULATION</t>
  </si>
  <si>
    <t>NUMBER OF TAX PERIODS (MONTHS)</t>
  </si>
  <si>
    <t>LIST OF MONTHLY PPh 25 INSTALLMENTS</t>
  </si>
  <si>
    <t>PAID IN YEAR</t>
  </si>
  <si>
    <t>Amount</t>
  </si>
  <si>
    <t>TOTAL PAYMENTS</t>
  </si>
  <si>
    <t>TOTAL CLAIMED</t>
  </si>
  <si>
    <t>LAMPIRAN SPT TAHUNAN WP ORANG PRIBADI</t>
  </si>
  <si>
    <t>Jumlah penghasilan neto</t>
  </si>
  <si>
    <t xml:space="preserve">PERHITUNGAN CICILAN PPh PASAL 25 </t>
  </si>
  <si>
    <t>UNTUK TAHUN PAJAK</t>
  </si>
  <si>
    <t>DIKURANGI: PENGHASILAN NETO TIDAK TERATUR</t>
  </si>
  <si>
    <t>PENGHASILAN NETO TERATUR YANG DISETAHUNKAN</t>
  </si>
  <si>
    <t>PENGHASILAN KENA PAJAK NOSIONAL</t>
  </si>
  <si>
    <t>PAJAK PENGHASILAN YANG TERHUTANG NOSIONAL</t>
  </si>
  <si>
    <t>DIKURANGI:</t>
  </si>
  <si>
    <t>DASAR UNTUK MENGHITUNG PPh PASAL 25</t>
  </si>
  <si>
    <t>JUMLAH MASA PAJAK (BULAN)</t>
  </si>
  <si>
    <t>MONTHLY INSTALMENT FOR NEXT YEAR, IF FILE RETURNS FOR TWO CONSECUTIVE YEARS TOGETHER, CLICK THIS BOX</t>
  </si>
  <si>
    <t xml:space="preserve"> TAX ID NUMBER</t>
  </si>
  <si>
    <t>PROXY    NAME</t>
  </si>
  <si>
    <t>STATEMENT</t>
  </si>
  <si>
    <t xml:space="preserve">O V E R S E A S   I N C O M E </t>
  </si>
  <si>
    <t>The income information is divided by country.  You may input overseas income received to maximum of 4 countries.  If you have more country of source,</t>
  </si>
  <si>
    <t>Please also fill out the irregular income sheet, if any.  Click …</t>
  </si>
  <si>
    <t>Irregular Income</t>
  </si>
  <si>
    <t>COUNTRY OF SOURCE - 1</t>
  </si>
  <si>
    <t>DIVIDEND INCOME</t>
  </si>
  <si>
    <t>Date of receipt</t>
  </si>
  <si>
    <t>Currency</t>
  </si>
  <si>
    <t>Amount in Original Currency</t>
  </si>
  <si>
    <t>Appl. Exch. Rate</t>
  </si>
  <si>
    <t>Amount in Rupiah</t>
  </si>
  <si>
    <t>Treaty Rate (%)</t>
  </si>
  <si>
    <t>Allowed FTC</t>
  </si>
  <si>
    <t xml:space="preserve">Income </t>
  </si>
  <si>
    <t>Tax paid /withheld</t>
  </si>
  <si>
    <t>**)</t>
  </si>
  <si>
    <t>INTEREST INCOME</t>
  </si>
  <si>
    <t>OTHER INCOME</t>
  </si>
  <si>
    <t>CAPITAL GAIN/LOSS</t>
  </si>
  <si>
    <t>Description of Assets</t>
  </si>
  <si>
    <t>Selling Date</t>
  </si>
  <si>
    <t>Proceeds</t>
  </si>
  <si>
    <t>Cost</t>
  </si>
  <si>
    <t>Capital Gain/Loss</t>
  </si>
  <si>
    <t>Tax paid/withheld</t>
  </si>
  <si>
    <t>Capital gain/loss</t>
  </si>
  <si>
    <t>RENTAL INCOME/LOSS</t>
  </si>
  <si>
    <t>Information</t>
  </si>
  <si>
    <t>Income</t>
  </si>
  <si>
    <t>Subtotal income</t>
  </si>
  <si>
    <t>Expenses (exclude depreciation per commercial)</t>
  </si>
  <si>
    <t>Subtotal expenses</t>
  </si>
  <si>
    <t>Depreciation per fiscal</t>
  </si>
  <si>
    <t>Acquisition cost of Building</t>
  </si>
  <si>
    <t>Year of acquisition</t>
  </si>
  <si>
    <t>Depreciation rate</t>
  </si>
  <si>
    <t>Depreciation expense per fiscal</t>
  </si>
  <si>
    <t>NET RENTAL INCOME/(LOSS)</t>
  </si>
  <si>
    <t>COUNTRY OF SOURCE - 2</t>
  </si>
  <si>
    <t>In Original Currency</t>
  </si>
  <si>
    <t>In Rupiah</t>
  </si>
  <si>
    <t>COUNTRY OF SOURCE - 3</t>
  </si>
  <si>
    <t>COUNTRY OF SOURCE - 4</t>
  </si>
  <si>
    <t>IRREGULAR INCOME/TAX PAID</t>
  </si>
  <si>
    <t>IRREGULAR INCOME</t>
  </si>
  <si>
    <t>Country of Source</t>
  </si>
  <si>
    <t>Type of income</t>
  </si>
  <si>
    <t>Allowed tax credit</t>
  </si>
  <si>
    <t>Actual paid/treaty</t>
  </si>
  <si>
    <t>As per Art. 24</t>
  </si>
  <si>
    <t>Subtotal irregular income</t>
  </si>
  <si>
    <t>SUMMARY OF OVERSEAS INCOME</t>
  </si>
  <si>
    <t>Country of source</t>
  </si>
  <si>
    <t>For calculation purposes</t>
  </si>
  <si>
    <t>Allowed FTC(Art. 24)</t>
  </si>
  <si>
    <t>Other</t>
  </si>
  <si>
    <t>Capital Gain/loss</t>
  </si>
  <si>
    <t>Rental income/loss</t>
  </si>
  <si>
    <t>Subtotal</t>
  </si>
  <si>
    <t xml:space="preserve">Net income </t>
  </si>
  <si>
    <t xml:space="preserve">Actual tax paid/due/withheld </t>
  </si>
  <si>
    <t>In foreign crcy</t>
  </si>
  <si>
    <t>COUNTRY OF SOURCE =</t>
  </si>
  <si>
    <t>Dividend income</t>
  </si>
  <si>
    <t>Interest income</t>
  </si>
  <si>
    <t>Other income</t>
  </si>
  <si>
    <t>Capital gain/(loss)</t>
  </si>
  <si>
    <t>Rental income/(loss)</t>
  </si>
  <si>
    <t>TOTAL NET INCOME</t>
  </si>
  <si>
    <t>*) I request the amount in this column to be calculated as tax credit.</t>
  </si>
  <si>
    <t>CALCULATION OF MONTHLY PPh 25 INSTALLMENTS</t>
  </si>
  <si>
    <t>DAFTAR PENGHASILAN LUAR NEGERI</t>
  </si>
  <si>
    <t>Negara dan Jenis Penghasilan</t>
  </si>
  <si>
    <t>Penghasilan Neto</t>
  </si>
  <si>
    <t>Penghasilan Bunga</t>
  </si>
  <si>
    <t>Penghasilan lainnya</t>
  </si>
  <si>
    <t>Keuntungan/Kerugian Pengalihan Harta</t>
  </si>
  <si>
    <t>Keuntungan/Kerugian Sewa</t>
  </si>
  <si>
    <t>Jumlah</t>
  </si>
  <si>
    <t>JUMLAH PENGHASILAN NETO</t>
  </si>
  <si>
    <t>DAFTAR PENGHASILAN TIDAK TERATUR</t>
  </si>
  <si>
    <t>Jenis Penghasilan</t>
  </si>
  <si>
    <t>Kredit Pajak Yang Diperbolehkan</t>
  </si>
  <si>
    <t>Pajak yang Dibayar/Dipotong</t>
  </si>
  <si>
    <t>PPh Pasal 24 Yang Diperbolehkan</t>
  </si>
  <si>
    <t>LIST OF IRREGULAR INCOME</t>
  </si>
  <si>
    <t>Insurance Claim Of Medical, Life, Multiple Type Insurance And Scholarship.</t>
  </si>
  <si>
    <t>Gains on Sales/Transfer of Assets</t>
  </si>
  <si>
    <t>PPh 25 INSTALLMENT FOR THE FOLLOWING YEAR AMOUNTING TO</t>
  </si>
  <si>
    <t>Prize From Lotteries</t>
  </si>
  <si>
    <t>TSA</t>
  </si>
  <si>
    <t>TSB</t>
  </si>
  <si>
    <t>TSC</t>
  </si>
  <si>
    <t xml:space="preserve">regulations, I hereby state that all I have declared above including all of the attachment are </t>
  </si>
  <si>
    <t>correct, complete, and clear.</t>
  </si>
  <si>
    <t>- DTP : tax borne by the Government</t>
  </si>
  <si>
    <t>- Column (6) to be filled by either Article 21/22/23/24/26/DTP (example : 21, 22, 23, 24, 26, DTP)</t>
  </si>
  <si>
    <t>- If you have paid tax in foreign countries, please insert the allowable tax credit in accordance to your summary of overseas income attachment</t>
  </si>
  <si>
    <t>x</t>
  </si>
  <si>
    <t>DATE OF PPh 29 PAYMENT (dd/mm/yy)</t>
  </si>
  <si>
    <t>PLEASE REFER TO THE GUIDELINE BOOK BEFORE FILLING</t>
  </si>
  <si>
    <t>FILL OUT WITH PRINTED /TYPED BLACK LETTERS</t>
  </si>
  <si>
    <t xml:space="preserve">    APPROPRIATE  BOX</t>
  </si>
  <si>
    <t>[Please fill in from a separated attachment for overseas income, please refer to guideline book]</t>
  </si>
  <si>
    <t>(Excluding Those Income Subject To The Final Income Tax And/Or Final In Nature)</t>
  </si>
  <si>
    <t>TAX ID NUMBER OF</t>
  </si>
  <si>
    <t>WITHHOLDER/COLLECTOR</t>
  </si>
  <si>
    <t>WITHHOLDING</t>
  </si>
  <si>
    <t>Transfer of Title of Land and/or Building</t>
  </si>
  <si>
    <t xml:space="preserve">TOTAL PPh 25 CLAIMED </t>
  </si>
  <si>
    <t>PPH 29 PAID VIA EXTENSION</t>
  </si>
  <si>
    <t>IF THERE IS NOT ENOUGH SPACE, SEPARATE PAGES IN ACCORDANCE WITH THIS FORM CAN BE PREPARED</t>
  </si>
  <si>
    <t>Negara Asal Penghasilan</t>
  </si>
  <si>
    <t>Penghasilan Dividen</t>
  </si>
  <si>
    <t xml:space="preserve">NEGARA ASAL PENGHASILAN = </t>
  </si>
  <si>
    <t>Mata Uang Asing</t>
  </si>
  <si>
    <t>Rupiah</t>
  </si>
  <si>
    <t>ADDRESS</t>
  </si>
  <si>
    <t>NAME</t>
  </si>
  <si>
    <t>(INCLUDING PPH 29 PAID DURING EXTENSION)</t>
  </si>
  <si>
    <t>1a</t>
  </si>
  <si>
    <t>Employment Income</t>
  </si>
  <si>
    <t>Other domestic income</t>
  </si>
  <si>
    <t>Overseas income</t>
  </si>
  <si>
    <t>Penghasilan bruto dari pekerjaan &amp; bonus</t>
  </si>
  <si>
    <t>Penghasilan bruto dalam negeri lainnya</t>
  </si>
  <si>
    <t>Penghasilan bruto luar negeri</t>
  </si>
  <si>
    <t>2009 Onward Personal Relief</t>
  </si>
  <si>
    <t>SPT PEMBETULAN KE-…</t>
  </si>
  <si>
    <t>PERHATIAN :</t>
  </si>
  <si>
    <t>[Diisi akumulasi jumlah penghasilan neto pada setiap Formulir 1721-A1 dan/atau 1721-A2 angka 14 yang dilampirkan atau Bukti Potong lain]</t>
  </si>
  <si>
    <t>ZAKAT/SUMBANGAN KEAGAMAAN YANG SIFATNYA WAJIB</t>
  </si>
  <si>
    <t>1.</t>
  </si>
  <si>
    <t>2.</t>
  </si>
  <si>
    <t>3.</t>
  </si>
  <si>
    <t>4.</t>
  </si>
  <si>
    <t>5.</t>
  </si>
  <si>
    <t>6.</t>
  </si>
  <si>
    <t>YANG SIFATNYA WAJIB (4 - 5)</t>
  </si>
  <si>
    <t>JUMLAH PENGHASILAN NETO SETELAH PENGURANGAN ZAKAT /SUMBANGAN KEAGAMAAN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</si>
  <si>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</si>
  <si>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</si>
  <si>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</si>
  <si>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</si>
  <si>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</si>
  <si>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</si>
  <si>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</si>
  <si>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</si>
  <si>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</si>
  <si>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</si>
  <si>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</si>
  <si>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</si>
  <si>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PERMOHONAN : PPh Lebih Bayar pada 16b mohon:</t>
  </si>
  <si>
    <t>RETURN WITH SKPPKP ART. 17 C (OBEDIENT TAXPAYER)</t>
  </si>
  <si>
    <t>RETURN WITH SKKPP ART. 17 D (CERTAIN TAXPAYER)</t>
  </si>
  <si>
    <t xml:space="preserve">c. </t>
  </si>
  <si>
    <t xml:space="preserve">d. </t>
  </si>
  <si>
    <t>PAJAK</t>
  </si>
  <si>
    <t>DIPERHITUNGKAN DENGAN UTANG</t>
  </si>
  <si>
    <t>DIHITUNG BERDASARKAN:</t>
  </si>
  <si>
    <t>PROXY (WHERE RELEVANT)</t>
  </si>
  <si>
    <t>TAX LIABILITIES CALCULATION FOR TAXPAYER WITH PRENUPTIAL AGREEMENT AND/OR HAS OWN TAX ID NUMBER</t>
  </si>
  <si>
    <t>adalah benar, lengkap dan jelas.</t>
  </si>
  <si>
    <t>perundang-undangan yang berlaku, saya menyatakan bahwa yang telah beritahukan di atas beserta lampiran-lampirannya</t>
  </si>
  <si>
    <t xml:space="preserve">DAFTAR PEMOTONGAN/PEMUNGUTAN PPh OLEH PIHAK LAIN DAN PPh </t>
  </si>
  <si>
    <t>YANG DITANGGUNG PEMERINTAH</t>
  </si>
  <si>
    <t>Number 2</t>
  </si>
  <si>
    <t>Keuntungan dari Penjualan/Pengalihan Harta</t>
  </si>
  <si>
    <t>angka 2</t>
  </si>
  <si>
    <t>Domestic Scholarship</t>
  </si>
  <si>
    <t>\</t>
  </si>
  <si>
    <t>Profit Sharing of Member of the Company Which The Capital Is Not Divided In Share, Partnership Etc.</t>
  </si>
  <si>
    <t>DAFTAR PEMOTONGAN/PEMUNGUTAN PPh OLEH PIHAK LAIN DAN PPh YANG DITANGGUNG PEMERINTAH</t>
  </si>
  <si>
    <t>22/23/24/26/DTP *</t>
  </si>
  <si>
    <t>1770 S Bagian D angka 12</t>
  </si>
  <si>
    <t>SUMMARY OF WITHHOLDING TAX, TAXES COLLECTED BY OTHERS, AND GOVERNMENT BORNE TAXES</t>
  </si>
  <si>
    <t>Number 12</t>
  </si>
  <si>
    <t>HARTA PADA AKHIR TAHUN</t>
  </si>
  <si>
    <t>KEWAJIBAN/UTANG PADA AKHIR TAHUN</t>
  </si>
  <si>
    <t>DAFTAR SUSUNAN ANGGOTA KELUARGA</t>
  </si>
  <si>
    <t>Bunga Deposito, Tabungan, Diskonto SBI, Surat Berharga Negara</t>
  </si>
  <si>
    <t>yang Dibayarkan Sekaligus</t>
  </si>
  <si>
    <t>Bangunan yang Diterima Dalam Rangka Bangun Guna Serah</t>
  </si>
  <si>
    <t>Bunga Simpanan Yang Dibayarkan Oleh Koperasi Kepada Anggota Koperasi</t>
  </si>
  <si>
    <t>Penghasilan Dari Transaksi Derivatif</t>
  </si>
  <si>
    <t>Penghasilan Isteri Dari Satu Pemberi Kerja</t>
  </si>
  <si>
    <t>AMENDED TAX RETURN NO.</t>
  </si>
  <si>
    <t xml:space="preserve">  (See the guideline book about Attachment I Section C and Form 1770S number 3)</t>
  </si>
  <si>
    <t>BU:</t>
  </si>
  <si>
    <t xml:space="preserve">   *) Columns with IDR amounts have to be filled without any decimal amount (please refer to the guideline book page 3)</t>
  </si>
  <si>
    <t>[Fill in with accumulated of net income from every attached 1721-A1 form and/or 1721-A2 number 14 or other withholding tax slips]</t>
  </si>
  <si>
    <t xml:space="preserve">[Fill in with amount from form 1770 S-I Total Section A ] </t>
  </si>
  <si>
    <t>(TAX RATES Art. 17 INCOME TAX LAW x NUMBER 8)</t>
  </si>
  <si>
    <t>ART. 25 INCOME TAX (PPh 25)</t>
  </si>
  <si>
    <t>REQUEST : With respect to the overpaid tax in number 16b please:</t>
  </si>
  <si>
    <t xml:space="preserve">OFFSET AGAINST THE </t>
  </si>
  <si>
    <t xml:space="preserve">1/12 x TOTAL OF NUMBER 13 </t>
  </si>
  <si>
    <t>F. PPh 25 INSTALLMENT FOR THE FOLLOWING TAX YEAR</t>
  </si>
  <si>
    <t>Tax Liabilities Calculation For Taxpayer With Prenuptial Agreement And/Or Has Own Tax ID Number</t>
  </si>
  <si>
    <t>Interest on time deposits, savings, discount on SBI, state commercial paper</t>
  </si>
  <si>
    <t xml:space="preserve">Interest/discounts on bonds traded in stock exchange </t>
  </si>
  <si>
    <t>Sales value of shares traded in stock exchange</t>
  </si>
  <si>
    <t>Income from Derivative Transaction</t>
  </si>
  <si>
    <t>INCOME SUBJECT TO FINAL TAX AND/OR FINAL IN NATURE</t>
  </si>
  <si>
    <t>ASSETS AT YEAR END</t>
  </si>
  <si>
    <t>LIABILITIES AT YEAR END</t>
  </si>
  <si>
    <t>LIST OF FAMILY MEMBER</t>
  </si>
  <si>
    <t>Transfer of title of land and/or buildings</t>
  </si>
  <si>
    <t>Rental of Land and/or Building</t>
  </si>
  <si>
    <t>The buildings received under a "BOT" arrangement</t>
  </si>
  <si>
    <t>Interest paid by Cooperation to Cooperation Member</t>
  </si>
  <si>
    <t>etc.</t>
  </si>
  <si>
    <t>BAGIAN D</t>
  </si>
  <si>
    <t>HUBUNGAN KELUARGA</t>
  </si>
  <si>
    <t>SECTION D</t>
  </si>
  <si>
    <t>RELATIONSHIP</t>
  </si>
  <si>
    <t>TYPE OF TAX RETURNS (CHOOSE ONE OF THE TWO OPTIONS BELOW)</t>
  </si>
  <si>
    <t>WITH 1721-A1 (INCLUDING PART TAX TREATY)</t>
  </si>
  <si>
    <t>FULL YEAR / PART YEAR (INCLUDING PART TAX TREATY)</t>
  </si>
  <si>
    <t>BLANK FORM</t>
  </si>
  <si>
    <t>TAX CREDITS</t>
  </si>
  <si>
    <t xml:space="preserve">PENGHASILAN TIDAK KENA PAJAK </t>
  </si>
  <si>
    <t>KREDIT PAJAK</t>
  </si>
  <si>
    <t>KEMENTERIAN KEUANGAN RI</t>
  </si>
  <si>
    <t>f. Benefits-in-kind which have been subject to   PPh 21</t>
  </si>
  <si>
    <t>NET INCOME *)</t>
  </si>
  <si>
    <t>TOTAL NET REGULAR INCOME</t>
  </si>
  <si>
    <t>PENGHASILAN NETO *)</t>
  </si>
  <si>
    <t xml:space="preserve">JUMLAH PENGHASILAN NETO TERATUR </t>
  </si>
  <si>
    <t>Interest/discounts on bonds</t>
  </si>
  <si>
    <t xml:space="preserve">Bunga/Diskonto Obligasi </t>
  </si>
  <si>
    <t>Scholarship</t>
  </si>
  <si>
    <t>Beasiswa</t>
  </si>
  <si>
    <t xml:space="preserve">PREVIOUS EMPLOYER </t>
  </si>
  <si>
    <t xml:space="preserve">a. Net income </t>
  </si>
  <si>
    <t xml:space="preserve">b. Income tax withheld </t>
  </si>
  <si>
    <t xml:space="preserve">TOTAL </t>
  </si>
  <si>
    <t>FEMALE</t>
  </si>
  <si>
    <t>M /</t>
  </si>
  <si>
    <t>S /</t>
  </si>
  <si>
    <t>19.</t>
  </si>
  <si>
    <t>20.</t>
  </si>
  <si>
    <t>in English</t>
  </si>
  <si>
    <t>in Bahasa Indonesia</t>
  </si>
  <si>
    <t>**) Note : if you have more transactions, please ask the administrator for help.</t>
  </si>
  <si>
    <t>please contact the administrator</t>
  </si>
  <si>
    <t>YES</t>
  </si>
  <si>
    <t>[dd - mm - yyyy]</t>
  </si>
  <si>
    <t>C.03</t>
  </si>
  <si>
    <t>C.02</t>
  </si>
  <si>
    <t>3. DATE &amp; SIGNATURE</t>
  </si>
  <si>
    <t>C.01</t>
  </si>
  <si>
    <t>TIN</t>
  </si>
  <si>
    <t>C. WITHHOLDER IDENTITY</t>
  </si>
  <si>
    <t xml:space="preserve"> ARTICLE 21 AND ARTICLE 26 INCOME TAX WITHHELD AND SETTLED</t>
  </si>
  <si>
    <t xml:space="preserve"> ARTICLE 21 INCOME TAX DUE</t>
  </si>
  <si>
    <t>PRIOR PERIOD ARTICLE 21 INCOME TAX WITHHELD</t>
  </si>
  <si>
    <t xml:space="preserve">ANNUAL/ANNUALISED ARTICLE 21 INCOME TAX </t>
  </si>
  <si>
    <t xml:space="preserve"> FULL YEAR / ANNUALISED TAXABLE INCOME (14-15)</t>
  </si>
  <si>
    <t xml:space="preserve"> NON TAXABLE INCOME</t>
  </si>
  <si>
    <t xml:space="preserve"> TOTAL NET INCOME FOR ARTICLE 21 INCOME TAX CALCULATION (FULL YEAR / ANNUALISED)</t>
  </si>
  <si>
    <t>PRIOR PERIOD NET INCOME</t>
  </si>
  <si>
    <t xml:space="preserve"> TOTAL NET INCOME (8-11)</t>
  </si>
  <si>
    <t>ARTICLE 21 CALCULATION :</t>
  </si>
  <si>
    <t xml:space="preserve"> TOTAL DEDUCTIONS (9 TO 10)</t>
  </si>
  <si>
    <t>OLD AGE SAVING CONTRIBUTION</t>
  </si>
  <si>
    <t xml:space="preserve"> OCCUPATIONAL COST / PENSION CONTRIBUTION</t>
  </si>
  <si>
    <t xml:space="preserve"> DEDUCTION :</t>
  </si>
  <si>
    <t>TOTAL GROSS INCOME (1 TO 7)</t>
  </si>
  <si>
    <t>TANTIEM, BONUSES, GRATUITIES, PRODUCTION COMPENSATION AND ANNUAL PUBLIC HOLIDAY ALLOWANCE</t>
  </si>
  <si>
    <t>BENEFITS IN KIND WHICH HAVE BEEN SUBJECT TO ARTICLE 21 INCOME TAX WITHHOLDING</t>
  </si>
  <si>
    <t>INSURANCE PREMIUM PAID BY EMPLOYER</t>
  </si>
  <si>
    <t>HONORARIUM AND OTHER COMPENSATION</t>
  </si>
  <si>
    <t>OTHER ALLOWANCES, OVERTIME, ETC</t>
  </si>
  <si>
    <t>INCOME TAX ALLOWANCE</t>
  </si>
  <si>
    <t>SALARY / PENSION  OR OLD AGE SAVING</t>
  </si>
  <si>
    <t xml:space="preserve">  GROSS INCOME :</t>
  </si>
  <si>
    <t xml:space="preserve"> 21-100-02</t>
  </si>
  <si>
    <t>21-100-01</t>
  </si>
  <si>
    <t xml:space="preserve">  TAX OBJECT CODE</t>
  </si>
  <si>
    <t>AMOUNT (Rp)</t>
  </si>
  <si>
    <t>B. COMPENSATION BREAKDOWN AND ARTICLE 21 INCOME TAX CALCULATION</t>
  </si>
  <si>
    <t>A.06</t>
  </si>
  <si>
    <t xml:space="preserve"> MALE</t>
  </si>
  <si>
    <t>A.05</t>
  </si>
  <si>
    <t>GENDER    :</t>
  </si>
  <si>
    <t>A.12</t>
  </si>
  <si>
    <t>ORIGIN COUNTRY CODE :</t>
  </si>
  <si>
    <t>A.11</t>
  </si>
  <si>
    <t>EXPATRIATE :</t>
  </si>
  <si>
    <t>A.04</t>
  </si>
  <si>
    <t>A.10</t>
  </si>
  <si>
    <t>POSITION :</t>
  </si>
  <si>
    <t>A.03</t>
  </si>
  <si>
    <t xml:space="preserve">NAME </t>
  </si>
  <si>
    <t>A.09</t>
  </si>
  <si>
    <t>A.08</t>
  </si>
  <si>
    <t>A.07</t>
  </si>
  <si>
    <t>A.02</t>
  </si>
  <si>
    <t>ID/PASSPORT
NUMBER</t>
  </si>
  <si>
    <t>DEPENDENT STATUS FOR NON TAXABLE INCOME</t>
  </si>
  <si>
    <t>A.01</t>
  </si>
  <si>
    <t>A. IDENTITY OF WITHHOLDING INCOME RECIPIENT</t>
  </si>
  <si>
    <t>H.04</t>
  </si>
  <si>
    <t>WITHHOLDER NAME</t>
  </si>
  <si>
    <t>H.03</t>
  </si>
  <si>
    <t>WITHHOLDER TAX
ID NUMBER</t>
  </si>
  <si>
    <t>H.02</t>
  </si>
  <si>
    <t>H.01</t>
  </si>
  <si>
    <t>NUMBER :</t>
  </si>
  <si>
    <t>THE DIRECTORATE GENERAL OF TAXATION</t>
  </si>
  <si>
    <t xml:space="preserve"> [mm - mm]</t>
  </si>
  <si>
    <t>EARNING PERIOD</t>
  </si>
  <si>
    <t xml:space="preserve"> Sheet 2       :  for Tax Withholder</t>
  </si>
  <si>
    <t xml:space="preserve"> Sheet 1       :  for Employee</t>
  </si>
  <si>
    <t>FORM 1721 - A1</t>
  </si>
  <si>
    <t>ARTICLE 21 INCOME TAX WITHHOLDING SLIP FOR PERMANENT EMPLOYEE OR PENSION / OLD AGE SAVING BENEFICIARY</t>
  </si>
  <si>
    <t>a r e a   s t a p l e s</t>
  </si>
  <si>
    <t>PA /</t>
  </si>
  <si>
    <t>KK</t>
  </si>
  <si>
    <t>HB</t>
  </si>
  <si>
    <t>PH</t>
  </si>
  <si>
    <t>MT</t>
  </si>
  <si>
    <t>STATUS KEWAJIBAN PERPAJAKAN SUAMI ISTRI</t>
  </si>
  <si>
    <t>TAX ID SPOUSE</t>
  </si>
  <si>
    <t>NPWP ISTRI / SUAMI</t>
  </si>
  <si>
    <t xml:space="preserve">SPOUSE TAX OBLIGATIONS STATUS </t>
  </si>
  <si>
    <t>Permohonan perubahan data disampaikan terpisah dari pelaporan SPT tahunan PPh Orang Pribadi ini, dengan menggunakan Formulir Perubahan Data Wajib Pajak dan</t>
  </si>
  <si>
    <t>dilengkapi dengan dokumen yang disyaratkan</t>
  </si>
  <si>
    <t>DIKEMBALIKAN DENGAN SKPPKP PASAL 17 C (WP dengan Kriteria Tertentu)</t>
  </si>
  <si>
    <t>DIKEMBALIKAN DENGAN SKKPP PASAL 17 D (WP yang memenuhi Persyaratan Tertentu)</t>
  </si>
  <si>
    <t>OFFSET AGAINST THE TAX LIABILITIES</t>
  </si>
  <si>
    <t>The request for change in data shall be submitted separately from the reporting of this Individual Annual Income Tax Return, using the Form for Change in Taxpayer Data</t>
  </si>
  <si>
    <t>NIK</t>
  </si>
  <si>
    <t>Perhitungan PPh Terutang bagi Wajib Pajak dengan status Perpajakan PH atau MT</t>
  </si>
  <si>
    <t>TAX OBLIGATION STATUS</t>
  </si>
  <si>
    <t>SPOUSE TAX ID</t>
  </si>
  <si>
    <t>TOTAL TAX CREDIT (14a + 14b)</t>
  </si>
  <si>
    <t>JUMLAH KREDIT PAJAK (14a + 14b)</t>
  </si>
  <si>
    <t>RESIDENCE ID NO</t>
  </si>
  <si>
    <t>TYPE OF ASSETS</t>
  </si>
  <si>
    <t>ASSETS CODE</t>
  </si>
  <si>
    <t>DAFTAR HARTA DAN KEWAJIBAN/UTANG PADA AKHIR TAHUN</t>
  </si>
  <si>
    <t>Kode Harta</t>
  </si>
  <si>
    <t>Nama Harta</t>
  </si>
  <si>
    <t>Tahun Perolehan</t>
  </si>
  <si>
    <t>Harga Perolehan</t>
  </si>
  <si>
    <t>Keterangan</t>
  </si>
  <si>
    <t>JUMLAH HARTA PADA AKHIR TAHUN</t>
  </si>
  <si>
    <t>CASH AND CASH EQUIVALENT</t>
  </si>
  <si>
    <t>RECEIVABLES</t>
  </si>
  <si>
    <t>INVESTMENTS</t>
  </si>
  <si>
    <t>MEANS OF TRANSPORTATION</t>
  </si>
  <si>
    <t>OTHER MOVEABLE PROPERTY</t>
  </si>
  <si>
    <t>REAL PROPERTY</t>
  </si>
  <si>
    <t>061</t>
  </si>
  <si>
    <t>Land and/or building for residence</t>
  </si>
  <si>
    <t>062</t>
  </si>
  <si>
    <t>Land and/or building for commercial purposes</t>
  </si>
  <si>
    <t>063</t>
  </si>
  <si>
    <t>Land for business</t>
  </si>
  <si>
    <t>069</t>
  </si>
  <si>
    <t>Other real property</t>
  </si>
  <si>
    <t>101</t>
  </si>
  <si>
    <t>Loans from banks/non bank financial institution</t>
  </si>
  <si>
    <t>102</t>
  </si>
  <si>
    <t>Credit cards</t>
  </si>
  <si>
    <t>103</t>
  </si>
  <si>
    <t>Loans from affiliates</t>
  </si>
  <si>
    <t>104</t>
  </si>
  <si>
    <t>Other liabilities</t>
  </si>
  <si>
    <t>JUMLAH KEWAJIBAN PADA AKHIR TAHUN</t>
  </si>
  <si>
    <t>Kode Utang</t>
  </si>
  <si>
    <t>Nama Pemberi Pinjaman</t>
  </si>
  <si>
    <t>Alamat Pemberi Pinjaman</t>
  </si>
  <si>
    <t>Tahun Peminjaman</t>
  </si>
  <si>
    <t>Pajak yang dibayar /dipotong/terutang di luar negeri</t>
  </si>
  <si>
    <t>*) PERMOHONAN: JUMLAH PADA KOLOM (6) MOHON DIPERHITUNGKAN SEBAGAI KREDIT PAJAK</t>
  </si>
  <si>
    <t>LIST OF ASSETS AND LIABILITIES AT THE YEAR END</t>
  </si>
  <si>
    <t>ASSETS AT THE YEAR END</t>
  </si>
  <si>
    <t>List of Assets</t>
  </si>
  <si>
    <t>Year of Acquisition</t>
  </si>
  <si>
    <t>Acquisition Cost</t>
  </si>
  <si>
    <t>Remarks</t>
  </si>
  <si>
    <t>TOTAL ASSETS AT THE YEAR END</t>
  </si>
  <si>
    <t>LIABILITIES AT THE YEAR END</t>
  </si>
  <si>
    <t>Liability code</t>
  </si>
  <si>
    <t>Address of Lender</t>
  </si>
  <si>
    <t>Name of Lender</t>
  </si>
  <si>
    <t>NAMA HARTA</t>
  </si>
  <si>
    <t>KODE HARTA</t>
  </si>
  <si>
    <t>NAMA PEMBERI PINJAMAN</t>
  </si>
  <si>
    <t>KODE UTANG</t>
  </si>
  <si>
    <t>NAME OF LENDER</t>
  </si>
  <si>
    <t>LIABILITIES CODE</t>
  </si>
  <si>
    <t>TAXPAYER NAME:</t>
  </si>
  <si>
    <t>TAX ID NUMBER:</t>
  </si>
  <si>
    <t>Assets Code</t>
  </si>
  <si>
    <t>NAMA WAJIB PAJAK:</t>
  </si>
  <si>
    <t>NPWP:</t>
  </si>
  <si>
    <t>Withholding tax by employer</t>
  </si>
  <si>
    <t>Prepaid tax instalments</t>
  </si>
  <si>
    <t>TAX UNDER/(OVER)PAYMENT</t>
  </si>
  <si>
    <t>Country</t>
  </si>
  <si>
    <t>Australia</t>
  </si>
  <si>
    <t>Brunei Darussalam</t>
  </si>
  <si>
    <t>Canada</t>
  </si>
  <si>
    <t>China</t>
  </si>
  <si>
    <t>Denmark</t>
  </si>
  <si>
    <t>Euro</t>
  </si>
  <si>
    <t>Hong Kong</t>
  </si>
  <si>
    <t>India</t>
  </si>
  <si>
    <t>Japan</t>
  </si>
  <si>
    <t>Kuwait</t>
  </si>
  <si>
    <t>Korea</t>
  </si>
  <si>
    <t>Malaysia</t>
  </si>
  <si>
    <t>Myanmar</t>
  </si>
  <si>
    <t>New Zealand</t>
  </si>
  <si>
    <t>Norway</t>
  </si>
  <si>
    <t>Pakistan</t>
  </si>
  <si>
    <t>Philippines</t>
  </si>
  <si>
    <t>Saudi Arabia</t>
  </si>
  <si>
    <t>Singapore</t>
  </si>
  <si>
    <t>Sri Lanka</t>
  </si>
  <si>
    <t>Sweden</t>
  </si>
  <si>
    <t>Switzerland</t>
  </si>
  <si>
    <t>Thailand</t>
  </si>
  <si>
    <t>United Kingdom</t>
  </si>
  <si>
    <t>United States</t>
  </si>
  <si>
    <t> 1 AUD</t>
  </si>
  <si>
    <t> 1 BND</t>
  </si>
  <si>
    <t> 1 CAD</t>
  </si>
  <si>
    <t>1 CNY</t>
  </si>
  <si>
    <t> 1 DKK</t>
  </si>
  <si>
    <t> 1 EUR</t>
  </si>
  <si>
    <t> 1 HKD</t>
  </si>
  <si>
    <t> 1 INR</t>
  </si>
  <si>
    <t>1 JPY</t>
  </si>
  <si>
    <t> 1 KWD</t>
  </si>
  <si>
    <t>1 KRW</t>
  </si>
  <si>
    <t> 1 MYR</t>
  </si>
  <si>
    <t> 1 MMK</t>
  </si>
  <si>
    <t> 1 NZD</t>
  </si>
  <si>
    <t> 1 NOK</t>
  </si>
  <si>
    <t> 1 PKR</t>
  </si>
  <si>
    <t> 1 PHP</t>
  </si>
  <si>
    <t> 1 SAR</t>
  </si>
  <si>
    <t> 1 SGD</t>
  </si>
  <si>
    <t> 1 LKR</t>
  </si>
  <si>
    <t> 1 SEK</t>
  </si>
  <si>
    <t> 1 CHF</t>
  </si>
  <si>
    <t> 1 THB</t>
  </si>
  <si>
    <t> 1 GBP</t>
  </si>
  <si>
    <t> 1 USD</t>
  </si>
  <si>
    <t>Average by year</t>
  </si>
  <si>
    <t>Average by month</t>
  </si>
  <si>
    <t>Average by accumulated month</t>
  </si>
  <si>
    <t xml:space="preserve">WEEKLY EXCHANGE RATES </t>
  </si>
  <si>
    <t>ANNUALIZED INCOME TAX</t>
  </si>
  <si>
    <t>rounded down</t>
  </si>
  <si>
    <t>Foreign tax credit (Art. 24 income tax)</t>
  </si>
  <si>
    <t>STATUS SPT</t>
  </si>
  <si>
    <t>Nihil</t>
  </si>
  <si>
    <t>Kurang Bayar</t>
  </si>
  <si>
    <t>Lebih Bayar</t>
  </si>
  <si>
    <t>Jenis SPT</t>
  </si>
  <si>
    <t>SPT Tahunan</t>
  </si>
  <si>
    <t>SPT Tahunan Pembetulan Ke-</t>
  </si>
  <si>
    <t>….</t>
  </si>
  <si>
    <t>No. Telp / HP</t>
  </si>
  <si>
    <t>Email</t>
  </si>
  <si>
    <t>Pernyataan</t>
  </si>
  <si>
    <t>Dengan menyadari sepenuhnya atas segala akibat termasuk</t>
  </si>
  <si>
    <t>sanksi-sanksi sesuai dengan ketentuan perundang-undangan yang</t>
  </si>
  <si>
    <t xml:space="preserve">berlaku, saya menyatakan bahwa informasi pada amplop ini sesuai </t>
  </si>
  <si>
    <t>dengan SPT Tahunan yang terdapat dalam amplop ini.</t>
  </si>
  <si>
    <t>Tanda Tangan</t>
  </si>
  <si>
    <t>…………………………………………………………………………………………………………………..………….</t>
  </si>
  <si>
    <t>…………………………………………………………………………………………………………………………………………………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</si>
  <si>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……………………………………………………………………………………………………………...……….</t>
  </si>
  <si>
    <t>………………………………………………………………………………………………………………………</t>
  </si>
  <si>
    <t>………………………………………………………………………………….</t>
  </si>
  <si>
    <t>………………………………………………………………….</t>
  </si>
  <si>
    <t>…………………………………………………………………………………………...……………………….</t>
  </si>
  <si>
    <t>…………………………………….………………</t>
  </si>
  <si>
    <t>………………………………………………………………………………………………………………….…</t>
  </si>
  <si>
    <t>…………………</t>
  </si>
  <si>
    <t>………………………………………………………………………………………………………...…………..</t>
  </si>
  <si>
    <t>………………………………………………………………………………………</t>
  </si>
  <si>
    <t>INCOME TAX WITHHELD/COLLECTED BY OTHER PARTIES/BORNE BY THE GOVERNMENT AND</t>
  </si>
  <si>
    <t>/OR WITHHELD/PAID ABROAD [Fill In From Form 1770 S-I Total Section C Column (7)]</t>
  </si>
  <si>
    <t>……………………………………………………………………….………………………………………...………………….</t>
  </si>
  <si>
    <t>………………………………………………………….</t>
  </si>
  <si>
    <t>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</si>
  <si>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</t>
  </si>
  <si>
    <t>………………………………………………………………………………………………..</t>
  </si>
  <si>
    <t>……………………………………………………………………………………………………..……………………………….</t>
  </si>
  <si>
    <t>………………………………………………..………………………………</t>
  </si>
  <si>
    <t>……………………………………………………………………………………………………………………………………………..</t>
  </si>
  <si>
    <t>……………………………………………………………………………………………….……………………………..</t>
  </si>
  <si>
    <t>………………………………………..</t>
  </si>
  <si>
    <t>NET ASSETS</t>
  </si>
  <si>
    <r>
      <t xml:space="preserve">WITHOUT 1721-A1 - </t>
    </r>
    <r>
      <rPr>
        <b/>
        <sz val="10"/>
        <rFont val="Arial"/>
        <charset val="0"/>
        <color rgb="FFFF0000"/>
      </rPr>
      <t>please use Form 1770</t>
    </r>
  </si>
  <si>
    <t>Start Period</t>
  </si>
  <si>
    <t>End Period</t>
  </si>
  <si>
    <t>REFERENCE NUMBER</t>
  </si>
  <si>
    <t xml:space="preserve">Account </t>
  </si>
  <si>
    <t xml:space="preserve">Code </t>
  </si>
  <si>
    <t xml:space="preserve">Total Amount </t>
  </si>
  <si>
    <t xml:space="preserve">Assets Code </t>
  </si>
  <si>
    <t>Cash in hand</t>
  </si>
  <si>
    <t>Savings accounts</t>
  </si>
  <si>
    <t>Checking Accounts</t>
  </si>
  <si>
    <t>013</t>
  </si>
  <si>
    <t>Time Deposit</t>
  </si>
  <si>
    <t>014</t>
  </si>
  <si>
    <t>Other cash equivalent</t>
  </si>
  <si>
    <t>019</t>
  </si>
  <si>
    <t>Receivables</t>
  </si>
  <si>
    <t>021</t>
  </si>
  <si>
    <t>Other receivables</t>
  </si>
  <si>
    <t>029</t>
  </si>
  <si>
    <t>Shares purchased for resale</t>
  </si>
  <si>
    <t>031</t>
  </si>
  <si>
    <t>Shares</t>
  </si>
  <si>
    <t>032</t>
  </si>
  <si>
    <t>Company-issued bonds</t>
  </si>
  <si>
    <t>033</t>
  </si>
  <si>
    <t>Indonesian government-issued bonds</t>
  </si>
  <si>
    <t>034</t>
  </si>
  <si>
    <t>Other debt instruments</t>
  </si>
  <si>
    <t>035</t>
  </si>
  <si>
    <t>Mutual funds</t>
  </si>
  <si>
    <t>036</t>
  </si>
  <si>
    <t>Derivative instruments</t>
  </si>
  <si>
    <t>037</t>
  </si>
  <si>
    <t>Equity participation not in the form of shares</t>
  </si>
  <si>
    <t>038</t>
  </si>
  <si>
    <t>Other investments</t>
  </si>
  <si>
    <t>039</t>
  </si>
  <si>
    <t>Bicycles</t>
  </si>
  <si>
    <t>041</t>
  </si>
  <si>
    <t>Motorcycles</t>
  </si>
  <si>
    <t>042</t>
  </si>
  <si>
    <t>Cars</t>
  </si>
  <si>
    <t>043</t>
  </si>
  <si>
    <t>Other means of transportation</t>
  </si>
  <si>
    <t>044</t>
  </si>
  <si>
    <t>Precious metals</t>
  </si>
  <si>
    <t>051</t>
  </si>
  <si>
    <t>Precious stones</t>
  </si>
  <si>
    <t>052</t>
  </si>
  <si>
    <t>Works of art and antiques</t>
  </si>
  <si>
    <t>053</t>
  </si>
  <si>
    <t>Yacht, airplane, helicopter, jet ski, special sport equipment</t>
  </si>
  <si>
    <t>054</t>
  </si>
  <si>
    <t>055</t>
  </si>
  <si>
    <t>Electronic equipment, furniture</t>
  </si>
  <si>
    <t>Other moveable property</t>
  </si>
  <si>
    <t>059</t>
  </si>
  <si>
    <t xml:space="preserve">Liabilities Code </t>
  </si>
  <si>
    <t>Type</t>
  </si>
  <si>
    <t>Uang Tunai</t>
  </si>
  <si>
    <t>Tabungan</t>
  </si>
  <si>
    <t>Giro</t>
  </si>
  <si>
    <t>Deposito</t>
  </si>
  <si>
    <t>Setara kas lainnya</t>
  </si>
  <si>
    <t>Piutang</t>
  </si>
  <si>
    <t>Piutang lainnya</t>
  </si>
  <si>
    <t>Saham yang dibeli untuk dijual kembali</t>
  </si>
  <si>
    <t>Saham</t>
  </si>
  <si>
    <t>Obligasi Perusahaan</t>
  </si>
  <si>
    <t>Obligasi Pemerintah Indonesia</t>
  </si>
  <si>
    <t>Surat utang lainnya</t>
  </si>
  <si>
    <t>Reksadana</t>
  </si>
  <si>
    <t>Instrumen derivatif lainnya</t>
  </si>
  <si>
    <t>Penyertaan modal dalam perusahaan lain yang tidak atas saham meliputi penyertaan modal pada CV, Firma, dan sejenisnya</t>
  </si>
  <si>
    <t>Investasi lainnya</t>
  </si>
  <si>
    <t>Sepeda</t>
  </si>
  <si>
    <t>Sepeda Motor</t>
  </si>
  <si>
    <t>Mobil</t>
  </si>
  <si>
    <t>Alat transportasi lainnya</t>
  </si>
  <si>
    <t>Logam mulia</t>
  </si>
  <si>
    <t>Batu mulia</t>
  </si>
  <si>
    <t>Barang antik dan seni</t>
  </si>
  <si>
    <t>Kapal pesiar, pesawat, helikopter, jet ski, dan peralatan olah raga lainnya</t>
  </si>
  <si>
    <t>Peralatan elektronik, furnitur</t>
  </si>
  <si>
    <t>Harta bergerak lainnya</t>
  </si>
  <si>
    <t>Tanah dan/atau bangunan untuk tempat tinggal</t>
  </si>
  <si>
    <t>Tanah dan/atau bangunan untuk usaha</t>
  </si>
  <si>
    <t>Tanah/lahan untuk usaha</t>
  </si>
  <si>
    <t>Harta tidak bergerak lainnya</t>
  </si>
  <si>
    <t>Utang bank/lembaga keuangan bukan bank</t>
  </si>
  <si>
    <t>Kartu kredit</t>
  </si>
  <si>
    <t>Utang afiliasi</t>
  </si>
  <si>
    <t>Utang lainnya</t>
  </si>
  <si>
    <t>Code</t>
  </si>
  <si>
    <t>Pindahan Saldo</t>
  </si>
  <si>
    <t>TOTAL ASSET</t>
  </si>
  <si>
    <t>TOTAL PAGES</t>
  </si>
  <si>
    <t xml:space="preserve">Carryforward Balance </t>
  </si>
  <si>
    <t>ACCOUNT OWNER</t>
  </si>
  <si>
    <t>TYPE OF DOCUMENT</t>
  </si>
  <si>
    <t>ACCOUNT NUMBER</t>
  </si>
  <si>
    <t>Tax Payer</t>
  </si>
  <si>
    <t>Spouse</t>
  </si>
  <si>
    <t>Child</t>
  </si>
  <si>
    <t>Joint</t>
  </si>
  <si>
    <t>LANDERS NAME</t>
  </si>
  <si>
    <t>LOCATION</t>
  </si>
  <si>
    <t>OUSTANDING BALANCE AS OF 31 DEC</t>
  </si>
  <si>
    <t>CODE</t>
  </si>
  <si>
    <t>TRGT</t>
  </si>
  <si>
    <t>TARGET</t>
  </si>
  <si>
    <t>DET</t>
  </si>
  <si>
    <t>YEAR</t>
  </si>
  <si>
    <t>TEMPORARY</t>
  </si>
  <si>
    <t>RANK</t>
  </si>
  <si>
    <t>CT</t>
  </si>
  <si>
    <t>RANK NAME</t>
  </si>
  <si>
    <t>TARGET RANK</t>
  </si>
  <si>
    <t>NO (STATIC)</t>
  </si>
  <si>
    <t>CASH AND EQUIVALENT</t>
  </si>
  <si>
    <t>ORG CURRENCY</t>
  </si>
  <si>
    <t>ORG. CURRENCY</t>
  </si>
  <si>
    <t>AMMOUNT</t>
  </si>
  <si>
    <t>KEY</t>
  </si>
  <si>
    <t>HITUNG</t>
  </si>
  <si>
    <t>ifcount</t>
  </si>
  <si>
    <t>Total Amount (Org)</t>
  </si>
  <si>
    <t>add</t>
  </si>
  <si>
    <t>acc no</t>
  </si>
  <si>
    <t>ACC NO</t>
  </si>
  <si>
    <t>COUNTRY</t>
  </si>
  <si>
    <t>H1</t>
  </si>
  <si>
    <t>H2</t>
  </si>
  <si>
    <t>H3</t>
  </si>
  <si>
    <t>H4</t>
  </si>
  <si>
    <t>Sorted data</t>
  </si>
  <si>
    <t>C</t>
  </si>
  <si>
    <t>0,1</t>
  </si>
  <si>
    <t>iferror</t>
  </si>
  <si>
    <t>ACCOUNT</t>
  </si>
  <si>
    <t xml:space="preserve">**)I have calculated my PPh 25 above based on KEP 537/PJ/2000. </t>
  </si>
  <si>
    <t xml:space="preserve">"**) Saya telah menghitung PPh 25 diatas berdasarkan KEP 537/PJ/2000. </t>
  </si>
  <si>
    <t>SURAT PENUNJUKAN</t>
  </si>
  <si>
    <t>Yang bertanda tangan di bawah ini:</t>
  </si>
  <si>
    <t>dengan ini menunjuk:</t>
  </si>
  <si>
    <t>Demikian surat penugasan ini dibuat untuk dipergunakan sebagaimana mestinya.</t>
  </si>
  <si>
    <t>Jakarta,</t>
  </si>
  <si>
    <t>Yang Memberi Tugas</t>
  </si>
  <si>
    <t>Yang Menerima Tugas</t>
  </si>
  <si>
    <t>Deloitte Touche Solutions</t>
  </si>
  <si>
    <t>APPOINTMENT LETTER</t>
  </si>
  <si>
    <t>I, the undersigned taxpayer:</t>
  </si>
  <si>
    <t>Hereby assigned:</t>
  </si>
  <si>
    <t>This statement letter is made to be used as appropriate</t>
  </si>
  <si>
    <t>1,595.49 </t>
  </si>
  <si>
    <t>IF(('GENERAL INFO'!V133&gt;0),IF(_art24&gt;0,"24","21"),"-")</t>
  </si>
  <si>
    <r>
      <t xml:space="preserve">Nama/ </t>
    </r>
    <r>
      <rPr>
        <i/>
        <sz val="10"/>
        <rFont val="Arial"/>
        <charset val="0"/>
        <color theme="1"/>
      </rPr>
      <t xml:space="preserve">Name </t>
    </r>
  </si>
  <si>
    <r>
      <t xml:space="preserve">NPWP/ </t>
    </r>
    <r>
      <rPr>
        <i/>
        <sz val="10"/>
        <rFont val="Arial"/>
        <charset val="0"/>
        <color theme="1"/>
      </rPr>
      <t>Tax ID Number</t>
    </r>
  </si>
  <si>
    <r>
      <t xml:space="preserve">Alamat / </t>
    </r>
    <r>
      <rPr>
        <i/>
        <sz val="10"/>
        <rFont val="Arial"/>
        <charset val="0"/>
        <color theme="1"/>
      </rPr>
      <t xml:space="preserve">Address </t>
    </r>
  </si>
  <si>
    <r>
      <t>Nama/</t>
    </r>
    <r>
      <rPr>
        <i/>
        <u val="single"/>
        <sz val="10"/>
        <rFont val="Arial"/>
        <charset val="0"/>
        <color theme="1"/>
      </rPr>
      <t>Name</t>
    </r>
  </si>
  <si>
    <r>
      <t xml:space="preserve">No. Identitas/ </t>
    </r>
    <r>
      <rPr>
        <i/>
        <u val="single"/>
        <sz val="10"/>
        <rFont val="Arial"/>
        <charset val="0"/>
        <color theme="1"/>
      </rPr>
      <t>ID Number</t>
    </r>
  </si>
  <si>
    <r>
      <t>NPWP</t>
    </r>
    <r>
      <rPr>
        <i/>
        <u val="single"/>
        <sz val="10"/>
        <rFont val="Arial"/>
        <charset val="0"/>
        <color theme="1"/>
      </rPr>
      <t>/ Tax ID Number</t>
    </r>
  </si>
  <si>
    <r>
      <t xml:space="preserve">Wajb Pajak/ </t>
    </r>
    <r>
      <rPr>
        <b/>
        <i/>
        <sz val="10"/>
        <rFont val="Arial"/>
        <charset val="0"/>
        <color theme="1"/>
      </rPr>
      <t>Taxpayer</t>
    </r>
  </si>
  <si>
    <t>ISSUED BY MINISTRY OF FINANCE - YEAR 2018</t>
  </si>
  <si>
    <t>3 - 9 Jan 2018</t>
  </si>
  <si>
    <t>10128.92 </t>
  </si>
  <si>
    <t>211.95 </t>
  </si>
  <si>
    <t>12.68 </t>
  </si>
  <si>
    <t>9.99 </t>
  </si>
  <si>
    <t>122.54 </t>
  </si>
  <si>
    <t>271.45 </t>
  </si>
  <si>
    <t>88.43 </t>
  </si>
  <si>
    <t>13,862.38 </t>
  </si>
  <si>
    <t>415.23 </t>
  </si>
  <si>
    <t>18,262.19 </t>
  </si>
  <si>
    <t>13,554.00 </t>
  </si>
  <si>
    <t>10 - 16 Jan 2018</t>
  </si>
  <si>
    <t>211.89 </t>
  </si>
  <si>
    <t>12.64 </t>
  </si>
  <si>
    <t>121.54 </t>
  </si>
  <si>
    <t>269.75 </t>
  </si>
  <si>
    <t>87.54 </t>
  </si>
  <si>
    <t>13,795.56 </t>
  </si>
  <si>
    <t>416.65 </t>
  </si>
  <si>
    <t>18,232.76 </t>
  </si>
  <si>
    <t>13,445.00 </t>
  </si>
  <si>
    <t>17 - 23 Jan 2018</t>
  </si>
  <si>
    <t>24 - 30 Jan 2018</t>
  </si>
  <si>
    <t>31 Jan - 06 Feb 2018</t>
  </si>
  <si>
    <t>7 Feb - 13 Feb 2018</t>
  </si>
  <si>
    <t>14 Feb - 20 Feb 2018</t>
  </si>
  <si>
    <t>21 Feb - 27 Feb 2018</t>
  </si>
  <si>
    <t>28 Feb - 6 Mar 2018</t>
  </si>
  <si>
    <t>7 Mar -13 Mar 2018</t>
  </si>
  <si>
    <t>14 Mar - 20 Mar 2018</t>
  </si>
  <si>
    <t>21 Mar - 27 Mar 2018</t>
  </si>
  <si>
    <t>28 Mar - 3 Apr 2018</t>
  </si>
  <si>
    <t>10.614,08</t>
  </si>
  <si>
    <t>10.450,46</t>
  </si>
  <si>
    <t>10.639,68</t>
  </si>
  <si>
    <t>2.177,64</t>
  </si>
  <si>
    <t>16.955,61</t>
  </si>
  <si>
    <t>1.753,92</t>
  </si>
  <si>
    <t>211,29</t>
  </si>
  <si>
    <t>45.899,34</t>
  </si>
  <si>
    <t>12,80</t>
  </si>
  <si>
    <t>3.512,78</t>
  </si>
  <si>
    <t>10,36</t>
  </si>
  <si>
    <t>9.937,54</t>
  </si>
  <si>
    <t>1.777,77</t>
  </si>
  <si>
    <t>119,31</t>
  </si>
  <si>
    <t>263,45</t>
  </si>
  <si>
    <t>3.669,87</t>
  </si>
  <si>
    <t>10.462,38</t>
  </si>
  <si>
    <t>88,15</t>
  </si>
  <si>
    <t>1.672,28</t>
  </si>
  <si>
    <t>14.487,23</t>
  </si>
  <si>
    <t>441,03</t>
  </si>
  <si>
    <t>19.411,58</t>
  </si>
  <si>
    <t>13.762,00</t>
  </si>
  <si>
    <t>4 Apr - 10 Apr 2018</t>
  </si>
  <si>
    <t>10.554,08</t>
  </si>
  <si>
    <t>10.432,10</t>
  </si>
  <si>
    <t>10.662,63</t>
  </si>
  <si>
    <t>2.193,11</t>
  </si>
  <si>
    <t>16.957,37</t>
  </si>
  <si>
    <t>1.752,26</t>
  </si>
  <si>
    <t>211,32</t>
  </si>
  <si>
    <t>45.909,44</t>
  </si>
  <si>
    <t>12,90</t>
  </si>
  <si>
    <t>3.556,25</t>
  </si>
  <si>
    <t>10,37</t>
  </si>
  <si>
    <t>9.951,76</t>
  </si>
  <si>
    <t>1.757,60</t>
  </si>
  <si>
    <t>118,91</t>
  </si>
  <si>
    <t>263,05</t>
  </si>
  <si>
    <t>3.667,00</t>
  </si>
  <si>
    <t>10.488,76</t>
  </si>
  <si>
    <t>88,28</t>
  </si>
  <si>
    <t>1.651,40</t>
  </si>
  <si>
    <t>14.420,42</t>
  </si>
  <si>
    <t>440,43</t>
  </si>
  <si>
    <t>19.337,77</t>
  </si>
  <si>
    <t>13.752,00</t>
  </si>
  <si>
    <t>11 Apr - 17 Apr 2018</t>
  </si>
  <si>
    <t>18 Apr - 24 Apr 2018</t>
  </si>
  <si>
    <t>25 Apr - 1 May 2018</t>
  </si>
  <si>
    <t>2 May - 8 May 2018</t>
  </si>
  <si>
    <t>9 May - 15 May 2018</t>
  </si>
  <si>
    <t>16 May - 22 May 2018</t>
  </si>
  <si>
    <t>23 May - 29 May 2018</t>
  </si>
  <si>
    <t>30 May - 5 Jun 2018</t>
  </si>
  <si>
    <t>6 Jun - 26 Jun 2018</t>
  </si>
  <si>
    <t>27 Jun - 3 Jul 2018</t>
  </si>
  <si>
    <t>4 Jul - 10 Jul 2018</t>
  </si>
  <si>
    <t>11 Jul - 17 Jul 2018</t>
  </si>
  <si>
    <t>18 Jul - 24 Jul 2018</t>
  </si>
  <si>
    <t>25 Jul - 31 Jul 2018</t>
  </si>
  <si>
    <t>1 Aug - 7 Aug 2018</t>
  </si>
  <si>
    <t>8 Aug - 14 Aug 2018</t>
  </si>
  <si>
    <t>15 Aug - 21 Aug 2018</t>
  </si>
  <si>
    <t>22 Aug - 28 Aug 2018</t>
  </si>
  <si>
    <t>29 Aug - 4 Sep 2018</t>
  </si>
  <si>
    <t>5 Sep - 11 Sep 2018</t>
  </si>
  <si>
    <t>12 Sep - 18 Sep 2018</t>
  </si>
  <si>
    <t>19 Sep - 25 Sep 2018</t>
  </si>
  <si>
    <t>26 Sep - 2 Oct 2018</t>
  </si>
  <si>
    <t>3 Oct - 9 Oct 2018</t>
  </si>
  <si>
    <t>10 Oct - 16 Oct 2018</t>
  </si>
  <si>
    <t>17 Oct - 23 Oct 2018</t>
  </si>
  <si>
    <t>24 Oct - 30 Oct 2018</t>
  </si>
  <si>
    <t>31 Oct - 6 Nov 2018</t>
  </si>
  <si>
    <t>7 Nov - 13 Nov 2018</t>
  </si>
  <si>
    <t>14 Nov - 20 Nov 2018</t>
  </si>
  <si>
    <t>21 Nov - 27 Nov 2018</t>
  </si>
  <si>
    <t>28 Nov - 4 Dec 2018</t>
  </si>
  <si>
    <t>5 Dec - 11 Dec 2018</t>
  </si>
  <si>
    <t>12 Dec - 18 Dec 2018</t>
  </si>
  <si>
    <t>204.06 </t>
  </si>
  <si>
    <t>9.34 </t>
  </si>
  <si>
    <t>103.49 </t>
  </si>
  <si>
    <t>273.98 </t>
  </si>
  <si>
    <t>80.69 </t>
  </si>
  <si>
    <t>440.35 </t>
  </si>
  <si>
    <t>19 Dec - 25 Dec 2018</t>
  </si>
  <si>
    <t>26 Dec 2018 - 1 Jan 2019</t>
  </si>
  <si>
    <t>avgJan18</t>
  </si>
  <si>
    <t>avgFeb18</t>
  </si>
  <si>
    <t>avgMar18</t>
  </si>
  <si>
    <t>avgApr18</t>
  </si>
  <si>
    <t>avgMay18</t>
  </si>
  <si>
    <t>avgJun18</t>
  </si>
  <si>
    <t>avgJul18</t>
  </si>
  <si>
    <t>avgAug18</t>
  </si>
  <si>
    <t>avgSep18</t>
  </si>
  <si>
    <t>avgOct18</t>
  </si>
  <si>
    <t>avgNov18</t>
  </si>
  <si>
    <t>avgDec18</t>
  </si>
  <si>
    <t>JanFeb18</t>
  </si>
  <si>
    <t>JanMar18</t>
  </si>
  <si>
    <t>JanApr18</t>
  </si>
  <si>
    <t>JanMay18</t>
  </si>
  <si>
    <t>JanJun18</t>
  </si>
  <si>
    <t>JanJul18</t>
  </si>
  <si>
    <t>JanAug18</t>
  </si>
  <si>
    <t>JanSep18</t>
  </si>
  <si>
    <t>JanOct18</t>
  </si>
  <si>
    <t>JanNov18</t>
  </si>
  <si>
    <t>FebDec18</t>
  </si>
  <si>
    <t>MarDec18</t>
  </si>
  <si>
    <t>AprDec18</t>
  </si>
  <si>
    <t>MayDec18</t>
  </si>
  <si>
    <t>JunDec18</t>
  </si>
  <si>
    <t>JulDec18</t>
  </si>
  <si>
    <t>AugDec18</t>
  </si>
  <si>
    <t>SepDec18</t>
  </si>
  <si>
    <t>OctDec18</t>
  </si>
  <si>
    <t>NovDec18</t>
  </si>
  <si>
    <t>FTC based on treaty</t>
  </si>
  <si>
    <t>Allowed Tax Credit (in Rupiah)</t>
  </si>
  <si>
    <t>as per tax treaty</t>
  </si>
  <si>
    <t>as per Art. 24 *)</t>
  </si>
  <si>
    <t>PPh Pasal 24 yang diperbolehkan</t>
  </si>
  <si>
    <t>Sesuai Dengan P3B Negara Yang Bersangkutan</t>
  </si>
  <si>
    <t>PPh Pasal 24 Yang Diperbolehkan*)</t>
  </si>
  <si>
    <t xml:space="preserve">Compare </t>
  </si>
  <si>
    <t xml:space="preserve">Form 1770S - II </t>
  </si>
  <si>
    <t>Year of Acquisition Data</t>
  </si>
  <si>
    <t>to submit and / or receive tax documents in the form of 2018 Annual Income Tax Return on behalf of the above in the Tax Office of Badan dan Orang Asing.</t>
  </si>
  <si>
    <t>untuk menyampaikan dan/atau menerima dokumen perpajakan berupa SPT Tahunan orang pribadi tahun 2018 atas nama tersebut di atas di Kantor Pelayanan Pajak Badan dan Orang Asing.</t>
  </si>
  <si>
    <t xml:space="preserve">you can edit this row </t>
  </si>
  <si>
    <t>BAGI WAJIB PAJAK YANG MEMPUNYAI PENGHASILAN :</t>
  </si>
  <si>
    <t xml:space="preserve">DARI SATU ATAU LEBIH PEMBERI KERJA; </t>
  </si>
  <si>
    <t xml:space="preserve">DALAM NEGERI LAINNYA; DAN/ATAU </t>
  </si>
  <si>
    <t xml:space="preserve">YANG DIKENAKAN PPh FINAL DAN/ATAU BERSIFAT FINAL. </t>
  </si>
  <si>
    <t>FOR TAXPAYER WHO HAS INCOME:</t>
  </si>
  <si>
    <t>FROM ONE EMPLOYER OR MORE;</t>
  </si>
  <si>
    <t>OTHER DOMESTIC INCOME; AND/OR</t>
  </si>
  <si>
    <t>SUBJECT TO FINAL TAX AND/OR FINAL IN NATURE.</t>
  </si>
  <si>
    <t>(5) Year of Acquisition nya mau dibikin wrap text</t>
  </si>
  <si>
    <t>(5) Year of Acquisition nya mau dibikin di tengah</t>
  </si>
  <si>
    <t>(4) Year of Acquistion ga muncul</t>
  </si>
  <si>
    <t>(4) Carryforward balance mau ditambahin</t>
  </si>
  <si>
    <t>(7) angka sum as per Art. 24 *) mau dimunculin</t>
  </si>
  <si>
    <t>(3) Nama Pemberi Pinjaman mau dirapihin font nya rata kiri dan di bold semua tulisannya</t>
  </si>
  <si>
    <t>(5) Tahun Perolehan nya mau dibikin di tengah</t>
  </si>
  <si>
    <t>(5) Tahun Peminjaman nya mau dibikin wrap text</t>
  </si>
  <si>
    <t>LEFT(A2,FIND(” “,A2,1)-1)</t>
  </si>
  <si>
    <t>RIGHT(A2,LEN(A2)-FIND(” “,A2,1))</t>
  </si>
  <si>
    <t>English</t>
  </si>
  <si>
    <t>Bahasa</t>
  </si>
  <si>
    <t>012</t>
  </si>
  <si>
    <t>011</t>
  </si>
  <si>
    <t>1770S - NonUS</t>
  </si>
  <si>
    <t>H</t>
  </si>
  <si>
    <t>UNDERPAYMENT / OVERPAYMENT</t>
  </si>
  <si>
    <t>No</t>
  </si>
  <si>
    <t>Deposit Type Code</t>
  </si>
  <si>
    <t>State Revenue Transaction No
(NTPT)</t>
  </si>
  <si>
    <t>Total Payment</t>
  </si>
  <si>
    <t>Payment Date</t>
  </si>
  <si>
    <t>100 | Masa PPh Pasal 25 Orang Pribadi</t>
  </si>
  <si>
    <t>101 | Masa PPh Pasal 25 Orang Pribadi Tertentu</t>
  </si>
  <si>
    <t>119 | Pembayaran Pendahuluan skp PPh Pasal 25 Orang Pribadi</t>
  </si>
  <si>
    <t>200 | Tahunan PPh Orang Pribadi</t>
  </si>
  <si>
    <t>300 | STP PPh Orang Pribadi</t>
  </si>
  <si>
    <t>310 | SKPKB PPh Orang Pribadi</t>
  </si>
  <si>
    <t>320 | SKPKBT PPh Orang Pribadi</t>
  </si>
  <si>
    <t>390 | Pembayaran Atas Surat keputusan Pembetulan, Surat Keputusan Keberatan, atau Putusan Banding</t>
  </si>
  <si>
    <t>070010070007159</t>
  </si>
  <si>
    <t>TAXPAYER 153</t>
  </si>
  <si>
    <t>KARYAWAN</t>
  </si>
  <si>
    <t>80827000</t>
  </si>
  <si>
    <t>1</t>
  </si>
  <si>
    <t>9</t>
  </si>
  <si>
    <t>Copy of EPO (Exit Permit Only)</t>
  </si>
  <si>
    <t>Fotokopi EPO (Exit Permit Only)</t>
  </si>
  <si>
    <t>MARRIED</t>
  </si>
  <si>
    <t>JENNIFER APRIL</t>
  </si>
  <si>
    <t>Wife</t>
  </si>
  <si>
    <t>5430003</t>
  </si>
  <si>
    <t>House Wife</t>
  </si>
  <si>
    <t>aaa</t>
  </si>
  <si>
    <t>222222222222222</t>
  </si>
  <si>
    <t>3333333333333</t>
  </si>
  <si>
    <t>Afganistan</t>
  </si>
  <si>
    <t>KWD</t>
  </si>
  <si>
    <t>Dividend Income</t>
  </si>
  <si>
    <t>asd</t>
  </si>
  <si>
    <t>USD</t>
  </si>
  <si>
    <t>Jan-Mar17</t>
  </si>
  <si>
    <t>2020</t>
  </si>
  <si>
    <t>27,306</t>
  </si>
  <si>
    <t>4,217,886</t>
  </si>
  <si>
    <t>2017</t>
  </si>
  <si>
    <t>54,807,852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</si>
</sst>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6">
    <numFmt numFmtId="164" formatCode="_(* #,##0_);_(* \(#,##0\);_(* &quot;-&quot;_);_(@_)"/>
    <numFmt numFmtId="165" formatCode="_(* #,##0.00_);_(* \(#,##0.00\);_(* &quot;-&quot;??_);_(@_)"/>
    <numFmt numFmtId="166" formatCode="_-* #,##0_-;\-* #,##0_-;_-* &quot;-&quot;_-;_-@_-"/>
    <numFmt numFmtId="167" formatCode="_-* #,##0.00_-;\-* #,##0.00_-;_-* &quot;-&quot;??_-;_-@_-"/>
    <numFmt numFmtId="168" formatCode="_(&quot;Rp&quot;* #,##0_);_(&quot;Rp&quot;* \(#,##0\);_(&quot;Rp&quot;* &quot;-&quot;_);_(@_)"/>
    <numFmt numFmtId="169" formatCode="_(* #,##0_);_(* \(#,##0\);_(* &quot;-&quot;??_);_(@_)"/>
    <numFmt numFmtId="170" formatCode="#,###;[Red]\(#,###\);&quot;-&quot;"/>
    <numFmt numFmtId="171" formatCode="#,###"/>
    <numFmt numFmtId="172" formatCode="dd\-mm\-yyyy"/>
    <numFmt numFmtId="173" formatCode="[$-409]d\-mmm\-yy;@"/>
    <numFmt numFmtId="174" formatCode="#,##0;[Red]\ \(#,##0\);\ &quot;-&quot;"/>
    <numFmt numFmtId="175" formatCode="_-* #,##0_-;\-* #,##0_-;_-* &quot;-&quot;??_-;_-@_-"/>
    <numFmt numFmtId="176" formatCode="* #,##0_);_(* \(#,##0\);_(* &quot;-&quot;??_);_(@_)"/>
    <numFmt numFmtId="177" formatCode="#,##0_);_(* \(#,##0\);_(* &quot;-&quot;??_);_(@_)"/>
    <numFmt numFmtId="178" formatCode="[$-409]mmm\-yy;@"/>
    <numFmt numFmtId="179" formatCode="_([$Rp-421]* #,##0_);_([$Rp-421]* \(#,##0\);_([$Rp-421]* &quot;-&quot;_);_(@_)"/>
    <numFmt numFmtId="180" formatCode="0.0000%"/>
    <numFmt numFmtId="181" formatCode="\ "/>
    <numFmt numFmtId="182" formatCode="_(* #,##0.0_);_(* \(#,##0.0\);_(* &quot;-&quot;?_);_(@_)"/>
    <numFmt numFmtId="183" formatCode="_-[$Rp-421]* #,##0_ ;_-[$Rp-421]* \-#,##0\ ;_-[$Rp-421]* &quot;-&quot;_ ;_-@_ "/>
    <numFmt numFmtId="184" formatCode="dd/mm/yy;@"/>
    <numFmt numFmtId="185" formatCode="0_);\(0\)"/>
    <numFmt numFmtId="186" formatCode="[$-409]mmm;@"/>
    <numFmt numFmtId="187" formatCode="[$-421]dd\ mmmm\ yyyy;@"/>
    <numFmt numFmtId="188" formatCode="[$-809]d\ mmmm\ yyyy;@"/>
    <numFmt numFmtId="189" formatCode="[$-409]d\-mmm\-yyyy;@"/>
  </numFmts>
  <fonts count="129">
    <font>
      <sz val="10"/>
      <name val="Arial"/>
      <charset val="0"/>
      <color theme="1"/>
    </font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sz val="12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8"/>
      <name val="Arial"/>
      <charset val="0"/>
      <color theme="1"/>
    </font>
    <font>
      <sz val="7"/>
      <name val="Arial"/>
      <charset val="0"/>
      <color theme="1"/>
    </font>
    <font>
      <b/>
      <sz val="20"/>
      <name val="Arial"/>
      <charset val="0"/>
      <color theme="1"/>
    </font>
    <font>
      <sz val="9"/>
      <name val="Arial"/>
      <charset val="0"/>
      <color theme="1"/>
    </font>
    <font>
      <b/>
      <sz val="8"/>
      <name val="Arial"/>
      <charset val="0"/>
      <color theme="1"/>
    </font>
    <font>
      <sz val="6"/>
      <name val="Arial"/>
      <charset val="0"/>
      <color theme="1"/>
    </font>
    <font>
      <b/>
      <sz val="7"/>
      <name val="Arial"/>
      <charset val="0"/>
      <color theme="1"/>
    </font>
    <font>
      <b/>
      <sz val="11"/>
      <name val="Arial"/>
      <charset val="0"/>
      <color theme="1"/>
    </font>
    <font>
      <b/>
      <sz val="10"/>
      <name val="Arial Black"/>
      <charset val="0"/>
      <color theme="1"/>
    </font>
    <font>
      <b/>
      <sz val="9"/>
      <name val="Arial"/>
      <charset val="0"/>
      <color theme="1"/>
    </font>
    <font>
      <b/>
      <sz val="24"/>
      <name val="Arial"/>
      <charset val="0"/>
      <color theme="1"/>
    </font>
    <font>
      <b/>
      <sz val="12"/>
      <name val="Arial"/>
      <charset val="0"/>
      <color theme="1"/>
    </font>
    <font>
      <b/>
      <sz val="26"/>
      <name val="Arial"/>
      <charset val="0"/>
      <color theme="1"/>
    </font>
    <font>
      <b/>
      <sz val="13"/>
      <name val="Arial"/>
      <charset val="0"/>
      <color theme="1"/>
    </font>
    <font>
      <sz val="11"/>
      <name val="Arial"/>
      <charset val="0"/>
      <color theme="1"/>
    </font>
    <font>
      <b/>
      <sz val="18"/>
      <name val="Arial"/>
      <charset val="0"/>
      <color theme="1"/>
    </font>
    <font>
      <b/>
      <sz val="8"/>
      <name val="Roman"/>
      <charset val="255"/>
      <color theme="1"/>
    </font>
    <font>
      <b/>
      <sz val="6"/>
      <name val="Arial"/>
      <charset val="0"/>
      <color theme="1"/>
    </font>
    <font>
      <sz val="8"/>
      <name val="Roman"/>
      <charset val="255"/>
      <color theme="1"/>
    </font>
    <font>
      <b/>
      <sz val="28"/>
      <name val="Arial"/>
      <charset val="0"/>
      <color theme="1"/>
    </font>
    <font>
      <sz val="9"/>
      <name val="Arial"/>
      <charset val="0"/>
      <color indexed="10"/>
    </font>
    <font>
      <sz val="7"/>
      <name val="Arial"/>
      <charset val="0"/>
      <color indexed="10"/>
    </font>
    <font>
      <sz val="10"/>
      <name val="Arial"/>
      <charset val="0"/>
      <color indexed="10"/>
    </font>
    <font>
      <sz val="5.5"/>
      <name val="Arial"/>
      <charset val="0"/>
      <color theme="1"/>
    </font>
    <font>
      <b/>
      <sz val="8"/>
      <name val="Arial"/>
      <charset val="0"/>
      <color indexed="10"/>
    </font>
    <font>
      <sz val="8"/>
      <name val="Arial"/>
      <charset val="0"/>
      <color indexed="10"/>
    </font>
    <font>
      <b/>
      <sz val="26"/>
      <name val="Arial"/>
      <charset val="0"/>
      <color indexed="9"/>
    </font>
    <font>
      <b/>
      <sz val="14"/>
      <name val="Arial"/>
      <charset val="0"/>
      <color indexed="48"/>
    </font>
    <font>
      <b/>
      <sz val="10"/>
      <name val="Arial"/>
      <charset val="0"/>
      <color indexed="58"/>
    </font>
    <font>
      <sz val="10"/>
      <name val="Arial"/>
      <charset val="0"/>
      <color indexed="48"/>
    </font>
    <font>
      <sz val="13"/>
      <name val="Arial"/>
      <charset val="0"/>
      <color theme="1"/>
    </font>
    <font>
      <sz val="12"/>
      <name val="Roman"/>
      <charset val="255"/>
      <color theme="1"/>
    </font>
    <font>
      <b/>
      <sz val="12"/>
      <name val="Arial"/>
      <charset val="0"/>
      <color indexed="8"/>
    </font>
    <font>
      <b/>
      <sz val="12"/>
      <name val="Arial"/>
      <charset val="0"/>
      <color indexed="10"/>
    </font>
    <font>
      <b/>
      <sz val="16"/>
      <name val="Arial Black"/>
      <charset val="0"/>
      <color theme="1"/>
    </font>
    <font>
      <b/>
      <sz val="10"/>
      <name val="Arial"/>
      <charset val="0"/>
      <color indexed="48"/>
    </font>
    <font>
      <b/>
      <sz val="16"/>
      <name val="Arial"/>
      <charset val="0"/>
      <color theme="1"/>
    </font>
    <font>
      <sz val="10"/>
      <name val="Arial"/>
      <charset val="0"/>
      <color indexed="12"/>
    </font>
    <font>
      <b/>
      <i/>
      <sz val="10"/>
      <name val="Arial"/>
      <charset val="0"/>
      <color theme="1"/>
    </font>
    <font>
      <b/>
      <sz val="14"/>
      <name val="Arial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  <color indexed="8"/>
    </font>
    <font>
      <sz val="8"/>
      <name val="Arial"/>
      <charset val="0"/>
      <color indexed="8"/>
    </font>
    <font>
      <sz val="9"/>
      <name val="Arial"/>
      <charset val="0"/>
      <color indexed="8"/>
    </font>
    <font>
      <sz val="10"/>
      <name val="Arial"/>
      <charset val="0"/>
      <color indexed="8"/>
    </font>
    <font>
      <sz val="4"/>
      <name val="Arial"/>
      <charset val="0"/>
      <color theme="1"/>
    </font>
    <font>
      <b/>
      <sz val="7.5"/>
      <name val="Arial"/>
      <charset val="0"/>
      <color theme="1"/>
    </font>
    <font>
      <i/>
      <sz val="10"/>
      <name val="Arial"/>
      <charset val="0"/>
      <color theme="1"/>
    </font>
    <font>
      <sz val="11"/>
      <name val="Calibri"/>
      <color theme="1"/>
      <scheme val="minor"/>
    </font>
    <font>
      <sz val="11"/>
      <name val="Arial"/>
      <charset val="0"/>
      <color indexed="8"/>
    </font>
    <font>
      <b/>
      <sz val="9"/>
      <name val="Arial"/>
      <charset val="0"/>
      <color indexed="8"/>
    </font>
    <font>
      <sz val="11"/>
      <name val="Calibri"/>
      <color indexed="8"/>
    </font>
    <font>
      <sz val="12"/>
      <name val="Arial"/>
      <charset val="0"/>
      <color indexed="8"/>
    </font>
    <font>
      <sz val="8"/>
      <name val="Arial"/>
      <charset val="0"/>
      <color theme="0" tint="-0.34998626667073579"/>
    </font>
    <font>
      <sz val="7"/>
      <name val="Arial"/>
      <charset val="0"/>
      <color theme="0" tint="-0.499984740745262"/>
    </font>
    <font>
      <b/>
      <sz val="8"/>
      <name val="Arial"/>
      <charset val="0"/>
      <color indexed="8"/>
    </font>
    <font>
      <sz val="7"/>
      <name val="Arial"/>
      <charset val="0"/>
      <color theme="1" tint="0.499984740745262"/>
    </font>
    <font>
      <sz val="7"/>
      <name val="Arial"/>
      <charset val="0"/>
      <color theme="0" tint="-0.34998626667073579"/>
    </font>
    <font>
      <b/>
      <sz val="7"/>
      <name val="Arial"/>
      <charset val="0"/>
      <color indexed="8"/>
    </font>
    <font>
      <sz val="8.5"/>
      <name val="Arial"/>
      <charset val="0"/>
      <color indexed="8"/>
    </font>
    <font>
      <sz val="7"/>
      <name val="Arial"/>
      <charset val="0"/>
      <color indexed="8"/>
    </font>
    <font>
      <sz val="8"/>
      <name val="Calibri"/>
      <color theme="1"/>
      <scheme val="minor"/>
    </font>
    <font>
      <sz val="6"/>
      <name val="Arial"/>
      <charset val="0"/>
      <color indexed="8"/>
    </font>
    <font>
      <b/>
      <sz val="6"/>
      <name val="Arial"/>
      <charset val="0"/>
      <color indexed="8"/>
    </font>
    <font>
      <sz val="14"/>
      <name val="Arial"/>
      <charset val="0"/>
      <color indexed="8"/>
    </font>
    <font>
      <sz val="6"/>
      <name val="Arial"/>
      <charset val="0"/>
      <color theme="0" tint="-0.499984740745262"/>
    </font>
    <font>
      <sz val="6"/>
      <name val="Arial"/>
      <charset val="0"/>
      <color theme="0" tint="-0.34998626667073579"/>
    </font>
    <font>
      <b/>
      <sz val="11"/>
      <name val="Arial"/>
      <charset val="0"/>
      <color indexed="8"/>
    </font>
    <font>
      <sz val="9"/>
      <name val="Arial"/>
      <charset val="0"/>
      <color theme="0" tint="-0.499984740745262"/>
    </font>
    <font>
      <b/>
      <sz val="20"/>
      <name val="Arial"/>
      <charset val="0"/>
      <color indexed="8"/>
    </font>
    <font>
      <b/>
      <sz val="14"/>
      <name val="Arial"/>
      <charset val="0"/>
      <color indexed="8"/>
    </font>
    <font>
      <b/>
      <sz val="7"/>
      <name val="Arial"/>
      <charset val="0"/>
      <color theme="0" tint="-0.34998626667073579"/>
    </font>
    <font>
      <b/>
      <sz val="7"/>
      <name val="Arial"/>
      <charset val="0"/>
      <color theme="0" tint="-0.499984740745262"/>
    </font>
    <font>
      <sz val="11"/>
      <name val="Arial"/>
      <charset val="0"/>
      <color theme="0" tint="-0.34998626667073579"/>
    </font>
    <font>
      <b/>
      <sz val="13"/>
      <name val="Arial"/>
      <charset val="0"/>
      <color indexed="8"/>
    </font>
    <font>
      <b/>
      <sz val="11"/>
      <name val="Arial"/>
      <charset val="0"/>
      <color theme="0" tint="-0.34998626667073579"/>
    </font>
    <font>
      <u val="singleAccounting"/>
      <sz val="9"/>
      <name val="Arial"/>
      <charset val="0"/>
      <color theme="1"/>
    </font>
    <font>
      <sz val="11"/>
      <name val="Calibri"/>
      <charset val="0"/>
      <color rgb="FF000000"/>
    </font>
    <font>
      <sz val="10"/>
      <name val="Cambria"/>
      <charset val="0"/>
      <color theme="1"/>
      <scheme val="major"/>
    </font>
    <font>
      <b/>
      <sz val="14"/>
      <name val="Cambria"/>
      <charset val="0"/>
      <color theme="1"/>
      <scheme val="major"/>
    </font>
    <font>
      <b/>
      <sz val="18"/>
      <name val="Cambria"/>
      <charset val="0"/>
      <color theme="1"/>
      <scheme val="major"/>
    </font>
    <font>
      <b/>
      <sz val="10"/>
      <name val="Cambria"/>
      <charset val="0"/>
      <color theme="1"/>
      <scheme val="major"/>
    </font>
    <font>
      <b/>
      <sz val="12"/>
      <name val="Cambria"/>
      <charset val="0"/>
      <color theme="1"/>
      <scheme val="major"/>
    </font>
    <font>
      <sz val="14"/>
      <name val="Cambria"/>
      <charset val="0"/>
      <color theme="1"/>
      <scheme val="major"/>
    </font>
    <font>
      <b/>
      <sz val="16"/>
      <name val="Cambria"/>
      <charset val="0"/>
      <color theme="1"/>
      <scheme val="major"/>
    </font>
    <font>
      <b/>
      <sz val="11"/>
      <name val="Cambria"/>
      <charset val="0"/>
      <color theme="1"/>
      <scheme val="major"/>
    </font>
    <font>
      <b/>
      <i/>
      <sz val="10"/>
      <name val="Cambria"/>
      <charset val="0"/>
      <color theme="1"/>
      <scheme val="major"/>
    </font>
    <font>
      <sz val="11"/>
      <name val="Cambria"/>
      <charset val="0"/>
      <color theme="1"/>
      <scheme val="major"/>
    </font>
    <font>
      <sz val="9"/>
      <name val="Cambria"/>
      <charset val="0"/>
      <color theme="1"/>
      <scheme val="major"/>
    </font>
    <font>
      <b/>
      <i/>
      <sz val="10"/>
      <name val="Cambria"/>
      <charset val="0"/>
      <color indexed="12"/>
      <scheme val="major"/>
    </font>
    <font>
      <b/>
      <sz val="20"/>
      <name val="Cambria"/>
      <charset val="0"/>
      <color theme="1"/>
      <scheme val="major"/>
    </font>
    <font>
      <b/>
      <sz val="10"/>
      <name val="Arial"/>
      <charset val="0"/>
      <color theme="0"/>
    </font>
    <font>
      <sz val="10"/>
      <name val="Arial"/>
      <charset val="0"/>
      <color theme="0"/>
    </font>
    <font>
      <b/>
      <sz val="14"/>
      <name val="Arial"/>
      <charset val="0"/>
      <color theme="0"/>
    </font>
    <font>
      <b/>
      <sz val="26"/>
      <name val="Arial"/>
      <charset val="0"/>
      <color theme="0"/>
    </font>
    <font>
      <sz val="14"/>
      <name val="Arial"/>
      <charset val="0"/>
      <color theme="0"/>
    </font>
    <font>
      <b/>
      <sz val="11"/>
      <name val="Cambria"/>
      <charset val="0"/>
      <color theme="0"/>
      <scheme val="major"/>
    </font>
    <font>
      <b/>
      <sz val="10"/>
      <name val="Cambria"/>
      <charset val="0"/>
      <color theme="0"/>
      <scheme val="major"/>
    </font>
    <font>
      <b/>
      <sz val="12"/>
      <name val="Cambria"/>
      <charset val="0"/>
      <color theme="0"/>
      <scheme val="major"/>
    </font>
    <font>
      <b/>
      <sz val="9"/>
      <name val="Cambria"/>
      <charset val="0"/>
      <color theme="0"/>
      <scheme val="major"/>
    </font>
    <font>
      <sz val="22"/>
      <name val="Arial"/>
      <charset val="0"/>
      <color theme="1"/>
    </font>
    <font>
      <sz val="18"/>
      <name val="Arial"/>
      <charset val="0"/>
      <color theme="1"/>
    </font>
    <font>
      <sz val="16"/>
      <name val="Arial"/>
      <charset val="0"/>
      <color theme="1"/>
    </font>
    <font>
      <b/>
      <sz val="10"/>
      <name val="Arial"/>
      <charset val="0"/>
      <color rgb="FFFF0000"/>
    </font>
    <font>
      <sz val="10"/>
      <name val="Arial"/>
      <charset val="0"/>
      <color rgb="FFFF0000"/>
    </font>
    <font>
      <b/>
      <sz val="10"/>
      <name val="Arial"/>
      <charset val="0"/>
      <color theme="5"/>
    </font>
    <font>
      <sz val="10"/>
      <name val="Arial"/>
      <charset val="0"/>
      <color theme="5"/>
    </font>
    <font>
      <b/>
      <sz val="10"/>
      <name val="Arial"/>
      <charset val="0"/>
      <color theme="6" tint="-0.499984740745262"/>
    </font>
    <font>
      <sz val="10"/>
      <name val="Arial"/>
      <charset val="0"/>
      <color theme="6" tint="-0.499984740745262"/>
    </font>
    <font>
      <sz val="10"/>
      <name val="Arial"/>
      <charset val="0"/>
      <color rgb="FF7030A0"/>
    </font>
    <font>
      <sz val="10"/>
      <name val="Arial"/>
      <charset val="0"/>
      <color theme="9" tint="-0.499984740745262"/>
    </font>
    <font>
      <b/>
      <sz val="10"/>
      <name val="Arial"/>
      <charset val="0"/>
      <color theme="9" tint="-0.499984740745262"/>
    </font>
    <font>
      <u val="single"/>
      <sz val="10"/>
      <name val="Arial"/>
      <charset val="0"/>
      <color theme="1"/>
    </font>
    <font>
      <b/>
      <u val="single"/>
      <sz val="10"/>
      <name val="Arial"/>
      <charset val="0"/>
      <color theme="1"/>
    </font>
    <font>
      <b/>
      <i/>
      <sz val="12"/>
      <name val="Arial"/>
      <charset val="0"/>
      <color theme="1"/>
    </font>
    <font>
      <i/>
      <sz val="12"/>
      <name val="Arial"/>
      <charset val="0"/>
      <color theme="1"/>
    </font>
    <font>
      <i/>
      <u val="single"/>
      <sz val="10"/>
      <name val="Arial"/>
      <charset val="0"/>
      <color theme="1"/>
    </font>
    <font>
      <i/>
      <sz val="10"/>
      <name val="Arial"/>
      <charset val="0"/>
      <color rgb="FFFF0000"/>
    </font>
    <font>
      <b/>
      <i/>
      <sz val="10"/>
      <name val="Arial"/>
      <charset val="0"/>
      <color theme="0"/>
    </font>
    <font>
      <b/>
      <i/>
      <sz val="10"/>
      <name val="Cambria"/>
      <charset val="0"/>
      <color theme="0"/>
      <scheme val="major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3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92D4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13"/>
        <bgColor indexed="64"/>
      </patternFill>
    </fill>
    <fill>
      <patternFill patternType="none">
        <fgColor indexed="64"/>
        <bgColor indexed="65"/>
      </patternFill>
    </fill>
  </fills>
  <borders count="1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1">
    <xf xxid="0" numFmtId="0" fontId="0" fillId="0" borderId="0"/>
    <xf xxid="1" numFmtId="167" fontId="2" fillId="0" borderId="0" applyAlignment="0" applyFont="0" applyProtection="0"/>
    <xf xxid="2" numFmtId="166" fontId="2" fillId="0" borderId="0" applyAlignment="0" applyFont="0" applyProtection="0"/>
    <xf xxid="3" numFmtId="0" fontId="47" fillId="0" borderId="0" applyAlignment="0" applyNumberFormat="0" applyProtection="0">
      <alignment vertical="top"/>
    </xf>
    <xf xxid="4" numFmtId="0" fontId="2" fillId="0" borderId="0"/>
    <xf xxid="5" numFmtId="0" fontId="2" fillId="0" borderId="0"/>
    <xf xxid="6" numFmtId="0" fontId="2" fillId="0" borderId="0"/>
    <xf xxid="7" numFmtId="9" fontId="2" fillId="0" borderId="0" applyAlignment="0" applyFont="0" applyProtection="0"/>
    <xf xxid="8" numFmtId="0" fontId="2" fillId="0" borderId="0"/>
    <xf xxid="9" numFmtId="0" fontId="47" fillId="0" borderId="0" applyAlignment="0" applyNumberFormat="0" applyProtection="0">
      <alignment vertical="top"/>
    </xf>
    <xf xxid="10" numFmtId="166" fontId="2" fillId="0" borderId="0" applyAlignment="0" applyFont="0" applyProtection="0"/>
    <xf xxid="11" numFmtId="167" fontId="2" fillId="0" borderId="0" applyAlignment="0" applyFont="0" applyProtection="0"/>
    <xf xxid="12" numFmtId="0" fontId="1" fillId="0" borderId="0"/>
    <xf xxid="13" numFmtId="0" fontId="1" fillId="0" borderId="0"/>
    <xf xxid="14" numFmtId="0" fontId="55" fillId="0" borderId="0"/>
    <xf xxid="15" numFmtId="166" fontId="58" fillId="0" borderId="0" applyAlignment="0" applyFont="0" applyProtection="0"/>
    <xf xxid="16" numFmtId="0" fontId="1" fillId="0" borderId="0"/>
    <xf xxid="17" numFmtId="0" fontId="2" fillId="0" borderId="0"/>
    <xf xxid="18" numFmtId="0" fontId="1" fillId="0" borderId="0"/>
    <xf xxid="19" numFmtId="167" fontId="2" fillId="0" borderId="0" applyAlignment="0" applyFont="0" applyProtection="0"/>
    <xf xxid="20" numFmtId="167" fontId="2" fillId="0" borderId="0" applyAlignment="0" applyFont="0" applyProtection="0"/>
    <xf xxid="21" numFmtId="0" fontId="2" fillId="0" borderId="0"/>
    <xf xxid="22" numFmtId="0" fontId="1" fillId="0" borderId="0"/>
    <xf xxid="23" numFmtId="165" fontId="1" fillId="0" borderId="0" applyAlignment="0" applyFont="0" applyProtection="0"/>
    <xf xxid="24" numFmtId="0" fontId="1" fillId="0" borderId="0"/>
    <xf xxid="25" numFmtId="0" fontId="1" fillId="0" borderId="0"/>
    <xf xxid="26" numFmtId="0" fontId="1" fillId="0" borderId="0"/>
    <xf xxid="27" numFmtId="0" fontId="1" fillId="0" borderId="0"/>
    <xf xxid="28" numFmtId="164" fontId="2" fillId="0" borderId="0" applyAlignment="0" applyFont="0" applyProtection="0"/>
    <xf xxid="29" numFmtId="0" fontId="1" fillId="0" borderId="0"/>
    <xf xxid="3067" numFmtId="0" fontId="128" fillId="36" borderId="0" applyAlignment="0"/>
  </cellStyleXfs>
  <cellXfs>
    <xf xxid="30" numFmtId="0" fontId="0" fillId="0" borderId="0" xfId="0" applyAlignment="1" applyBorder="1" applyFont="1" applyNumberFormat="1" applyFill="1" applyProtection="1"/>
    <xf xxid="31" numFmtId="0" fontId="0" fillId="2" borderId="0" xfId="0" applyAlignment="1" applyBorder="1" applyFont="1" applyNumberFormat="1" applyFill="1" applyProtection="1"/>
    <xf xxid="32" numFmtId="0" fontId="0" fillId="0" borderId="1" xfId="0" applyAlignment="1" applyBorder="1" applyFont="1" applyNumberFormat="1" applyFill="1" applyProtection="1"/>
    <xf xxid="33" numFmtId="0" fontId="3" fillId="0" borderId="1" xfId="0" applyAlignment="1" applyBorder="1" applyFont="1" applyNumberFormat="1" applyFill="1" applyProtection="1"/>
    <xf xxid="34" numFmtId="0" fontId="6" fillId="0" borderId="0" xfId="0" applyAlignment="1" applyBorder="1" applyFont="1" applyNumberFormat="1" applyFill="1" applyProtection="1"/>
    <xf xxid="35" numFmtId="0" fontId="11" fillId="0" borderId="0" xfId="0" applyAlignment="1" applyBorder="1" applyFont="1" applyNumberFormat="1" applyFill="1" applyProtection="1"/>
    <xf xxid="36" numFmtId="0" fontId="7" fillId="0" borderId="0" xfId="0" applyAlignment="1" applyBorder="1" applyFont="1" applyNumberFormat="1" applyFill="1" applyProtection="1"/>
    <xf xxid="37" numFmtId="0" fontId="7" fillId="0" borderId="0" xfId="0" applyAlignment="1" applyBorder="1" applyFont="1" applyNumberFormat="1" applyFill="1" applyProtection="1">
      <alignment horizontal="center" vertical="center"/>
    </xf>
    <xf xxid="38" numFmtId="0" fontId="7" fillId="0" borderId="0" xfId="0" applyAlignment="1" applyBorder="1" applyFont="1" applyNumberFormat="1" applyFill="1" applyProtection="1">
      <alignment horizontal="center"/>
    </xf>
    <xf xxid="39" numFmtId="0" fontId="8" fillId="0" borderId="0" xfId="0" applyAlignment="1" applyBorder="1" applyFont="1" applyNumberFormat="1" applyFill="1" applyProtection="1">
      <alignment vertical="distributed"/>
    </xf>
    <xf xxid="40" numFmtId="0" fontId="8" fillId="0" borderId="1" xfId="0" applyAlignment="1" applyBorder="1" applyFont="1" applyNumberFormat="1" applyFill="1" applyProtection="1">
      <alignment vertical="distributed"/>
    </xf>
    <xf xxid="41" numFmtId="0" fontId="9" fillId="0" borderId="0" xfId="0" applyAlignment="1" applyBorder="1" applyFont="1" applyNumberFormat="1" applyFill="1" applyProtection="1"/>
    <xf xxid="42" numFmtId="0" fontId="6" fillId="0" borderId="0" xfId="0" applyAlignment="1" applyBorder="1" applyFont="1" applyNumberFormat="1" applyFill="1" applyProtection="1">
      <alignment horizontal="left"/>
    </xf>
    <xf xxid="43" numFmtId="0" fontId="0" fillId="0" borderId="2" xfId="0" applyAlignment="1" applyBorder="1" applyFont="1" applyNumberFormat="1" applyFill="1" applyProtection="1"/>
    <xf xxid="44" numFmtId="0" fontId="0" fillId="0" borderId="3" xfId="0" applyAlignment="1" applyBorder="1" applyFont="1" applyNumberFormat="1" applyFill="1" applyProtection="1"/>
    <xf xxid="45" numFmtId="0" fontId="3" fillId="0" borderId="0" xfId="0" applyAlignment="1" applyBorder="1" applyFont="1" applyNumberFormat="1" applyFill="1" applyProtection="1"/>
    <xf xxid="46" numFmtId="0" fontId="2" fillId="0" borderId="0" xfId="0" applyAlignment="1" applyBorder="1" applyFont="1" applyNumberFormat="1" applyFill="1" applyProtection="1"/>
    <xf xxid="47" numFmtId="0" fontId="9" fillId="0" borderId="0" xfId="0" applyAlignment="1" applyBorder="1" applyFont="1" applyNumberFormat="1" applyFill="1" applyProtection="1">
      <alignment horizontal="center"/>
    </xf>
    <xf xxid="48" numFmtId="0" fontId="9" fillId="2" borderId="0" xfId="0" applyAlignment="1" applyBorder="1" applyFont="1" applyNumberFormat="1" applyFill="1" applyProtection="1"/>
    <xf xxid="49" numFmtId="0" fontId="9" fillId="0" borderId="0" xfId="0" applyAlignment="1" applyBorder="1" applyFont="1" applyNumberFormat="1" applyFill="1" applyProtection="1">
      <alignment vertical="top"/>
    </xf>
    <xf xxid="50" numFmtId="0" fontId="9" fillId="3" borderId="0" xfId="0" applyAlignment="1" applyBorder="1" applyFont="1" applyNumberFormat="1" applyFill="1" applyProtection="1"/>
    <xf xxid="51" numFmtId="0" fontId="2" fillId="0" borderId="1" xfId="0" applyAlignment="1" applyBorder="1" applyFont="1" applyNumberFormat="1" applyFill="1" applyProtection="1">
      <alignment horizontal="center" vertical="center" textRotation="90"/>
    </xf>
    <xf xxid="52" numFmtId="0" fontId="0" fillId="0" borderId="0" xfId="0" applyAlignment="1" applyBorder="1" applyFont="1" applyNumberFormat="1" applyFill="1" applyProtection="1">
      <alignment horizontal="center"/>
    </xf>
    <xf xxid="53" numFmtId="0" fontId="9" fillId="0" borderId="1" xfId="0" applyAlignment="1" applyBorder="1" applyFont="1" applyNumberFormat="1" applyFill="1" applyProtection="1"/>
    <xf xxid="54" numFmtId="0" fontId="6" fillId="0" borderId="0" xfId="0" applyAlignment="1" applyBorder="1" applyFont="1" applyNumberFormat="1" applyFill="1" applyProtection="1">
      <alignment vertical="top"/>
    </xf>
    <xf xxid="55" numFmtId="0" fontId="16" fillId="0" borderId="0" xfId="0" applyAlignment="1" applyBorder="1" applyFont="1" applyNumberFormat="1" applyFill="1" applyProtection="1">
      <alignment vertical="distributed"/>
    </xf>
    <xf xxid="56" numFmtId="0" fontId="14" fillId="0" borderId="4" xfId="0" applyAlignment="1" applyBorder="1" applyFont="1" applyNumberFormat="1" applyFill="1" applyProtection="1">
      <alignment horizontal="left"/>
    </xf>
    <xf xxid="57" numFmtId="0" fontId="18" fillId="0" borderId="0" xfId="0" applyAlignment="1" applyBorder="1" applyFont="1" applyNumberFormat="1" applyFill="1" applyProtection="1">
      <alignment vertical="distributed"/>
    </xf>
    <xf xxid="58" numFmtId="0" fontId="18" fillId="0" borderId="5" xfId="0" applyAlignment="1" applyBorder="1" applyFont="1" applyNumberFormat="1" applyFill="1" applyProtection="1">
      <alignment vertical="distributed"/>
    </xf>
    <xf xxid="59" numFmtId="0" fontId="18" fillId="0" borderId="1" xfId="0" applyAlignment="1" applyBorder="1" applyFont="1" applyNumberFormat="1" applyFill="1" applyProtection="1">
      <alignment vertical="distributed"/>
    </xf>
    <xf xxid="60" numFmtId="0" fontId="17" fillId="0" borderId="0" xfId="0" applyAlignment="1" applyBorder="1" applyFont="1" applyNumberFormat="1" applyFill="1" applyProtection="1">
      <alignment vertical="center" textRotation="90"/>
    </xf>
    <xf xxid="61" numFmtId="0" fontId="17" fillId="0" borderId="1" xfId="0" applyAlignment="1" applyBorder="1" applyFont="1" applyNumberFormat="1" applyFill="1" applyProtection="1">
      <alignment vertical="center" textRotation="90"/>
    </xf>
    <xf xxid="62" numFmtId="0" fontId="5" fillId="0" borderId="0" xfId="0" applyAlignment="1" applyBorder="1" applyFont="1" applyNumberFormat="1" applyFill="1" applyProtection="1">
      <alignment horizontal="center"/>
    </xf>
    <xf xxid="63" numFmtId="0" fontId="0" fillId="0" borderId="6" xfId="0" applyAlignment="1" applyBorder="1" applyFont="1" applyNumberFormat="1" applyFill="1" applyProtection="1"/>
    <xf xxid="64" numFmtId="0" fontId="5" fillId="0" borderId="0" xfId="0" applyAlignment="1" applyBorder="1" applyFont="1" applyNumberFormat="1" applyFill="1" applyProtection="1"/>
    <xf xxid="65" numFmtId="0" fontId="6" fillId="0" borderId="0" xfId="0" applyAlignment="1" applyBorder="1" applyFont="1" applyNumberFormat="1" applyFill="1" applyProtection="1">
      <alignment horizontal="left" vertical="top"/>
    </xf>
    <xf xxid="66" numFmtId="0" fontId="6" fillId="0" borderId="0" xfId="0" applyAlignment="1" applyBorder="1" applyFont="1" applyNumberFormat="1" applyFill="1" applyProtection="1">
      <alignment horizontal="center" vertical="center"/>
    </xf>
    <xf xxid="67" numFmtId="0" fontId="7" fillId="0" borderId="0" xfId="0" applyAlignment="1" applyBorder="1" applyFont="1" applyNumberFormat="1" applyFill="1" applyProtection="1">
      <alignment vertical="top"/>
    </xf>
    <xf xxid="68" numFmtId="0" fontId="7" fillId="0" borderId="0" xfId="0" applyAlignment="1" applyBorder="1" applyFont="1" applyNumberFormat="1" applyFill="1" applyProtection="1">
      <alignment horizontal="left" vertical="top"/>
    </xf>
    <xf xxid="69" numFmtId="0" fontId="11" fillId="0" borderId="7" xfId="0" applyAlignment="1" applyBorder="1" applyFont="1" applyNumberFormat="1" applyFill="1" applyProtection="1"/>
    <xf xxid="70" numFmtId="0" fontId="17" fillId="0" borderId="0" xfId="0" applyAlignment="1" applyBorder="1" applyFont="1" applyNumberFormat="1" applyFill="1" applyProtection="1">
      <alignment vertical="center"/>
    </xf>
    <xf xxid="71" numFmtId="0" fontId="20" fillId="0" borderId="0" xfId="0" applyAlignment="1" applyBorder="1" applyFont="1" applyNumberFormat="1" applyFill="1" applyProtection="1"/>
    <xf xxid="72" numFmtId="0" fontId="16" fillId="0" borderId="0" xfId="0" applyAlignment="1" applyBorder="1" applyFont="1" applyNumberFormat="1" applyFill="1" applyProtection="1">
      <alignment horizontal="center" vertical="distributed"/>
    </xf>
    <xf xxid="73" numFmtId="0" fontId="6" fillId="0" borderId="0" xfId="0" applyAlignment="1" applyBorder="1" applyFont="1" applyNumberFormat="1" applyFill="1" applyProtection="1">
      <alignment horizontal="center"/>
    </xf>
    <xf xxid="74" numFmtId="0" fontId="11" fillId="0" borderId="0" xfId="0" applyAlignment="1" applyBorder="1" applyFont="1" applyNumberFormat="1" applyFill="1" applyProtection="1">
      <alignment vertical="top"/>
    </xf>
    <xf xxid="75" numFmtId="0" fontId="6" fillId="0" borderId="8" xfId="0" applyAlignment="1" applyBorder="1" applyFont="1" applyNumberFormat="1" applyFill="1" applyProtection="1"/>
    <xf xxid="76" numFmtId="0" fontId="6" fillId="0" borderId="0" xfId="0" applyAlignment="1" applyBorder="1" applyFont="1" applyNumberFormat="1" applyFill="1" applyProtection="1">
      <alignment vertical="center"/>
    </xf>
    <xf xxid="77" numFmtId="0" fontId="6" fillId="0" borderId="9" xfId="0" applyAlignment="1" applyBorder="1" applyFont="1" applyNumberFormat="1" applyFill="1" applyProtection="1"/>
    <xf xxid="78" numFmtId="0" fontId="7" fillId="0" borderId="0" xfId="0" applyAlignment="1" applyBorder="1" applyFont="1" applyNumberFormat="1" applyFill="1" applyProtection="1">
      <alignment horizontal="center" vertical="top"/>
    </xf>
    <xf xxid="79" numFmtId="0" fontId="9" fillId="0" borderId="5" xfId="0" applyAlignment="1" applyBorder="1" applyFont="1" applyNumberFormat="1" applyFill="1" applyProtection="1"/>
    <xf xxid="80" numFmtId="0" fontId="17" fillId="0" borderId="1" xfId="0" applyAlignment="1" applyBorder="1" applyFont="1" applyNumberFormat="1" applyFill="1" applyProtection="1">
      <alignment horizontal="center" vertical="center" textRotation="90"/>
    </xf>
    <xf xxid="81" numFmtId="0" fontId="15" fillId="0" borderId="0" xfId="0" applyAlignment="1" applyBorder="1" applyFont="1" applyNumberFormat="1" applyFill="1" applyProtection="1">
      <alignment horizontal="center"/>
    </xf>
    <xf xxid="82" numFmtId="0" fontId="15" fillId="0" borderId="0" xfId="0" applyAlignment="1" applyBorder="1" applyFont="1" applyNumberFormat="1" applyFill="1" applyProtection="1"/>
    <xf xxid="83" numFmtId="0" fontId="16" fillId="0" borderId="1" xfId="0" applyAlignment="1" applyBorder="1" applyFont="1" applyNumberFormat="1" applyFill="1" applyProtection="1">
      <alignment vertical="distributed"/>
    </xf>
    <xf xxid="84" numFmtId="0" fontId="0" fillId="0" borderId="5" xfId="0" applyAlignment="1" applyBorder="1" applyFont="1" applyNumberFormat="1" applyFill="1" applyProtection="1"/>
    <xf xxid="85" numFmtId="0" fontId="7" fillId="0" borderId="3" xfId="0" applyAlignment="1" applyBorder="1" applyFont="1" applyNumberFormat="1" applyFill="1" applyProtection="1"/>
    <xf xxid="86" numFmtId="0" fontId="10" fillId="0" borderId="0" xfId="0" applyAlignment="1" applyBorder="1" applyFont="1" applyNumberFormat="1" applyFill="1" applyProtection="1">
      <alignment vertical="center"/>
    </xf>
    <xf xxid="87" numFmtId="0" fontId="6" fillId="0" borderId="1" xfId="0" applyAlignment="1" applyBorder="1" applyFont="1" applyNumberFormat="1" applyFill="1" applyProtection="1"/>
    <xf xxid="88" numFmtId="0" fontId="2" fillId="2" borderId="0" xfId="0" applyAlignment="1" applyBorder="1" applyFont="1" applyNumberFormat="1" applyFill="1" applyProtection="1"/>
    <xf xxid="89" numFmtId="0" fontId="11" fillId="0" borderId="0" xfId="0" applyAlignment="1" applyBorder="1" applyFont="1" applyNumberFormat="1" applyFill="1" applyProtection="1">
      <alignment horizontal="center"/>
    </xf>
    <xf xxid="90" numFmtId="0" fontId="6" fillId="0" borderId="10" xfId="0" applyAlignment="1" applyBorder="1" applyFont="1" applyNumberFormat="1" applyFill="1" applyProtection="1"/>
    <xf xxid="91" numFmtId="0" fontId="9" fillId="0" borderId="0" xfId="0" applyAlignment="1" applyBorder="1" applyFont="1" applyNumberFormat="1" applyFill="1" applyProtection="1">
      <alignment horizontal="center" vertical="center"/>
    </xf>
    <xf xxid="92" numFmtId="0" fontId="0" fillId="0" borderId="1" xfId="0" applyAlignment="1" applyBorder="1" applyFont="1" applyNumberFormat="1" applyFill="1" applyProtection="1">
      <alignment horizontal="center"/>
    </xf>
    <xf xxid="93" numFmtId="0" fontId="16" fillId="0" borderId="3" xfId="0" applyAlignment="1" applyBorder="1" applyFont="1" applyNumberFormat="1" applyFill="1" applyProtection="1">
      <alignment vertical="distributed"/>
    </xf>
    <xf xxid="94" numFmtId="0" fontId="12" fillId="0" borderId="0" xfId="0" applyAlignment="1" applyBorder="1" applyFont="1" applyNumberFormat="1" applyFill="1" applyProtection="1"/>
    <xf xxid="95" numFmtId="0" fontId="9" fillId="0" borderId="0" xfId="0" applyAlignment="1" applyBorder="1" applyFont="1" applyNumberFormat="1" applyFill="1" applyProtection="1">
      <alignment vertical="center"/>
    </xf>
    <xf xxid="96" numFmtId="0" fontId="6" fillId="0" borderId="11" xfId="0" applyAlignment="1" applyBorder="1" applyFont="1" applyNumberFormat="1" applyFill="1" applyProtection="1">
      <alignment horizontal="center" vertical="center"/>
    </xf>
    <xf xxid="97" numFmtId="0" fontId="6" fillId="0" borderId="12" xfId="0" applyAlignment="1" applyBorder="1" applyFont="1" applyNumberFormat="1" applyFill="1" applyProtection="1"/>
    <xf xxid="98" numFmtId="0" fontId="0" fillId="0" borderId="13" xfId="0" applyAlignment="1" applyBorder="1" applyFont="1" applyNumberFormat="1" applyFill="1" applyProtection="1"/>
    <xf xxid="99" numFmtId="0" fontId="3" fillId="0" borderId="0" xfId="0" applyAlignment="1" applyBorder="1" applyFont="1" applyNumberFormat="1" applyFill="1" applyProtection="1">
      <alignment horizontal="center"/>
    </xf>
    <xf xxid="100" numFmtId="0" fontId="3" fillId="0" borderId="0" xfId="0" applyAlignment="1" applyBorder="1" applyFont="1" applyNumberFormat="1" applyFill="1" applyProtection="1">
      <alignment vertical="center"/>
    </xf>
    <xf xxid="101" numFmtId="0" fontId="3" fillId="0" borderId="0" xfId="0" applyAlignment="1" applyBorder="1" applyFont="1" applyNumberFormat="1" applyFill="1" applyProtection="1">
      <alignment horizontal="center" vertical="center"/>
    </xf>
    <xf xxid="102" numFmtId="0" fontId="2" fillId="0" borderId="0" xfId="0" applyAlignment="1" applyBorder="1" applyFont="1" applyNumberFormat="1" applyFill="1" applyProtection="1">
      <alignment vertical="center"/>
    </xf>
    <xf xxid="103" numFmtId="0" fontId="13" fillId="0" borderId="0" xfId="0" applyAlignment="1" applyBorder="1" applyFont="1" applyNumberFormat="1" applyFill="1" applyProtection="1">
      <alignment horizontal="center"/>
    </xf>
    <xf xxid="104" numFmtId="0" fontId="10" fillId="0" borderId="0" xfId="0" applyAlignment="1" applyBorder="1" applyFont="1" applyNumberFormat="1" applyFill="1" applyProtection="1">
      <alignment vertical="center" textRotation="90"/>
    </xf>
    <xf xxid="105" numFmtId="0" fontId="17" fillId="0" borderId="0" xfId="0" applyAlignment="1" applyBorder="1" applyFont="1" applyNumberFormat="1" applyFill="1" applyProtection="1"/>
    <xf xxid="106" numFmtId="0" fontId="17" fillId="0" borderId="0" xfId="0" applyAlignment="1" applyBorder="1" applyFont="1" applyNumberFormat="1" applyFill="1" applyProtection="1">
      <alignment horizontal="center"/>
    </xf>
    <xf xxid="107" numFmtId="0" fontId="5" fillId="0" borderId="0" xfId="0" applyAlignment="1" applyBorder="1" applyFont="1" applyNumberFormat="1" applyFill="1" applyProtection="1">
      <alignment vertical="center"/>
    </xf>
    <xf xxid="108" numFmtId="0" fontId="17" fillId="0" borderId="0" xfId="0" applyAlignment="1" applyBorder="1" applyFont="1" applyNumberFormat="1" applyFill="1" applyProtection="1">
      <alignment vertical="top"/>
    </xf>
    <xf xxid="109" numFmtId="0" fontId="20" fillId="0" borderId="0" xfId="0" applyAlignment="1" applyBorder="1" applyFont="1" applyNumberFormat="1" applyFill="1" applyProtection="1">
      <alignment horizontal="center"/>
    </xf>
    <xf xxid="110" numFmtId="0" fontId="13" fillId="0" borderId="0" xfId="0" applyAlignment="1" applyBorder="1" applyFont="1" applyNumberFormat="1" applyFill="1" applyProtection="1"/>
    <xf xxid="111" numFmtId="0" fontId="10" fillId="0" borderId="0" xfId="0" applyAlignment="1" applyBorder="1" applyFont="1" applyNumberFormat="1" applyFill="1" applyProtection="1"/>
    <xf xxid="112" numFmtId="0" fontId="16" fillId="0" borderId="5" xfId="0" applyAlignment="1" applyBorder="1" applyFont="1" applyNumberFormat="1" applyFill="1" applyProtection="1">
      <alignment vertical="distributed"/>
    </xf>
    <xf xxid="113" numFmtId="0" fontId="17" fillId="0" borderId="0" xfId="0" applyAlignment="1" applyBorder="1" applyFont="1" applyNumberFormat="1" applyFill="1" applyProtection="1">
      <alignment horizontal="left"/>
    </xf>
    <xf xxid="114" numFmtId="0" fontId="0" fillId="0" borderId="14" xfId="0" applyAlignment="1" applyBorder="1" applyFont="1" applyNumberFormat="1" applyFill="1" applyProtection="1"/>
    <xf xxid="115" numFmtId="0" fontId="0" fillId="0" borderId="6" xfId="0" applyAlignment="1" applyBorder="1" applyFont="1" applyNumberFormat="1" applyFill="1" applyProtection="1">
      <alignment horizontal="center"/>
    </xf>
    <xf xxid="116" numFmtId="0" fontId="6" fillId="0" borderId="15" xfId="0" applyAlignment="1" applyBorder="1" applyFont="1" applyNumberFormat="1" applyFill="1" applyProtection="1">
      <alignment horizontal="center" vertical="center"/>
    </xf>
    <xf xxid="117" numFmtId="0" fontId="18" fillId="0" borderId="5" xfId="0" applyAlignment="1" applyBorder="1" applyFont="1" applyNumberFormat="1" applyFill="1" applyProtection="1">
      <alignment vertical="center"/>
    </xf>
    <xf xxid="118" numFmtId="0" fontId="6" fillId="0" borderId="16" xfId="0" applyAlignment="1" applyBorder="1" applyFont="1" applyNumberFormat="1" applyFill="1" applyProtection="1">
      <alignment vertical="center"/>
    </xf>
    <xf xxid="119" numFmtId="0" fontId="10" fillId="0" borderId="0" xfId="0" applyAlignment="1" applyBorder="1" applyFont="1" applyNumberFormat="1" applyFill="1" applyProtection="1">
      <alignment horizontal="center"/>
    </xf>
    <xf xxid="120" numFmtId="0" fontId="23" fillId="0" borderId="0" xfId="0" applyAlignment="1" applyBorder="1" applyFont="1" applyNumberFormat="1" applyFill="1" applyProtection="1"/>
    <xf xxid="121" numFmtId="0" fontId="6" fillId="0" borderId="17" xfId="0" applyAlignment="1" applyBorder="1" applyFont="1" applyNumberFormat="1" applyFill="1" applyProtection="1"/>
    <xf xxid="122" numFmtId="0" fontId="6" fillId="0" borderId="11" xfId="0" applyAlignment="1" applyBorder="1" applyFont="1" applyNumberFormat="1" applyFill="1" applyProtection="1"/>
    <xf xxid="123" numFmtId="0" fontId="0" fillId="0" borderId="0" xfId="0" applyAlignment="1" applyBorder="1" applyFont="1" applyNumberFormat="1" applyFill="1" applyProtection="1">
      <alignment vertical="center"/>
    </xf>
    <xf xxid="124" numFmtId="0" fontId="5" fillId="0" borderId="13" xfId="0" applyAlignment="1" applyBorder="1" applyFont="1" applyNumberFormat="1" applyFill="1" applyProtection="1">
      <alignment vertical="center" textRotation="90"/>
    </xf>
    <xf xxid="125" numFmtId="0" fontId="5" fillId="0" borderId="4" xfId="0" applyAlignment="1" applyBorder="1" applyFont="1" applyNumberFormat="1" applyFill="1" applyProtection="1">
      <alignment vertical="center" textRotation="90"/>
    </xf>
    <xf xxid="126" numFmtId="0" fontId="5" fillId="0" borderId="14" xfId="0" applyAlignment="1" applyBorder="1" applyFont="1" applyNumberFormat="1" applyFill="1" applyProtection="1">
      <alignment vertical="center" textRotation="90"/>
    </xf>
    <xf xxid="127" numFmtId="0" fontId="12" fillId="0" borderId="0" xfId="0" applyAlignment="1" applyBorder="1" applyFont="1" applyNumberFormat="1" applyFill="1" applyProtection="1">
      <alignment vertical="center"/>
    </xf>
    <xf xxid="128" numFmtId="0" fontId="6" fillId="0" borderId="7" xfId="0" applyAlignment="1" applyBorder="1" applyFont="1" applyNumberFormat="1" applyFill="1" applyProtection="1">
      <alignment horizontal="center" vertical="center"/>
    </xf>
    <xf xxid="129" numFmtId="0" fontId="7" fillId="0" borderId="12" xfId="0" applyAlignment="1" applyBorder="1" applyFont="1" applyNumberFormat="1" applyFill="1" applyProtection="1">
      <alignment vertical="top"/>
    </xf>
    <xf xxid="130" numFmtId="0" fontId="10" fillId="0" borderId="4" xfId="0" applyAlignment="1" applyBorder="1" applyFont="1" applyNumberFormat="1" applyFill="1" applyProtection="1">
      <alignment horizontal="center" vertical="center"/>
    </xf>
    <xf xxid="131" numFmtId="0" fontId="3" fillId="0" borderId="0" xfId="0" applyAlignment="1" applyBorder="1" applyFont="1" applyNumberFormat="1" applyFill="1" applyProtection="1">
      <alignment vertical="top"/>
    </xf>
    <xf xxid="132" numFmtId="0" fontId="6" fillId="4" borderId="0" xfId="0" applyAlignment="1" applyBorder="1" applyFont="1" applyNumberFormat="1" applyFill="1" applyProtection="1"/>
    <xf xxid="133" numFmtId="0" fontId="0" fillId="4" borderId="0" xfId="0" applyAlignment="1" applyBorder="1" applyFont="1" applyNumberFormat="1" applyFill="1" applyProtection="1"/>
    <xf xxid="134" numFmtId="0" fontId="15" fillId="0" borderId="0" xfId="0" applyAlignment="1" applyBorder="1" applyFont="1" applyNumberFormat="1" applyFill="1" applyProtection="1">
      <alignment vertical="center"/>
    </xf>
    <xf xxid="135" numFmtId="0" fontId="3" fillId="4" borderId="0" xfId="0" applyAlignment="1" applyBorder="1" applyFont="1" applyNumberFormat="1" applyFill="1" applyProtection="1">
      <alignment vertical="center"/>
    </xf>
    <xf xxid="136" numFmtId="0" fontId="14" fillId="0" borderId="4" xfId="0" applyAlignment="1" applyBorder="1" applyFont="1" applyNumberFormat="1" applyFill="1" applyProtection="1">
      <alignment horizontal="center" vertical="center"/>
    </xf>
    <xf xxid="137" numFmtId="0" fontId="14" fillId="0" borderId="14" xfId="0" applyAlignment="1" applyBorder="1" applyFont="1" applyNumberFormat="1" applyFill="1" applyProtection="1">
      <alignment horizontal="center" vertical="center"/>
    </xf>
    <xf xxid="138" numFmtId="0" fontId="0" fillId="0" borderId="1" xfId="0" applyAlignment="1" applyBorder="1" applyFont="1" applyNumberFormat="1" applyFill="1" applyProtection="1">
      <alignment vertical="center"/>
    </xf>
    <xf xxid="139" numFmtId="0" fontId="20" fillId="0" borderId="0" xfId="0" applyAlignment="1" applyBorder="1" applyFont="1" applyNumberFormat="1" applyFill="1" applyProtection="1">
      <alignment horizontal="center" vertical="center"/>
    </xf>
    <xf xxid="140" numFmtId="0" fontId="20" fillId="0" borderId="0" xfId="0" applyAlignment="1" applyBorder="1" applyFont="1" applyNumberFormat="1" applyFill="1" applyProtection="1">
      <alignment horizontal="right" vertical="center"/>
    </xf>
    <xf xxid="141" numFmtId="0" fontId="18" fillId="0" borderId="1" xfId="0" applyAlignment="1" applyBorder="1" applyFont="1" applyNumberFormat="1" applyFill="1" applyProtection="1">
      <alignment vertical="center"/>
    </xf>
    <xf xxid="142" numFmtId="0" fontId="5" fillId="0" borderId="1" xfId="0" applyAlignment="1" applyBorder="1" applyFont="1" applyNumberFormat="1" applyFill="1" applyProtection="1">
      <alignment horizontal="center" vertical="center"/>
    </xf>
    <xf xxid="143" numFmtId="0" fontId="3" fillId="0" borderId="1" xfId="0" applyAlignment="1" applyBorder="1" applyFont="1" applyNumberFormat="1" applyFill="1" applyProtection="1">
      <alignment vertical="center"/>
    </xf>
    <xf xxid="144" numFmtId="0" fontId="6" fillId="0" borderId="8" xfId="0" applyAlignment="1" applyBorder="1" applyFont="1" applyNumberFormat="1" applyFill="1" applyProtection="1">
      <alignment vertical="center"/>
    </xf>
    <xf xxid="145" numFmtId="0" fontId="3" fillId="0" borderId="4" xfId="0" applyAlignment="1" applyBorder="1" applyFont="1" applyNumberFormat="1" applyFill="1" applyProtection="1">
      <alignment vertical="center"/>
    </xf>
    <xf xxid="146" numFmtId="0" fontId="2" fillId="0" borderId="0" xfId="0" applyAlignment="1" applyBorder="1" applyFont="1" applyNumberFormat="1" applyFill="1" applyProtection="1">
      <alignment horizontal="center" vertical="center"/>
    </xf>
    <xf xxid="147" numFmtId="0" fontId="0" fillId="0" borderId="4" xfId="0" applyAlignment="1" applyBorder="1" applyFont="1" applyNumberFormat="1" applyFill="1" applyProtection="1">
      <alignment vertical="center"/>
    </xf>
    <xf xxid="148" numFmtId="0" fontId="20" fillId="0" borderId="0" xfId="0" applyAlignment="1" applyBorder="1" applyFont="1" applyNumberFormat="1" applyFill="1" applyProtection="1">
      <alignment vertical="center"/>
    </xf>
    <xf xxid="149" numFmtId="0" fontId="0" fillId="0" borderId="0" xfId="0" applyAlignment="1" applyBorder="1" applyFont="1" applyNumberFormat="1" applyFill="1" applyProtection="1">
      <alignment horizontal="center" vertical="center"/>
    </xf>
    <xf xxid="150" numFmtId="0" fontId="9" fillId="0" borderId="0" xfId="0" applyAlignment="1" applyBorder="1" applyFont="1" applyNumberFormat="1" applyFill="1" applyProtection="1">
      <alignment horizontal="left" vertical="center"/>
    </xf>
    <xf xxid="151" numFmtId="0" fontId="9" fillId="0" borderId="4" xfId="0" applyAlignment="1" applyBorder="1" applyFont="1" applyNumberFormat="1" applyFill="1" applyProtection="1">
      <alignment horizontal="center" vertical="center"/>
    </xf>
    <xf xxid="152" numFmtId="0" fontId="6" fillId="0" borderId="4" xfId="0" applyAlignment="1" applyBorder="1" applyFont="1" applyNumberFormat="1" applyFill="1" applyProtection="1">
      <alignment horizontal="center" vertical="center"/>
    </xf>
    <xf xxid="153" numFmtId="0" fontId="6" fillId="0" borderId="14" xfId="0" applyAlignment="1" applyBorder="1" applyFont="1" applyNumberFormat="1" applyFill="1" applyProtection="1">
      <alignment vertical="center"/>
    </xf>
    <xf xxid="154" numFmtId="0" fontId="6" fillId="0" borderId="1" xfId="0" applyAlignment="1" applyBorder="1" applyFont="1" applyNumberFormat="1" applyFill="1" applyProtection="1">
      <alignment vertical="center"/>
    </xf>
    <xf xxid="155" numFmtId="0" fontId="11" fillId="0" borderId="0" xfId="0" applyAlignment="1" applyBorder="1" applyFont="1" applyNumberFormat="1" applyFill="1" applyProtection="1">
      <alignment horizontal="left" vertical="center"/>
    </xf>
    <xf xxid="156" numFmtId="0" fontId="6" fillId="0" borderId="10" xfId="0" applyAlignment="1" applyBorder="1" applyFont="1" applyNumberFormat="1" applyFill="1" applyProtection="1">
      <alignment vertical="center"/>
    </xf>
    <xf xxid="157" numFmtId="0" fontId="29" fillId="0" borderId="0" xfId="0" applyAlignment="1" applyBorder="1" applyFont="1" applyNumberFormat="1" applyFill="1" applyProtection="1">
      <alignment vertical="center"/>
    </xf>
    <xf xxid="158" numFmtId="0" fontId="29" fillId="0" borderId="0" xfId="0" applyAlignment="1" applyBorder="1" applyFont="1" applyNumberFormat="1" applyFill="1" applyProtection="1">
      <alignment horizontal="left" vertical="center"/>
    </xf>
    <xf xxid="159" numFmtId="0" fontId="6" fillId="0" borderId="12" xfId="0" applyAlignment="1" applyBorder="1" applyFont="1" applyNumberFormat="1" applyFill="1" applyProtection="1">
      <alignment horizontal="center"/>
    </xf>
    <xf xxid="160" numFmtId="0" fontId="9" fillId="0" borderId="12" xfId="0" applyAlignment="1" applyBorder="1" applyFont="1" applyNumberFormat="1" applyFill="1" applyProtection="1"/>
    <xf xxid="161" numFmtId="0" fontId="12" fillId="0" borderId="10" xfId="0" applyAlignment="1" applyBorder="1" applyFont="1" applyNumberFormat="1" applyFill="1" applyProtection="1">
      <alignment vertical="center"/>
    </xf>
    <xf xxid="162" numFmtId="0" fontId="7" fillId="0" borderId="12" xfId="0" applyAlignment="1" applyBorder="1" applyFont="1" applyNumberFormat="1" applyFill="1" applyProtection="1"/>
    <xf xxid="163" numFmtId="0" fontId="9" fillId="0" borderId="10" xfId="0" applyAlignment="1" applyBorder="1" applyFont="1" applyNumberFormat="1" applyFill="1" applyProtection="1"/>
    <xf xxid="164" numFmtId="0" fontId="9" fillId="0" borderId="10" xfId="0" applyAlignment="1" applyBorder="1" applyFont="1" applyNumberFormat="1" applyFill="1" applyProtection="1">
      <alignment vertical="center"/>
    </xf>
    <xf xxid="165" numFmtId="0" fontId="6" fillId="0" borderId="18" xfId="0" applyAlignment="1" applyBorder="1" applyFont="1" applyNumberFormat="1" applyFill="1" applyProtection="1"/>
    <xf xxid="166" numFmtId="0" fontId="9" fillId="0" borderId="8" xfId="0" applyAlignment="1" applyBorder="1" applyFont="1" applyNumberFormat="1" applyFill="1" applyProtection="1"/>
    <xf xxid="167" numFmtId="0" fontId="9" fillId="0" borderId="19" xfId="0" applyAlignment="1" applyBorder="1" applyFont="1" applyNumberFormat="1" applyFill="1" applyProtection="1"/>
    <xf xxid="168" numFmtId="0" fontId="9" fillId="0" borderId="8" xfId="0" applyAlignment="1" applyBorder="1" applyFont="1" applyNumberFormat="1" applyFill="1" applyProtection="1">
      <alignment horizontal="center"/>
    </xf>
    <xf xxid="169" numFmtId="0" fontId="6" fillId="0" borderId="20" xfId="0" applyAlignment="1" applyBorder="1" applyFont="1" applyNumberFormat="1" applyFill="1" applyProtection="1">
      <alignment vertical="center"/>
    </xf>
    <xf xxid="170" numFmtId="0" fontId="9" fillId="0" borderId="9" xfId="0" applyAlignment="1" applyBorder="1" applyFont="1" applyNumberFormat="1" applyFill="1" applyProtection="1">
      <alignment horizontal="center"/>
    </xf>
    <xf xxid="171" numFmtId="0" fontId="9" fillId="0" borderId="9" xfId="0" applyAlignment="1" applyBorder="1" applyFont="1" applyNumberFormat="1" applyFill="1" applyProtection="1"/>
    <xf xxid="172" numFmtId="0" fontId="6" fillId="0" borderId="9" xfId="0" applyAlignment="1" applyBorder="1" applyFont="1" applyNumberFormat="1" applyFill="1" applyProtection="1">
      <alignment horizontal="center" vertical="center"/>
    </xf>
    <xf xxid="173" numFmtId="0" fontId="9" fillId="0" borderId="21" xfId="0" applyAlignment="1" applyBorder="1" applyFont="1" applyNumberFormat="1" applyFill="1" applyProtection="1"/>
    <xf xxid="174" numFmtId="0" fontId="26" fillId="0" borderId="8" xfId="0" applyAlignment="1" applyBorder="1" applyFont="1" applyNumberFormat="1" applyFill="1" applyProtection="1"/>
    <xf xxid="175" numFmtId="0" fontId="27" fillId="0" borderId="8" xfId="0" applyAlignment="1" applyBorder="1" applyFont="1" applyNumberFormat="1" applyFill="1" applyProtection="1"/>
    <xf xxid="176" numFmtId="0" fontId="9" fillId="0" borderId="8" xfId="0" applyAlignment="1" applyBorder="1" applyFont="1" applyNumberFormat="1" applyFill="1" applyProtection="1">
      <alignment horizontal="center" vertical="center"/>
    </xf>
    <xf xxid="177" numFmtId="0" fontId="7" fillId="0" borderId="9" xfId="0" applyAlignment="1" applyBorder="1" applyFont="1" applyNumberFormat="1" applyFill="1" applyProtection="1"/>
    <xf xxid="178" numFmtId="0" fontId="7" fillId="0" borderId="9" xfId="0" applyAlignment="1" applyBorder="1" applyFont="1" applyNumberFormat="1" applyFill="1" applyProtection="1">
      <alignment horizontal="center" vertical="center"/>
    </xf>
    <xf xxid="179" numFmtId="0" fontId="3" fillId="0" borderId="10" xfId="0" applyAlignment="1" applyBorder="1" applyFont="1" applyNumberFormat="1" applyFill="1" applyProtection="1">
      <alignment horizontal="center" vertical="center"/>
    </xf>
    <xf xxid="180" numFmtId="0" fontId="6" fillId="0" borderId="19" xfId="0" applyAlignment="1" applyBorder="1" applyFont="1" applyNumberFormat="1" applyFill="1" applyProtection="1"/>
    <xf xxid="181" numFmtId="0" fontId="3" fillId="0" borderId="22" xfId="0" applyAlignment="1" applyBorder="1" applyFont="1" applyNumberFormat="1" applyFill="1" applyProtection="1">
      <alignment horizontal="center" vertical="center"/>
    </xf>
    <xf xxid="182" numFmtId="0" fontId="3" fillId="0" borderId="23" xfId="0" applyAlignment="1" applyBorder="1" applyFont="1" applyNumberFormat="1" applyFill="1" applyProtection="1">
      <alignment horizontal="center" vertical="center"/>
    </xf>
    <xf xxid="183" numFmtId="0" fontId="3" fillId="0" borderId="10" xfId="0" applyAlignment="1" applyBorder="1" applyFont="1" applyNumberFormat="1" applyFill="1" applyProtection="1">
      <alignment vertical="center"/>
    </xf>
    <xf xxid="184" numFmtId="0" fontId="3" fillId="0" borderId="12" xfId="0" applyAlignment="1" applyBorder="1" applyFont="1" applyNumberFormat="1" applyFill="1" applyProtection="1"/>
    <xf xxid="185" numFmtId="0" fontId="2" fillId="0" borderId="24" xfId="0" applyAlignment="1" applyBorder="1" applyFont="1" applyNumberFormat="1" applyFill="1" applyProtection="1">
      <alignment horizontal="center" vertical="center"/>
    </xf>
    <xf xxid="186" numFmtId="0" fontId="3" fillId="0" borderId="22" xfId="0" applyAlignment="1" applyBorder="1" applyFont="1" applyNumberFormat="1" applyFill="1" applyProtection="1">
      <alignment horizontal="center"/>
    </xf>
    <xf xxid="187" numFmtId="0" fontId="3" fillId="0" borderId="22" xfId="0" applyAlignment="1" applyBorder="1" applyFont="1" applyNumberFormat="1" applyFill="1" applyProtection="1"/>
    <xf xxid="188" numFmtId="0" fontId="3" fillId="0" borderId="9" xfId="0" applyAlignment="1" applyBorder="1" applyFont="1" applyNumberFormat="1" applyFill="1" applyProtection="1"/>
    <xf xxid="189" numFmtId="0" fontId="3" fillId="0" borderId="9" xfId="0" applyAlignment="1" applyBorder="1" applyFont="1" applyNumberFormat="1" applyFill="1" applyProtection="1">
      <alignment horizontal="center"/>
    </xf>
    <xf xxid="190" numFmtId="0" fontId="6" fillId="0" borderId="21" xfId="0" applyAlignment="1" applyBorder="1" applyFont="1" applyNumberFormat="1" applyFill="1" applyProtection="1"/>
    <xf xxid="191" numFmtId="0" fontId="3" fillId="0" borderId="12" xfId="0" applyAlignment="1" applyBorder="1" applyFont="1" applyNumberFormat="1" applyFill="1" applyProtection="1">
      <alignment vertical="center"/>
    </xf>
    <xf xxid="192" numFmtId="0" fontId="3" fillId="0" borderId="8" xfId="0" applyAlignment="1" applyBorder="1" applyFont="1" applyNumberFormat="1" applyFill="1" applyProtection="1">
      <alignment vertical="center"/>
    </xf>
    <xf xxid="193" numFmtId="0" fontId="3" fillId="0" borderId="10" xfId="0" applyAlignment="1" applyBorder="1" applyFont="1" applyNumberFormat="1" applyFill="1" applyProtection="1"/>
    <xf xxid="194" numFmtId="0" fontId="3" fillId="0" borderId="10" xfId="0" applyAlignment="1" applyBorder="1" applyFont="1" applyNumberFormat="1" applyFill="1" applyProtection="1">
      <alignment horizontal="center"/>
    </xf>
    <xf xxid="195" numFmtId="0" fontId="3" fillId="0" borderId="18" xfId="0" applyAlignment="1" applyBorder="1" applyFont="1" applyNumberFormat="1" applyFill="1" applyProtection="1"/>
    <xf xxid="196" numFmtId="0" fontId="3" fillId="4" borderId="8" xfId="0" applyAlignment="1" applyBorder="1" applyFont="1" applyNumberFormat="1" applyFill="1" applyProtection="1">
      <alignment vertical="center"/>
    </xf>
    <xf xxid="197" numFmtId="0" fontId="2" fillId="0" borderId="8" xfId="0" applyAlignment="1" applyBorder="1" applyFont="1" applyNumberFormat="1" applyFill="1" applyProtection="1"/>
    <xf xxid="198" numFmtId="0" fontId="6" fillId="0" borderId="10" xfId="0" applyAlignment="1" applyBorder="1" applyFont="1" applyNumberFormat="1" applyFill="1" applyProtection="1">
      <alignment horizontal="center"/>
    </xf>
    <xf xxid="199" numFmtId="0" fontId="3" fillId="4" borderId="10" xfId="0" applyAlignment="1" applyBorder="1" applyFont="1" applyNumberFormat="1" applyFill="1" applyProtection="1">
      <alignment vertical="center"/>
    </xf>
    <xf xxid="200" numFmtId="0" fontId="3" fillId="4" borderId="18" xfId="0" applyAlignment="1" applyBorder="1" applyFont="1" applyNumberFormat="1" applyFill="1" applyProtection="1">
      <alignment vertical="center"/>
    </xf>
    <xf xxid="201" numFmtId="0" fontId="9" fillId="0" borderId="22" xfId="0" applyAlignment="1" applyBorder="1" applyFont="1" applyNumberFormat="1" applyFill="1" applyProtection="1"/>
    <xf xxid="202" numFmtId="0" fontId="9" fillId="0" borderId="22" xfId="0" applyAlignment="1" applyBorder="1" applyFont="1" applyNumberFormat="1" applyFill="1" applyProtection="1">
      <alignment horizontal="center"/>
    </xf>
    <xf xxid="203" numFmtId="0" fontId="6" fillId="0" borderId="9" xfId="0" applyAlignment="1" applyBorder="1" applyFont="1" applyNumberFormat="1" applyFill="1" applyProtection="1">
      <alignment horizontal="center"/>
    </xf>
    <xf xxid="204" numFmtId="0" fontId="2" fillId="0" borderId="9" xfId="0" applyAlignment="1" applyBorder="1" applyFont="1" applyNumberFormat="1" applyFill="1" applyProtection="1"/>
    <xf xxid="205" numFmtId="0" fontId="0" fillId="0" borderId="9" xfId="0" applyAlignment="1" applyBorder="1" applyFont="1" applyNumberFormat="1" applyFill="1" applyProtection="1"/>
    <xf xxid="206" numFmtId="0" fontId="6" fillId="0" borderId="22" xfId="0" applyAlignment="1" applyBorder="1" applyFont="1" applyNumberFormat="1" applyFill="1" applyProtection="1"/>
    <xf xxid="207" numFmtId="0" fontId="0" fillId="0" borderId="25" xfId="0" applyAlignment="1" applyBorder="1" applyFont="1" applyNumberFormat="1" applyFill="1" applyProtection="1"/>
    <xf xxid="208" numFmtId="0" fontId="0" fillId="0" borderId="21" xfId="0" applyAlignment="1" applyBorder="1" applyFont="1" applyNumberFormat="1" applyFill="1" applyProtection="1"/>
    <xf xxid="209" numFmtId="0" fontId="2" fillId="0" borderId="18" xfId="0" applyAlignment="1" applyBorder="1" applyFont="1" applyNumberFormat="1" applyFill="1" applyProtection="1">
      <alignment horizontal="center" vertical="center"/>
    </xf>
    <xf xxid="210" numFmtId="0" fontId="3" fillId="4" borderId="22" xfId="0" applyAlignment="1" applyBorder="1" applyFont="1" applyNumberFormat="1" applyFill="1" applyProtection="1">
      <alignment vertical="center"/>
    </xf>
    <xf xxid="211" numFmtId="0" fontId="3" fillId="4" borderId="9" xfId="0" applyAlignment="1" applyBorder="1" applyFont="1" applyNumberFormat="1" applyFill="1" applyProtection="1">
      <alignment vertical="center"/>
    </xf>
    <xf xxid="212" numFmtId="0" fontId="3" fillId="0" borderId="9" xfId="0" applyAlignment="1" applyBorder="1" applyFont="1" applyNumberFormat="1" applyFill="1" applyProtection="1">
      <alignment vertical="center"/>
    </xf>
    <xf xxid="213" numFmtId="0" fontId="0" fillId="0" borderId="18" xfId="0" applyAlignment="1" applyBorder="1" applyFont="1" applyNumberFormat="1" applyFill="1" applyProtection="1">
      <alignment horizontal="left"/>
    </xf>
    <xf xxid="214" numFmtId="0" fontId="0" fillId="0" borderId="8" xfId="0" applyAlignment="1" applyBorder="1" applyFont="1" applyNumberFormat="1" applyFill="1" applyProtection="1"/>
    <xf xxid="215" numFmtId="0" fontId="0" fillId="0" borderId="19" xfId="0" applyAlignment="1" applyBorder="1" applyFont="1" applyNumberFormat="1" applyFill="1" applyProtection="1"/>
    <xf xxid="216" numFmtId="0" fontId="3" fillId="0" borderId="10" xfId="0" applyAlignment="1" applyBorder="1" applyFont="1" applyNumberFormat="1" applyFill="1" applyProtection="1">
      <alignment horizontal="left"/>
    </xf>
    <xf xxid="217" numFmtId="0" fontId="3" fillId="0" borderId="10" xfId="0" applyAlignment="1" applyBorder="1" applyFont="1" applyNumberFormat="1" applyFill="1" applyProtection="1">
      <alignment vertical="top"/>
    </xf>
    <xf xxid="218" numFmtId="0" fontId="2" fillId="0" borderId="22" xfId="0" applyAlignment="1" applyBorder="1" applyFont="1" applyNumberFormat="1" applyFill="1" applyProtection="1">
      <alignment horizontal="center"/>
    </xf>
    <xf xxid="219" numFmtId="0" fontId="0" fillId="0" borderId="18" xfId="0" applyAlignment="1" applyBorder="1" applyFont="1" applyNumberFormat="1" applyFill="1" applyProtection="1"/>
    <xf xxid="220" numFmtId="0" fontId="0" fillId="0" borderId="22" xfId="0" applyAlignment="1" applyBorder="1" applyFont="1" applyNumberFormat="1" applyFill="1" applyProtection="1">
      <alignment horizontal="left"/>
    </xf>
    <xf xxid="221" numFmtId="0" fontId="0" fillId="4" borderId="12" xfId="0" applyAlignment="1" applyBorder="1" applyFont="1" applyNumberFormat="1" applyFill="1" applyProtection="1"/>
    <xf xxid="222" numFmtId="0" fontId="6" fillId="4" borderId="8" xfId="0" applyAlignment="1" applyBorder="1" applyFont="1" applyNumberFormat="1" applyFill="1" applyProtection="1"/>
    <xf xxid="223" numFmtId="0" fontId="0" fillId="4" borderId="8" xfId="0" applyAlignment="1" applyBorder="1" applyFont="1" applyNumberFormat="1" applyFill="1" applyProtection="1"/>
    <xf xxid="224" numFmtId="0" fontId="0" fillId="4" borderId="19" xfId="0" applyAlignment="1" applyBorder="1" applyFont="1" applyNumberFormat="1" applyFill="1" applyProtection="1"/>
    <xf xxid="225" numFmtId="0" fontId="6" fillId="4" borderId="9" xfId="0" applyAlignment="1" applyBorder="1" applyFont="1" applyNumberFormat="1" applyFill="1" applyProtection="1"/>
    <xf xxid="226" numFmtId="0" fontId="0" fillId="4" borderId="9" xfId="0" applyAlignment="1" applyBorder="1" applyFont="1" applyNumberFormat="1" applyFill="1" applyProtection="1"/>
    <xf xxid="227" numFmtId="0" fontId="0" fillId="4" borderId="21" xfId="0" applyAlignment="1" applyBorder="1" applyFont="1" applyNumberFormat="1" applyFill="1" applyProtection="1"/>
    <xf xxid="228" numFmtId="0" fontId="9" fillId="4" borderId="8" xfId="0" applyAlignment="1" applyBorder="1" applyFont="1" applyNumberFormat="1" applyFill="1" applyProtection="1"/>
    <xf xxid="229" numFmtId="0" fontId="9" fillId="4" borderId="10" xfId="0" applyAlignment="1" applyBorder="1" applyFont="1" applyNumberFormat="1" applyFill="1" applyProtection="1"/>
    <xf xxid="230" numFmtId="0" fontId="9" fillId="4" borderId="18" xfId="0" applyAlignment="1" applyBorder="1" applyFont="1" applyNumberFormat="1" applyFill="1" applyProtection="1"/>
    <xf xxid="231" numFmtId="0" fontId="9" fillId="4" borderId="22" xfId="0" applyAlignment="1" applyBorder="1" applyFont="1" applyNumberFormat="1" applyFill="1" applyProtection="1"/>
    <xf xxid="232" numFmtId="0" fontId="10" fillId="0" borderId="0" xfId="0" applyAlignment="1" applyBorder="1" applyFont="1" applyNumberFormat="1" applyFill="1" applyProtection="1">
      <alignment horizontal="left" vertical="center"/>
    </xf>
    <xf xxid="233" numFmtId="0" fontId="6" fillId="0" borderId="0" xfId="0" applyAlignment="1" applyBorder="1" applyFont="1" applyNumberFormat="1" applyFill="1" applyProtection="1">
      <alignment horizontal="right"/>
    </xf>
    <xf xxid="234" numFmtId="0" fontId="10" fillId="0" borderId="26" xfId="0" applyAlignment="1" applyBorder="1" applyFont="1" applyNumberFormat="1" applyFill="1" applyProtection="1">
      <alignment horizontal="left" vertical="center"/>
    </xf>
    <xf xxid="235" numFmtId="0" fontId="10" fillId="0" borderId="27" xfId="0" applyAlignment="1" applyBorder="1" applyFont="1" applyNumberFormat="1" applyFill="1" applyProtection="1">
      <alignment horizontal="left" vertical="center"/>
    </xf>
    <xf xxid="236" numFmtId="0" fontId="10" fillId="0" borderId="28" xfId="0" applyAlignment="1" applyBorder="1" applyFont="1" applyNumberFormat="1" applyFill="1" applyProtection="1">
      <alignment horizontal="left" vertical="center"/>
    </xf>
    <xf xxid="237" numFmtId="0" fontId="9" fillId="0" borderId="17" xfId="0" applyAlignment="1" applyBorder="1" applyFont="1" applyNumberFormat="1" applyFill="1" applyProtection="1">
      <alignment vertical="center"/>
    </xf>
    <xf xxid="238" numFmtId="0" fontId="10" fillId="0" borderId="20" xfId="0" applyAlignment="1" applyBorder="1" applyFont="1" applyNumberFormat="1" applyFill="1" applyProtection="1">
      <alignment vertical="center" textRotation="90"/>
    </xf>
    <xf xxid="239" numFmtId="0" fontId="15" fillId="0" borderId="20" xfId="0" applyAlignment="1" applyBorder="1" applyFont="1" applyNumberFormat="1" applyFill="1" applyProtection="1">
      <alignment horizontal="center"/>
    </xf>
    <xf xxid="240" numFmtId="0" fontId="2" fillId="0" borderId="20" xfId="0" applyAlignment="1" applyBorder="1" applyFont="1" applyNumberFormat="1" applyFill="1" applyProtection="1"/>
    <xf xxid="241" numFmtId="0" fontId="9" fillId="0" borderId="20" xfId="0" applyAlignment="1" applyBorder="1" applyFont="1" applyNumberFormat="1" applyFill="1" applyProtection="1"/>
    <xf xxid="242" numFmtId="0" fontId="2" fillId="0" borderId="29" xfId="0" applyAlignment="1" applyBorder="1" applyFont="1" applyNumberFormat="1" applyFill="1" applyProtection="1"/>
    <xf xxid="243" numFmtId="0" fontId="12" fillId="0" borderId="24" xfId="0" applyAlignment="1" applyBorder="1" applyFont="1" applyNumberFormat="1" applyFill="1" applyProtection="1">
      <alignment vertical="center"/>
    </xf>
    <xf xxid="244" numFmtId="0" fontId="12" fillId="0" borderId="22" xfId="0" applyAlignment="1" applyBorder="1" applyFont="1" applyNumberFormat="1" applyFill="1" applyProtection="1">
      <alignment vertical="center"/>
    </xf>
    <xf xxid="245" numFmtId="0" fontId="10" fillId="0" borderId="9" xfId="0" applyAlignment="1" applyBorder="1" applyFont="1" applyNumberFormat="1" applyFill="1" applyProtection="1">
      <alignment vertical="center" textRotation="90"/>
    </xf>
    <xf xxid="246" numFmtId="0" fontId="15" fillId="0" borderId="12" xfId="0" applyAlignment="1" applyBorder="1" applyFont="1" applyNumberFormat="1" applyFill="1" applyProtection="1">
      <alignment horizontal="center"/>
    </xf>
    <xf xxid="247" numFmtId="0" fontId="16" fillId="0" borderId="0" xfId="0" applyAlignment="1" applyBorder="1" applyFont="1" applyNumberFormat="1" applyFill="1" applyProtection="1">
      <alignment vertical="center"/>
    </xf>
    <xf xxid="248" numFmtId="0" fontId="8" fillId="0" borderId="0" xfId="0" applyAlignment="1" applyBorder="1" applyFont="1" applyNumberFormat="1" applyFill="1" applyProtection="1">
      <alignment vertical="center"/>
    </xf>
    <xf xxid="249" numFmtId="0" fontId="15" fillId="0" borderId="1" xfId="0" applyAlignment="1" applyBorder="1" applyFont="1" applyNumberFormat="1" applyFill="1" applyProtection="1">
      <alignment vertical="center" textRotation="90"/>
    </xf>
    <xf xxid="250" numFmtId="0" fontId="31" fillId="0" borderId="0" xfId="0" applyAlignment="1" applyBorder="1" applyFont="1" applyNumberFormat="1" applyFill="1" applyProtection="1">
      <alignment vertical="center"/>
    </xf>
    <xf xxid="251" numFmtId="0" fontId="3" fillId="0" borderId="21" xfId="0" applyAlignment="1" applyBorder="1" applyFont="1" applyNumberFormat="1" applyFill="1" applyProtection="1">
      <alignment vertical="center"/>
    </xf>
    <xf xxid="252" numFmtId="0" fontId="28" fillId="0" borderId="0" xfId="0" applyAlignment="1" applyBorder="1" applyFont="1" applyNumberFormat="1" applyFill="1" applyProtection="1"/>
    <xf xxid="253" numFmtId="0" fontId="26" fillId="0" borderId="0" xfId="0" applyAlignment="1" applyBorder="1" applyFont="1" applyNumberFormat="1" applyFill="1" applyProtection="1">
      <alignment vertical="center"/>
    </xf>
    <xf xxid="254" numFmtId="0" fontId="20" fillId="0" borderId="10" xfId="0" applyAlignment="1" applyBorder="1" applyFont="1" applyNumberFormat="1" applyFill="1" applyProtection="1">
      <alignment vertical="top"/>
    </xf>
    <xf xxid="255" numFmtId="0" fontId="30" fillId="0" borderId="27" xfId="0" applyAlignment="1" applyBorder="1" applyFont="1" applyNumberFormat="1" applyFill="1" applyProtection="1">
      <alignment vertical="center"/>
    </xf>
    <xf xxid="256" numFmtId="0" fontId="30" fillId="0" borderId="28" xfId="0" applyAlignment="1" applyBorder="1" applyFont="1" applyNumberFormat="1" applyFill="1" applyProtection="1">
      <alignment vertical="center"/>
    </xf>
    <xf xxid="257" numFmtId="0" fontId="20" fillId="0" borderId="10" xfId="0" applyAlignment="1" applyBorder="1" applyFont="1" applyNumberFormat="1" applyFill="1" applyProtection="1">
      <alignment horizontal="center" vertical="top"/>
    </xf>
    <xf xxid="258" numFmtId="0" fontId="20" fillId="0" borderId="0" xfId="0" applyAlignment="1" applyBorder="1" applyFont="1" applyNumberFormat="1" applyFill="1" applyProtection="1">
      <alignment vertical="top"/>
    </xf>
    <xf xxid="259" numFmtId="0" fontId="20" fillId="0" borderId="12" xfId="0" applyAlignment="1" applyBorder="1" applyFont="1" applyNumberFormat="1" applyFill="1" applyProtection="1">
      <alignment vertical="top"/>
    </xf>
    <xf xxid="260" numFmtId="0" fontId="20" fillId="0" borderId="10" xfId="0" applyAlignment="1" applyBorder="1" applyFont="1" applyNumberFormat="1" applyFill="1" applyProtection="1">
      <alignment vertical="center"/>
    </xf>
    <xf xxid="261" numFmtId="0" fontId="20" fillId="0" borderId="12" xfId="0" applyAlignment="1" applyBorder="1" applyFont="1" applyNumberFormat="1" applyFill="1" applyProtection="1">
      <alignment vertical="center"/>
    </xf>
    <xf xxid="262" numFmtId="0" fontId="20" fillId="0" borderId="0" xfId="0" applyAlignment="1" applyBorder="1" applyFont="1" applyNumberFormat="1" applyFill="1" applyProtection="1">
      <alignment horizontal="center" vertical="top"/>
    </xf>
    <xf xxid="263" numFmtId="0" fontId="20" fillId="0" borderId="4" xfId="0" applyAlignment="1" applyBorder="1" applyFont="1" applyNumberFormat="1" applyFill="1" applyProtection="1">
      <alignment vertical="center"/>
    </xf>
    <xf xxid="264" numFmtId="0" fontId="2" fillId="0" borderId="1" xfId="0" applyAlignment="1" applyBorder="1" applyFont="1" applyNumberFormat="1" applyFill="1" applyProtection="1">
      <alignment vertical="center"/>
    </xf>
    <xf xxid="265" numFmtId="0" fontId="15" fillId="0" borderId="1" xfId="0" applyAlignment="1" applyBorder="1" applyFont="1" applyNumberFormat="1" applyFill="1" applyProtection="1">
      <alignment horizontal="center" vertical="center" textRotation="90" readingOrder="2"/>
    </xf>
    <xf xxid="266" numFmtId="0" fontId="15" fillId="0" borderId="1" xfId="0" applyAlignment="1" applyBorder="1" applyFont="1" applyNumberFormat="1" applyFill="1" applyProtection="1">
      <alignment horizontal="center" vertical="center" readingOrder="1"/>
    </xf>
    <xf xxid="267" numFmtId="0" fontId="2" fillId="0" borderId="0" xfId="5" applyAlignment="1" applyBorder="1" applyFont="1" applyNumberFormat="1" applyFill="1" applyProtection="1">
      <protection locked="0"/>
    </xf>
    <xf xxid="268" numFmtId="0" fontId="34" fillId="0" borderId="0" xfId="5" applyAlignment="1" applyBorder="1" applyFont="1" applyNumberFormat="1" applyFill="1" applyProtection="1">
      <protection locked="0"/>
    </xf>
    <xf xxid="269" numFmtId="0" fontId="2" fillId="0" borderId="0" xfId="5" applyAlignment="1" applyBorder="1" applyFont="1" applyNumberFormat="1" applyFill="1" applyProtection="1">
      <protection hidden="1"/>
    </xf>
    <xf xxid="270" numFmtId="0" fontId="2" fillId="5" borderId="30" xfId="5" applyAlignment="1" applyBorder="1" applyFont="1" applyNumberFormat="1" applyFill="1" applyProtection="1">
      <alignment horizontal="center"/>
      <protection locked="0"/>
    </xf>
    <xf xxid="271" numFmtId="0" fontId="35" fillId="0" borderId="0" xfId="5" applyAlignment="1" applyBorder="1" applyFont="1" applyNumberFormat="1" applyFill="1" applyProtection="1">
      <protection locked="0"/>
    </xf>
    <xf xxid="272" numFmtId="49" fontId="2" fillId="5" borderId="30" xfId="5" applyAlignment="1" applyBorder="1" applyFont="1" applyNumberFormat="1" applyFill="1" applyProtection="1">
      <alignment horizontal="center"/>
      <protection locked="0"/>
    </xf>
    <xf xxid="273" numFmtId="0" fontId="2" fillId="0" borderId="0" xfId="6" applyAlignment="1" applyBorder="1" applyFont="1" applyNumberFormat="1" applyFill="1" applyProtection="1">
      <protection hidden="1"/>
    </xf>
    <xf xxid="274" numFmtId="172" fontId="2" fillId="0" borderId="0" xfId="5" applyAlignment="1" applyBorder="1" applyFont="1" applyNumberFormat="1" applyFill="1" applyProtection="1">
      <protection hidden="1"/>
    </xf>
    <xf xxid="275" numFmtId="0" fontId="36" fillId="0" borderId="0" xfId="5" applyAlignment="1" applyBorder="1" applyFont="1" applyNumberFormat="1" applyFill="1" applyProtection="1">
      <protection locked="0"/>
    </xf>
    <xf xxid="276" numFmtId="171" fontId="2" fillId="5" borderId="30" xfId="5" applyAlignment="1" applyBorder="1" applyFont="1" applyNumberFormat="1" applyFill="1" applyProtection="1">
      <alignment horizontal="center"/>
      <protection locked="0"/>
    </xf>
    <xf xxid="277" numFmtId="0" fontId="5" fillId="0" borderId="0" xfId="5" applyAlignment="1" applyBorder="1" applyFont="1" applyNumberFormat="1" applyFill="1" applyProtection="1">
      <protection locked="0"/>
    </xf>
    <xf xxid="278" numFmtId="0" fontId="5" fillId="0" borderId="0" xfId="5" applyAlignment="1" applyBorder="1" applyFont="1" applyNumberFormat="1" applyFill="1" applyProtection="1">
      <alignment horizontal="center"/>
      <protection locked="0"/>
    </xf>
    <xf xxid="279" numFmtId="0" fontId="36" fillId="0" borderId="0" xfId="5" applyAlignment="1" applyBorder="1" applyFont="1" applyNumberFormat="1" applyFill="1" applyProtection="1">
      <alignment horizontal="center"/>
      <protection locked="0"/>
    </xf>
    <xf xxid="280" numFmtId="0" fontId="2" fillId="0" borderId="0" xfId="5" applyAlignment="1" applyBorder="1" applyFont="1" applyNumberFormat="1" applyFill="1" applyProtection="1">
      <alignment horizontal="left"/>
      <protection locked="0"/>
    </xf>
    <xf xxid="281" numFmtId="170" fontId="2" fillId="0" borderId="0" xfId="5" applyAlignment="1" applyBorder="1" applyFont="1" applyNumberFormat="1" applyFill="1" applyProtection="1">
      <alignment horizontal="right"/>
      <protection locked="0"/>
    </xf>
    <xf xxid="282" numFmtId="0" fontId="5" fillId="0" borderId="0" xfId="5" applyAlignment="1" applyBorder="1" applyFont="1" applyNumberFormat="1" applyFill="1" applyProtection="1">
      <alignment vertical="center"/>
      <protection locked="0"/>
    </xf>
    <xf xxid="283" numFmtId="167" fontId="2" fillId="5" borderId="7" xfId="1" applyAlignment="1" applyBorder="1" applyFont="1" applyNumberFormat="1" applyFill="1" applyProtection="1">
      <alignment horizontal="right"/>
      <protection locked="0"/>
    </xf>
    <xf xxid="284" numFmtId="167" fontId="2" fillId="5" borderId="7" xfId="1" applyAlignment="1" applyBorder="1" applyFont="1" applyNumberFormat="1" applyFill="1" applyProtection="1">
      <protection locked="0"/>
    </xf>
    <xf xxid="285" numFmtId="169" fontId="2" fillId="6" borderId="31" xfId="1" applyAlignment="1" applyBorder="1" applyFont="1" applyNumberFormat="1" applyFill="1" applyProtection="1">
      <protection hidden="1"/>
    </xf>
    <xf xxid="286" numFmtId="0" fontId="2" fillId="5" borderId="32" xfId="5" applyAlignment="1" applyBorder="1" applyFont="1" applyNumberFormat="1" applyFill="1" applyProtection="1">
      <alignment horizontal="center"/>
      <protection locked="0"/>
    </xf>
    <xf xxid="287" numFmtId="167" fontId="2" fillId="5" borderId="32" xfId="1" applyAlignment="1" applyBorder="1" applyFont="1" applyNumberFormat="1" applyFill="1" applyProtection="1">
      <alignment horizontal="right"/>
      <protection locked="0"/>
    </xf>
    <xf xxid="288" numFmtId="167" fontId="2" fillId="5" borderId="32" xfId="1" applyAlignment="1" applyBorder="1" applyFont="1" applyNumberFormat="1" applyFill="1" applyProtection="1">
      <protection locked="0"/>
    </xf>
    <xf xxid="289" numFmtId="169" fontId="2" fillId="6" borderId="33" xfId="1" applyAlignment="1" applyBorder="1" applyFont="1" applyNumberFormat="1" applyFill="1" applyProtection="1">
      <protection hidden="1"/>
    </xf>
    <xf xxid="290" numFmtId="169" fontId="2" fillId="0" borderId="30" xfId="5" applyAlignment="1" applyBorder="1" applyFont="1" applyNumberFormat="1" applyFill="1" applyProtection="1">
      <protection hidden="1"/>
    </xf>
    <xf xxid="291" numFmtId="0" fontId="5" fillId="7" borderId="0" xfId="0" applyAlignment="1" applyBorder="1" applyFont="1" applyNumberFormat="1" applyFill="1" applyProtection="1">
      <protection hidden="1"/>
    </xf>
    <xf xxid="292" numFmtId="0" fontId="5" fillId="0" borderId="0" xfId="0" applyAlignment="1" applyBorder="1" applyFont="1" applyNumberFormat="1" applyFill="1" applyProtection="1">
      <alignment horizontal="center"/>
      <protection locked="0"/>
    </xf>
    <xf xxid="293" numFmtId="0" fontId="17" fillId="0" borderId="0" xfId="0" applyAlignment="1" applyBorder="1" applyFont="1" applyNumberFormat="1" applyFill="1" applyProtection="1">
      <protection locked="0"/>
    </xf>
    <xf xxid="294" numFmtId="170" fontId="2" fillId="6" borderId="34" xfId="0" applyAlignment="1" applyBorder="1" applyFont="1" applyNumberFormat="1" applyFill="1" applyProtection="1"/>
    <xf xxid="295" numFmtId="170" fontId="2" fillId="6" borderId="34" xfId="0" applyAlignment="1" applyBorder="1" applyFont="1" applyNumberFormat="1" applyFill="1" applyProtection="1">
      <protection hidden="1"/>
    </xf>
    <xf xxid="296" numFmtId="0" fontId="17" fillId="0" borderId="12" xfId="0" applyAlignment="1" applyBorder="1" applyFont="1" applyNumberFormat="1" applyFill="1" applyProtection="1"/>
    <xf xxid="297" numFmtId="169" fontId="17" fillId="0" borderId="0" xfId="0" applyAlignment="1" applyBorder="1" applyFont="1" applyNumberFormat="1" applyFill="1" applyProtection="1">
      <alignment horizontal="center"/>
    </xf>
    <xf xxid="298" numFmtId="0" fontId="17" fillId="0" borderId="19" xfId="0" applyAlignment="1" applyBorder="1" applyFont="1" applyNumberFormat="1" applyFill="1" applyProtection="1"/>
    <xf xxid="299" numFmtId="0" fontId="17" fillId="0" borderId="21" xfId="0" applyAlignment="1" applyBorder="1" applyFont="1" applyNumberFormat="1" applyFill="1" applyProtection="1"/>
    <xf xxid="300" numFmtId="0" fontId="10" fillId="0" borderId="7" xfId="0" applyAlignment="1" applyBorder="1" applyFont="1" applyNumberFormat="1" applyFill="1" applyProtection="1">
      <alignment horizontal="center" vertical="center"/>
    </xf>
    <xf xxid="301" numFmtId="0" fontId="40" fillId="0" borderId="0" xfId="0" applyAlignment="1" applyBorder="1" applyFont="1" applyNumberFormat="1" applyFill="1" applyProtection="1">
      <protection hidden="1"/>
    </xf>
    <xf xxid="302" numFmtId="0" fontId="0" fillId="0" borderId="0" xfId="0" applyAlignment="1" applyBorder="1" applyFont="1" applyNumberFormat="1" applyFill="1" applyProtection="1">
      <protection hidden="1"/>
    </xf>
    <xf xxid="303" numFmtId="0" fontId="0" fillId="8" borderId="0" xfId="0" applyAlignment="1" applyBorder="1" applyFont="1" applyNumberFormat="1" applyFill="1" applyProtection="1">
      <protection hidden="1"/>
    </xf>
    <xf xxid="304" numFmtId="0" fontId="41" fillId="9" borderId="0" xfId="0" applyAlignment="1" applyBorder="1" applyFont="1" applyNumberFormat="1" applyFill="1" applyProtection="1">
      <protection hidden="1"/>
    </xf>
    <xf xxid="305" numFmtId="0" fontId="0" fillId="9" borderId="0" xfId="0" applyAlignment="1" applyBorder="1" applyFont="1" applyNumberFormat="1" applyFill="1" applyProtection="1">
      <protection hidden="1"/>
    </xf>
    <xf xxid="306" numFmtId="0" fontId="0" fillId="7" borderId="0" xfId="0" applyAlignment="1" applyBorder="1" applyFont="1" applyNumberFormat="1" applyFill="1" applyProtection="1">
      <protection hidden="1"/>
    </xf>
    <xf xxid="307" numFmtId="0" fontId="42" fillId="7" borderId="0" xfId="0" applyAlignment="1" applyBorder="1" applyFont="1" applyNumberFormat="1" applyFill="1" applyProtection="1">
      <protection hidden="1"/>
    </xf>
    <xf xxid="308" numFmtId="0" fontId="2" fillId="7" borderId="0" xfId="0" applyAlignment="1" applyBorder="1" applyFont="1" applyNumberFormat="1" applyFill="1" applyProtection="1">
      <protection hidden="1"/>
    </xf>
    <xf xxid="309" numFmtId="0" fontId="2" fillId="7" borderId="0" xfId="0" applyAlignment="1" applyBorder="1" applyFont="1" applyNumberFormat="1" applyFill="1" applyProtection="1">
      <alignment horizontal="left"/>
      <protection hidden="1"/>
    </xf>
    <xf xxid="310" numFmtId="174" fontId="43" fillId="0" borderId="0" xfId="0" applyAlignment="1" applyBorder="1" applyFont="1" applyNumberFormat="1" applyFill="1" applyProtection="1">
      <protection hidden="1"/>
    </xf>
    <xf xxid="311" numFmtId="0" fontId="0" fillId="7" borderId="0" xfId="0" applyAlignment="1" applyBorder="1" applyFont="1" applyNumberFormat="1" applyFill="1" applyProtection="1">
      <alignment horizontal="center"/>
      <protection hidden="1"/>
    </xf>
    <xf xxid="312" numFmtId="0" fontId="0" fillId="7" borderId="8" xfId="0" applyAlignment="1" applyBorder="1" applyFont="1" applyNumberFormat="1" applyFill="1" applyProtection="1">
      <protection hidden="1"/>
    </xf>
    <xf xxid="313" numFmtId="0" fontId="44" fillId="7" borderId="0" xfId="0" applyAlignment="1" applyBorder="1" applyFont="1" applyNumberFormat="1" applyFill="1" applyProtection="1">
      <protection hidden="1"/>
    </xf>
    <xf xxid="314" numFmtId="0" fontId="0" fillId="10" borderId="0" xfId="0" applyAlignment="1" applyBorder="1" applyFont="1" applyNumberFormat="1" applyFill="1" applyProtection="1">
      <protection hidden="1"/>
    </xf>
    <xf xxid="315" numFmtId="0" fontId="42" fillId="10" borderId="0" xfId="0" applyAlignment="1" applyBorder="1" applyFont="1" applyNumberFormat="1" applyFill="1" applyProtection="1">
      <protection hidden="1"/>
    </xf>
    <xf xxid="316" numFmtId="0" fontId="5" fillId="10" borderId="0" xfId="0" applyAlignment="1" applyBorder="1" applyFont="1" applyNumberFormat="1" applyFill="1" applyProtection="1">
      <protection hidden="1"/>
    </xf>
    <xf xxid="317" numFmtId="0" fontId="2" fillId="10" borderId="0" xfId="0" applyAlignment="1" applyBorder="1" applyFont="1" applyNumberFormat="1" applyFill="1" applyProtection="1">
      <protection hidden="1"/>
    </xf>
    <xf xxid="318" numFmtId="0" fontId="2" fillId="10" borderId="0" xfId="0" applyAlignment="1" applyBorder="1" applyFont="1" applyNumberFormat="1" applyFill="1" applyProtection="1">
      <alignment horizontal="left"/>
      <protection hidden="1"/>
    </xf>
    <xf xxid="319" numFmtId="0" fontId="0" fillId="10" borderId="0" xfId="0" applyAlignment="1" applyBorder="1" applyFont="1" applyNumberFormat="1" applyFill="1" applyProtection="1">
      <alignment horizontal="center"/>
      <protection hidden="1"/>
    </xf>
    <xf xxid="320" numFmtId="0" fontId="0" fillId="10" borderId="8" xfId="0" applyAlignment="1" applyBorder="1" applyFont="1" applyNumberFormat="1" applyFill="1" applyProtection="1">
      <protection hidden="1"/>
    </xf>
    <xf xxid="321" numFmtId="0" fontId="44" fillId="10" borderId="0" xfId="0" applyAlignment="1" applyBorder="1" applyFont="1" applyNumberFormat="1" applyFill="1" applyProtection="1">
      <protection hidden="1"/>
    </xf>
    <xf xxid="322" numFmtId="0" fontId="0" fillId="6" borderId="0" xfId="0" applyAlignment="1" applyBorder="1" applyFont="1" applyNumberFormat="1" applyFill="1" applyProtection="1">
      <protection hidden="1"/>
    </xf>
    <xf xxid="323" numFmtId="169" fontId="0" fillId="7" borderId="0" xfId="1" applyAlignment="1" applyBorder="1" applyFont="1" applyNumberFormat="1" applyFill="1" applyProtection="1">
      <protection hidden="1"/>
    </xf>
    <xf xxid="324" numFmtId="169" fontId="0" fillId="7" borderId="0" xfId="1" applyAlignment="1" applyBorder="1" applyFont="1" applyNumberFormat="1" applyFill="1" applyProtection="1">
      <alignment horizontal="center"/>
      <protection hidden="1"/>
    </xf>
    <xf xxid="325" numFmtId="169" fontId="0" fillId="10" borderId="0" xfId="1" applyAlignment="1" applyBorder="1" applyFont="1" applyNumberFormat="1" applyFill="1" applyProtection="1">
      <protection hidden="1"/>
    </xf>
    <xf xxid="326" numFmtId="169" fontId="0" fillId="10" borderId="0" xfId="1" applyAlignment="1" applyBorder="1" applyFont="1" applyNumberFormat="1" applyFill="1" applyProtection="1">
      <alignment horizontal="center"/>
      <protection hidden="1"/>
    </xf>
    <xf xxid="327" numFmtId="0" fontId="2" fillId="5" borderId="30" xfId="0" applyAlignment="1" applyBorder="1" applyFont="1" applyNumberFormat="1" applyFill="1" applyProtection="1">
      <alignment horizontal="center"/>
      <protection locked="0"/>
    </xf>
    <xf xxid="328" numFmtId="0" fontId="10" fillId="0" borderId="7" xfId="0" applyAlignment="1" applyBorder="1" applyFont="1" applyNumberFormat="1" applyFill="1" applyProtection="1">
      <alignment horizontal="center"/>
    </xf>
    <xf xxid="329" numFmtId="169" fontId="17" fillId="0" borderId="0" xfId="0" applyAlignment="1" applyBorder="1" applyFont="1" applyNumberFormat="1" applyFill="1" applyProtection="1"/>
    <xf xxid="330" numFmtId="169" fontId="17" fillId="0" borderId="12" xfId="0" applyAlignment="1" applyBorder="1" applyFont="1" applyNumberFormat="1" applyFill="1" applyProtection="1"/>
    <xf xxid="331" numFmtId="169" fontId="9" fillId="0" borderId="0" xfId="0" applyAlignment="1" applyBorder="1" applyFont="1" applyNumberFormat="1" applyFill="1" applyProtection="1"/>
    <xf xxid="332" numFmtId="169" fontId="17" fillId="0" borderId="0" xfId="0" applyAlignment="1" applyBorder="1" applyFont="1" applyNumberFormat="1" applyFill="1" applyProtection="1">
      <alignment horizontal="center" vertical="center"/>
    </xf>
    <xf xxid="333" numFmtId="0" fontId="2" fillId="0" borderId="0" xfId="4" applyAlignment="1" applyBorder="1" applyFont="1" applyNumberFormat="1" applyFill="1" applyProtection="1">
      <protection locked="0"/>
    </xf>
    <xf xxid="334" numFmtId="0" fontId="2" fillId="7" borderId="0" xfId="4" applyAlignment="1" applyBorder="1" applyFont="1" applyNumberFormat="1" applyFill="1" applyProtection="1">
      <protection locked="0"/>
    </xf>
    <xf xxid="335" numFmtId="0" fontId="2" fillId="6" borderId="35" xfId="4" applyAlignment="1" applyBorder="1" applyFont="1" applyNumberFormat="1" applyFill="1" applyProtection="1">
      <protection locked="0"/>
    </xf>
    <xf xxid="336" numFmtId="0" fontId="2" fillId="6" borderId="36" xfId="4" applyAlignment="1" applyBorder="1" applyFont="1" applyNumberFormat="1" applyFill="1" applyProtection="1">
      <protection locked="0"/>
    </xf>
    <xf xxid="337" numFmtId="0" fontId="2" fillId="6" borderId="37" xfId="4" applyAlignment="1" applyBorder="1" applyFont="1" applyNumberFormat="1" applyFill="1" applyProtection="1">
      <protection locked="0"/>
    </xf>
    <xf xxid="338" numFmtId="0" fontId="2" fillId="0" borderId="0" xfId="4" applyAlignment="1" applyBorder="1" applyFont="1" applyNumberFormat="1" applyFill="1" applyProtection="1">
      <alignment vertical="center" wrapText="1"/>
      <protection locked="0"/>
    </xf>
    <xf xxid="339" numFmtId="0" fontId="2" fillId="0" borderId="36" xfId="4" applyAlignment="1" applyBorder="1" applyFont="1" applyNumberFormat="1" applyFill="1" applyProtection="1">
      <protection locked="0"/>
    </xf>
    <xf xxid="340" numFmtId="0" fontId="2" fillId="0" borderId="37" xfId="4" applyAlignment="1" applyBorder="1" applyFont="1" applyNumberFormat="1" applyFill="1" applyProtection="1">
      <protection locked="0"/>
    </xf>
    <xf xxid="341" numFmtId="0" fontId="5" fillId="0" borderId="0" xfId="4" applyAlignment="1" applyBorder="1" applyFont="1" applyNumberFormat="1" applyFill="1" applyProtection="1">
      <protection locked="0"/>
    </xf>
    <xf xxid="342" numFmtId="0" fontId="2" fillId="5" borderId="38" xfId="4" applyAlignment="1" applyBorder="1" applyFont="1" applyNumberFormat="1" applyFill="1" applyProtection="1">
      <alignment horizontal="center"/>
      <protection locked="0"/>
    </xf>
    <xf xxid="343" numFmtId="0" fontId="2" fillId="5" borderId="36" xfId="4" applyAlignment="1" applyBorder="1" applyFont="1" applyNumberFormat="1" applyFill="1" applyProtection="1">
      <alignment horizontal="center"/>
      <protection locked="0"/>
    </xf>
    <xf xxid="344" numFmtId="0" fontId="2" fillId="5" borderId="39" xfId="4" applyAlignment="1" applyBorder="1" applyFont="1" applyNumberFormat="1" applyFill="1" applyProtection="1">
      <alignment horizontal="center"/>
      <protection locked="0"/>
    </xf>
    <xf xxid="345" numFmtId="0" fontId="5" fillId="0" borderId="0" xfId="4" applyAlignment="1" applyBorder="1" applyFont="1" applyNumberFormat="1" applyFill="1" applyProtection="1">
      <alignment wrapText="1"/>
      <protection locked="0"/>
    </xf>
    <xf xxid="346" numFmtId="0" fontId="5" fillId="6" borderId="0" xfId="0" applyAlignment="1" applyBorder="1" applyFont="1" applyNumberFormat="1" applyFill="1" applyProtection="1">
      <protection hidden="1"/>
    </xf>
    <xf xxid="347" numFmtId="0" fontId="3" fillId="6" borderId="0" xfId="0" applyAlignment="1" applyBorder="1" applyFont="1" applyNumberFormat="1" applyFill="1" applyProtection="1">
      <alignment vertical="center"/>
      <protection hidden="1"/>
    </xf>
    <xf xxid="348" numFmtId="0" fontId="48" fillId="0" borderId="4" xfId="0" applyAlignment="1" applyBorder="1" applyFont="1" applyNumberFormat="1" applyFill="1" applyProtection="1">
      <alignment horizontal="left"/>
    </xf>
    <xf xxid="349" numFmtId="169" fontId="0" fillId="0" borderId="0" xfId="0" applyAlignment="1" applyBorder="1" applyFont="1" applyNumberFormat="1" applyFill="1" applyProtection="1"/>
    <xf xxid="350" numFmtId="169" fontId="6" fillId="0" borderId="0" xfId="0" applyAlignment="1" applyBorder="1" applyFont="1" applyNumberFormat="1" applyFill="1" applyProtection="1">
      <alignment vertical="center"/>
    </xf>
    <xf xxid="351" numFmtId="169" fontId="9" fillId="0" borderId="0" xfId="0" applyAlignment="1" applyBorder="1" applyFont="1" applyNumberFormat="1" applyFill="1" applyProtection="1">
      <alignment vertical="center"/>
    </xf>
    <xf xxid="352" numFmtId="0" fontId="17" fillId="0" borderId="0" xfId="0" applyAlignment="1" applyBorder="1" applyFont="1" applyNumberFormat="1" applyFill="1" applyProtection="1">
      <alignment horizontal="center" vertical="center"/>
    </xf>
    <xf xxid="353" numFmtId="177" fontId="17" fillId="0" borderId="21" xfId="0" applyAlignment="1" applyBorder="1" applyFont="1" applyNumberFormat="1" applyFill="1" applyProtection="1">
      <alignment horizontal="right" vertical="center"/>
    </xf>
    <xf xxid="354" numFmtId="177" fontId="17" fillId="0" borderId="12" xfId="0" applyAlignment="1" applyBorder="1" applyFont="1" applyNumberFormat="1" applyFill="1" applyProtection="1">
      <alignment horizontal="right" vertical="center"/>
    </xf>
    <xf xxid="355" numFmtId="169" fontId="17" fillId="0" borderId="21" xfId="0" applyAlignment="1" applyBorder="1" applyFont="1" applyNumberFormat="1" applyFill="1" applyProtection="1"/>
    <xf xxid="356" numFmtId="169" fontId="17" fillId="0" borderId="0" xfId="0" applyAlignment="1" applyBorder="1" applyFont="1" applyNumberFormat="1" applyFill="1" applyProtection="1">
      <alignment vertical="center"/>
    </xf>
    <xf xxid="357" numFmtId="169" fontId="17" fillId="0" borderId="12" xfId="0" applyAlignment="1" applyBorder="1" applyFont="1" applyNumberFormat="1" applyFill="1" applyProtection="1">
      <alignment vertical="center"/>
    </xf>
    <xf xxid="358" numFmtId="169" fontId="17" fillId="0" borderId="23" xfId="0" applyAlignment="1" applyBorder="1" applyFont="1" applyNumberFormat="1" applyFill="1" applyProtection="1">
      <alignment vertical="center"/>
    </xf>
    <xf xxid="359" numFmtId="169" fontId="17" fillId="0" borderId="40" xfId="0" applyAlignment="1" applyBorder="1" applyFont="1" applyNumberFormat="1" applyFill="1" applyProtection="1">
      <alignment vertical="center"/>
    </xf>
    <xf xxid="360" numFmtId="169" fontId="17" fillId="0" borderId="41" xfId="0" applyAlignment="1" applyBorder="1" applyFont="1" applyNumberFormat="1" applyFill="1" applyProtection="1">
      <alignment vertical="center"/>
    </xf>
    <xf xxid="361" numFmtId="0" fontId="12" fillId="0" borderId="0" xfId="0" applyAlignment="1" applyBorder="1" applyFont="1" applyNumberFormat="1" applyFill="1" applyProtection="1">
      <alignment horizontal="center"/>
    </xf>
    <xf xxid="362" numFmtId="169" fontId="10" fillId="0" borderId="7" xfId="0" applyAlignment="1" applyBorder="1" applyFont="1" applyNumberFormat="1" applyFill="1" applyProtection="1">
      <alignment vertical="center"/>
    </xf>
    <xf xxid="363" numFmtId="169" fontId="17" fillId="0" borderId="19" xfId="0" applyAlignment="1" applyBorder="1" applyFont="1" applyNumberFormat="1" applyFill="1" applyProtection="1">
      <alignment vertical="center"/>
    </xf>
    <xf xxid="364" numFmtId="169" fontId="17" fillId="0" borderId="21" xfId="0" applyAlignment="1" applyBorder="1" applyFont="1" applyNumberFormat="1" applyFill="1" applyProtection="1">
      <alignment vertical="center"/>
    </xf>
    <xf xxid="365" numFmtId="169" fontId="17" fillId="0" borderId="19" xfId="0" applyAlignment="1" applyBorder="1" applyFont="1" applyNumberFormat="1" applyFill="1" applyProtection="1"/>
    <xf xxid="366" numFmtId="0" fontId="17" fillId="0" borderId="8" xfId="0" applyAlignment="1" applyBorder="1" applyFont="1" applyNumberFormat="1" applyFill="1" applyProtection="1">
      <alignment vertical="center"/>
    </xf>
    <xf xxid="367" numFmtId="0" fontId="17" fillId="0" borderId="9" xfId="0" applyAlignment="1" applyBorder="1" applyFont="1" applyNumberFormat="1" applyFill="1" applyProtection="1">
      <alignment vertical="center"/>
    </xf>
    <xf xxid="368" numFmtId="0" fontId="2" fillId="0" borderId="9" xfId="0" applyAlignment="1" applyBorder="1" applyFont="1" applyNumberFormat="1" applyFill="1" applyProtection="1">
      <alignment vertical="center"/>
    </xf>
    <xf xxid="369" numFmtId="0" fontId="6" fillId="0" borderId="9" xfId="0" applyAlignment="1" applyBorder="1" applyFont="1" applyNumberFormat="1" applyFill="1" applyProtection="1">
      <alignment vertical="center"/>
    </xf>
    <xf xxid="370" numFmtId="0" fontId="17" fillId="0" borderId="10" xfId="0" applyAlignment="1" applyBorder="1" applyFont="1" applyNumberFormat="1" applyFill="1" applyProtection="1">
      <alignment horizontal="center" vertical="center"/>
    </xf>
    <xf xxid="371" numFmtId="0" fontId="17" fillId="0" borderId="12" xfId="0" applyAlignment="1" applyBorder="1" applyFont="1" applyNumberFormat="1" applyFill="1" applyProtection="1">
      <alignment horizontal="center" vertical="center"/>
    </xf>
    <xf xxid="372" numFmtId="0" fontId="39" fillId="0" borderId="0" xfId="0" applyAlignment="1" applyBorder="1" applyFont="1" applyNumberFormat="1" applyFill="1" applyProtection="1">
      <alignment horizontal="center" vertical="center"/>
    </xf>
    <xf xxid="373" numFmtId="0" fontId="17" fillId="0" borderId="10" xfId="0" applyAlignment="1" applyBorder="1" applyFont="1" applyNumberFormat="1" applyFill="1" applyProtection="1">
      <alignment vertical="center"/>
    </xf>
    <xf xxid="374" numFmtId="0" fontId="17" fillId="0" borderId="12" xfId="0" applyAlignment="1" applyBorder="1" applyFont="1" applyNumberFormat="1" applyFill="1" applyProtection="1">
      <alignment vertical="center"/>
    </xf>
    <xf xxid="375" numFmtId="176" fontId="17" fillId="0" borderId="12" xfId="0" applyAlignment="1" applyBorder="1" applyFont="1" applyNumberFormat="1" applyFill="1" applyProtection="1"/>
    <xf xxid="376" numFmtId="176" fontId="17" fillId="0" borderId="12" xfId="0" applyAlignment="1" applyBorder="1" applyFont="1" applyNumberFormat="1" applyFill="1" applyProtection="1">
      <alignment vertical="center"/>
    </xf>
    <xf xxid="377" numFmtId="0" fontId="37" fillId="0" borderId="0" xfId="0" applyAlignment="1" applyBorder="1" applyFont="1" applyNumberFormat="1" applyFill="1" applyProtection="1">
      <alignment horizontal="center" vertical="center"/>
    </xf>
    <xf xxid="378" numFmtId="0" fontId="37" fillId="0" borderId="0" xfId="0" applyAlignment="1" applyBorder="1" applyFont="1" applyNumberFormat="1" applyFill="1" applyProtection="1">
      <alignment vertical="center"/>
    </xf>
    <xf xxid="379" numFmtId="0" fontId="37" fillId="0" borderId="10" xfId="0" applyAlignment="1" applyBorder="1" applyFont="1" applyNumberFormat="1" applyFill="1" applyProtection="1">
      <alignment horizontal="center" vertical="center"/>
    </xf>
    <xf xxid="380" numFmtId="0" fontId="24" fillId="8" borderId="9" xfId="0" applyAlignment="1" applyBorder="1" applyFont="1" applyNumberFormat="1" applyFill="1" applyProtection="1">
      <alignment horizontal="center" vertical="center"/>
    </xf>
    <xf xxid="381" numFmtId="0" fontId="24" fillId="8" borderId="9" xfId="0" applyAlignment="1" applyBorder="1" applyFont="1" applyNumberFormat="1" applyFill="1" applyProtection="1">
      <alignment vertical="center"/>
    </xf>
    <xf xxid="382" numFmtId="0" fontId="22" fillId="8" borderId="0" xfId="0" applyAlignment="1" applyBorder="1" applyFont="1" applyNumberFormat="1" applyFill="1" applyProtection="1">
      <alignment horizontal="center" vertical="center"/>
    </xf>
    <xf xxid="383" numFmtId="0" fontId="0" fillId="8" borderId="0" xfId="0" applyAlignment="1" applyBorder="1" applyFont="1" applyNumberFormat="1" applyFill="1" applyProtection="1">
      <alignment horizontal="center" vertical="center"/>
    </xf>
    <xf xxid="384" numFmtId="0" fontId="9" fillId="8" borderId="0" xfId="0" applyAlignment="1" applyBorder="1" applyFont="1" applyNumberFormat="1" applyFill="1" applyProtection="1">
      <alignment horizontal="center" vertical="center"/>
    </xf>
    <xf xxid="385" numFmtId="0" fontId="6" fillId="8" borderId="8" xfId="0" applyAlignment="1" applyBorder="1" applyFont="1" applyNumberFormat="1" applyFill="1" applyProtection="1">
      <alignment vertical="center"/>
    </xf>
    <xf xxid="386" numFmtId="0" fontId="9" fillId="8" borderId="8" xfId="0" applyAlignment="1" applyBorder="1" applyFont="1" applyNumberFormat="1" applyFill="1" applyProtection="1">
      <alignment vertical="center"/>
    </xf>
    <xf xxid="387" numFmtId="177" fontId="17" fillId="0" borderId="8" xfId="0" applyAlignment="1" applyBorder="1" applyFont="1" applyNumberFormat="1" applyFill="1" applyProtection="1"/>
    <xf xxid="388" numFmtId="177" fontId="17" fillId="0" borderId="19" xfId="0" applyAlignment="1" applyBorder="1" applyFont="1" applyNumberFormat="1" applyFill="1" applyProtection="1"/>
    <xf xxid="389" numFmtId="177" fontId="17" fillId="0" borderId="21" xfId="0" applyAlignment="1" applyBorder="1" applyFont="1" applyNumberFormat="1" applyFill="1" applyProtection="1">
      <alignment vertical="center"/>
    </xf>
    <xf xxid="390" numFmtId="177" fontId="17" fillId="0" borderId="12" xfId="0" applyAlignment="1" applyBorder="1" applyFont="1" applyNumberFormat="1" applyFill="1" applyProtection="1">
      <alignment vertical="center"/>
    </xf>
    <xf xxid="391" numFmtId="0" fontId="0" fillId="0" borderId="18" xfId="0" applyAlignment="1" applyBorder="1" applyFont="1" applyNumberFormat="1" applyFill="1" applyProtection="1">
      <alignment vertical="center"/>
    </xf>
    <xf xxid="392" numFmtId="0" fontId="17" fillId="0" borderId="0" xfId="0" applyAlignment="1" applyBorder="1" applyFont="1" applyNumberFormat="1" applyFill="1" applyProtection="1">
      <alignment horizontal="right" vertical="center"/>
    </xf>
    <xf xxid="393" numFmtId="0" fontId="6" fillId="4" borderId="9" xfId="0" applyAlignment="1" applyBorder="1" applyFont="1" applyNumberFormat="1" applyFill="1" applyProtection="1">
      <alignment vertical="center"/>
    </xf>
    <xf xxid="394" numFmtId="0" fontId="6" fillId="4" borderId="0" xfId="0" applyAlignment="1" applyBorder="1" applyFont="1" applyNumberFormat="1" applyFill="1" applyProtection="1">
      <alignment vertical="center"/>
    </xf>
    <xf xxid="395" numFmtId="0" fontId="9" fillId="4" borderId="18" xfId="0" applyAlignment="1" applyBorder="1" applyFont="1" applyNumberFormat="1" applyFill="1" applyProtection="1">
      <alignment vertical="center"/>
    </xf>
    <xf xxid="396" numFmtId="0" fontId="9" fillId="4" borderId="8" xfId="0" applyAlignment="1" applyBorder="1" applyFont="1" applyNumberFormat="1" applyFill="1" applyProtection="1">
      <alignment vertical="center"/>
    </xf>
    <xf xxid="397" numFmtId="0" fontId="0" fillId="0" borderId="8" xfId="0" applyAlignment="1" applyBorder="1" applyFont="1" applyNumberFormat="1" applyFill="1" applyProtection="1">
      <alignment vertical="center"/>
    </xf>
    <xf xxid="398" numFmtId="0" fontId="6" fillId="0" borderId="21" xfId="0" applyAlignment="1" applyBorder="1" applyFont="1" applyNumberFormat="1" applyFill="1" applyProtection="1">
      <alignment vertical="center"/>
    </xf>
    <xf xxid="399" numFmtId="0" fontId="2" fillId="0" borderId="8" xfId="0" applyAlignment="1" applyBorder="1" applyFont="1" applyNumberFormat="1" applyFill="1" applyProtection="1">
      <alignment vertical="center"/>
    </xf>
    <xf xxid="400" numFmtId="0" fontId="6" fillId="0" borderId="19" xfId="0" applyAlignment="1" applyBorder="1" applyFont="1" applyNumberFormat="1" applyFill="1" applyProtection="1">
      <alignment vertical="center"/>
    </xf>
    <xf xxid="401" numFmtId="166" fontId="17" fillId="0" borderId="23" xfId="0" applyAlignment="1" applyBorder="1" applyFont="1" applyNumberFormat="1" applyFill="1" applyProtection="1">
      <alignment vertical="center"/>
    </xf>
    <xf xxid="402" numFmtId="166" fontId="17" fillId="0" borderId="40" xfId="0" applyAlignment="1" applyBorder="1" applyFont="1" applyNumberFormat="1" applyFill="1" applyProtection="1">
      <alignment vertical="center"/>
    </xf>
    <xf xxid="403" numFmtId="0" fontId="17" fillId="0" borderId="12" xfId="0" applyAlignment="1" applyBorder="1" applyFont="1" applyNumberFormat="1" applyFill="1" applyProtection="1">
      <alignment horizontal="right" vertical="center"/>
    </xf>
    <xf xxid="404" numFmtId="169" fontId="3" fillId="0" borderId="10" xfId="0" applyAlignment="1" applyBorder="1" applyFont="1" applyNumberFormat="1" applyFill="1" applyProtection="1">
      <alignment vertical="center"/>
    </xf>
    <xf xxid="405" numFmtId="169" fontId="3" fillId="0" borderId="0" xfId="0" applyAlignment="1" applyBorder="1" applyFont="1" applyNumberFormat="1" applyFill="1" applyProtection="1">
      <alignment vertical="center"/>
    </xf>
    <xf xxid="406" numFmtId="169" fontId="3" fillId="0" borderId="12" xfId="0" applyAlignment="1" applyBorder="1" applyFont="1" applyNumberFormat="1" applyFill="1" applyProtection="1">
      <alignment vertical="center"/>
    </xf>
    <xf xxid="407" numFmtId="0" fontId="6" fillId="0" borderId="20" xfId="0" applyAlignment="1" applyBorder="1" applyFont="1" applyNumberFormat="1" applyFill="1" applyProtection="1">
      <alignment horizontal="center"/>
    </xf>
    <xf xxid="408" numFmtId="0" fontId="13" fillId="0" borderId="0" xfId="0" applyAlignment="1" applyBorder="1" applyFont="1" applyNumberFormat="1" applyFill="1" applyProtection="1">
      <alignment vertical="center"/>
    </xf>
    <xf xxid="409" numFmtId="0" fontId="13" fillId="0" borderId="8" xfId="0" applyAlignment="1" applyBorder="1" applyFont="1" applyNumberFormat="1" applyFill="1" applyProtection="1">
      <alignment vertical="center"/>
    </xf>
    <xf xxid="410" numFmtId="0" fontId="13" fillId="0" borderId="9" xfId="0" applyAlignment="1" applyBorder="1" applyFont="1" applyNumberFormat="1" applyFill="1" applyProtection="1">
      <alignment vertical="center"/>
    </xf>
    <xf xxid="411" numFmtId="0" fontId="0" fillId="0" borderId="27" xfId="0" applyAlignment="1" applyBorder="1" applyFont="1" applyNumberFormat="1" applyFill="1" applyProtection="1"/>
    <xf xxid="412" numFmtId="0" fontId="0" fillId="0" borderId="28" xfId="0" applyAlignment="1" applyBorder="1" applyFont="1" applyNumberFormat="1" applyFill="1" applyProtection="1"/>
    <xf xxid="413" numFmtId="0" fontId="10" fillId="0" borderId="27" xfId="0" applyAlignment="1" applyBorder="1" applyFont="1" applyNumberFormat="1" applyFill="1" applyProtection="1"/>
    <xf xxid="414" numFmtId="0" fontId="13" fillId="0" borderId="8" xfId="0" applyAlignment="1" applyBorder="1" applyFont="1" applyNumberFormat="1" applyFill="1" applyProtection="1"/>
    <xf xxid="415" numFmtId="0" fontId="13" fillId="0" borderId="9" xfId="0" applyAlignment="1" applyBorder="1" applyFont="1" applyNumberFormat="1" applyFill="1" applyProtection="1"/>
    <xf xxid="416" numFmtId="0" fontId="49" fillId="0" borderId="0" xfId="0" applyAlignment="1" applyBorder="1" applyFont="1" applyNumberFormat="1" applyFill="1" applyProtection="1"/>
    <xf xxid="417" numFmtId="0" fontId="50" fillId="0" borderId="0" xfId="0" applyAlignment="1" applyBorder="1" applyFont="1" applyNumberFormat="1" applyFill="1" applyProtection="1">
      <alignment vertical="center"/>
    </xf>
    <xf xxid="418" numFmtId="0" fontId="51" fillId="0" borderId="0" xfId="0" applyAlignment="1" applyBorder="1" applyFont="1" applyNumberFormat="1" applyFill="1" applyProtection="1"/>
    <xf xxid="419" numFmtId="0" fontId="50" fillId="0" borderId="0" xfId="0" applyAlignment="1" applyBorder="1" applyFont="1" applyNumberFormat="1" applyFill="1" applyProtection="1">
      <alignment horizontal="left" vertical="center"/>
    </xf>
    <xf xxid="420" numFmtId="0" fontId="51" fillId="0" borderId="0" xfId="0" applyAlignment="1" applyBorder="1" applyFont="1" applyNumberFormat="1" applyFill="1" applyProtection="1">
      <alignment vertical="center"/>
    </xf>
    <xf xxid="421" numFmtId="0" fontId="17" fillId="0" borderId="10" xfId="0" applyAlignment="1" applyBorder="1" applyFont="1" applyNumberFormat="1" applyFill="1" applyProtection="1">
      <alignment horizontal="center" vertical="center" wrapText="1"/>
    </xf>
    <xf xxid="422" numFmtId="0" fontId="17" fillId="0" borderId="0" xfId="0" applyAlignment="1" applyBorder="1" applyFont="1" applyNumberFormat="1" applyFill="1" applyProtection="1">
      <alignment horizontal="center" vertical="center" wrapText="1"/>
    </xf>
    <xf xxid="423" numFmtId="0" fontId="17" fillId="0" borderId="12" xfId="0" applyAlignment="1" applyBorder="1" applyFont="1" applyNumberFormat="1" applyFill="1" applyProtection="1">
      <alignment horizontal="center" vertical="center" wrapText="1"/>
    </xf>
    <xf xxid="424" numFmtId="0" fontId="2" fillId="0" borderId="0" xfId="0" applyAlignment="1" applyBorder="1" applyFont="1" applyNumberFormat="1" applyFill="1" applyProtection="1">
      <protection hidden="1"/>
    </xf>
    <xf xxid="425" numFmtId="0" fontId="3" fillId="0" borderId="12" xfId="0" applyAlignment="1" applyBorder="1" applyFont="1" applyNumberFormat="1" applyFill="1" applyProtection="1">
      <alignment horizontal="center" vertical="center"/>
    </xf>
    <xf xxid="426" numFmtId="0" fontId="3" fillId="0" borderId="0" xfId="0" applyAlignment="1" applyBorder="1" applyFont="1" applyNumberFormat="1" applyFill="1" applyProtection="1">
      <alignment horizontal="left" vertical="center"/>
    </xf>
    <xf xxid="427" numFmtId="0" fontId="3" fillId="0" borderId="40" xfId="0" applyAlignment="1" applyBorder="1" applyFont="1" applyNumberFormat="1" applyFill="1" applyProtection="1">
      <alignment horizontal="left" vertical="center"/>
    </xf>
    <xf xxid="428" numFmtId="0" fontId="3" fillId="0" borderId="42" xfId="0" applyAlignment="1" applyBorder="1" applyFont="1" applyNumberFormat="1" applyFill="1" applyProtection="1">
      <alignment horizontal="center" vertical="center"/>
    </xf>
    <xf xxid="429" numFmtId="0" fontId="3" fillId="0" borderId="43" xfId="0" applyAlignment="1" applyBorder="1" applyFont="1" applyNumberFormat="1" applyFill="1" applyProtection="1">
      <alignment horizontal="center" vertical="center"/>
    </xf>
    <xf xxid="430" numFmtId="0" fontId="9" fillId="0" borderId="12" xfId="0" applyAlignment="1" applyBorder="1" applyFont="1" applyNumberFormat="1" applyFill="1" applyProtection="1">
      <alignment horizontal="center"/>
    </xf>
    <xf xxid="431" numFmtId="0" fontId="0" fillId="0" borderId="0" xfId="0" applyAlignment="1" applyBorder="1" applyFont="1" applyNumberFormat="1" applyFill="1" applyProtection="1">
      <alignment vertical="center" wrapText="1"/>
    </xf>
    <xf xxid="432" numFmtId="0" fontId="3" fillId="0" borderId="12" xfId="0" applyAlignment="1" applyBorder="1" applyFont="1" applyNumberFormat="1" applyFill="1" applyProtection="1">
      <alignment horizontal="left" vertical="center"/>
    </xf>
    <xf xxid="433" numFmtId="0" fontId="5" fillId="5" borderId="30" xfId="5" applyAlignment="1" applyBorder="1" applyFont="1" applyNumberFormat="1" applyFill="1" applyProtection="1">
      <protection locked="0"/>
    </xf>
    <xf xxid="434" numFmtId="0" fontId="52" fillId="0" borderId="0" xfId="0" applyAlignment="1" applyBorder="1" applyFont="1" applyNumberFormat="1" applyFill="1" applyProtection="1">
      <alignment vertical="center"/>
    </xf>
    <xf xxid="435" numFmtId="0" fontId="9" fillId="0" borderId="7" xfId="0" applyAlignment="1" applyBorder="1" applyFont="1" applyNumberFormat="1" applyFill="1" applyProtection="1"/>
    <xf xxid="436" numFmtId="0" fontId="6" fillId="0" borderId="20" xfId="0" applyAlignment="1" applyBorder="1" applyFont="1" applyNumberFormat="1" applyFill="1" applyProtection="1">
      <alignment horizontal="center" vertical="center"/>
    </xf>
    <xf xxid="437" numFmtId="0" fontId="25" fillId="0" borderId="0" xfId="0" applyAlignment="1" applyBorder="1" applyFont="1" applyNumberFormat="1" applyFill="1" applyProtection="1">
      <alignment vertical="distributed"/>
    </xf>
    <xf xxid="438" numFmtId="0" fontId="3" fillId="0" borderId="21" xfId="0" applyAlignment="1" applyBorder="1" applyFont="1" applyNumberFormat="1" applyFill="1" applyProtection="1"/>
    <xf xxid="439" numFmtId="0" fontId="16" fillId="0" borderId="0" xfId="0" applyAlignment="1" applyBorder="1" applyFont="1" applyNumberFormat="1" applyFill="1" applyProtection="1">
      <alignment horizontal="center" vertical="center"/>
    </xf>
    <xf xxid="440" numFmtId="181" fontId="17" fillId="0" borderId="0" xfId="0" applyAlignment="1" applyBorder="1" applyFont="1" applyNumberFormat="1" applyFill="1" applyProtection="1">
      <alignment horizontal="center"/>
    </xf>
    <xf xxid="441" numFmtId="0" fontId="0" fillId="0" borderId="10" xfId="0" applyAlignment="1" applyBorder="1" applyFont="1" applyNumberFormat="1" applyFill="1" applyProtection="1">
      <alignment horizontal="center" vertical="center"/>
    </xf>
    <xf xxid="442" numFmtId="0" fontId="0" fillId="0" borderId="7" xfId="0" applyAlignment="1" applyBorder="1" applyFont="1" applyNumberFormat="1" applyFill="1" applyProtection="1"/>
    <xf xxid="443" numFmtId="0" fontId="53" fillId="0" borderId="0" xfId="0" applyAlignment="1" applyBorder="1" applyFont="1" applyNumberFormat="1" applyFill="1" applyProtection="1">
      <alignment vertical="center"/>
    </xf>
    <xf xxid="444" numFmtId="0" fontId="10" fillId="0" borderId="0" xfId="0" applyAlignment="1" applyBorder="1" applyFont="1" applyNumberFormat="1" applyFill="1" applyProtection="1">
      <alignment horizontal="center" vertical="center"/>
    </xf>
    <xf xxid="445" numFmtId="0" fontId="10" fillId="0" borderId="0" xfId="0" applyAlignment="1" applyBorder="1" applyFont="1" applyNumberFormat="1" applyFill="1" applyProtection="1">
      <alignment vertical="top"/>
    </xf>
    <xf xxid="446" numFmtId="0" fontId="2" fillId="0" borderId="0" xfId="0" applyAlignment="1" applyBorder="1" applyFont="1" applyNumberFormat="1" applyFill="1" applyProtection="1">
      <alignment vertical="top"/>
    </xf>
    <xf xxid="447" numFmtId="0" fontId="17" fillId="6" borderId="0" xfId="5" applyAlignment="1" applyBorder="1" applyFont="1" applyNumberFormat="1" applyFill="1" applyProtection="1">
      <protection locked="0"/>
    </xf>
    <xf xxid="448" numFmtId="0" fontId="3" fillId="0" borderId="43" xfId="0" applyAlignment="1" applyBorder="1" applyFont="1" applyNumberFormat="1" applyFill="1" applyProtection="1">
      <alignment vertical="center"/>
    </xf>
    <xf xxid="449" numFmtId="0" fontId="3" fillId="0" borderId="16" xfId="0" applyAlignment="1" applyBorder="1" applyFont="1" applyNumberFormat="1" applyFill="1" applyProtection="1">
      <alignment vertical="center"/>
    </xf>
    <xf xxid="450" numFmtId="169" fontId="3" fillId="0" borderId="8" xfId="0" applyAlignment="1" applyBorder="1" applyFont="1" applyNumberFormat="1" applyFill="1" applyProtection="1">
      <alignment horizontal="right" vertical="center"/>
    </xf>
    <xf xxid="451" numFmtId="169" fontId="3" fillId="0" borderId="19" xfId="0" applyAlignment="1" applyBorder="1" applyFont="1" applyNumberFormat="1" applyFill="1" applyProtection="1">
      <alignment horizontal="right" vertical="center"/>
    </xf>
    <xf xxid="452" numFmtId="0" fontId="5" fillId="5" borderId="30" xfId="5" applyAlignment="1" applyBorder="1" applyFont="1" applyNumberFormat="1" applyFill="1" applyProtection="1">
      <alignment horizontal="center" vertical="center"/>
      <protection locked="0"/>
    </xf>
    <xf xxid="453" numFmtId="0" fontId="2" fillId="0" borderId="0" xfId="5" applyAlignment="1" applyBorder="1" applyFont="1" applyNumberFormat="1" applyFill="1" applyProtection="1"/>
    <xf xxid="454" numFmtId="0" fontId="17" fillId="0" borderId="14" xfId="0" applyAlignment="1" applyBorder="1" applyFont="1" applyNumberFormat="1" applyFill="1" applyProtection="1">
      <alignment vertical="center"/>
    </xf>
    <xf xxid="455" numFmtId="0" fontId="17" fillId="0" borderId="1" xfId="0" applyAlignment="1" applyBorder="1" applyFont="1" applyNumberFormat="1" applyFill="1" applyProtection="1">
      <alignment vertical="center"/>
    </xf>
    <xf xxid="456" numFmtId="0" fontId="17" fillId="0" borderId="3" xfId="0" applyAlignment="1" applyBorder="1" applyFont="1" applyNumberFormat="1" applyFill="1" applyProtection="1">
      <alignment vertical="center"/>
    </xf>
    <xf xxid="457" numFmtId="0" fontId="10" fillId="0" borderId="26" xfId="0" applyAlignment="1" applyBorder="1" applyFont="1" applyNumberFormat="1" applyFill="1" applyProtection="1">
      <alignment vertical="center"/>
    </xf>
    <xf xxid="458" numFmtId="0" fontId="10" fillId="0" borderId="27" xfId="0" applyAlignment="1" applyBorder="1" applyFont="1" applyNumberFormat="1" applyFill="1" applyProtection="1">
      <alignment vertical="center"/>
    </xf>
    <xf xxid="459" numFmtId="0" fontId="10" fillId="0" borderId="28" xfId="0" applyAlignment="1" applyBorder="1" applyFont="1" applyNumberFormat="1" applyFill="1" applyProtection="1">
      <alignment vertical="center"/>
    </xf>
    <xf xxid="460" numFmtId="0" fontId="10" fillId="0" borderId="28" xfId="0" applyAlignment="1" applyBorder="1" applyFont="1" applyNumberFormat="1" applyFill="1" applyProtection="1"/>
    <xf xxid="461" numFmtId="0" fontId="5" fillId="0" borderId="0" xfId="5" applyAlignment="1" applyBorder="1" applyFont="1" applyNumberFormat="1" applyFill="1" applyProtection="1">
      <alignment vertical="center" wrapText="1"/>
    </xf>
    <xf xxid="462" numFmtId="0" fontId="17" fillId="0" borderId="0" xfId="0" applyAlignment="1" applyBorder="1" applyFont="1" applyNumberFormat="1" applyFill="1" applyProtection="1">
      <alignment vertical="center"/>
      <protection locked="0"/>
    </xf>
    <xf xxid="463" numFmtId="1" fontId="2" fillId="5" borderId="30" xfId="5" applyAlignment="1" applyBorder="1" applyFont="1" applyNumberFormat="1" applyFill="1" applyProtection="1">
      <alignment horizontal="center"/>
      <protection locked="0"/>
    </xf>
    <xf xxid="464" numFmtId="49" fontId="45" fillId="0" borderId="0" xfId="0" applyAlignment="1" applyBorder="1" applyFont="1" applyNumberFormat="1" applyFill="1" applyProtection="1">
      <alignment horizontal="center"/>
    </xf>
    <xf xxid="465" numFmtId="0" fontId="46" fillId="0" borderId="0" xfId="0" applyAlignment="1" applyBorder="1" applyFont="1" applyNumberFormat="1" applyFill="1" applyProtection="1"/>
    <xf xxid="466" numFmtId="0" fontId="46" fillId="0" borderId="0" xfId="0" applyAlignment="1" applyBorder="1" applyFont="1" applyNumberFormat="1" applyFill="1" applyProtection="1">
      <alignment horizontal="center"/>
    </xf>
    <xf xxid="467" numFmtId="0" fontId="5" fillId="0" borderId="0" xfId="0" applyAlignment="1" applyBorder="1" applyFont="1" applyNumberFormat="1" applyFill="1" applyProtection="1">
      <alignment horizontal="left" vertical="distributed"/>
    </xf>
    <xf xxid="468" numFmtId="184" fontId="3" fillId="0" borderId="10" xfId="0" applyAlignment="1" applyBorder="1" applyFont="1" applyNumberFormat="1" applyFill="1" applyProtection="1">
      <alignment vertical="center"/>
      <protection locked="0"/>
    </xf>
    <xf xxid="469" numFmtId="184" fontId="3" fillId="0" borderId="0" xfId="0" applyAlignment="1" applyBorder="1" applyFont="1" applyNumberFormat="1" applyFill="1" applyProtection="1">
      <alignment vertical="center"/>
      <protection locked="0"/>
    </xf>
    <xf xxid="470" numFmtId="184" fontId="3" fillId="0" borderId="12" xfId="0" applyAlignment="1" applyBorder="1" applyFont="1" applyNumberFormat="1" applyFill="1" applyProtection="1">
      <alignment vertical="center"/>
      <protection locked="0"/>
    </xf>
    <xf xxid="471" numFmtId="0" fontId="17" fillId="0" borderId="0" xfId="0" applyAlignment="1" applyBorder="1" applyFont="1" applyNumberFormat="1" applyFill="1" applyProtection="1">
      <alignment vertical="center" wrapText="1"/>
    </xf>
    <xf xxid="472" numFmtId="0" fontId="39" fillId="0" borderId="0" xfId="0" applyAlignment="1" applyBorder="1" applyFont="1" applyNumberFormat="1" applyFill="1" applyProtection="1">
      <alignment horizontal="center" vertical="center" wrapText="1"/>
    </xf>
    <xf xxid="473" numFmtId="0" fontId="38" fillId="0" borderId="0" xfId="0" applyAlignment="1" applyBorder="1" applyFont="1" applyNumberFormat="1" applyFill="1" applyProtection="1">
      <alignment horizontal="center" vertical="center" wrapText="1"/>
    </xf>
    <xf xxid="474" numFmtId="0" fontId="56" fillId="0" borderId="0" xfId="14" applyAlignment="1" applyBorder="1" applyFont="1" applyNumberFormat="1" applyFill="1" applyProtection="1"/>
    <xf xxid="475" numFmtId="0" fontId="56" fillId="11" borderId="0" xfId="14" applyAlignment="1" applyBorder="1" applyFont="1" applyNumberFormat="1" applyFill="1" applyProtection="1"/>
    <xf xxid="476" numFmtId="0" fontId="56" fillId="2" borderId="0" xfId="14" applyAlignment="1" applyBorder="1" applyFont="1" applyNumberFormat="1" applyFill="1" applyProtection="1"/>
    <xf xxid="477" numFmtId="0" fontId="57" fillId="12" borderId="0" xfId="14" applyAlignment="1" applyBorder="1" applyFont="1" applyNumberFormat="1" applyFill="1" applyProtection="1"/>
    <xf xxid="478" numFmtId="0" fontId="56" fillId="12" borderId="0" xfId="14" applyAlignment="1" applyBorder="1" applyFont="1" applyNumberFormat="1" applyFill="1" applyProtection="1"/>
    <xf xxid="479" numFmtId="0" fontId="56" fillId="0" borderId="0" xfId="14" applyAlignment="1" applyBorder="1" applyFont="1" applyNumberFormat="1" applyFill="1" applyProtection="1">
      <alignment vertical="center"/>
    </xf>
    <xf xxid="480" numFmtId="166" fontId="59" fillId="0" borderId="0" xfId="15" applyAlignment="1" applyBorder="1" applyFont="1" applyNumberFormat="1" applyFill="1" applyProtection="1">
      <alignment vertical="center" wrapText="1"/>
    </xf>
    <xf xxid="481" numFmtId="0" fontId="50" fillId="11" borderId="0" xfId="14" applyAlignment="1" applyBorder="1" applyFont="1" applyNumberFormat="1" applyFill="1" applyProtection="1">
      <alignment horizontal="left" vertical="top" wrapText="1"/>
    </xf>
    <xf xxid="482" numFmtId="0" fontId="49" fillId="11" borderId="0" xfId="14" applyAlignment="1" applyBorder="1" applyFont="1" applyNumberFormat="1" applyFill="1" applyProtection="1">
      <alignment vertical="center"/>
    </xf>
    <xf xxid="483" numFmtId="0" fontId="50" fillId="11" borderId="0" xfId="14" applyAlignment="1" applyBorder="1" applyFont="1" applyNumberFormat="1" applyFill="1" applyProtection="1">
      <alignment vertical="center"/>
    </xf>
    <xf xxid="484" numFmtId="0" fontId="49" fillId="11" borderId="0" xfId="14" applyAlignment="1" applyBorder="1" applyFont="1" applyNumberFormat="1" applyFill="1" applyProtection="1">
      <alignment vertical="center" wrapText="1"/>
    </xf>
    <xf xxid="485" numFmtId="0" fontId="50" fillId="11" borderId="0" xfId="14" applyAlignment="1" applyBorder="1" applyFont="1" applyNumberFormat="1" applyFill="1" applyProtection="1">
      <alignment horizontal="center" vertical="center" wrapText="1"/>
    </xf>
    <xf xxid="486" numFmtId="0" fontId="49" fillId="0" borderId="3" xfId="14" applyAlignment="1" applyBorder="1" applyFont="1" applyNumberFormat="1" applyFill="1" applyProtection="1">
      <alignment vertical="center" wrapText="1"/>
    </xf>
    <xf xxid="487" numFmtId="0" fontId="49" fillId="0" borderId="1" xfId="14" applyAlignment="1" applyBorder="1" applyFont="1" applyNumberFormat="1" applyFill="1" applyProtection="1">
      <alignment vertical="center"/>
    </xf>
    <xf xxid="488" numFmtId="0" fontId="60" fillId="0" borderId="1" xfId="14" applyAlignment="1" applyBorder="1" applyFont="1" applyNumberFormat="1" applyFill="1" applyProtection="1"/>
    <xf xxid="489" numFmtId="0" fontId="6" fillId="11" borderId="1" xfId="14" applyAlignment="1" applyBorder="1" applyFont="1" applyNumberFormat="1" applyFill="1" applyProtection="1">
      <alignment wrapText="1"/>
    </xf>
    <xf xxid="490" numFmtId="0" fontId="61" fillId="11" borderId="1" xfId="14" applyAlignment="1" applyBorder="1" applyFont="1" applyNumberFormat="1" applyFill="1" applyProtection="1">
      <alignment wrapText="1"/>
    </xf>
    <xf xxid="491" numFmtId="0" fontId="6" fillId="11" borderId="1" xfId="14" applyAlignment="1" applyBorder="1" applyFont="1" applyNumberFormat="1" applyFill="1" applyProtection="1">
      <alignment horizontal="center" wrapText="1"/>
    </xf>
    <xf xxid="492" numFmtId="0" fontId="6" fillId="11" borderId="14" xfId="14" applyAlignment="1" applyBorder="1" applyFont="1" applyNumberFormat="1" applyFill="1" applyProtection="1">
      <alignment horizontal="center" wrapText="1"/>
    </xf>
    <xf xxid="493" numFmtId="0" fontId="49" fillId="0" borderId="5" xfId="14" applyAlignment="1" applyBorder="1" applyFont="1" applyNumberFormat="1" applyFill="1" applyProtection="1">
      <alignment vertical="center" wrapText="1"/>
    </xf>
    <xf xxid="494" numFmtId="0" fontId="49" fillId="0" borderId="0" xfId="14" applyAlignment="1" applyBorder="1" applyFont="1" applyNumberFormat="1" applyFill="1" applyProtection="1">
      <alignment vertical="center"/>
    </xf>
    <xf xxid="495" numFmtId="0" fontId="63" fillId="0" borderId="0" xfId="14" applyAlignment="1" applyBorder="1" applyFont="1" applyNumberFormat="1" applyFill="1" applyProtection="1">
      <alignment vertical="center"/>
    </xf>
    <xf xxid="496" numFmtId="0" fontId="60" fillId="0" borderId="0" xfId="14" applyAlignment="1" applyBorder="1" applyFont="1" applyNumberFormat="1" applyFill="1" applyProtection="1"/>
    <xf xxid="497" numFmtId="0" fontId="61" fillId="11" borderId="0" xfId="14" applyAlignment="1" applyBorder="1" applyFont="1" applyNumberFormat="1" applyFill="1" applyProtection="1">
      <alignment horizontal="left" wrapText="1"/>
    </xf>
    <xf xxid="498" numFmtId="0" fontId="6" fillId="11" borderId="0" xfId="14" applyAlignment="1" applyBorder="1" applyFont="1" applyNumberFormat="1" applyFill="1" applyProtection="1">
      <alignment vertical="center" wrapText="1"/>
    </xf>
    <xf xxid="499" numFmtId="0" fontId="10" fillId="11" borderId="0" xfId="14" applyAlignment="1" applyBorder="1" applyFont="1" applyNumberFormat="1" applyFill="1" applyProtection="1">
      <alignment horizontal="left" vertical="center" wrapText="1"/>
    </xf>
    <xf xxid="500" numFmtId="0" fontId="10" fillId="11" borderId="0" xfId="14" applyAlignment="1" applyBorder="1" applyFont="1" applyNumberFormat="1" applyFill="1" applyProtection="1">
      <alignment horizontal="center" vertical="top" wrapText="1"/>
    </xf>
    <xf xxid="501" numFmtId="0" fontId="10" fillId="11" borderId="4" xfId="14" applyAlignment="1" applyBorder="1" applyFont="1" applyNumberFormat="1" applyFill="1" applyProtection="1">
      <alignment horizontal="center" vertical="top" wrapText="1"/>
    </xf>
    <xf xxid="502" numFmtId="0" fontId="49" fillId="0" borderId="5" xfId="14" applyAlignment="1" applyBorder="1" applyFont="1" applyNumberFormat="1" applyFill="1" applyProtection="1"/>
    <xf xxid="503" numFmtId="0" fontId="49" fillId="0" borderId="0" xfId="14" applyAlignment="1" applyBorder="1" applyFont="1" applyNumberFormat="1" applyFill="1" applyProtection="1"/>
    <xf xxid="504" numFmtId="0" fontId="49" fillId="0" borderId="0" xfId="14" applyAlignment="1" applyBorder="1" applyFont="1" applyNumberFormat="1" applyFill="1" applyProtection="1">
      <alignment horizontal="center" wrapText="1"/>
    </xf>
    <xf xxid="505" numFmtId="0" fontId="60" fillId="0" borderId="0" xfId="14" applyAlignment="1" applyBorder="1" applyFont="1" applyNumberFormat="1" applyFill="1" applyProtection="1">
      <alignment horizontal="center" wrapText="1"/>
    </xf>
    <xf xxid="506" numFmtId="0" fontId="7" fillId="11" borderId="0" xfId="14" applyAlignment="1" applyBorder="1" applyFont="1" applyNumberFormat="1" applyFill="1" applyProtection="1">
      <alignment vertical="center" wrapText="1"/>
    </xf>
    <xf xxid="507" numFmtId="0" fontId="6" fillId="11" borderId="4" xfId="14" applyAlignment="1" applyBorder="1" applyFont="1" applyNumberFormat="1" applyFill="1" applyProtection="1">
      <alignment vertical="center" wrapText="1"/>
    </xf>
    <xf xxid="508" numFmtId="0" fontId="62" fillId="11" borderId="0" xfId="14" applyAlignment="1" applyBorder="1" applyFont="1" applyNumberFormat="1" applyFill="1" applyProtection="1">
      <alignment vertical="center" wrapText="1"/>
    </xf>
    <xf xxid="509" numFmtId="0" fontId="62" fillId="11" borderId="0" xfId="14" applyAlignment="1" applyBorder="1" applyFont="1" applyNumberFormat="1" applyFill="1" applyProtection="1">
      <alignment vertical="top" wrapText="1"/>
    </xf>
    <xf xxid="510" numFmtId="0" fontId="62" fillId="11" borderId="0" xfId="14" applyAlignment="1" applyBorder="1" applyFont="1" applyNumberFormat="1" applyFill="1" applyProtection="1">
      <alignment horizontal="center" vertical="center" wrapText="1"/>
    </xf>
    <xf xxid="511" numFmtId="0" fontId="6" fillId="11" borderId="0" xfId="14" applyAlignment="1" applyBorder="1" applyFont="1" applyNumberFormat="1" applyFill="1" applyProtection="1">
      <alignment vertical="top" wrapText="1"/>
    </xf>
    <xf xxid="512" numFmtId="0" fontId="56" fillId="0" borderId="2" xfId="14" applyAlignment="1" applyBorder="1" applyFont="1" applyNumberFormat="1" applyFill="1" applyProtection="1"/>
    <xf xxid="513" numFmtId="0" fontId="56" fillId="0" borderId="6" xfId="14" applyAlignment="1" applyBorder="1" applyFont="1" applyNumberFormat="1" applyFill="1" applyProtection="1"/>
    <xf xxid="514" numFmtId="0" fontId="51" fillId="0" borderId="6" xfId="14" applyAlignment="1" applyBorder="1" applyFont="1" applyNumberFormat="1" applyFill="1" applyProtection="1">
      <alignment horizontal="center" wrapText="1"/>
    </xf>
    <xf xxid="515" numFmtId="0" fontId="51" fillId="11" borderId="6" xfId="14" applyAlignment="1" applyBorder="1" applyFont="1" applyNumberFormat="1" applyFill="1" applyProtection="1">
      <alignment vertical="center" wrapText="1"/>
    </xf>
    <xf xxid="516" numFmtId="0" fontId="51" fillId="11" borderId="13" xfId="14" applyAlignment="1" applyBorder="1" applyFont="1" applyNumberFormat="1" applyFill="1" applyProtection="1">
      <alignment vertical="center" wrapText="1"/>
    </xf>
    <xf xxid="517" numFmtId="0" fontId="50" fillId="11" borderId="9" xfId="14" applyAlignment="1" applyBorder="1" applyFont="1" applyNumberFormat="1" applyFill="1" applyProtection="1">
      <alignment horizontal="left" vertical="top" wrapText="1"/>
    </xf>
    <xf xxid="518" numFmtId="0" fontId="49" fillId="11" borderId="29" xfId="14" applyAlignment="1" applyBorder="1" applyFont="1" applyNumberFormat="1" applyFill="1" applyProtection="1">
      <alignment horizontal="left" vertical="top" wrapText="1"/>
    </xf>
    <xf xxid="519" numFmtId="0" fontId="49" fillId="11" borderId="20" xfId="14" applyAlignment="1" applyBorder="1" applyFont="1" applyNumberFormat="1" applyFill="1" applyProtection="1">
      <alignment horizontal="left" vertical="top" wrapText="1"/>
    </xf>
    <xf xxid="520" numFmtId="0" fontId="49" fillId="11" borderId="20" xfId="14" applyAlignment="1" applyBorder="1" applyFont="1" applyNumberFormat="1" applyFill="1" applyProtection="1">
      <alignment horizontal="left" vertical="center" wrapText="1"/>
    </xf>
    <xf xxid="521" numFmtId="0" fontId="49" fillId="11" borderId="20" xfId="14" applyAlignment="1" applyBorder="1" applyFont="1" applyNumberFormat="1" applyFill="1" applyProtection="1">
      <alignment vertical="center" wrapText="1"/>
    </xf>
    <xf xxid="522" numFmtId="0" fontId="50" fillId="11" borderId="20" xfId="14" applyAlignment="1" applyBorder="1" applyFont="1" applyNumberFormat="1" applyFill="1" applyProtection="1">
      <alignment vertical="center" wrapText="1"/>
    </xf>
    <xf xxid="523" numFmtId="0" fontId="50" fillId="11" borderId="20" xfId="14" applyAlignment="1" applyBorder="1" applyFont="1" applyNumberFormat="1" applyFill="1" applyProtection="1">
      <alignment wrapText="1"/>
    </xf>
    <xf xxid="524" numFmtId="0" fontId="57" fillId="11" borderId="20" xfId="14" applyAlignment="1" applyBorder="1" applyFont="1" applyNumberFormat="1" applyFill="1" applyProtection="1">
      <alignment vertical="center" wrapText="1"/>
    </xf>
    <xf xxid="525" numFmtId="3" fontId="49" fillId="11" borderId="20" xfId="15" applyAlignment="1" applyBorder="1" applyFont="1" applyNumberFormat="1" applyFill="1" applyProtection="1">
      <alignment vertical="center" wrapText="1"/>
    </xf>
    <xf xxid="526" numFmtId="3" fontId="65" fillId="11" borderId="20" xfId="15" applyAlignment="1" applyBorder="1" applyFont="1" applyNumberFormat="1" applyFill="1" applyProtection="1">
      <alignment vertical="center" wrapText="1"/>
    </xf>
    <xf xxid="527" numFmtId="0" fontId="66" fillId="11" borderId="20" xfId="14" applyAlignment="1" applyBorder="1" applyFont="1" applyNumberFormat="1" applyFill="1" applyProtection="1">
      <alignment vertical="center" wrapText="1"/>
    </xf>
    <xf xxid="528" numFmtId="3" fontId="38" fillId="11" borderId="20" xfId="15" applyAlignment="1" applyBorder="1" applyFont="1" applyNumberFormat="1" applyFill="1" applyProtection="1">
      <alignment vertical="center" wrapText="1"/>
    </xf>
    <xf xxid="529" numFmtId="3" fontId="68" fillId="11" borderId="20" xfId="14" applyAlignment="1" applyBorder="1" applyFont="1" applyNumberFormat="1" applyFill="1" applyProtection="1">
      <alignment vertical="center"/>
    </xf>
    <xf xxid="530" numFmtId="0" fontId="56" fillId="0" borderId="0" xfId="14" applyAlignment="1" applyBorder="1" applyFont="1" applyNumberFormat="1" applyFill="1" applyProtection="1">
      <alignment horizontal="center" vertical="center"/>
    </xf>
    <xf xxid="531" numFmtId="185" fontId="69" fillId="0" borderId="0" xfId="14" applyAlignment="1" applyBorder="1" applyFont="1" applyNumberFormat="1" applyFill="1" applyProtection="1">
      <alignment vertical="center" wrapText="1"/>
    </xf>
    <xf xxid="532" numFmtId="0" fontId="68" fillId="11" borderId="20" xfId="14" applyAlignment="1" applyBorder="1" applyFont="1" applyNumberFormat="1" applyFill="1" applyProtection="1">
      <alignment vertical="center"/>
    </xf>
    <xf xxid="533" numFmtId="185" fontId="49" fillId="11" borderId="20" xfId="14" applyAlignment="1" applyBorder="1" applyFont="1" applyNumberFormat="1" applyFill="1" applyProtection="1">
      <alignment vertical="center" wrapText="1"/>
    </xf>
    <xf xxid="534" numFmtId="0" fontId="68" fillId="13" borderId="19" xfId="14" applyAlignment="1" applyBorder="1" applyFont="1" applyNumberFormat="1" applyFill="1" applyProtection="1">
      <alignment vertical="center"/>
    </xf>
    <xf xxid="535" numFmtId="0" fontId="68" fillId="13" borderId="8" xfId="14" applyAlignment="1" applyBorder="1" applyFont="1" applyNumberFormat="1" applyFill="1" applyProtection="1">
      <alignment vertical="center"/>
    </xf>
    <xf xxid="536" numFmtId="0" fontId="68" fillId="13" borderId="18" xfId="14" applyAlignment="1" applyBorder="1" applyFont="1" applyNumberFormat="1" applyFill="1" applyProtection="1">
      <alignment vertical="center"/>
    </xf>
    <xf xxid="537" numFmtId="0" fontId="68" fillId="11" borderId="8" xfId="14" applyAlignment="1" applyBorder="1" applyFont="1" applyNumberFormat="1" applyFill="1" applyProtection="1">
      <alignment vertical="center"/>
    </xf>
    <xf xxid="538" numFmtId="185" fontId="49" fillId="11" borderId="8" xfId="14" applyAlignment="1" applyBorder="1" applyFont="1" applyNumberFormat="1" applyFill="1" applyProtection="1">
      <alignment vertical="center" wrapText="1"/>
    </xf>
    <xf xxid="539" numFmtId="185" fontId="49" fillId="11" borderId="18" xfId="14" applyAlignment="1" applyBorder="1" applyFont="1" applyNumberFormat="1" applyFill="1" applyProtection="1">
      <alignment vertical="center" wrapText="1"/>
    </xf>
    <xf xxid="540" numFmtId="185" fontId="62" fillId="11" borderId="0" xfId="14" applyAlignment="1" applyBorder="1" applyFont="1" applyNumberFormat="1" applyFill="1" applyProtection="1">
      <alignment vertical="center" wrapText="1"/>
    </xf>
    <xf xxid="541" numFmtId="0" fontId="70" fillId="0" borderId="0" xfId="14" applyAlignment="1" applyBorder="1" applyFont="1" applyNumberFormat="1" applyFill="1" applyProtection="1">
      <alignment vertical="center" wrapText="1"/>
    </xf>
    <xf xxid="542" numFmtId="185" fontId="62" fillId="13" borderId="21" xfId="14" applyAlignment="1" applyBorder="1" applyFont="1" applyNumberFormat="1" applyFill="1" applyProtection="1">
      <alignment horizontal="center" vertical="center" wrapText="1"/>
    </xf>
    <xf xxid="543" numFmtId="185" fontId="62" fillId="13" borderId="9" xfId="14" applyAlignment="1" applyBorder="1" applyFont="1" applyNumberFormat="1" applyFill="1" applyProtection="1">
      <alignment horizontal="center" vertical="center" wrapText="1"/>
    </xf>
    <xf xxid="544" numFmtId="185" fontId="62" fillId="13" borderId="22" xfId="14" applyAlignment="1" applyBorder="1" applyFont="1" applyNumberFormat="1" applyFill="1" applyProtection="1">
      <alignment horizontal="center" vertical="center" wrapText="1"/>
    </xf>
    <xf xxid="545" numFmtId="0" fontId="57" fillId="11" borderId="0" xfId="14" applyAlignment="1" applyBorder="1" applyFont="1" applyNumberFormat="1" applyFill="1" applyProtection="1">
      <alignment horizontal="center" vertical="center" wrapText="1"/>
    </xf>
    <xf xxid="546" numFmtId="0" fontId="57" fillId="11" borderId="9" xfId="14" applyAlignment="1" applyBorder="1" applyFont="1" applyNumberFormat="1" applyFill="1" applyProtection="1">
      <alignment horizontal="center" vertical="center" wrapText="1"/>
    </xf>
    <xf xxid="547" numFmtId="0" fontId="57" fillId="11" borderId="22" xfId="14" applyAlignment="1" applyBorder="1" applyFont="1" applyNumberFormat="1" applyFill="1" applyProtection="1">
      <alignment horizontal="center" vertical="center" wrapText="1"/>
    </xf>
    <xf xxid="548" numFmtId="0" fontId="71" fillId="0" borderId="0" xfId="14" applyAlignment="1" applyBorder="1" applyFont="1" applyNumberFormat="1" applyFill="1" applyProtection="1">
      <alignment vertical="center" wrapText="1"/>
    </xf>
    <xf xxid="549" numFmtId="0" fontId="51" fillId="0" borderId="0" xfId="14" applyAlignment="1" applyBorder="1" applyFont="1" applyNumberFormat="1" applyFill="1" applyProtection="1">
      <alignment vertical="center"/>
    </xf>
    <xf xxid="550" numFmtId="0" fontId="64" fillId="0" borderId="0" xfId="14" applyAlignment="1" applyBorder="1" applyFont="1" applyNumberFormat="1" applyFill="1" applyProtection="1">
      <alignment vertical="center"/>
    </xf>
    <xf xxid="551" numFmtId="0" fontId="2" fillId="11" borderId="0" xfId="14" applyAlignment="1" applyBorder="1" applyFont="1" applyNumberFormat="1" applyFill="1" applyProtection="1">
      <alignment wrapText="1"/>
    </xf>
    <xf xxid="552" numFmtId="0" fontId="64" fillId="0" borderId="0" xfId="14" applyAlignment="1" applyBorder="1" applyFont="1" applyNumberFormat="1" applyFill="1" applyProtection="1">
      <alignment horizontal="left"/>
    </xf>
    <xf xxid="553" numFmtId="0" fontId="9" fillId="11" borderId="0" xfId="14" applyAlignment="1" applyBorder="1" applyFont="1" applyNumberFormat="1" applyFill="1" applyProtection="1">
      <alignment horizontal="left" wrapText="1"/>
    </xf>
    <xf xxid="554" numFmtId="0" fontId="9" fillId="11" borderId="0" xfId="14" applyAlignment="1" applyBorder="1" applyFont="1" applyNumberFormat="1" applyFill="1" applyProtection="1">
      <alignment horizontal="center" wrapText="1"/>
    </xf>
    <xf xxid="555" numFmtId="0" fontId="51" fillId="0" borderId="6" xfId="14" applyAlignment="1" applyBorder="1" applyFont="1" applyNumberFormat="1" applyFill="1" applyProtection="1">
      <alignment vertical="center"/>
    </xf>
    <xf xxid="556" numFmtId="0" fontId="61" fillId="0" borderId="1" xfId="14" applyAlignment="1" applyBorder="1" applyFont="1" applyNumberFormat="1" applyFill="1" applyProtection="1">
      <alignment vertical="center"/>
    </xf>
    <xf xxid="557" numFmtId="0" fontId="60" fillId="0" borderId="1" xfId="14" applyAlignment="1" applyBorder="1" applyFont="1" applyNumberFormat="1" applyFill="1" applyProtection="1">
      <alignment vertical="center"/>
    </xf>
    <xf xxid="558" numFmtId="0" fontId="49" fillId="0" borderId="1" xfId="14" applyAlignment="1" applyBorder="1" applyFont="1" applyNumberFormat="1" applyFill="1" applyProtection="1"/>
    <xf xxid="559" numFmtId="0" fontId="61" fillId="11" borderId="1" xfId="14" applyAlignment="1" applyBorder="1" applyFont="1" applyNumberFormat="1" applyFill="1" applyProtection="1">
      <alignment horizontal="center" wrapText="1"/>
    </xf>
    <xf xxid="560" numFmtId="0" fontId="6" fillId="11" borderId="1" xfId="14" applyAlignment="1" applyBorder="1" applyFont="1" applyNumberFormat="1" applyFill="1" applyProtection="1">
      <alignment horizontal="left" wrapText="1"/>
    </xf>
    <xf xxid="561" numFmtId="0" fontId="69" fillId="0" borderId="0" xfId="14" applyAlignment="1" applyBorder="1" applyFont="1" applyNumberFormat="1" applyFill="1" applyProtection="1">
      <alignment vertical="center"/>
    </xf>
    <xf xxid="562" numFmtId="0" fontId="69" fillId="0" borderId="12" xfId="14" applyAlignment="1" applyBorder="1" applyFont="1" applyNumberFormat="1" applyFill="1" applyProtection="1">
      <alignment vertical="center"/>
    </xf>
    <xf xxid="563" numFmtId="0" fontId="72" fillId="0" borderId="0" xfId="14" applyAlignment="1" applyBorder="1" applyFont="1" applyNumberFormat="1" applyFill="1" applyProtection="1">
      <alignment vertical="center"/>
    </xf>
    <xf xxid="564" numFmtId="0" fontId="69" fillId="0" borderId="5" xfId="14" applyAlignment="1" applyBorder="1" applyFont="1" applyNumberFormat="1" applyFill="1" applyProtection="1">
      <alignment vertical="center" wrapText="1"/>
    </xf>
    <xf xxid="565" numFmtId="0" fontId="73" fillId="0" borderId="0" xfId="14" applyAlignment="1" applyBorder="1" applyFont="1" applyNumberFormat="1" applyFill="1" applyProtection="1">
      <alignment vertical="center"/>
    </xf>
    <xf xxid="566" numFmtId="0" fontId="11" fillId="11" borderId="0" xfId="14" applyAlignment="1" applyBorder="1" applyFont="1" applyNumberFormat="1" applyFill="1" applyProtection="1">
      <alignment horizontal="left" vertical="center" wrapText="1"/>
    </xf>
    <xf xxid="567" numFmtId="0" fontId="11" fillId="11" borderId="0" xfId="14" applyAlignment="1" applyBorder="1" applyFont="1" applyNumberFormat="1" applyFill="1" applyProtection="1">
      <alignment vertical="center" wrapText="1"/>
    </xf>
    <xf xxid="568" numFmtId="0" fontId="11" fillId="11" borderId="0" xfId="14" applyAlignment="1" applyBorder="1" applyFont="1" applyNumberFormat="1" applyFill="1" applyProtection="1">
      <alignment horizontal="center" vertical="center" wrapText="1"/>
    </xf>
    <xf xxid="569" numFmtId="0" fontId="11" fillId="11" borderId="4" xfId="14" applyAlignment="1" applyBorder="1" applyFont="1" applyNumberFormat="1" applyFill="1" applyProtection="1">
      <alignment horizontal="center" vertical="center" wrapText="1"/>
    </xf>
    <xf xxid="570" numFmtId="0" fontId="73" fillId="11" borderId="0" xfId="14" applyAlignment="1" applyBorder="1" applyFont="1" applyNumberFormat="1" applyFill="1" applyProtection="1">
      <alignment wrapText="1"/>
    </xf>
    <xf xxid="571" numFmtId="0" fontId="11" fillId="11" borderId="0" xfId="14" applyAlignment="1" applyBorder="1" applyFont="1" applyNumberFormat="1" applyFill="1" applyProtection="1">
      <alignment wrapText="1"/>
    </xf>
    <xf xxid="572" numFmtId="0" fontId="69" fillId="0" borderId="5" xfId="14" applyAlignment="1" applyBorder="1" applyFont="1" applyNumberFormat="1" applyFill="1" applyProtection="1"/>
    <xf xxid="573" numFmtId="0" fontId="69" fillId="0" borderId="0" xfId="14" applyAlignment="1" applyBorder="1" applyFont="1" applyNumberFormat="1" applyFill="1" applyProtection="1"/>
    <xf xxid="574" numFmtId="0" fontId="69" fillId="0" borderId="0" xfId="14" applyAlignment="1" applyBorder="1" applyFont="1" applyNumberFormat="1" applyFill="1" applyProtection="1">
      <alignment horizontal="center" wrapText="1"/>
    </xf>
    <xf xxid="575" numFmtId="0" fontId="73" fillId="0" borderId="0" xfId="14" applyAlignment="1" applyBorder="1" applyFont="1" applyNumberFormat="1" applyFill="1" applyProtection="1">
      <alignment horizontal="center" wrapText="1"/>
    </xf>
    <xf xxid="576" numFmtId="0" fontId="11" fillId="11" borderId="4" xfId="14" applyAlignment="1" applyBorder="1" applyFont="1" applyNumberFormat="1" applyFill="1" applyProtection="1">
      <alignment vertical="center" wrapText="1"/>
    </xf>
    <xf xxid="577" numFmtId="0" fontId="11" fillId="11" borderId="0" xfId="14" applyAlignment="1" applyBorder="1" applyFont="1" applyNumberFormat="1" applyFill="1" applyProtection="1">
      <alignment vertical="top" wrapText="1"/>
    </xf>
    <xf xxid="578" numFmtId="0" fontId="73" fillId="0" borderId="0" xfId="14" applyAlignment="1" applyBorder="1" applyFont="1" applyNumberFormat="1" applyFill="1" applyProtection="1"/>
    <xf xxid="579" numFmtId="0" fontId="11" fillId="11" borderId="0" xfId="14" applyAlignment="1" applyBorder="1" applyFont="1" applyNumberFormat="1" applyFill="1" applyProtection="1">
      <alignment horizontal="left" wrapText="1"/>
    </xf>
    <xf xxid="580" numFmtId="0" fontId="11" fillId="11" borderId="0" xfId="14" applyAlignment="1" applyBorder="1" applyFont="1" applyNumberFormat="1" applyFill="1" applyProtection="1">
      <alignment horizontal="center" wrapText="1"/>
    </xf>
    <xf xxid="581" numFmtId="0" fontId="11" fillId="11" borderId="4" xfId="14" applyAlignment="1" applyBorder="1" applyFont="1" applyNumberFormat="1" applyFill="1" applyProtection="1">
      <alignment horizontal="center" wrapText="1"/>
    </xf>
    <xf xxid="582" numFmtId="0" fontId="74" fillId="0" borderId="0" xfId="14" applyAlignment="1" applyBorder="1" applyFont="1" applyNumberFormat="1" applyFill="1" applyProtection="1"/>
    <xf xxid="583" numFmtId="0" fontId="74" fillId="0" borderId="0" xfId="14" applyAlignment="1" applyBorder="1" applyFont="1" applyNumberFormat="1" applyFill="1" applyProtection="1">
      <alignment horizontal="left"/>
    </xf>
    <xf xxid="584" numFmtId="0" fontId="49" fillId="0" borderId="0" xfId="14" applyAlignment="1" applyBorder="1" applyFont="1" applyNumberFormat="1" applyFill="1" applyProtection="1">
      <alignment vertical="center" wrapText="1"/>
    </xf>
    <xf xxid="585" numFmtId="0" fontId="6" fillId="11" borderId="0" xfId="14" applyAlignment="1" applyBorder="1" applyFont="1" applyNumberFormat="1" applyFill="1" applyProtection="1">
      <alignment wrapText="1"/>
    </xf>
    <xf xxid="586" numFmtId="0" fontId="61" fillId="11" borderId="0" xfId="14" applyAlignment="1" applyBorder="1" applyFont="1" applyNumberFormat="1" applyFill="1" applyProtection="1">
      <alignment wrapText="1"/>
    </xf>
    <xf xxid="587" numFmtId="0" fontId="61" fillId="11" borderId="0" xfId="14" applyAlignment="1" applyBorder="1" applyFont="1" applyNumberFormat="1" applyFill="1" applyProtection="1">
      <alignment horizontal="center" wrapText="1"/>
    </xf>
    <xf xxid="588" numFmtId="0" fontId="6" fillId="11" borderId="0" xfId="14" applyAlignment="1" applyBorder="1" applyFont="1" applyNumberFormat="1" applyFill="1" applyProtection="1">
      <alignment horizontal="center" wrapText="1"/>
    </xf>
    <xf xxid="589" numFmtId="0" fontId="6" fillId="11" borderId="0" xfId="14" applyAlignment="1" applyBorder="1" applyFont="1" applyNumberFormat="1" applyFill="1" applyProtection="1">
      <alignment horizontal="left" wrapText="1"/>
    </xf>
    <xf xxid="590" numFmtId="0" fontId="75" fillId="11" borderId="0" xfId="14" applyAlignment="1" applyBorder="1" applyFont="1" applyNumberFormat="1" applyFill="1" applyProtection="1">
      <alignment wrapText="1"/>
    </xf>
    <xf xxid="591" numFmtId="0" fontId="6" fillId="11" borderId="4" xfId="14" applyAlignment="1" applyBorder="1" applyFont="1" applyNumberFormat="1" applyFill="1" applyProtection="1">
      <alignment vertical="top" wrapText="1"/>
    </xf>
    <xf xxid="592" numFmtId="0" fontId="62" fillId="0" borderId="0" xfId="14" applyAlignment="1" applyBorder="1" applyFont="1" applyNumberFormat="1" applyFill="1" applyProtection="1">
      <alignment vertical="center" wrapText="1"/>
    </xf>
    <xf xxid="593" numFmtId="0" fontId="9" fillId="11" borderId="0" xfId="14" applyAlignment="1" applyBorder="1" applyFont="1" applyNumberFormat="1" applyFill="1" applyProtection="1">
      <alignment wrapText="1"/>
    </xf>
    <xf xxid="594" numFmtId="0" fontId="76" fillId="0" borderId="0" xfId="14" applyAlignment="1" applyBorder="1" applyFont="1" applyNumberFormat="1" applyFill="1" applyProtection="1">
      <alignment vertical="center"/>
    </xf>
    <xf xxid="595" numFmtId="0" fontId="76" fillId="0" borderId="1" xfId="14" applyAlignment="1" applyBorder="1" applyFont="1" applyNumberFormat="1" applyFill="1" applyProtection="1">
      <alignment horizontal="center" vertical="center"/>
    </xf>
    <xf xxid="596" numFmtId="0" fontId="74" fillId="0" borderId="1" xfId="14" applyAlignment="1" applyBorder="1" applyFont="1" applyNumberFormat="1" applyFill="1" applyProtection="1">
      <alignment horizontal="center"/>
    </xf>
    <xf xxid="597" numFmtId="0" fontId="77" fillId="0" borderId="3" xfId="14" applyAlignment="1" applyBorder="1" applyFont="1" applyNumberFormat="1" applyFill="1" applyProtection="1"/>
    <xf xxid="598" numFmtId="0" fontId="77" fillId="0" borderId="1" xfId="14" applyAlignment="1" applyBorder="1" applyFont="1" applyNumberFormat="1" applyFill="1" applyProtection="1"/>
    <xf xxid="599" numFmtId="0" fontId="48" fillId="0" borderId="1" xfId="14" applyAlignment="1" applyBorder="1" applyFont="1" applyNumberFormat="1" applyFill="1" applyProtection="1">
      <alignment vertical="center" wrapText="1"/>
    </xf>
    <xf xxid="600" numFmtId="0" fontId="48" fillId="0" borderId="1" xfId="14" applyAlignment="1" applyBorder="1" applyFont="1" applyNumberFormat="1" applyFill="1" applyProtection="1">
      <alignment horizontal="center" vertical="center" wrapText="1"/>
    </xf>
    <xf xxid="601" numFmtId="0" fontId="78" fillId="0" borderId="1" xfId="14" applyAlignment="1" applyBorder="1" applyFont="1" applyNumberFormat="1" applyFill="1" applyProtection="1">
      <alignment vertical="center" wrapText="1"/>
    </xf>
    <xf xxid="602" numFmtId="0" fontId="48" fillId="0" borderId="14" xfId="14" applyAlignment="1" applyBorder="1" applyFont="1" applyNumberFormat="1" applyFill="1" applyProtection="1">
      <alignment vertical="center" wrapText="1"/>
    </xf>
    <xf xxid="603" numFmtId="0" fontId="74" fillId="0" borderId="0" xfId="14" applyAlignment="1" applyBorder="1" applyFont="1" applyNumberFormat="1" applyFill="1" applyProtection="1">
      <alignment horizontal="center"/>
    </xf>
    <xf xxid="604" numFmtId="0" fontId="77" fillId="0" borderId="5" xfId="14" applyAlignment="1" applyBorder="1" applyFont="1" applyNumberFormat="1" applyFill="1" applyProtection="1"/>
    <xf xxid="605" numFmtId="0" fontId="77" fillId="0" borderId="0" xfId="14" applyAlignment="1" applyBorder="1" applyFont="1" applyNumberFormat="1" applyFill="1" applyProtection="1"/>
    <xf xxid="606" numFmtId="0" fontId="48" fillId="0" borderId="0" xfId="14" applyAlignment="1" applyBorder="1" applyFont="1" applyNumberFormat="1" applyFill="1" applyProtection="1">
      <alignment vertical="center" wrapText="1"/>
    </xf>
    <xf xxid="607" numFmtId="0" fontId="74" fillId="0" borderId="0" xfId="14" applyAlignment="1" applyBorder="1" applyFont="1" applyNumberFormat="1" applyFill="1" applyProtection="1">
      <alignment vertical="center" wrapText="1"/>
    </xf>
    <xf xxid="608" numFmtId="0" fontId="48" fillId="0" borderId="0" xfId="14" applyAlignment="1" applyBorder="1" applyFont="1" applyNumberFormat="1" applyFill="1" applyProtection="1">
      <alignment horizontal="center" vertical="center" wrapText="1"/>
    </xf>
    <xf xxid="609" numFmtId="0" fontId="74" fillId="0" borderId="0" xfId="14" applyAlignment="1" applyBorder="1" applyFont="1" applyNumberFormat="1" applyFill="1" applyProtection="1">
      <alignment horizontal="center" wrapText="1"/>
    </xf>
    <xf xxid="610" numFmtId="0" fontId="48" fillId="0" borderId="0" xfId="14" applyAlignment="1" applyBorder="1" applyFont="1" applyNumberFormat="1" applyFill="1" applyProtection="1">
      <alignment wrapText="1"/>
    </xf>
    <xf xxid="611" numFmtId="0" fontId="38" fillId="0" borderId="0" xfId="14" applyAlignment="1" applyBorder="1" applyFont="1" applyNumberFormat="1" applyFill="1" applyProtection="1">
      <alignment wrapText="1"/>
    </xf>
    <xf xxid="612" numFmtId="0" fontId="17" fillId="0" borderId="0" xfId="14" applyAlignment="1" applyBorder="1" applyFont="1" applyNumberFormat="1" applyFill="1" applyProtection="1">
      <alignment wrapText="1"/>
    </xf>
    <xf xxid="613" numFmtId="0" fontId="17" fillId="0" borderId="0" xfId="14" applyAlignment="1" applyBorder="1" applyFont="1" applyNumberFormat="1" applyFill="1" applyProtection="1">
      <alignment horizontal="center" wrapText="1"/>
    </xf>
    <xf xxid="614" numFmtId="0" fontId="48" fillId="0" borderId="0" xfId="14" applyAlignment="1" applyBorder="1" applyFont="1" applyNumberFormat="1" applyFill="1" applyProtection="1">
      <alignment horizontal="center" wrapText="1"/>
    </xf>
    <xf xxid="615" numFmtId="0" fontId="15" fillId="0" borderId="0" xfId="14" applyAlignment="1" applyBorder="1" applyFont="1" applyNumberFormat="1" applyFill="1" applyProtection="1">
      <alignment horizontal="center" wrapText="1"/>
    </xf>
    <xf xxid="616" numFmtId="0" fontId="78" fillId="0" borderId="0" xfId="14" applyAlignment="1" applyBorder="1" applyFont="1" applyNumberFormat="1" applyFill="1" applyProtection="1">
      <alignment horizontal="left" vertical="center" wrapText="1"/>
    </xf>
    <xf xxid="617" numFmtId="0" fontId="57" fillId="0" borderId="0" xfId="14" applyAlignment="1" applyBorder="1" applyFont="1" applyNumberFormat="1" applyFill="1" applyProtection="1">
      <alignment horizontal="center" vertical="center" wrapText="1"/>
    </xf>
    <xf xxid="618" numFmtId="0" fontId="57" fillId="0" borderId="4" xfId="14" applyAlignment="1" applyBorder="1" applyFont="1" applyNumberFormat="1" applyFill="1" applyProtection="1">
      <alignment horizontal="center" vertical="center" wrapText="1"/>
    </xf>
    <xf xxid="619" numFmtId="0" fontId="38" fillId="0" borderId="0" xfId="14" applyAlignment="1" applyBorder="1" applyFont="1" applyNumberFormat="1" applyFill="1" applyProtection="1">
      <alignment vertical="center"/>
    </xf>
    <xf xxid="620" numFmtId="0" fontId="79" fillId="0" borderId="0" xfId="14" applyAlignment="1" applyBorder="1" applyFont="1" applyNumberFormat="1" applyFill="1" applyProtection="1"/>
    <xf xxid="621" numFmtId="0" fontId="78" fillId="0" borderId="0" xfId="14" applyAlignment="1" applyBorder="1" applyFont="1" applyNumberFormat="1" applyFill="1" applyProtection="1">
      <alignment vertical="center" wrapText="1"/>
    </xf>
    <xf xxid="622" numFmtId="0" fontId="80" fillId="0" borderId="2" xfId="14" applyAlignment="1" applyBorder="1" applyFont="1" applyNumberFormat="1" applyFill="1" applyProtection="1"/>
    <xf xxid="623" numFmtId="0" fontId="48" fillId="0" borderId="6" xfId="14" applyAlignment="1" applyBorder="1" applyFont="1" applyNumberFormat="1" applyFill="1" applyProtection="1">
      <alignment vertical="center" wrapText="1"/>
    </xf>
    <xf xxid="624" numFmtId="0" fontId="48" fillId="0" borderId="6" xfId="14" applyAlignment="1" applyBorder="1" applyFont="1" applyNumberFormat="1" applyFill="1" applyProtection="1">
      <alignment wrapText="1"/>
    </xf>
    <xf xxid="625" numFmtId="0" fontId="48" fillId="0" borderId="13" xfId="14" applyAlignment="1" applyBorder="1" applyFont="1" applyNumberFormat="1" applyFill="1" applyProtection="1">
      <alignment vertical="center" wrapText="1"/>
    </xf>
    <xf xxid="626" numFmtId="0" fontId="38" fillId="0" borderId="0" xfId="14" applyAlignment="1" applyBorder="1" applyFont="1" applyNumberFormat="1" applyFill="1" applyProtection="1"/>
    <xf xxid="627" numFmtId="0" fontId="81" fillId="0" borderId="0" xfId="14" applyAlignment="1" applyBorder="1" applyFont="1" applyNumberFormat="1" applyFill="1" applyProtection="1">
      <alignment horizontal="center" vertical="center" wrapText="1"/>
    </xf>
    <xf xxid="628" numFmtId="0" fontId="81" fillId="0" borderId="4" xfId="14" applyAlignment="1" applyBorder="1" applyFont="1" applyNumberFormat="1" applyFill="1" applyProtection="1">
      <alignment vertical="top" wrapText="1"/>
    </xf>
    <xf xxid="629" numFmtId="0" fontId="74" fillId="11" borderId="0" xfId="14" applyAlignment="1" applyBorder="1" applyFont="1" applyNumberFormat="1" applyFill="1" applyProtection="1">
      <alignment wrapText="1"/>
    </xf>
    <xf xxid="630" numFmtId="0" fontId="49" fillId="0" borderId="0" xfId="14" applyAlignment="1" applyBorder="1" applyFont="1" applyNumberFormat="1" applyFill="1" applyProtection="1">
      <alignment horizontal="left" vertical="center"/>
    </xf>
    <xf xxid="631" numFmtId="0" fontId="49" fillId="0" borderId="4" xfId="14" applyAlignment="1" applyBorder="1" applyFont="1" applyNumberFormat="1" applyFill="1" applyProtection="1">
      <alignment horizontal="left" vertical="center"/>
    </xf>
    <xf xxid="632" numFmtId="0" fontId="48" fillId="0" borderId="0" xfId="14" applyAlignment="1" applyBorder="1" applyFont="1" applyNumberFormat="1" applyFill="1" applyProtection="1">
      <alignment horizontal="left" vertical="center"/>
    </xf>
    <xf xxid="633" numFmtId="0" fontId="48" fillId="0" borderId="0" xfId="14" applyAlignment="1" applyBorder="1" applyFont="1" applyNumberFormat="1" applyFill="1" applyProtection="1">
      <alignment vertical="center"/>
    </xf>
    <xf xxid="634" numFmtId="0" fontId="81" fillId="0" borderId="0" xfId="14" applyAlignment="1" applyBorder="1" applyFont="1" applyNumberFormat="1" applyFill="1" applyProtection="1">
      <alignment vertical="center" wrapText="1"/>
    </xf>
    <xf xxid="635" numFmtId="0" fontId="56" fillId="11" borderId="0" xfId="14" applyAlignment="1" applyBorder="1" applyFont="1" applyNumberFormat="1" applyFill="1" applyProtection="1">
      <alignment horizontal="center"/>
    </xf>
    <xf xxid="636" numFmtId="0" fontId="56" fillId="12" borderId="7" xfId="14" applyAlignment="1" applyBorder="1" applyFont="1" applyNumberFormat="1" applyFill="1" applyProtection="1"/>
    <xf xxid="637" numFmtId="0" fontId="56" fillId="11" borderId="7" xfId="14" applyAlignment="1" applyBorder="1" applyFont="1" applyNumberFormat="1" applyFill="1" applyProtection="1"/>
    <xf xxid="638" numFmtId="0" fontId="56" fillId="12" borderId="44" xfId="14" applyAlignment="1" applyBorder="1" applyFont="1" applyNumberFormat="1" applyFill="1" applyProtection="1"/>
    <xf xxid="639" numFmtId="0" fontId="56" fillId="0" borderId="45" xfId="14" applyAlignment="1" applyBorder="1" applyFont="1" applyNumberFormat="1" applyFill="1" applyProtection="1"/>
    <xf xxid="640" numFmtId="169" fontId="15" fillId="11" borderId="29" xfId="1" applyAlignment="1" applyBorder="1" applyFont="1" applyNumberFormat="1" applyFill="1" applyProtection="1">
      <alignment vertical="center"/>
    </xf>
    <xf xxid="641" numFmtId="169" fontId="57" fillId="11" borderId="29" xfId="1" applyAlignment="1" applyBorder="1" applyFont="1" applyNumberFormat="1" applyFill="1" applyProtection="1">
      <alignment vertical="center" wrapText="1"/>
    </xf>
    <xf xxid="642" numFmtId="169" fontId="15" fillId="11" borderId="29" xfId="1" applyAlignment="1" applyBorder="1" applyFont="1" applyNumberFormat="1" applyFill="1" applyProtection="1">
      <alignment horizontal="center" vertical="center"/>
    </xf>
    <xf xxid="643" numFmtId="169" fontId="57" fillId="11" borderId="29" xfId="1" applyAlignment="1" applyBorder="1" applyFont="1" applyNumberFormat="1" applyFill="1" applyProtection="1">
      <alignment vertical="top" wrapText="1"/>
    </xf>
    <xf xxid="644" numFmtId="167" fontId="17" fillId="0" borderId="10" xfId="0" applyAlignment="1" applyBorder="1" applyFont="1" applyNumberFormat="1" applyFill="1" applyProtection="1">
      <alignment horizontal="center" vertical="center" wrapText="1"/>
    </xf>
    <xf xxid="645" numFmtId="167" fontId="17" fillId="0" borderId="0" xfId="0" applyAlignment="1" applyBorder="1" applyFont="1" applyNumberFormat="1" applyFill="1" applyProtection="1">
      <alignment horizontal="center" vertical="center" wrapText="1"/>
    </xf>
    <xf xxid="646" numFmtId="167" fontId="17" fillId="0" borderId="12" xfId="0" applyAlignment="1" applyBorder="1" applyFont="1" applyNumberFormat="1" applyFill="1" applyProtection="1">
      <alignment horizontal="center" vertical="center" wrapText="1"/>
    </xf>
    <xf xxid="647" numFmtId="173" fontId="2" fillId="5" borderId="30" xfId="0" applyAlignment="1" applyBorder="1" applyFont="1" applyNumberFormat="1" applyFill="1" applyProtection="1">
      <alignment horizontal="center"/>
      <protection locked="0"/>
    </xf>
    <xf xxid="648" numFmtId="0" fontId="6" fillId="0" borderId="0" xfId="0" applyAlignment="1" applyBorder="1" applyFont="1" applyNumberFormat="1" applyFill="1" applyProtection="1">
      <alignment horizontal="left" vertical="center" wrapText="1"/>
    </xf>
    <xf xxid="649" numFmtId="169" fontId="17" fillId="0" borderId="1" xfId="0" applyAlignment="1" applyBorder="1" applyFont="1" applyNumberFormat="1" applyFill="1" applyProtection="1">
      <alignment horizontal="center"/>
    </xf>
    <xf xxid="650" numFmtId="0" fontId="10" fillId="0" borderId="0" xfId="0" applyAlignment="1" applyBorder="1" applyFont="1" applyNumberFormat="1" applyFill="1" applyProtection="1">
      <alignment horizontal="right"/>
    </xf>
    <xf xxid="651" numFmtId="187" fontId="10" fillId="0" borderId="0" xfId="0" applyAlignment="1" applyBorder="1" applyFont="1" applyNumberFormat="1" applyFill="1" applyProtection="1"/>
    <xf xxid="652" numFmtId="0" fontId="6" fillId="12" borderId="7" xfId="0" applyAlignment="1" applyBorder="1" applyFont="1" applyNumberFormat="1" applyFill="1" applyProtection="1">
      <alignment horizontal="center" vertical="center"/>
    </xf>
    <xf xxid="653" numFmtId="0" fontId="10" fillId="12" borderId="7" xfId="0" applyAlignment="1" applyBorder="1" applyFont="1" applyNumberFormat="1" applyFill="1" applyProtection="1">
      <alignment horizontal="center" vertical="center"/>
    </xf>
    <xf xxid="654" numFmtId="166" fontId="83" fillId="14" borderId="0" xfId="2" applyAlignment="1" applyBorder="1" applyFont="1" applyNumberFormat="1" applyFill="1" applyProtection="1"/>
    <xf xxid="655" numFmtId="169" fontId="17" fillId="0" borderId="18" xfId="0" applyAlignment="1" applyBorder="1" applyFont="1" applyNumberFormat="1" applyFill="1" applyProtection="1">
      <alignment horizontal="center" vertical="center"/>
    </xf>
    <xf xxid="656" numFmtId="169" fontId="17" fillId="15" borderId="12" xfId="0" applyAlignment="1" applyBorder="1" applyFont="1" applyNumberFormat="1" applyFill="1" applyProtection="1">
      <alignment vertical="center"/>
    </xf>
    <xf xxid="657" numFmtId="169" fontId="17" fillId="15" borderId="12" xfId="0" applyAlignment="1" applyBorder="1" applyFont="1" applyNumberFormat="1" applyFill="1" applyProtection="1"/>
    <xf xxid="658" numFmtId="0" fontId="3" fillId="0" borderId="18" xfId="0" applyAlignment="1" applyBorder="1" applyFont="1" applyNumberFormat="1" applyFill="1" applyProtection="1">
      <alignment vertical="center"/>
    </xf>
    <xf xxid="659" numFmtId="0" fontId="3" fillId="0" borderId="19" xfId="0" applyAlignment="1" applyBorder="1" applyFont="1" applyNumberFormat="1" applyFill="1" applyProtection="1">
      <alignment vertical="center"/>
    </xf>
    <xf xxid="660" numFmtId="0" fontId="3" fillId="0" borderId="8" xfId="0" applyAlignment="1" applyBorder="1" applyFont="1" applyNumberFormat="1" applyFill="1" applyProtection="1"/>
    <xf xxid="661" numFmtId="0" fontId="3" fillId="0" borderId="19" xfId="0" applyAlignment="1" applyBorder="1" applyFont="1" applyNumberFormat="1" applyFill="1" applyProtection="1"/>
    <xf xxid="662" numFmtId="0" fontId="17" fillId="0" borderId="22" xfId="0" applyAlignment="1" applyBorder="1" applyFont="1" applyNumberFormat="1" applyFill="1" applyProtection="1">
      <alignment vertical="center"/>
    </xf>
    <xf xxid="663" numFmtId="0" fontId="17" fillId="0" borderId="21" xfId="0" applyAlignment="1" applyBorder="1" applyFont="1" applyNumberFormat="1" applyFill="1" applyProtection="1">
      <alignment vertical="center"/>
    </xf>
    <xf xxid="664" numFmtId="169" fontId="17" fillId="0" borderId="10" xfId="0" applyAlignment="1" applyBorder="1" applyFont="1" applyNumberFormat="1" applyFill="1" applyProtection="1">
      <alignment vertical="center"/>
    </xf>
    <xf xxid="665" numFmtId="169" fontId="17" fillId="0" borderId="8" xfId="0" applyAlignment="1" applyBorder="1" applyFont="1" applyNumberFormat="1" applyFill="1" applyProtection="1">
      <alignment vertical="center"/>
    </xf>
    <xf xxid="666" numFmtId="0" fontId="85" fillId="6" borderId="0" xfId="0" applyAlignment="1" applyBorder="1" applyFont="1" applyNumberFormat="1" applyFill="1" applyProtection="1">
      <protection hidden="1"/>
    </xf>
    <xf xxid="667" numFmtId="0" fontId="86" fillId="6" borderId="0" xfId="0" applyAlignment="1" applyBorder="1" applyFont="1" applyNumberFormat="1" applyFill="1" applyProtection="1">
      <alignment horizontal="right"/>
      <protection hidden="1"/>
    </xf>
    <xf xxid="668" numFmtId="0" fontId="87" fillId="6" borderId="0" xfId="0" applyAlignment="1" applyBorder="1" applyFont="1" applyNumberFormat="1" applyFill="1" applyProtection="1">
      <protection hidden="1"/>
    </xf>
    <xf xxid="669" numFmtId="0" fontId="88" fillId="6" borderId="0" xfId="0" applyAlignment="1" applyBorder="1" applyFont="1" applyNumberFormat="1" applyFill="1" applyProtection="1">
      <protection hidden="1"/>
    </xf>
    <xf xxid="670" numFmtId="0" fontId="86" fillId="6" borderId="0" xfId="0" applyAlignment="1" applyBorder="1" applyFont="1" applyNumberFormat="1" applyFill="1" applyProtection="1">
      <protection hidden="1"/>
    </xf>
    <xf xxid="671" numFmtId="0" fontId="89" fillId="6" borderId="0" xfId="0" applyAlignment="1" applyBorder="1" applyFont="1" applyNumberFormat="1" applyFill="1" applyProtection="1">
      <alignment horizontal="right"/>
      <protection hidden="1"/>
    </xf>
    <xf xxid="672" numFmtId="0" fontId="90" fillId="6" borderId="0" xfId="0" applyAlignment="1" applyBorder="1" applyFont="1" applyNumberFormat="1" applyFill="1" applyProtection="1">
      <protection hidden="1"/>
    </xf>
    <xf xxid="673" numFmtId="0" fontId="85" fillId="8" borderId="0" xfId="0" applyAlignment="1" applyBorder="1" applyFont="1" applyNumberFormat="1" applyFill="1" applyProtection="1">
      <protection hidden="1"/>
    </xf>
    <xf xxid="674" numFmtId="0" fontId="85" fillId="6" borderId="0" xfId="0" applyAlignment="1" applyBorder="1" applyFont="1" applyNumberFormat="1" applyFill="1" applyProtection="1">
      <alignment vertical="center"/>
      <protection hidden="1"/>
    </xf>
    <xf xxid="675" numFmtId="0" fontId="88" fillId="6" borderId="0" xfId="0" applyAlignment="1" applyBorder="1" applyFont="1" applyNumberFormat="1" applyFill="1" applyProtection="1">
      <alignment vertical="center"/>
      <protection hidden="1"/>
    </xf>
    <xf xxid="676" numFmtId="0" fontId="89" fillId="6" borderId="0" xfId="0" applyAlignment="1" applyBorder="1" applyFont="1" applyNumberFormat="1" applyFill="1" applyProtection="1">
      <alignment vertical="center"/>
      <protection hidden="1"/>
    </xf>
    <xf xxid="677" numFmtId="179" fontId="89" fillId="6" borderId="0" xfId="1" applyAlignment="1" applyBorder="1" applyFont="1" applyNumberFormat="1" applyFill="1" applyProtection="1">
      <alignment horizontal="center" vertical="center"/>
      <protection hidden="1"/>
    </xf>
    <xf xxid="678" numFmtId="0" fontId="91" fillId="6" borderId="0" xfId="0" applyAlignment="1" applyBorder="1" applyFont="1" applyNumberFormat="1" applyFill="1" applyProtection="1">
      <protection hidden="1"/>
    </xf>
    <xf xxid="679" numFmtId="169" fontId="88" fillId="6" borderId="0" xfId="0" applyAlignment="1" applyBorder="1" applyFont="1" applyNumberFormat="1" applyFill="1" applyProtection="1">
      <alignment horizontal="center" vertical="center"/>
      <protection hidden="1"/>
    </xf>
    <xf xxid="680" numFmtId="0" fontId="88" fillId="6" borderId="0" xfId="0" applyAlignment="1" applyBorder="1" applyFont="1" applyNumberFormat="1" applyFill="1" applyProtection="1">
      <alignment horizontal="center" vertical="center"/>
      <protection hidden="1"/>
    </xf>
    <xf xxid="681" numFmtId="0" fontId="85" fillId="6" borderId="0" xfId="0" applyAlignment="1" applyBorder="1" applyFont="1" applyNumberFormat="1" applyFill="1" applyProtection="1">
      <alignment horizontal="center" vertical="center"/>
      <protection hidden="1"/>
    </xf>
    <xf xxid="682" numFmtId="0" fontId="88" fillId="6" borderId="46" xfId="0" applyAlignment="1" applyBorder="1" applyFont="1" applyNumberFormat="1" applyFill="1" applyProtection="1">
      <alignment horizontal="center" vertical="center" wrapText="1" shrinkToFit="1"/>
      <protection hidden="1"/>
    </xf>
    <xf xxid="683" numFmtId="0" fontId="88" fillId="6" borderId="8" xfId="0" applyAlignment="1" applyBorder="1" applyFont="1" applyNumberFormat="1" applyFill="1" applyProtection="1">
      <alignment horizontal="center" vertical="center" wrapText="1" shrinkToFit="1"/>
      <protection hidden="1"/>
    </xf>
    <xf xxid="684" numFmtId="0" fontId="88" fillId="6" borderId="8" xfId="0" applyAlignment="1" applyBorder="1" applyFont="1" applyNumberFormat="1" applyFill="1" applyProtection="1">
      <alignment horizontal="center"/>
      <protection hidden="1"/>
    </xf>
    <xf xxid="685" numFmtId="0" fontId="88" fillId="6" borderId="47" xfId="0" applyAlignment="1" applyBorder="1" applyFont="1" applyNumberFormat="1" applyFill="1" applyProtection="1">
      <alignment horizontal="center"/>
      <protection hidden="1"/>
    </xf>
    <xf xxid="686" numFmtId="0" fontId="85" fillId="6" borderId="4" xfId="0" applyAlignment="1" applyBorder="1" applyFont="1" applyNumberFormat="1" applyFill="1" applyProtection="1">
      <protection hidden="1"/>
    </xf>
    <xf xxid="687" numFmtId="0" fontId="88" fillId="6" borderId="0" xfId="0" applyAlignment="1" applyBorder="1" applyFont="1" applyNumberFormat="1" applyFill="1" applyProtection="1">
      <alignment horizontal="center" vertical="center" wrapText="1" shrinkToFit="1"/>
      <protection hidden="1"/>
    </xf>
    <xf xxid="688" numFmtId="0" fontId="88" fillId="6" borderId="0" xfId="0" applyAlignment="1" applyBorder="1" applyFont="1" applyNumberFormat="1" applyFill="1" applyProtection="1">
      <alignment horizontal="center"/>
      <protection hidden="1"/>
    </xf>
    <xf xxid="689" numFmtId="174" fontId="93" fillId="6" borderId="0" xfId="0" applyAlignment="1" applyBorder="1" applyFont="1" applyNumberFormat="1" applyFill="1" applyProtection="1">
      <alignment horizontal="left" vertical="center" wrapText="1"/>
      <protection hidden="1"/>
    </xf>
    <xf xxid="690" numFmtId="179" fontId="85" fillId="6" borderId="0" xfId="1" applyAlignment="1" applyBorder="1" applyFont="1" applyNumberFormat="1" applyFill="1" applyProtection="1">
      <protection hidden="1"/>
    </xf>
    <xf xxid="691" numFmtId="0" fontId="85" fillId="6" borderId="0" xfId="0" applyAlignment="1" applyBorder="1" applyFont="1" applyNumberFormat="1" applyFill="1" applyProtection="1"/>
    <xf xxid="692" numFmtId="0" fontId="88" fillId="6" borderId="0" xfId="0" applyAlignment="1" applyBorder="1" applyFont="1" applyNumberFormat="1" applyFill="1" applyProtection="1">
      <protection locked="0"/>
    </xf>
    <xf xxid="693" numFmtId="0" fontId="85" fillId="6" borderId="0" xfId="0" applyAlignment="1" applyBorder="1" applyFont="1" applyNumberFormat="1" applyFill="1" applyProtection="1">
      <protection locked="0"/>
    </xf>
    <xf xxid="694" numFmtId="0" fontId="85" fillId="6" borderId="48" xfId="0" applyAlignment="1" applyBorder="1" applyFont="1" applyNumberFormat="1" applyFill="1" applyProtection="1">
      <protection hidden="1"/>
    </xf>
    <xf xxid="695" numFmtId="0" fontId="88" fillId="6" borderId="49" xfId="0" applyAlignment="1" applyBorder="1" applyFont="1" applyNumberFormat="1" applyFill="1" applyProtection="1">
      <protection hidden="1"/>
    </xf>
    <xf xxid="696" numFmtId="0" fontId="88" fillId="6" borderId="20" xfId="0" applyAlignment="1" applyBorder="1" applyFont="1" applyNumberFormat="1" applyFill="1" applyProtection="1">
      <protection hidden="1"/>
    </xf>
    <xf xxid="697" numFmtId="0" fontId="88" fillId="6" borderId="29" xfId="0" applyAlignment="1" applyBorder="1" applyFont="1" applyNumberFormat="1" applyFill="1" applyProtection="1">
      <protection hidden="1"/>
    </xf>
    <xf xxid="698" numFmtId="179" fontId="88" fillId="6" borderId="0" xfId="1" applyAlignment="1" applyBorder="1" applyFont="1" applyNumberFormat="1" applyFill="1" applyProtection="1">
      <protection hidden="1"/>
    </xf>
    <xf xxid="699" numFmtId="179" fontId="85" fillId="6" borderId="0" xfId="1" applyAlignment="1" applyBorder="1" applyFont="1" applyNumberFormat="1" applyFill="1" applyProtection="1">
      <alignment horizontal="center"/>
      <protection hidden="1"/>
    </xf>
    <xf xxid="700" numFmtId="0" fontId="88" fillId="6" borderId="0" xfId="0" applyAlignment="1" applyBorder="1" applyFont="1" applyNumberFormat="1" applyFill="1" applyProtection="1">
      <alignment vertical="center"/>
      <protection locked="0"/>
    </xf>
    <xf xxid="701" numFmtId="0" fontId="85" fillId="6" borderId="0" xfId="0" applyAlignment="1" applyBorder="1" applyFont="1" applyNumberFormat="1" applyFill="1" applyProtection="1">
      <alignment vertical="center"/>
      <protection locked="0"/>
    </xf>
    <xf xxid="702" numFmtId="179" fontId="88" fillId="6" borderId="0" xfId="1" applyAlignment="1" applyBorder="1" applyFont="1" applyNumberFormat="1" applyFill="1" applyProtection="1">
      <alignment horizontal="center"/>
      <protection hidden="1"/>
    </xf>
    <xf xxid="703" numFmtId="169" fontId="88" fillId="6" borderId="0" xfId="0" applyAlignment="1" applyBorder="1" applyFont="1" applyNumberFormat="1" applyFill="1" applyProtection="1">
      <alignment horizontal="center"/>
      <protection locked="0"/>
    </xf>
    <xf xxid="704" numFmtId="0" fontId="85" fillId="6" borderId="0" xfId="0" applyAlignment="1" applyBorder="1" applyFont="1" applyNumberFormat="1" applyFill="1" applyProtection="1">
      <alignment horizontal="center"/>
      <protection locked="0"/>
    </xf>
    <xf xxid="705" numFmtId="0" fontId="85" fillId="6" borderId="20" xfId="0" applyAlignment="1" applyBorder="1" applyFont="1" applyNumberFormat="1" applyFill="1" applyProtection="1">
      <protection hidden="1"/>
    </xf>
    <xf xxid="706" numFmtId="179" fontId="85" fillId="6" borderId="0" xfId="0" applyAlignment="1" applyBorder="1" applyFont="1" applyNumberFormat="1" applyFill="1" applyProtection="1">
      <protection hidden="1"/>
    </xf>
    <xf xxid="707" numFmtId="0" fontId="85" fillId="6" borderId="0" xfId="0" applyAlignment="1" applyBorder="1" applyFont="1" applyNumberFormat="1" applyFill="1" applyProtection="1">
      <alignment horizontal="center"/>
      <protection hidden="1"/>
    </xf>
    <xf xxid="708" numFmtId="169" fontId="85" fillId="6" borderId="0" xfId="1" applyAlignment="1" applyBorder="1" applyFont="1" applyNumberFormat="1" applyFill="1" applyProtection="1">
      <alignment horizontal="center"/>
      <protection hidden="1"/>
    </xf>
    <xf xxid="709" numFmtId="0" fontId="94" fillId="6" borderId="46" xfId="0" applyAlignment="1" applyBorder="1" applyFont="1" applyNumberFormat="1" applyFill="1" applyProtection="1">
      <protection hidden="1"/>
    </xf>
    <xf xxid="710" numFmtId="0" fontId="94" fillId="6" borderId="8" xfId="0" applyAlignment="1" applyBorder="1" applyFont="1" applyNumberFormat="1" applyFill="1" applyProtection="1">
      <protection hidden="1"/>
    </xf>
    <xf xxid="711" numFmtId="0" fontId="94" fillId="6" borderId="20" xfId="0" applyAlignment="1" applyBorder="1" applyFont="1" applyNumberFormat="1" applyFill="1" applyProtection="1">
      <protection hidden="1"/>
    </xf>
    <xf xxid="712" numFmtId="0" fontId="85" fillId="6" borderId="8" xfId="0" applyAlignment="1" applyBorder="1" applyFont="1" applyNumberFormat="1" applyFill="1" applyProtection="1">
      <protection hidden="1"/>
    </xf>
    <xf xxid="713" numFmtId="179" fontId="85" fillId="6" borderId="8" xfId="0" applyAlignment="1" applyBorder="1" applyFont="1" applyNumberFormat="1" applyFill="1" applyProtection="1">
      <protection hidden="1"/>
    </xf>
    <xf xxid="714" numFmtId="179" fontId="88" fillId="6" borderId="0" xfId="1" applyAlignment="1" applyBorder="1" applyFont="1" applyNumberFormat="1" applyFill="1" applyProtection="1">
      <alignment horizontal="center" vertical="center"/>
      <protection hidden="1"/>
    </xf>
    <xf xxid="715" numFmtId="0" fontId="88" fillId="6" borderId="50" xfId="0" applyAlignment="1" applyBorder="1" applyFont="1" applyNumberFormat="1" applyFill="1" applyProtection="1">
      <alignment vertical="center"/>
      <protection hidden="1"/>
    </xf>
    <xf xxid="716" numFmtId="0" fontId="92" fillId="6" borderId="51" xfId="0" applyAlignment="1" applyBorder="1" applyFont="1" applyNumberFormat="1" applyFill="1" applyProtection="1">
      <alignment vertical="center"/>
      <protection hidden="1"/>
    </xf>
    <xf xxid="717" numFmtId="0" fontId="88" fillId="6" borderId="51" xfId="0" applyAlignment="1" applyBorder="1" applyFont="1" applyNumberFormat="1" applyFill="1" applyProtection="1">
      <alignment vertical="center"/>
      <protection hidden="1"/>
    </xf>
    <xf xxid="718" numFmtId="179" fontId="88" fillId="6" borderId="0" xfId="1" applyAlignment="1" applyBorder="1" applyFont="1" applyNumberFormat="1" applyFill="1" applyProtection="1">
      <alignment vertical="center"/>
      <protection hidden="1"/>
    </xf>
    <xf xxid="719" numFmtId="0" fontId="85" fillId="6" borderId="0" xfId="0" applyAlignment="1" applyBorder="1" applyFont="1" applyNumberFormat="1" applyFill="1" applyProtection="1">
      <alignment vertical="center"/>
    </xf>
    <xf xxid="720" numFmtId="0" fontId="85" fillId="0" borderId="0" xfId="0" applyAlignment="1" applyBorder="1" applyFont="1" applyNumberFormat="1" applyFill="1" applyProtection="1">
      <alignment vertical="center"/>
      <protection hidden="1"/>
    </xf>
    <xf xxid="721" numFmtId="0" fontId="85" fillId="0" borderId="0" xfId="0" applyAlignment="1" applyBorder="1" applyFont="1" applyNumberFormat="1" applyFill="1" applyProtection="1">
      <protection hidden="1"/>
    </xf>
    <xf xxid="722" numFmtId="174" fontId="93" fillId="6" borderId="0" xfId="0" applyAlignment="1" applyBorder="1" applyFont="1" applyNumberFormat="1" applyFill="1" applyProtection="1">
      <alignment horizontal="center" vertical="center" wrapText="1"/>
      <protection hidden="1"/>
    </xf>
    <xf xxid="723" numFmtId="168" fontId="85" fillId="6" borderId="0" xfId="0" applyAlignment="1" applyBorder="1" applyFont="1" applyNumberFormat="1" applyFill="1" applyProtection="1">
      <alignment horizontal="center"/>
      <protection hidden="1"/>
    </xf>
    <xf xxid="724" numFmtId="0" fontId="93" fillId="6" borderId="0" xfId="0" applyAlignment="1" applyBorder="1" applyFont="1" applyNumberFormat="1" applyFill="1" applyProtection="1">
      <protection hidden="1"/>
    </xf>
    <xf xxid="725" numFmtId="174" fontId="93" fillId="6" borderId="0" xfId="0" applyAlignment="1" applyBorder="1" applyFont="1" applyNumberFormat="1" applyFill="1" applyProtection="1">
      <alignment horizontal="left" vertical="center"/>
      <protection hidden="1"/>
    </xf>
    <xf xxid="726" numFmtId="0" fontId="88" fillId="0" borderId="0" xfId="0" applyAlignment="1" applyBorder="1" applyFont="1" applyNumberFormat="1" applyFill="1" applyProtection="1">
      <protection hidden="1"/>
    </xf>
    <xf xxid="727" numFmtId="0" fontId="88" fillId="6" borderId="0" xfId="0" applyAlignment="1" applyBorder="1" applyFont="1" applyNumberFormat="1" applyFill="1" applyProtection="1">
      <alignment horizontal="center"/>
      <protection locked="0"/>
    </xf>
    <xf xxid="728" numFmtId="0" fontId="92" fillId="6" borderId="0" xfId="0" applyAlignment="1" applyBorder="1" applyFont="1" applyNumberFormat="1" applyFill="1" applyProtection="1">
      <protection hidden="1"/>
    </xf>
    <xf xxid="729" numFmtId="0" fontId="95" fillId="6" borderId="0" xfId="0" applyAlignment="1" applyBorder="1" applyFont="1" applyNumberFormat="1" applyFill="1" applyProtection="1">
      <alignment vertical="center"/>
      <protection hidden="1"/>
    </xf>
    <xf xxid="730" numFmtId="0" fontId="85" fillId="6" borderId="52" xfId="0" applyAlignment="1" applyBorder="1" applyFont="1" applyNumberFormat="1" applyFill="1" applyProtection="1">
      <alignment horizontal="center"/>
      <protection hidden="1"/>
    </xf>
    <xf xxid="731" numFmtId="0" fontId="88" fillId="6" borderId="50" xfId="0" applyAlignment="1" applyBorder="1" applyFont="1" applyNumberFormat="1" applyFill="1" applyProtection="1">
      <protection hidden="1"/>
    </xf>
    <xf xxid="732" numFmtId="0" fontId="85" fillId="6" borderId="51" xfId="0" applyAlignment="1" applyBorder="1" applyFont="1" applyNumberFormat="1" applyFill="1" applyProtection="1">
      <protection hidden="1"/>
    </xf>
    <xf xxid="733" numFmtId="0" fontId="85" fillId="6" borderId="53" xfId="0" applyAlignment="1" applyBorder="1" applyFont="1" applyNumberFormat="1" applyFill="1" applyProtection="1">
      <protection hidden="1"/>
    </xf>
    <xf xxid="734" numFmtId="0" fontId="85" fillId="6" borderId="54" xfId="0" applyAlignment="1" applyBorder="1" applyFont="1" applyNumberFormat="1" applyFill="1" applyProtection="1">
      <protection hidden="1"/>
    </xf>
    <xf xxid="735" numFmtId="169" fontId="88" fillId="6" borderId="55" xfId="1" applyAlignment="1" applyBorder="1" applyFont="1" applyNumberFormat="1" applyFill="1" applyProtection="1">
      <protection hidden="1"/>
    </xf>
    <xf xxid="736" numFmtId="0" fontId="85" fillId="6" borderId="0" xfId="0" applyAlignment="1" applyBorder="1" applyFont="1" applyNumberFormat="1" applyFill="1" applyProtection="1">
      <alignment horizontal="left"/>
      <protection hidden="1"/>
    </xf>
    <xf xxid="737" numFmtId="169" fontId="85" fillId="6" borderId="8" xfId="0" applyAlignment="1" applyBorder="1" applyFont="1" applyNumberFormat="1" applyFill="1" applyProtection="1">
      <alignment horizontal="center"/>
      <protection hidden="1"/>
    </xf>
    <xf xxid="738" numFmtId="0" fontId="85" fillId="6" borderId="8" xfId="0" applyAlignment="1" applyBorder="1" applyFont="1" applyNumberFormat="1" applyFill="1" applyProtection="1">
      <alignment horizontal="center"/>
      <protection hidden="1"/>
    </xf>
    <xf xxid="739" numFmtId="169" fontId="85" fillId="6" borderId="0" xfId="0" applyAlignment="1" applyBorder="1" applyFont="1" applyNumberFormat="1" applyFill="1" applyProtection="1">
      <alignment horizontal="center"/>
      <protection hidden="1"/>
    </xf>
    <xf xxid="740" numFmtId="169" fontId="85" fillId="6" borderId="8" xfId="1" applyAlignment="1" applyBorder="1" applyFont="1" applyNumberFormat="1" applyFill="1" applyProtection="1">
      <alignment horizontal="center"/>
      <protection hidden="1"/>
    </xf>
    <xf xxid="741" numFmtId="10" fontId="85" fillId="6" borderId="0" xfId="7" applyAlignment="1" applyBorder="1" applyFont="1" applyNumberFormat="1" applyFill="1" applyProtection="1">
      <protection hidden="1"/>
    </xf>
    <xf xxid="742" numFmtId="0" fontId="88" fillId="6" borderId="0" xfId="0" applyAlignment="1" applyBorder="1" applyFont="1" applyNumberFormat="1" applyFill="1" applyProtection="1">
      <alignment vertical="center" wrapText="1"/>
      <protection hidden="1"/>
    </xf>
    <xf xxid="743" numFmtId="168" fontId="85" fillId="6" borderId="0" xfId="0" applyAlignment="1" applyBorder="1" applyFont="1" applyNumberFormat="1" applyFill="1" applyProtection="1">
      <protection hidden="1"/>
    </xf>
    <xf xxid="744" numFmtId="183" fontId="85" fillId="6" borderId="0" xfId="0" applyAlignment="1" applyBorder="1" applyFont="1" applyNumberFormat="1" applyFill="1" applyProtection="1">
      <protection hidden="1"/>
    </xf>
    <xf xxid="745" numFmtId="183" fontId="85" fillId="6" borderId="8" xfId="0" applyAlignment="1" applyBorder="1" applyFont="1" applyNumberFormat="1" applyFill="1" applyProtection="1">
      <protection hidden="1"/>
    </xf>
    <xf xxid="746" numFmtId="183" fontId="85" fillId="6" borderId="0" xfId="0" applyAlignment="1" applyBorder="1" applyFont="1" applyNumberFormat="1" applyFill="1" applyProtection="1">
      <alignment vertical="center"/>
      <protection hidden="1"/>
    </xf>
    <xf xxid="747" numFmtId="174" fontId="96" fillId="6" borderId="0" xfId="0" applyAlignment="1" applyBorder="1" applyFont="1" applyNumberFormat="1" applyFill="1" applyProtection="1">
      <alignment vertical="center" wrapText="1"/>
      <protection hidden="1"/>
    </xf>
    <xf xxid="748" numFmtId="0" fontId="5" fillId="16" borderId="0" xfId="4" applyAlignment="1" applyBorder="1" applyFont="1" applyNumberFormat="1" applyFill="1" applyProtection="1">
      <protection locked="0"/>
    </xf>
    <xf xxid="749" numFmtId="0" fontId="2" fillId="16" borderId="0" xfId="4" applyAlignment="1" applyBorder="1" applyFont="1" applyNumberFormat="1" applyFill="1" applyProtection="1">
      <protection locked="0"/>
    </xf>
    <xf xxid="750" numFmtId="0" fontId="47" fillId="16" borderId="0" xfId="3" applyAlignment="1" applyBorder="1" applyFont="1" applyNumberFormat="1" applyFill="1" applyProtection="1">
      <protection locked="0"/>
    </xf>
    <xf xxid="751" numFmtId="0" fontId="5" fillId="17" borderId="0" xfId="4" applyAlignment="1" applyBorder="1" applyFont="1" applyNumberFormat="1" applyFill="1" applyProtection="1">
      <protection locked="0"/>
    </xf>
    <xf xxid="752" numFmtId="0" fontId="2" fillId="17" borderId="0" xfId="4" applyAlignment="1" applyBorder="1" applyFont="1" applyNumberFormat="1" applyFill="1" applyProtection="1">
      <protection locked="0"/>
    </xf>
    <xf xxid="753" numFmtId="0" fontId="98" fillId="18" borderId="0" xfId="4" applyAlignment="1" applyBorder="1" applyFont="1" applyNumberFormat="1" applyFill="1" applyProtection="1">
      <protection locked="0"/>
    </xf>
    <xf xxid="754" numFmtId="0" fontId="99" fillId="18" borderId="0" xfId="4" applyAlignment="1" applyBorder="1" applyFont="1" applyNumberFormat="1" applyFill="1" applyProtection="1">
      <protection locked="0"/>
    </xf>
    <xf xxid="755" numFmtId="0" fontId="2" fillId="18" borderId="0" xfId="4" applyAlignment="1" applyBorder="1" applyFont="1" applyNumberFormat="1" applyFill="1" applyProtection="1">
      <protection locked="0"/>
    </xf>
    <xf xxid="756" numFmtId="167" fontId="2" fillId="17" borderId="0" xfId="1" applyAlignment="1" applyBorder="1" applyFont="1" applyNumberFormat="1" applyFill="1" applyProtection="1">
      <protection locked="0"/>
    </xf>
    <xf xxid="757" numFmtId="0" fontId="2" fillId="17" borderId="38" xfId="4" applyAlignment="1" applyBorder="1" applyFont="1" applyNumberFormat="1" applyFill="1" applyProtection="1">
      <protection locked="0"/>
    </xf>
    <xf xxid="758" numFmtId="0" fontId="2" fillId="17" borderId="56" xfId="4" applyAlignment="1" applyBorder="1" applyFont="1" applyNumberFormat="1" applyFill="1" applyProtection="1">
      <protection locked="0"/>
    </xf>
    <xf xxid="759" numFmtId="0" fontId="2" fillId="17" borderId="57" xfId="4" applyAlignment="1" applyBorder="1" applyFont="1" applyNumberFormat="1" applyFill="1" applyProtection="1">
      <protection locked="0"/>
    </xf>
    <xf xxid="760" numFmtId="0" fontId="2" fillId="17" borderId="58" xfId="4" applyAlignment="1" applyBorder="1" applyFont="1" applyNumberFormat="1" applyFill="1" applyProtection="1">
      <protection locked="0"/>
    </xf>
    <xf xxid="761" numFmtId="0" fontId="2" fillId="17" borderId="39" xfId="4" applyAlignment="1" applyBorder="1" applyFont="1" applyNumberFormat="1" applyFill="1" applyProtection="1">
      <protection locked="0"/>
    </xf>
    <xf xxid="762" numFmtId="0" fontId="2" fillId="17" borderId="59" xfId="4" applyAlignment="1" applyBorder="1" applyFont="1" applyNumberFormat="1" applyFill="1" applyProtection="1">
      <protection locked="0"/>
    </xf>
    <xf xxid="763" numFmtId="0" fontId="2" fillId="17" borderId="60" xfId="4" applyAlignment="1" applyBorder="1" applyFont="1" applyNumberFormat="1" applyFill="1" applyProtection="1">
      <protection locked="0"/>
    </xf>
    <xf xxid="764" numFmtId="0" fontId="2" fillId="17" borderId="61" xfId="4" applyAlignment="1" applyBorder="1" applyFont="1" applyNumberFormat="1" applyFill="1" applyProtection="1">
      <protection locked="0"/>
    </xf>
    <xf xxid="765" numFmtId="0" fontId="2" fillId="17" borderId="0" xfId="4" applyAlignment="1" applyBorder="1" applyFont="1" applyNumberFormat="1" applyFill="1" applyProtection="1">
      <protection hidden="1"/>
    </xf>
    <xf xxid="766" numFmtId="0" fontId="2" fillId="17" borderId="59" xfId="4" applyAlignment="1" applyBorder="1" applyFont="1" applyNumberFormat="1" applyFill="1" applyProtection="1">
      <protection hidden="1"/>
    </xf>
    <xf xxid="767" numFmtId="0" fontId="2" fillId="17" borderId="60" xfId="4" applyAlignment="1" applyBorder="1" applyFont="1" applyNumberFormat="1" applyFill="1" applyProtection="1">
      <protection hidden="1"/>
    </xf>
    <xf xxid="768" numFmtId="0" fontId="2" fillId="17" borderId="61" xfId="4" applyAlignment="1" applyBorder="1" applyFont="1" applyNumberFormat="1" applyFill="1" applyProtection="1">
      <protection hidden="1"/>
    </xf>
    <xf xxid="769" numFmtId="0" fontId="2" fillId="17" borderId="57" xfId="4" applyAlignment="1" applyBorder="1" applyFont="1" applyNumberFormat="1" applyFill="1" applyProtection="1">
      <alignment horizontal="center"/>
      <protection locked="0"/>
    </xf>
    <xf xxid="770" numFmtId="0" fontId="2" fillId="17" borderId="60" xfId="4" applyAlignment="1" applyBorder="1" applyFont="1" applyNumberFormat="1" applyFill="1" applyProtection="1">
      <alignment horizontal="center"/>
      <protection locked="0"/>
    </xf>
    <xf xxid="771" numFmtId="0" fontId="5" fillId="17" borderId="0" xfId="4" applyAlignment="1" applyBorder="1" applyFont="1" applyNumberFormat="1" applyFill="1" applyProtection="1">
      <alignment horizontal="center"/>
      <protection locked="0"/>
    </xf>
    <xf xxid="772" numFmtId="173" fontId="2" fillId="17" borderId="0" xfId="4" applyAlignment="1" applyBorder="1" applyFont="1" applyNumberFormat="1" applyFill="1" applyProtection="1">
      <protection locked="0"/>
    </xf>
    <xf xxid="773" numFmtId="169" fontId="2" fillId="17" borderId="0" xfId="1" applyAlignment="1" applyBorder="1" applyFont="1" applyNumberFormat="1" applyFill="1" applyProtection="1">
      <protection locked="0"/>
    </xf>
    <xf xxid="774" numFmtId="169" fontId="2" fillId="17" borderId="0" xfId="1" applyAlignment="1" applyBorder="1" applyFont="1" applyNumberFormat="1" applyFill="1" applyProtection="1">
      <protection hidden="1"/>
    </xf>
    <xf xxid="775" numFmtId="169" fontId="5" fillId="17" borderId="0" xfId="4" applyAlignment="1" applyBorder="1" applyFont="1" applyNumberFormat="1" applyFill="1" applyProtection="1">
      <alignment horizontal="center"/>
      <protection locked="0"/>
    </xf>
    <xf xxid="776" numFmtId="0" fontId="2" fillId="17" borderId="0" xfId="4" applyAlignment="1" applyBorder="1" applyFont="1" applyNumberFormat="1" applyFill="1" applyProtection="1">
      <alignment horizontal="center"/>
      <protection locked="0"/>
    </xf>
    <xf xxid="777" numFmtId="0" fontId="5" fillId="17" borderId="0" xfId="4" applyAlignment="1" applyBorder="1" applyFont="1" applyNumberFormat="1" applyFill="1" applyProtection="1">
      <alignment horizontal="left"/>
      <protection locked="0"/>
    </xf>
    <xf xxid="778" numFmtId="169" fontId="5" fillId="17" borderId="0" xfId="1" applyAlignment="1" applyBorder="1" applyFont="1" applyNumberFormat="1" applyFill="1" applyProtection="1">
      <alignment horizontal="center"/>
      <protection locked="0"/>
    </xf>
    <xf xxid="779" numFmtId="169" fontId="5" fillId="17" borderId="62" xfId="4" applyAlignment="1" applyBorder="1" applyFont="1" applyNumberFormat="1" applyFill="1" applyProtection="1">
      <protection hidden="1"/>
    </xf>
    <xf xxid="780" numFmtId="169" fontId="5" fillId="17" borderId="0" xfId="4" applyAlignment="1" applyBorder="1" applyFont="1" applyNumberFormat="1" applyFill="1" applyProtection="1">
      <protection hidden="1"/>
    </xf>
    <xf xxid="781" numFmtId="169" fontId="5" fillId="17" borderId="63" xfId="4" applyAlignment="1" applyBorder="1" applyFont="1" applyNumberFormat="1" applyFill="1" applyProtection="1">
      <protection hidden="1"/>
    </xf>
    <xf xxid="782" numFmtId="0" fontId="5" fillId="17" borderId="0" xfId="4" applyAlignment="1" applyBorder="1" applyFont="1" applyNumberFormat="1" applyFill="1" applyProtection="1">
      <alignment wrapText="1"/>
      <protection locked="0"/>
    </xf>
    <xf xxid="783" numFmtId="0" fontId="5" fillId="17" borderId="60" xfId="4" applyAlignment="1" applyBorder="1" applyFont="1" applyNumberFormat="1" applyFill="1" applyProtection="1">
      <protection hidden="1"/>
    </xf>
    <xf xxid="784" numFmtId="0" fontId="100" fillId="18" borderId="0" xfId="5" applyAlignment="1" applyBorder="1" applyFont="1" applyNumberFormat="1" applyFill="1" applyProtection="1">
      <alignment vertical="center"/>
    </xf>
    <xf xxid="785" numFmtId="0" fontId="101" fillId="18" borderId="0" xfId="5" applyAlignment="1" applyBorder="1" applyFont="1" applyNumberFormat="1" applyFill="1" applyProtection="1">
      <alignment horizontal="center"/>
    </xf>
    <xf xxid="786" numFmtId="0" fontId="33" fillId="17" borderId="0" xfId="5" applyAlignment="1" applyBorder="1" applyFont="1" applyNumberFormat="1" applyFill="1" applyProtection="1">
      <alignment horizontal="left" vertical="center"/>
    </xf>
    <xf xxid="787" numFmtId="0" fontId="32" fillId="17" borderId="0" xfId="5" applyAlignment="1" applyBorder="1" applyFont="1" applyNumberFormat="1" applyFill="1" applyProtection="1">
      <alignment horizontal="left" vertical="center"/>
    </xf>
    <xf xxid="788" numFmtId="0" fontId="32" fillId="17" borderId="0" xfId="5" applyAlignment="1" applyBorder="1" applyFont="1" applyNumberFormat="1" applyFill="1" applyProtection="1">
      <alignment horizontal="left" vertical="center"/>
      <protection locked="0"/>
    </xf>
    <xf xxid="789" numFmtId="0" fontId="5" fillId="17" borderId="0" xfId="5" applyAlignment="1" applyBorder="1" applyFont="1" applyNumberFormat="1" applyFill="1" applyProtection="1">
      <alignment horizontal="left" vertical="center"/>
    </xf>
    <xf xxid="790" numFmtId="0" fontId="5" fillId="17" borderId="0" xfId="5" applyAlignment="1" applyBorder="1" applyFont="1" applyNumberFormat="1" applyFill="1" applyProtection="1">
      <alignment vertical="center"/>
    </xf>
    <xf xxid="791" numFmtId="0" fontId="5" fillId="17" borderId="0" xfId="5" applyAlignment="1" applyBorder="1" applyFont="1" applyNumberFormat="1" applyFill="1" applyProtection="1">
      <alignment horizontal="center" vertical="center"/>
      <protection locked="0"/>
    </xf>
    <xf xxid="792" numFmtId="0" fontId="5" fillId="17" borderId="0" xfId="5" applyAlignment="1" applyBorder="1" applyFont="1" applyNumberFormat="1" applyFill="1" applyProtection="1">
      <alignment vertical="center" wrapText="1"/>
    </xf>
    <xf xxid="793" numFmtId="0" fontId="2" fillId="17" borderId="0" xfId="5" applyAlignment="1" applyBorder="1" applyFont="1" applyNumberFormat="1" applyFill="1" applyProtection="1"/>
    <xf xxid="794" numFmtId="0" fontId="32" fillId="17" borderId="0" xfId="5" applyAlignment="1" applyBorder="1" applyFont="1" applyNumberFormat="1" applyFill="1" applyProtection="1">
      <alignment horizontal="center" vertical="center"/>
      <protection locked="0"/>
    </xf>
    <xf xxid="795" numFmtId="0" fontId="34" fillId="17" borderId="0" xfId="5" applyAlignment="1" applyBorder="1" applyFont="1" applyNumberFormat="1" applyFill="1" applyProtection="1">
      <protection locked="0"/>
    </xf>
    <xf xxid="796" numFmtId="0" fontId="5" fillId="17" borderId="0" xfId="5" applyAlignment="1" applyBorder="1" applyFont="1" applyNumberFormat="1" applyFill="1" applyProtection="1">
      <alignment horizontal="center"/>
      <protection locked="0"/>
    </xf>
    <xf xxid="797" numFmtId="0" fontId="5" fillId="17" borderId="0" xfId="5" applyAlignment="1" applyBorder="1" applyFont="1" applyNumberFormat="1" applyFill="1" applyProtection="1">
      <protection locked="0"/>
    </xf>
    <xf xxid="798" numFmtId="0" fontId="2" fillId="17" borderId="0" xfId="5" applyAlignment="1" applyBorder="1" applyFont="1" applyNumberFormat="1" applyFill="1" applyProtection="1">
      <protection locked="0"/>
    </xf>
    <xf xxid="799" numFmtId="0" fontId="2" fillId="17" borderId="0" xfId="5" applyAlignment="1" applyBorder="1" applyFont="1" applyNumberFormat="1" applyFill="1" applyProtection="1">
      <alignment horizontal="center"/>
      <protection locked="0"/>
    </xf>
    <xf xxid="800" numFmtId="0" fontId="5" fillId="17" borderId="0" xfId="0" applyAlignment="1" applyBorder="1" applyFont="1" applyNumberFormat="1" applyFill="1" applyProtection="1">
      <protection locked="0"/>
    </xf>
    <xf xxid="801" numFmtId="0" fontId="5" fillId="17" borderId="0" xfId="0" applyAlignment="1" applyBorder="1" applyFont="1" applyNumberFormat="1" applyFill="1" applyProtection="1">
      <alignment horizontal="center"/>
      <protection locked="0"/>
    </xf>
    <xf xxid="802" numFmtId="0" fontId="5" fillId="17" borderId="0" xfId="5" applyAlignment="1" applyBorder="1" applyFont="1" applyNumberFormat="1" applyFill="1" applyProtection="1">
      <alignment horizontal="left" vertical="top" wrapText="1"/>
      <protection locked="0"/>
    </xf>
    <xf xxid="803" numFmtId="0" fontId="5" fillId="17" borderId="0" xfId="5" applyAlignment="1" applyBorder="1" applyFont="1" applyNumberFormat="1" applyFill="1" applyProtection="1"/>
    <xf xxid="804" numFmtId="0" fontId="5" fillId="17" borderId="0" xfId="5" applyAlignment="1" applyBorder="1" applyFont="1" applyNumberFormat="1" applyFill="1" applyProtection="1">
      <alignment horizontal="left"/>
      <protection locked="0"/>
    </xf>
    <xf xxid="805" numFmtId="0" fontId="5" fillId="17" borderId="0" xfId="5" applyAlignment="1" applyBorder="1" applyFont="1" applyNumberFormat="1" applyFill="1" applyProtection="1">
      <alignment horizontal="left" vertical="top"/>
      <protection locked="0"/>
    </xf>
    <xf xxid="806" numFmtId="0" fontId="5" fillId="17" borderId="0" xfId="5" applyAlignment="1" applyBorder="1" applyFont="1" applyNumberFormat="1" applyFill="1" applyProtection="1">
      <alignment vertical="center"/>
      <protection locked="0"/>
    </xf>
    <xf xxid="807" numFmtId="0" fontId="34" fillId="17" borderId="0" xfId="5" applyAlignment="1" applyBorder="1" applyFont="1" applyNumberFormat="1" applyFill="1" applyProtection="1"/>
    <xf xxid="808" numFmtId="0" fontId="15" fillId="17" borderId="0" xfId="0" applyAlignment="1" applyBorder="1" applyFont="1" applyNumberFormat="1" applyFill="1" applyProtection="1">
      <protection locked="0"/>
    </xf>
    <xf xxid="809" numFmtId="0" fontId="34" fillId="17" borderId="0" xfId="5" applyAlignment="1" applyBorder="1" applyFont="1" applyNumberFormat="1" applyFill="1" applyProtection="1">
      <alignment horizontal="center"/>
      <protection locked="0"/>
    </xf>
    <xf xxid="810" numFmtId="0" fontId="5" fillId="17" borderId="38" xfId="5" applyAlignment="1" applyBorder="1" applyFont="1" applyNumberFormat="1" applyFill="1" applyProtection="1">
      <alignment horizontal="center" vertical="center"/>
      <protection locked="0"/>
    </xf>
    <xf xxid="811" numFmtId="0" fontId="5" fillId="17" borderId="36" xfId="5" applyAlignment="1" applyBorder="1" applyFont="1" applyNumberFormat="1" applyFill="1" applyProtection="1">
      <alignment horizontal="center"/>
      <protection locked="0"/>
    </xf>
    <xf xxid="812" numFmtId="0" fontId="5" fillId="17" borderId="39" xfId="5" applyAlignment="1" applyBorder="1" applyFont="1" applyNumberFormat="1" applyFill="1" applyProtection="1">
      <alignment horizontal="center"/>
      <protection locked="0"/>
    </xf>
    <xf xxid="813" numFmtId="0" fontId="34" fillId="17" borderId="0" xfId="0" applyAlignment="1" applyBorder="1" applyFont="1" applyNumberFormat="1" applyFill="1" applyProtection="1">
      <alignment horizontal="center"/>
      <protection locked="0"/>
    </xf>
    <xf xxid="814" numFmtId="0" fontId="34" fillId="17" borderId="0" xfId="0" applyAlignment="1" applyBorder="1" applyFont="1" applyNumberFormat="1" applyFill="1" applyProtection="1">
      <protection locked="0"/>
    </xf>
    <xf xxid="815" numFmtId="0" fontId="5" fillId="17" borderId="0" xfId="0" applyAlignment="1" applyBorder="1" applyFont="1" applyNumberFormat="1" applyFill="1" applyProtection="1">
      <alignment horizontal="center" vertical="center" wrapText="1"/>
      <protection locked="0"/>
    </xf>
    <xf xxid="816" numFmtId="0" fontId="5" fillId="17" borderId="56" xfId="0" applyAlignment="1" applyBorder="1" applyFont="1" applyNumberFormat="1" applyFill="1" applyProtection="1">
      <protection locked="0"/>
    </xf>
    <xf xxid="817" numFmtId="0" fontId="5" fillId="17" borderId="57" xfId="0" applyAlignment="1" applyBorder="1" applyFont="1" applyNumberFormat="1" applyFill="1" applyProtection="1">
      <protection locked="0"/>
    </xf>
    <xf xxid="818" numFmtId="0" fontId="5" fillId="17" borderId="58" xfId="0" applyAlignment="1" applyBorder="1" applyFont="1" applyNumberFormat="1" applyFill="1" applyProtection="1">
      <protection locked="0"/>
    </xf>
    <xf xxid="819" numFmtId="0" fontId="5" fillId="17" borderId="0" xfId="0" applyAlignment="1" applyBorder="1" applyFont="1" applyNumberFormat="1" applyFill="1" applyProtection="1">
      <alignment horizontal="left"/>
      <protection locked="0"/>
    </xf>
    <xf xxid="820" numFmtId="0" fontId="5" fillId="17" borderId="59" xfId="0" applyAlignment="1" applyBorder="1" applyFont="1" applyNumberFormat="1" applyFill="1" applyProtection="1">
      <protection locked="0"/>
    </xf>
    <xf xxid="821" numFmtId="0" fontId="5" fillId="17" borderId="60" xfId="0" applyAlignment="1" applyBorder="1" applyFont="1" applyNumberFormat="1" applyFill="1" applyProtection="1">
      <protection locked="0"/>
    </xf>
    <xf xxid="822" numFmtId="0" fontId="5" fillId="17" borderId="61" xfId="0" applyAlignment="1" applyBorder="1" applyFont="1" applyNumberFormat="1" applyFill="1" applyProtection="1">
      <protection locked="0"/>
    </xf>
    <xf xxid="823" numFmtId="0" fontId="5" fillId="17" borderId="0" xfId="0" applyAlignment="1" applyBorder="1" applyFont="1" applyNumberFormat="1" applyFill="1" applyProtection="1">
      <protection hidden="1"/>
    </xf>
    <xf xxid="824" numFmtId="170" fontId="2" fillId="17" borderId="0" xfId="0" applyAlignment="1" applyBorder="1" applyFont="1" applyNumberFormat="1" applyFill="1" applyProtection="1">
      <alignment horizontal="center"/>
      <protection locked="0"/>
    </xf>
    <xf xxid="825" numFmtId="0" fontId="5" fillId="17" borderId="0" xfId="0" applyAlignment="1" applyBorder="1" applyFont="1" applyNumberFormat="1" applyFill="1" applyProtection="1">
      <alignment horizontal="left" vertical="top" wrapText="1"/>
      <protection locked="0"/>
    </xf>
    <xf xxid="826" numFmtId="0" fontId="5" fillId="17" borderId="0" xfId="0" applyAlignment="1" applyBorder="1" applyFont="1" applyNumberFormat="1" applyFill="1" applyProtection="1">
      <alignment horizontal="left" vertical="center"/>
      <protection locked="0"/>
    </xf>
    <xf xxid="827" numFmtId="0" fontId="2" fillId="17" borderId="0" xfId="0" applyAlignment="1" applyBorder="1" applyFont="1" applyNumberFormat="1" applyFill="1" applyProtection="1">
      <alignment horizontal="left"/>
      <protection locked="0"/>
    </xf>
    <xf xxid="828" numFmtId="0" fontId="5" fillId="17" borderId="0" xfId="0" applyAlignment="1" applyBorder="1" applyFont="1" applyNumberFormat="1" applyFill="1" applyProtection="1">
      <alignment horizontal="left" vertical="top" wrapText="1"/>
      <protection hidden="1"/>
    </xf>
    <xf xxid="829" numFmtId="0" fontId="5" fillId="17" borderId="0" xfId="0" applyAlignment="1" applyBorder="1" applyFont="1" applyNumberFormat="1" applyFill="1" applyProtection="1">
      <alignment horizontal="right"/>
      <protection locked="0"/>
    </xf>
    <xf xxid="830" numFmtId="0" fontId="5" fillId="17" borderId="0" xfId="0" applyAlignment="1" applyBorder="1" applyFont="1" applyNumberFormat="1" applyFill="1" applyProtection="1">
      <alignment horizontal="right"/>
      <protection hidden="1"/>
    </xf>
    <xf xxid="831" numFmtId="169" fontId="5" fillId="17" borderId="0" xfId="1" applyAlignment="1" applyBorder="1" applyFont="1" applyNumberFormat="1" applyFill="1" applyProtection="1">
      <protection locked="0"/>
    </xf>
    <xf xxid="832" numFmtId="169" fontId="5" fillId="17" borderId="0" xfId="1" applyAlignment="1" applyBorder="1" applyFont="1" applyNumberFormat="1" applyFill="1" applyProtection="1">
      <protection hidden="1"/>
    </xf>
    <xf xxid="833" numFmtId="0" fontId="17" fillId="17" borderId="0" xfId="5" applyAlignment="1" applyBorder="1" applyFont="1" applyNumberFormat="1" applyFill="1" applyProtection="1">
      <protection locked="0"/>
    </xf>
    <xf xxid="834" numFmtId="170" fontId="2" fillId="17" borderId="0" xfId="5" applyAlignment="1" applyBorder="1" applyFont="1" applyNumberFormat="1" applyFill="1" applyProtection="1">
      <alignment horizontal="right"/>
      <protection locked="0"/>
    </xf>
    <xf xxid="835" numFmtId="0" fontId="5" fillId="17" borderId="0" xfId="5" applyAlignment="1" applyBorder="1" applyFont="1" applyNumberFormat="1" applyFill="1" applyProtection="1">
      <alignment horizontal="center" vertical="top"/>
      <protection locked="0"/>
    </xf>
    <xf xxid="836" numFmtId="0" fontId="5" fillId="17" borderId="63" xfId="5" applyAlignment="1" applyBorder="1" applyFont="1" applyNumberFormat="1" applyFill="1" applyProtection="1">
      <protection locked="0"/>
    </xf>
    <xf xxid="837" numFmtId="0" fontId="2" fillId="17" borderId="0" xfId="5" applyAlignment="1" applyBorder="1" applyFont="1" applyNumberFormat="1" applyFill="1" applyProtection="1">
      <protection hidden="1"/>
    </xf>
    <xf xxid="838" numFmtId="0" fontId="5" fillId="17" borderId="0" xfId="5" applyAlignment="1" applyBorder="1" applyFont="1" applyNumberFormat="1" applyFill="1" applyProtection="1">
      <protection hidden="1"/>
    </xf>
    <xf xxid="839" numFmtId="169" fontId="5" fillId="11" borderId="30" xfId="1" applyAlignment="1" applyBorder="1" applyFont="1" applyNumberFormat="1" applyFill="1" applyProtection="1">
      <protection hidden="1"/>
    </xf>
    <xf xxid="840" numFmtId="169" fontId="17" fillId="0" borderId="10" xfId="0" applyAlignment="1" applyBorder="1" applyFont="1" applyNumberFormat="1" applyFill="1" applyProtection="1">
      <alignment horizontal="center" vertical="center"/>
    </xf>
    <xf xxid="841" numFmtId="169" fontId="17" fillId="0" borderId="10" xfId="0" applyAlignment="1" applyBorder="1" applyFont="1" applyNumberFormat="1" applyFill="1" applyProtection="1">
      <alignment horizontal="center"/>
    </xf>
    <xf xxid="842" numFmtId="49" fontId="9" fillId="0" borderId="10" xfId="0" applyAlignment="1" applyBorder="1" applyFont="1" applyNumberFormat="1" applyFill="1" applyProtection="1">
      <alignment vertical="center"/>
    </xf>
    <xf xxid="843" numFmtId="49" fontId="9" fillId="0" borderId="12" xfId="0" applyAlignment="1" applyBorder="1" applyFont="1" applyNumberFormat="1" applyFill="1" applyProtection="1">
      <alignment vertical="center"/>
    </xf>
    <xf xxid="844" numFmtId="49" fontId="17" fillId="0" borderId="10" xfId="0" applyAlignment="1" applyBorder="1" applyFont="1" applyNumberFormat="1" applyFill="1" applyProtection="1">
      <alignment vertical="center"/>
    </xf>
    <xf xxid="845" numFmtId="49" fontId="17" fillId="0" borderId="12" xfId="0" applyAlignment="1" applyBorder="1" applyFont="1" applyNumberFormat="1" applyFill="1" applyProtection="1">
      <alignment vertical="center"/>
    </xf>
    <xf xxid="846" numFmtId="0" fontId="9" fillId="0" borderId="12" xfId="0" applyAlignment="1" applyBorder="1" applyFont="1" applyNumberFormat="1" applyFill="1" applyProtection="1">
      <alignment vertical="center"/>
    </xf>
    <xf xxid="847" numFmtId="184" fontId="17" fillId="0" borderId="0" xfId="0" applyAlignment="1" applyBorder="1" applyFont="1" applyNumberFormat="1" applyFill="1" applyProtection="1">
      <alignment horizontal="center" vertical="center"/>
      <protection locked="0"/>
    </xf>
    <xf xxid="848" numFmtId="184" fontId="17" fillId="0" borderId="12" xfId="0" applyAlignment="1" applyBorder="1" applyFont="1" applyNumberFormat="1" applyFill="1" applyProtection="1">
      <alignment horizontal="center" vertical="center"/>
      <protection locked="0"/>
    </xf>
    <xf xxid="849" numFmtId="169" fontId="3" fillId="0" borderId="0" xfId="0" applyAlignment="1" applyBorder="1" applyFont="1" applyNumberFormat="1" applyFill="1" applyProtection="1">
      <alignment horizontal="right" vertical="center"/>
    </xf>
    <xf xxid="850" numFmtId="169" fontId="3" fillId="0" borderId="12" xfId="0" applyAlignment="1" applyBorder="1" applyFont="1" applyNumberFormat="1" applyFill="1" applyProtection="1">
      <alignment horizontal="right" vertical="center"/>
    </xf>
    <xf xxid="851" numFmtId="184" fontId="17" fillId="0" borderId="10" xfId="0" applyAlignment="1" applyBorder="1" applyFont="1" applyNumberFormat="1" applyFill="1" applyProtection="1">
      <alignment vertical="center"/>
      <protection locked="0"/>
    </xf>
    <xf xxid="852" numFmtId="184" fontId="17" fillId="0" borderId="0" xfId="0" applyAlignment="1" applyBorder="1" applyFont="1" applyNumberFormat="1" applyFill="1" applyProtection="1">
      <alignment vertical="center"/>
      <protection locked="0"/>
    </xf>
    <xf xxid="853" numFmtId="184" fontId="17" fillId="0" borderId="12" xfId="0" applyAlignment="1" applyBorder="1" applyFont="1" applyNumberFormat="1" applyFill="1" applyProtection="1">
      <alignment vertical="center"/>
      <protection locked="0"/>
    </xf>
    <xf xxid="854" numFmtId="184" fontId="17" fillId="0" borderId="22" xfId="0" applyAlignment="1" applyBorder="1" applyFont="1" applyNumberFormat="1" applyFill="1" applyProtection="1">
      <alignment vertical="center"/>
      <protection locked="0"/>
    </xf>
    <xf xxid="855" numFmtId="184" fontId="17" fillId="0" borderId="9" xfId="0" applyAlignment="1" applyBorder="1" applyFont="1" applyNumberFormat="1" applyFill="1" applyProtection="1">
      <alignment vertical="center"/>
      <protection locked="0"/>
    </xf>
    <xf xxid="856" numFmtId="184" fontId="17" fillId="0" borderId="21" xfId="0" applyAlignment="1" applyBorder="1" applyFont="1" applyNumberFormat="1" applyFill="1" applyProtection="1">
      <alignment vertical="center"/>
      <protection locked="0"/>
    </xf>
    <xf xxid="857" numFmtId="169" fontId="3" fillId="0" borderId="18" xfId="0" applyAlignment="1" applyBorder="1" applyFont="1" applyNumberFormat="1" applyFill="1" applyProtection="1">
      <alignment vertical="center"/>
    </xf>
    <xf xxid="858" numFmtId="169" fontId="3" fillId="0" borderId="8" xfId="0" applyAlignment="1" applyBorder="1" applyFont="1" applyNumberFormat="1" applyFill="1" applyProtection="1">
      <alignment vertical="center"/>
    </xf>
    <xf xxid="859" numFmtId="169" fontId="3" fillId="0" borderId="19" xfId="0" applyAlignment="1" applyBorder="1" applyFont="1" applyNumberFormat="1" applyFill="1" applyProtection="1">
      <alignment vertical="center"/>
    </xf>
    <xf xxid="860" numFmtId="0" fontId="6" fillId="0" borderId="18" xfId="0" applyAlignment="1" applyBorder="1" applyFont="1" applyNumberFormat="1" applyFill="1" applyProtection="1">
      <alignment vertical="center"/>
    </xf>
    <xf xxid="861" numFmtId="169" fontId="17" fillId="19" borderId="0" xfId="0" applyAlignment="1" applyBorder="1" applyFont="1" applyNumberFormat="1" applyFill="1" applyProtection="1">
      <alignment horizontal="center" vertical="center"/>
    </xf>
    <xf xxid="862" numFmtId="169" fontId="17" fillId="19" borderId="0" xfId="0" applyAlignment="1" applyBorder="1" applyFont="1" applyNumberFormat="1" applyFill="1" applyProtection="1">
      <alignment vertical="center"/>
    </xf>
    <xf xxid="863" numFmtId="169" fontId="17" fillId="19" borderId="10" xfId="0" applyAlignment="1" applyBorder="1" applyFont="1" applyNumberFormat="1" applyFill="1" applyProtection="1">
      <alignment horizontal="center" vertical="center"/>
    </xf>
    <xf xxid="864" numFmtId="169" fontId="17" fillId="19" borderId="12" xfId="0" applyAlignment="1" applyBorder="1" applyFont="1" applyNumberFormat="1" applyFill="1" applyProtection="1">
      <alignment vertical="center"/>
    </xf>
    <xf xxid="865" numFmtId="0" fontId="24" fillId="19" borderId="9" xfId="0" applyAlignment="1" applyBorder="1" applyFont="1" applyNumberFormat="1" applyFill="1" applyProtection="1">
      <alignment horizontal="center" vertical="center"/>
    </xf>
    <xf xxid="866" numFmtId="0" fontId="24" fillId="19" borderId="9" xfId="0" applyAlignment="1" applyBorder="1" applyFont="1" applyNumberFormat="1" applyFill="1" applyProtection="1">
      <alignment vertical="center"/>
    </xf>
    <xf xxid="867" numFmtId="0" fontId="22" fillId="19" borderId="0" xfId="0" applyAlignment="1" applyBorder="1" applyFont="1" applyNumberFormat="1" applyFill="1" applyProtection="1">
      <alignment horizontal="center" vertical="center"/>
    </xf>
    <xf xxid="868" numFmtId="0" fontId="0" fillId="19" borderId="0" xfId="0" applyAlignment="1" applyBorder="1" applyFont="1" applyNumberFormat="1" applyFill="1" applyProtection="1">
      <alignment horizontal="center" vertical="center"/>
    </xf>
    <xf xxid="869" numFmtId="0" fontId="9" fillId="19" borderId="0" xfId="0" applyAlignment="1" applyBorder="1" applyFont="1" applyNumberFormat="1" applyFill="1" applyProtection="1">
      <alignment horizontal="center" vertical="center"/>
    </xf>
    <xf xxid="870" numFmtId="0" fontId="6" fillId="19" borderId="8" xfId="0" applyAlignment="1" applyBorder="1" applyFont="1" applyNumberFormat="1" applyFill="1" applyProtection="1">
      <alignment vertical="center"/>
    </xf>
    <xf xxid="871" numFmtId="0" fontId="9" fillId="19" borderId="8" xfId="0" applyAlignment="1" applyBorder="1" applyFont="1" applyNumberFormat="1" applyFill="1" applyProtection="1">
      <alignment vertical="center"/>
    </xf>
    <xf xxid="872" numFmtId="0" fontId="87" fillId="6" borderId="0" xfId="0" applyAlignment="1" applyBorder="1" applyFont="1" applyNumberFormat="1" applyFill="1" applyProtection="1">
      <alignment vertical="top"/>
      <protection hidden="1"/>
    </xf>
    <xf xxid="873" numFmtId="0" fontId="85" fillId="20" borderId="0" xfId="0" applyAlignment="1" applyBorder="1" applyFont="1" applyNumberFormat="1" applyFill="1" applyProtection="1">
      <protection hidden="1"/>
    </xf>
    <xf xxid="874" numFmtId="0" fontId="86" fillId="20" borderId="0" xfId="0" applyAlignment="1" applyBorder="1" applyFont="1" applyNumberFormat="1" applyFill="1" applyProtection="1">
      <alignment horizontal="right"/>
      <protection hidden="1"/>
    </xf>
    <xf xxid="875" numFmtId="0" fontId="0" fillId="21" borderId="0" xfId="0" applyAlignment="1" applyBorder="1" applyFont="1" applyNumberFormat="1" applyFill="1" applyProtection="1">
      <protection hidden="1"/>
    </xf>
    <xf xxid="876" numFmtId="0" fontId="104" fillId="22" borderId="64" xfId="0" applyAlignment="1" applyBorder="1" applyFont="1" applyNumberFormat="1" applyFill="1" applyProtection="1">
      <alignment horizontal="center" vertical="center"/>
      <protection hidden="1"/>
    </xf>
    <xf xxid="877" numFmtId="0" fontId="106" fillId="22" borderId="65" xfId="0" applyAlignment="1" applyBorder="1" applyFont="1" applyNumberFormat="1" applyFill="1" applyProtection="1">
      <alignment horizontal="center" vertical="center"/>
      <protection hidden="1"/>
    </xf>
    <xf xxid="878" numFmtId="0" fontId="9" fillId="0" borderId="18" xfId="0" applyAlignment="1" applyBorder="1" applyFont="1" applyNumberFormat="1" applyFill="1" applyProtection="1">
      <alignment vertical="center"/>
    </xf>
    <xf xxid="879" numFmtId="0" fontId="9" fillId="0" borderId="8" xfId="0" applyAlignment="1" applyBorder="1" applyFont="1" applyNumberFormat="1" applyFill="1" applyProtection="1">
      <alignment vertical="center"/>
    </xf>
    <xf xxid="880" numFmtId="166" fontId="17" fillId="0" borderId="0" xfId="0" applyAlignment="1" applyBorder="1" applyFont="1" applyNumberFormat="1" applyFill="1" applyProtection="1"/>
    <xf xxid="881" numFmtId="166" fontId="17" fillId="0" borderId="40" xfId="0" applyAlignment="1" applyBorder="1" applyFont="1" applyNumberFormat="1" applyFill="1" applyProtection="1"/>
    <xf xxid="882" numFmtId="0" fontId="6" fillId="4" borderId="22" xfId="0" applyAlignment="1" applyBorder="1" applyFont="1" applyNumberFormat="1" applyFill="1" applyProtection="1"/>
    <xf xxid="883" numFmtId="0" fontId="6" fillId="4" borderId="10" xfId="0" applyAlignment="1" applyBorder="1" applyFont="1" applyNumberFormat="1" applyFill="1" applyProtection="1"/>
    <xf xxid="884" numFmtId="169" fontId="17" fillId="0" borderId="18" xfId="0" applyAlignment="1" applyBorder="1" applyFont="1" applyNumberFormat="1" applyFill="1" applyProtection="1">
      <alignment vertical="center"/>
    </xf>
    <xf xxid="885" numFmtId="0" fontId="3" fillId="0" borderId="18" xfId="0" applyAlignment="1" applyBorder="1" applyFont="1" applyNumberFormat="1" applyFill="1" applyProtection="1">
      <alignment vertical="center" wrapText="1"/>
    </xf>
    <xf xxid="886" numFmtId="0" fontId="3" fillId="0" borderId="8" xfId="0" applyAlignment="1" applyBorder="1" applyFont="1" applyNumberFormat="1" applyFill="1" applyProtection="1">
      <alignment vertical="center" wrapText="1"/>
    </xf>
    <xf xxid="887" numFmtId="0" fontId="3" fillId="0" borderId="19" xfId="0" applyAlignment="1" applyBorder="1" applyFont="1" applyNumberFormat="1" applyFill="1" applyProtection="1">
      <alignment vertical="center" wrapText="1"/>
    </xf>
    <xf xxid="888" numFmtId="177" fontId="17" fillId="0" borderId="19" xfId="0" applyAlignment="1" applyBorder="1" applyFont="1" applyNumberFormat="1" applyFill="1" applyProtection="1">
      <alignment vertical="center"/>
    </xf>
    <xf xxid="889" numFmtId="0" fontId="0" fillId="0" borderId="19" xfId="0" applyAlignment="1" applyBorder="1" applyFont="1" applyNumberFormat="1" applyFill="1" applyProtection="1">
      <alignment vertical="center"/>
    </xf>
    <xf xxid="890" numFmtId="0" fontId="6" fillId="4" borderId="22" xfId="0" applyAlignment="1" applyBorder="1" applyFont="1" applyNumberFormat="1" applyFill="1" applyProtection="1">
      <alignment vertical="center"/>
    </xf>
    <xf xxid="891" numFmtId="0" fontId="6" fillId="4" borderId="10" xfId="0" applyAlignment="1" applyBorder="1" applyFont="1" applyNumberFormat="1" applyFill="1" applyProtection="1">
      <alignment vertical="center"/>
    </xf>
    <xf xxid="892" numFmtId="0" fontId="10" fillId="0" borderId="26" xfId="0" applyAlignment="1" applyBorder="1" applyFont="1" applyNumberFormat="1" applyFill="1" applyProtection="1"/>
    <xf xxid="893" numFmtId="0" fontId="102" fillId="18" borderId="0" xfId="5" applyAlignment="1" applyBorder="1" applyFont="1" applyNumberFormat="1" applyFill="1" applyProtection="1"/>
    <xf xxid="894" numFmtId="0" fontId="99" fillId="18" borderId="0" xfId="5" applyAlignment="1" applyBorder="1" applyFont="1" applyNumberFormat="1" applyFill="1" applyProtection="1"/>
    <xf xxid="895" numFmtId="0" fontId="2" fillId="17" borderId="0" xfId="5" applyAlignment="1" applyBorder="1" applyFont="1" applyNumberFormat="1" applyFill="1" applyProtection="1">
      <alignment horizontal="left"/>
    </xf>
    <xf xxid="896" numFmtId="0" fontId="5" fillId="17" borderId="0" xfId="5" applyAlignment="1" applyBorder="1" applyFont="1" applyNumberFormat="1" applyFill="1" applyProtection="1">
      <alignment horizontal="left"/>
    </xf>
    <xf xxid="897" numFmtId="167" fontId="2" fillId="17" borderId="0" xfId="1" applyAlignment="1" applyBorder="1" applyFont="1" applyNumberFormat="1" applyFill="1" applyProtection="1"/>
    <xf xxid="898" numFmtId="167" fontId="5" fillId="17" borderId="0" xfId="1" applyAlignment="1" applyBorder="1" applyFont="1" applyNumberFormat="1" applyFill="1" applyProtection="1"/>
    <xf xxid="899" numFmtId="0" fontId="85" fillId="6" borderId="52" xfId="0" applyAlignment="1" applyBorder="1" applyFont="1" applyNumberFormat="1" applyFill="1" applyProtection="1">
      <alignment horizontal="center"/>
      <protection locked="0"/>
    </xf>
    <xf xxid="900" numFmtId="0" fontId="85" fillId="6" borderId="10" xfId="0" applyAlignment="1" applyBorder="1" applyFont="1" applyNumberFormat="1" applyFill="1" applyProtection="1">
      <protection locked="0"/>
    </xf>
    <xf xxid="901" numFmtId="0" fontId="85" fillId="6" borderId="5" xfId="0" applyAlignment="1" applyBorder="1" applyFont="1" applyNumberFormat="1" applyFill="1" applyProtection="1">
      <protection locked="0"/>
    </xf>
    <xf xxid="902" numFmtId="0" fontId="85" fillId="6" borderId="52" xfId="0" applyAlignment="1" applyBorder="1" applyFont="1" applyNumberFormat="1" applyFill="1" applyProtection="1">
      <alignment horizontal="center"/>
      <protection hidden="1" locked="0"/>
    </xf>
    <xf xxid="903" numFmtId="0" fontId="85" fillId="6" borderId="66" xfId="0" applyAlignment="1" applyBorder="1" applyFont="1" applyNumberFormat="1" applyFill="1" applyProtection="1">
      <alignment wrapText="1"/>
      <protection hidden="1" locked="0"/>
    </xf>
    <xf xxid="904" numFmtId="0" fontId="85" fillId="6" borderId="6" xfId="0" applyAlignment="1" applyBorder="1" applyFont="1" applyNumberFormat="1" applyFill="1" applyProtection="1">
      <alignment wrapText="1"/>
      <protection hidden="1" locked="0"/>
    </xf>
    <xf xxid="905" numFmtId="0" fontId="85" fillId="6" borderId="0" xfId="0" applyAlignment="1" applyBorder="1" applyFont="1" applyNumberFormat="1" applyFill="1" applyProtection="1">
      <protection hidden="1" locked="0"/>
    </xf>
    <xf xxid="906" numFmtId="169" fontId="85" fillId="6" borderId="6" xfId="1" applyAlignment="1" applyBorder="1" applyFont="1" applyNumberFormat="1" applyFill="1" applyProtection="1">
      <protection hidden="1" locked="0"/>
    </xf>
    <xf xxid="907" numFmtId="0" fontId="85" fillId="6" borderId="10" xfId="0" applyAlignment="1" applyBorder="1" applyFont="1" applyNumberFormat="1" applyFill="1" applyProtection="1">
      <alignment wrapText="1"/>
      <protection hidden="1" locked="0"/>
    </xf>
    <xf xxid="908" numFmtId="0" fontId="85" fillId="6" borderId="0" xfId="0" applyAlignment="1" applyBorder="1" applyFont="1" applyNumberFormat="1" applyFill="1" applyProtection="1">
      <alignment wrapText="1"/>
      <protection hidden="1" locked="0"/>
    </xf>
    <xf xxid="909" numFmtId="169" fontId="85" fillId="6" borderId="0" xfId="1" applyAlignment="1" applyBorder="1" applyFont="1" applyNumberFormat="1" applyFill="1" applyProtection="1">
      <protection hidden="1" locked="0"/>
    </xf>
    <xf xxid="910" numFmtId="0" fontId="85" fillId="6" borderId="10" xfId="0" applyAlignment="1" applyBorder="1" applyFont="1" applyNumberFormat="1" applyFill="1" applyProtection="1">
      <protection hidden="1" locked="0"/>
    </xf>
    <xf xxid="911" numFmtId="0" fontId="85" fillId="6" borderId="5" xfId="0" applyAlignment="1" applyBorder="1" applyFont="1" applyNumberFormat="1" applyFill="1" applyProtection="1">
      <protection hidden="1" locked="0"/>
    </xf>
    <xf xxid="912" numFmtId="179" fontId="88" fillId="6" borderId="8" xfId="0" applyAlignment="1" applyBorder="1" applyFont="1" applyNumberFormat="1" applyFill="1" applyProtection="1">
      <alignment horizontal="center" vertical="center"/>
      <protection hidden="1"/>
    </xf>
    <xf xxid="913" numFmtId="165" fontId="5" fillId="0" borderId="67" xfId="23" applyAlignment="1" applyBorder="1" applyFont="1" applyNumberFormat="1" applyFill="1" applyProtection="1">
      <alignment horizontal="center" vertical="center" wrapText="1"/>
    </xf>
    <xf xxid="914" numFmtId="165" fontId="5" fillId="0" borderId="68" xfId="23" applyAlignment="1" applyBorder="1" applyFont="1" applyNumberFormat="1" applyFill="1" applyProtection="1">
      <alignment horizontal="center" vertical="center" wrapText="1"/>
    </xf>
    <xf xxid="915" numFmtId="165" fontId="5" fillId="0" borderId="32" xfId="23" applyAlignment="1" applyBorder="1" applyFont="1" applyNumberFormat="1" applyFill="1" applyProtection="1">
      <alignment horizontal="center" vertical="center" wrapText="1"/>
    </xf>
    <xf xxid="916" numFmtId="165" fontId="5" fillId="0" borderId="32" xfId="23" applyAlignment="1" applyBorder="1" applyFont="1" applyNumberFormat="1" applyFill="1" applyProtection="1">
      <alignment horizontal="center" vertical="center"/>
    </xf>
    <xf xxid="917" numFmtId="165" fontId="5" fillId="0" borderId="69" xfId="23" applyAlignment="1" applyBorder="1" applyFont="1" applyNumberFormat="1" applyFill="1" applyProtection="1">
      <alignment horizontal="center" vertical="center" wrapText="1"/>
    </xf>
    <xf xxid="918" numFmtId="165" fontId="5" fillId="0" borderId="7" xfId="23" applyAlignment="1" applyBorder="1" applyFont="1" applyNumberFormat="1" applyFill="1" applyProtection="1">
      <alignment horizontal="center" vertical="center" wrapText="1"/>
    </xf>
    <xf xxid="919" numFmtId="165" fontId="5" fillId="0" borderId="70" xfId="23" applyAlignment="1" applyBorder="1" applyFont="1" applyNumberFormat="1" applyFill="1" applyProtection="1">
      <alignment horizontal="center" vertical="center" wrapText="1"/>
    </xf>
    <xf xxid="920" numFmtId="165" fontId="99" fillId="20" borderId="71" xfId="23" applyAlignment="1" applyBorder="1" applyFont="1" applyNumberFormat="1" applyFill="1" applyProtection="1">
      <alignment horizontal="center"/>
    </xf>
    <xf xxid="921" numFmtId="165" fontId="99" fillId="0" borderId="71" xfId="23" applyAlignment="1" applyBorder="1" applyFont="1" applyNumberFormat="1" applyFill="1" applyProtection="1">
      <alignment horizontal="center"/>
    </xf>
    <xf xxid="922" numFmtId="0" fontId="2" fillId="23" borderId="0" xfId="4" applyAlignment="1" applyBorder="1" applyFont="1" applyNumberFormat="1" applyFill="1" applyProtection="1">
      <protection locked="0"/>
    </xf>
    <xf xxid="923" numFmtId="0" fontId="5" fillId="23" borderId="0" xfId="4" applyAlignment="1" applyBorder="1" applyFont="1" applyNumberFormat="1" applyFill="1" applyProtection="1">
      <protection locked="0"/>
    </xf>
    <xf xxid="924" numFmtId="167" fontId="2" fillId="23" borderId="0" xfId="1" applyAlignment="1" applyBorder="1" applyFont="1" applyNumberFormat="1" applyFill="1" applyProtection="1">
      <protection locked="0"/>
    </xf>
    <xf xxid="925" numFmtId="0" fontId="2" fillId="23" borderId="38" xfId="4" applyAlignment="1" applyBorder="1" applyFont="1" applyNumberFormat="1" applyFill="1" applyProtection="1">
      <protection locked="0"/>
    </xf>
    <xf xxid="926" numFmtId="0" fontId="2" fillId="23" borderId="56" xfId="4" applyAlignment="1" applyBorder="1" applyFont="1" applyNumberFormat="1" applyFill="1" applyProtection="1">
      <protection locked="0"/>
    </xf>
    <xf xxid="927" numFmtId="0" fontId="2" fillId="23" borderId="57" xfId="4" applyAlignment="1" applyBorder="1" applyFont="1" applyNumberFormat="1" applyFill="1" applyProtection="1">
      <protection locked="0"/>
    </xf>
    <xf xxid="928" numFmtId="0" fontId="2" fillId="23" borderId="58" xfId="4" applyAlignment="1" applyBorder="1" applyFont="1" applyNumberFormat="1" applyFill="1" applyProtection="1">
      <protection locked="0"/>
    </xf>
    <xf xxid="929" numFmtId="0" fontId="2" fillId="23" borderId="39" xfId="4" applyAlignment="1" applyBorder="1" applyFont="1" applyNumberFormat="1" applyFill="1" applyProtection="1">
      <protection locked="0"/>
    </xf>
    <xf xxid="930" numFmtId="0" fontId="2" fillId="23" borderId="59" xfId="4" applyAlignment="1" applyBorder="1" applyFont="1" applyNumberFormat="1" applyFill="1" applyProtection="1">
      <protection locked="0"/>
    </xf>
    <xf xxid="931" numFmtId="0" fontId="2" fillId="23" borderId="60" xfId="4" applyAlignment="1" applyBorder="1" applyFont="1" applyNumberFormat="1" applyFill="1" applyProtection="1">
      <protection locked="0"/>
    </xf>
    <xf xxid="932" numFmtId="0" fontId="2" fillId="23" borderId="61" xfId="4" applyAlignment="1" applyBorder="1" applyFont="1" applyNumberFormat="1" applyFill="1" applyProtection="1">
      <protection locked="0"/>
    </xf>
    <xf xxid="933" numFmtId="0" fontId="2" fillId="23" borderId="0" xfId="4" applyAlignment="1" applyBorder="1" applyFont="1" applyNumberFormat="1" applyFill="1" applyProtection="1">
      <protection hidden="1"/>
    </xf>
    <xf xxid="934" numFmtId="0" fontId="2" fillId="23" borderId="59" xfId="4" applyAlignment="1" applyBorder="1" applyFont="1" applyNumberFormat="1" applyFill="1" applyProtection="1">
      <protection hidden="1"/>
    </xf>
    <xf xxid="935" numFmtId="0" fontId="2" fillId="23" borderId="60" xfId="4" applyAlignment="1" applyBorder="1" applyFont="1" applyNumberFormat="1" applyFill="1" applyProtection="1">
      <protection hidden="1"/>
    </xf>
    <xf xxid="936" numFmtId="0" fontId="2" fillId="23" borderId="61" xfId="4" applyAlignment="1" applyBorder="1" applyFont="1" applyNumberFormat="1" applyFill="1" applyProtection="1">
      <protection hidden="1"/>
    </xf>
    <xf xxid="937" numFmtId="0" fontId="2" fillId="23" borderId="57" xfId="4" applyAlignment="1" applyBorder="1" applyFont="1" applyNumberFormat="1" applyFill="1" applyProtection="1">
      <alignment horizontal="center"/>
      <protection locked="0"/>
    </xf>
    <xf xxid="938" numFmtId="0" fontId="2" fillId="23" borderId="60" xfId="4" applyAlignment="1" applyBorder="1" applyFont="1" applyNumberFormat="1" applyFill="1" applyProtection="1">
      <alignment horizontal="center"/>
      <protection locked="0"/>
    </xf>
    <xf xxid="939" numFmtId="0" fontId="5" fillId="23" borderId="0" xfId="4" applyAlignment="1" applyBorder="1" applyFont="1" applyNumberFormat="1" applyFill="1" applyProtection="1">
      <alignment horizontal="center"/>
      <protection locked="0"/>
    </xf>
    <xf xxid="940" numFmtId="173" fontId="2" fillId="23" borderId="0" xfId="4" applyAlignment="1" applyBorder="1" applyFont="1" applyNumberFormat="1" applyFill="1" applyProtection="1">
      <protection locked="0"/>
    </xf>
    <xf xxid="941" numFmtId="169" fontId="2" fillId="23" borderId="0" xfId="1" applyAlignment="1" applyBorder="1" applyFont="1" applyNumberFormat="1" applyFill="1" applyProtection="1">
      <protection locked="0"/>
    </xf>
    <xf xxid="942" numFmtId="169" fontId="2" fillId="23" borderId="0" xfId="1" applyAlignment="1" applyBorder="1" applyFont="1" applyNumberFormat="1" applyFill="1" applyProtection="1">
      <protection hidden="1"/>
    </xf>
    <xf xxid="943" numFmtId="0" fontId="2" fillId="24" borderId="0" xfId="4" applyAlignment="1" applyBorder="1" applyFont="1" applyNumberFormat="1" applyFill="1" applyProtection="1">
      <protection locked="0"/>
    </xf>
    <xf xxid="944" numFmtId="0" fontId="5" fillId="24" borderId="0" xfId="4" applyAlignment="1" applyBorder="1" applyFont="1" applyNumberFormat="1" applyFill="1" applyProtection="1">
      <protection locked="0"/>
    </xf>
    <xf xxid="945" numFmtId="167" fontId="2" fillId="24" borderId="0" xfId="1" applyAlignment="1" applyBorder="1" applyFont="1" applyNumberFormat="1" applyFill="1" applyProtection="1">
      <protection locked="0"/>
    </xf>
    <xf xxid="946" numFmtId="0" fontId="2" fillId="24" borderId="38" xfId="4" applyAlignment="1" applyBorder="1" applyFont="1" applyNumberFormat="1" applyFill="1" applyProtection="1">
      <protection locked="0"/>
    </xf>
    <xf xxid="947" numFmtId="0" fontId="2" fillId="24" borderId="56" xfId="4" applyAlignment="1" applyBorder="1" applyFont="1" applyNumberFormat="1" applyFill="1" applyProtection="1">
      <protection locked="0"/>
    </xf>
    <xf xxid="948" numFmtId="0" fontId="2" fillId="24" borderId="57" xfId="4" applyAlignment="1" applyBorder="1" applyFont="1" applyNumberFormat="1" applyFill="1" applyProtection="1">
      <protection locked="0"/>
    </xf>
    <xf xxid="949" numFmtId="0" fontId="2" fillId="24" borderId="58" xfId="4" applyAlignment="1" applyBorder="1" applyFont="1" applyNumberFormat="1" applyFill="1" applyProtection="1">
      <protection locked="0"/>
    </xf>
    <xf xxid="950" numFmtId="0" fontId="2" fillId="24" borderId="39" xfId="4" applyAlignment="1" applyBorder="1" applyFont="1" applyNumberFormat="1" applyFill="1" applyProtection="1">
      <protection locked="0"/>
    </xf>
    <xf xxid="951" numFmtId="0" fontId="2" fillId="24" borderId="59" xfId="4" applyAlignment="1" applyBorder="1" applyFont="1" applyNumberFormat="1" applyFill="1" applyProtection="1">
      <protection locked="0"/>
    </xf>
    <xf xxid="952" numFmtId="0" fontId="2" fillId="24" borderId="60" xfId="4" applyAlignment="1" applyBorder="1" applyFont="1" applyNumberFormat="1" applyFill="1" applyProtection="1">
      <protection locked="0"/>
    </xf>
    <xf xxid="953" numFmtId="0" fontId="2" fillId="24" borderId="61" xfId="4" applyAlignment="1" applyBorder="1" applyFont="1" applyNumberFormat="1" applyFill="1" applyProtection="1">
      <protection locked="0"/>
    </xf>
    <xf xxid="954" numFmtId="0" fontId="2" fillId="24" borderId="0" xfId="4" applyAlignment="1" applyBorder="1" applyFont="1" applyNumberFormat="1" applyFill="1" applyProtection="1">
      <protection hidden="1"/>
    </xf>
    <xf xxid="955" numFmtId="0" fontId="2" fillId="24" borderId="59" xfId="4" applyAlignment="1" applyBorder="1" applyFont="1" applyNumberFormat="1" applyFill="1" applyProtection="1">
      <protection hidden="1"/>
    </xf>
    <xf xxid="956" numFmtId="0" fontId="2" fillId="24" borderId="60" xfId="4" applyAlignment="1" applyBorder="1" applyFont="1" applyNumberFormat="1" applyFill="1" applyProtection="1">
      <protection hidden="1"/>
    </xf>
    <xf xxid="957" numFmtId="0" fontId="2" fillId="24" borderId="61" xfId="4" applyAlignment="1" applyBorder="1" applyFont="1" applyNumberFormat="1" applyFill="1" applyProtection="1">
      <protection hidden="1"/>
    </xf>
    <xf xxid="958" numFmtId="0" fontId="2" fillId="24" borderId="57" xfId="4" applyAlignment="1" applyBorder="1" applyFont="1" applyNumberFormat="1" applyFill="1" applyProtection="1">
      <alignment horizontal="center"/>
      <protection locked="0"/>
    </xf>
    <xf xxid="959" numFmtId="0" fontId="2" fillId="24" borderId="60" xfId="4" applyAlignment="1" applyBorder="1" applyFont="1" applyNumberFormat="1" applyFill="1" applyProtection="1">
      <alignment horizontal="center"/>
      <protection locked="0"/>
    </xf>
    <xf xxid="960" numFmtId="0" fontId="5" fillId="24" borderId="0" xfId="4" applyAlignment="1" applyBorder="1" applyFont="1" applyNumberFormat="1" applyFill="1" applyProtection="1">
      <alignment horizontal="center"/>
      <protection locked="0"/>
    </xf>
    <xf xxid="961" numFmtId="173" fontId="2" fillId="24" borderId="0" xfId="4" applyAlignment="1" applyBorder="1" applyFont="1" applyNumberFormat="1" applyFill="1" applyProtection="1">
      <protection locked="0"/>
    </xf>
    <xf xxid="962" numFmtId="169" fontId="2" fillId="24" borderId="0" xfId="1" applyAlignment="1" applyBorder="1" applyFont="1" applyNumberFormat="1" applyFill="1" applyProtection="1">
      <protection locked="0"/>
    </xf>
    <xf xxid="963" numFmtId="169" fontId="2" fillId="24" borderId="0" xfId="1" applyAlignment="1" applyBorder="1" applyFont="1" applyNumberFormat="1" applyFill="1" applyProtection="1">
      <protection hidden="1"/>
    </xf>
    <xf xxid="964" numFmtId="0" fontId="2" fillId="25" borderId="0" xfId="4" applyAlignment="1" applyBorder="1" applyFont="1" applyNumberFormat="1" applyFill="1" applyProtection="1">
      <protection locked="0"/>
    </xf>
    <xf xxid="965" numFmtId="0" fontId="5" fillId="25" borderId="0" xfId="4" applyAlignment="1" applyBorder="1" applyFont="1" applyNumberFormat="1" applyFill="1" applyProtection="1">
      <protection locked="0"/>
    </xf>
    <xf xxid="966" numFmtId="167" fontId="2" fillId="25" borderId="0" xfId="1" applyAlignment="1" applyBorder="1" applyFont="1" applyNumberFormat="1" applyFill="1" applyProtection="1">
      <protection locked="0"/>
    </xf>
    <xf xxid="967" numFmtId="0" fontId="2" fillId="25" borderId="38" xfId="4" applyAlignment="1" applyBorder="1" applyFont="1" applyNumberFormat="1" applyFill="1" applyProtection="1">
      <protection locked="0"/>
    </xf>
    <xf xxid="968" numFmtId="0" fontId="2" fillId="25" borderId="56" xfId="4" applyAlignment="1" applyBorder="1" applyFont="1" applyNumberFormat="1" applyFill="1" applyProtection="1">
      <protection locked="0"/>
    </xf>
    <xf xxid="969" numFmtId="0" fontId="2" fillId="25" borderId="57" xfId="4" applyAlignment="1" applyBorder="1" applyFont="1" applyNumberFormat="1" applyFill="1" applyProtection="1">
      <protection locked="0"/>
    </xf>
    <xf xxid="970" numFmtId="0" fontId="2" fillId="25" borderId="58" xfId="4" applyAlignment="1" applyBorder="1" applyFont="1" applyNumberFormat="1" applyFill="1" applyProtection="1">
      <protection locked="0"/>
    </xf>
    <xf xxid="971" numFmtId="0" fontId="2" fillId="25" borderId="39" xfId="4" applyAlignment="1" applyBorder="1" applyFont="1" applyNumberFormat="1" applyFill="1" applyProtection="1">
      <protection locked="0"/>
    </xf>
    <xf xxid="972" numFmtId="0" fontId="2" fillId="25" borderId="59" xfId="4" applyAlignment="1" applyBorder="1" applyFont="1" applyNumberFormat="1" applyFill="1" applyProtection="1">
      <protection locked="0"/>
    </xf>
    <xf xxid="973" numFmtId="0" fontId="2" fillId="25" borderId="60" xfId="4" applyAlignment="1" applyBorder="1" applyFont="1" applyNumberFormat="1" applyFill="1" applyProtection="1">
      <protection locked="0"/>
    </xf>
    <xf xxid="974" numFmtId="0" fontId="2" fillId="25" borderId="61" xfId="4" applyAlignment="1" applyBorder="1" applyFont="1" applyNumberFormat="1" applyFill="1" applyProtection="1">
      <protection locked="0"/>
    </xf>
    <xf xxid="975" numFmtId="0" fontId="2" fillId="25" borderId="0" xfId="4" applyAlignment="1" applyBorder="1" applyFont="1" applyNumberFormat="1" applyFill="1" applyProtection="1">
      <protection hidden="1"/>
    </xf>
    <xf xxid="976" numFmtId="0" fontId="2" fillId="25" borderId="59" xfId="4" applyAlignment="1" applyBorder="1" applyFont="1" applyNumberFormat="1" applyFill="1" applyProtection="1">
      <protection hidden="1"/>
    </xf>
    <xf xxid="977" numFmtId="0" fontId="2" fillId="25" borderId="60" xfId="4" applyAlignment="1" applyBorder="1" applyFont="1" applyNumberFormat="1" applyFill="1" applyProtection="1">
      <protection hidden="1"/>
    </xf>
    <xf xxid="978" numFmtId="0" fontId="2" fillId="25" borderId="61" xfId="4" applyAlignment="1" applyBorder="1" applyFont="1" applyNumberFormat="1" applyFill="1" applyProtection="1">
      <protection hidden="1"/>
    </xf>
    <xf xxid="979" numFmtId="0" fontId="2" fillId="25" borderId="57" xfId="4" applyAlignment="1" applyBorder="1" applyFont="1" applyNumberFormat="1" applyFill="1" applyProtection="1">
      <alignment horizontal="center"/>
      <protection locked="0"/>
    </xf>
    <xf xxid="980" numFmtId="0" fontId="2" fillId="25" borderId="60" xfId="4" applyAlignment="1" applyBorder="1" applyFont="1" applyNumberFormat="1" applyFill="1" applyProtection="1">
      <alignment horizontal="center"/>
      <protection locked="0"/>
    </xf>
    <xf xxid="981" numFmtId="0" fontId="5" fillId="25" borderId="0" xfId="4" applyAlignment="1" applyBorder="1" applyFont="1" applyNumberFormat="1" applyFill="1" applyProtection="1">
      <alignment horizontal="center"/>
      <protection locked="0"/>
    </xf>
    <xf xxid="982" numFmtId="173" fontId="2" fillId="25" borderId="0" xfId="4" applyAlignment="1" applyBorder="1" applyFont="1" applyNumberFormat="1" applyFill="1" applyProtection="1">
      <protection locked="0"/>
    </xf>
    <xf xxid="983" numFmtId="169" fontId="2" fillId="25" borderId="0" xfId="1" applyAlignment="1" applyBorder="1" applyFont="1" applyNumberFormat="1" applyFill="1" applyProtection="1">
      <protection locked="0"/>
    </xf>
    <xf xxid="984" numFmtId="169" fontId="2" fillId="25" borderId="0" xfId="1" applyAlignment="1" applyBorder="1" applyFont="1" applyNumberFormat="1" applyFill="1" applyProtection="1">
      <protection hidden="1"/>
    </xf>
    <xf xxid="985" numFmtId="169" fontId="17" fillId="0" borderId="0" xfId="0" applyAlignment="1" applyBorder="1" applyFont="1" applyNumberFormat="1" applyFill="1" applyProtection="1">
      <alignment horizontal="left" vertical="center"/>
    </xf>
    <xf xxid="986" numFmtId="169" fontId="17" fillId="0" borderId="12" xfId="0" applyAlignment="1" applyBorder="1" applyFont="1" applyNumberFormat="1" applyFill="1" applyProtection="1">
      <alignment horizontal="left" vertical="center"/>
    </xf>
    <xf xxid="987" numFmtId="0" fontId="9" fillId="0" borderId="0" xfId="0" applyAlignment="1" applyBorder="1" applyFont="1" applyNumberFormat="1" applyFill="1" applyProtection="1">
      <alignment horizontal="right" vertical="center"/>
    </xf>
    <xf xxid="988" numFmtId="0" fontId="9" fillId="0" borderId="12" xfId="0" applyAlignment="1" applyBorder="1" applyFont="1" applyNumberFormat="1" applyFill="1" applyProtection="1">
      <alignment horizontal="right" vertical="center"/>
    </xf>
    <xf xxid="989" numFmtId="49" fontId="9" fillId="0" borderId="0" xfId="0" applyAlignment="1" applyBorder="1" applyFont="1" applyNumberFormat="1" applyFill="1" applyProtection="1">
      <alignment horizontal="right" vertical="center"/>
    </xf>
    <xf xxid="990" numFmtId="0" fontId="0" fillId="0" borderId="0" xfId="0" applyAlignment="1" applyBorder="1" applyFont="1" applyNumberFormat="1" applyFill="1" applyProtection="1">
      <alignment horizontal="right"/>
    </xf>
    <xf xxid="991" numFmtId="0" fontId="17" fillId="0" borderId="0" xfId="0" applyAlignment="1" applyBorder="1" applyFont="1" applyNumberFormat="1" applyFill="1" applyProtection="1">
      <alignment horizontal="left" vertical="center" wrapText="1"/>
      <protection locked="0"/>
    </xf>
    <xf xxid="992" numFmtId="0" fontId="17" fillId="0" borderId="12" xfId="0" applyAlignment="1" applyBorder="1" applyFont="1" applyNumberFormat="1" applyFill="1" applyProtection="1">
      <alignment horizontal="left" vertical="center" wrapText="1"/>
      <protection locked="0"/>
    </xf>
    <xf xxid="993" numFmtId="0" fontId="17" fillId="0" borderId="10" xfId="0" applyAlignment="1" applyBorder="1" applyFont="1" applyNumberFormat="1" applyFill="1" applyProtection="1">
      <alignment horizontal="center" vertical="center"/>
      <protection locked="0"/>
    </xf>
    <xf xxid="994" numFmtId="0" fontId="17" fillId="0" borderId="12" xfId="0" applyAlignment="1" applyBorder="1" applyFont="1" applyNumberFormat="1" applyFill="1" applyProtection="1">
      <alignment vertical="center"/>
      <protection locked="0"/>
    </xf>
    <xf xxid="995" numFmtId="0" fontId="17" fillId="0" borderId="10" xfId="0" applyAlignment="1" applyBorder="1" applyFont="1" applyNumberFormat="1" applyFill="1" applyProtection="1">
      <alignment vertical="center"/>
      <protection locked="0"/>
    </xf>
    <xf xxid="996" numFmtId="0" fontId="17" fillId="0" borderId="0" xfId="0" applyAlignment="1" applyBorder="1" applyFont="1" applyNumberFormat="1" applyFill="1" applyProtection="1">
      <alignment horizontal="center"/>
      <protection locked="0"/>
    </xf>
    <xf xxid="997" numFmtId="0" fontId="17" fillId="0" borderId="12" xfId="0" applyAlignment="1" applyBorder="1" applyFont="1" applyNumberFormat="1" applyFill="1" applyProtection="1">
      <protection locked="0"/>
    </xf>
    <xf xxid="998" numFmtId="169" fontId="17" fillId="0" borderId="0" xfId="0" applyAlignment="1" applyBorder="1" applyFont="1" applyNumberFormat="1" applyFill="1" applyProtection="1">
      <alignment vertical="center" wrapText="1"/>
    </xf>
    <xf xxid="999" numFmtId="169" fontId="17" fillId="0" borderId="12" xfId="0" applyAlignment="1" applyBorder="1" applyFont="1" applyNumberFormat="1" applyFill="1" applyProtection="1">
      <alignment vertical="center" wrapText="1"/>
    </xf>
    <xf xxid="1000" numFmtId="166" fontId="17" fillId="0" borderId="10" xfId="0" applyAlignment="1" applyBorder="1" applyFont="1" applyNumberFormat="1" applyFill="1" applyProtection="1">
      <alignment horizontal="right" vertical="center"/>
    </xf>
    <xf xxid="1001" numFmtId="166" fontId="17" fillId="0" borderId="0" xfId="0" applyAlignment="1" applyBorder="1" applyFont="1" applyNumberFormat="1" applyFill="1" applyProtection="1">
      <alignment horizontal="right" vertical="center"/>
    </xf>
    <xf xxid="1002" numFmtId="0" fontId="0" fillId="0" borderId="19" xfId="0" applyAlignment="1" applyBorder="1" applyFont="1" applyNumberFormat="1" applyFill="1" applyProtection="1">
      <alignment horizontal="right"/>
    </xf>
    <xf xxid="1003" numFmtId="169" fontId="17" fillId="0" borderId="10" xfId="0" applyAlignment="1" applyBorder="1" applyFont="1" applyNumberFormat="1" applyFill="1" applyProtection="1">
      <alignment horizontal="center" vertical="center"/>
      <protection locked="0"/>
    </xf>
    <xf xxid="1004" numFmtId="169" fontId="17" fillId="0" borderId="12" xfId="0" applyAlignment="1" applyBorder="1" applyFont="1" applyNumberFormat="1" applyFill="1" applyProtection="1">
      <alignment vertical="center"/>
      <protection locked="0"/>
    </xf>
    <xf xxid="1005" numFmtId="166" fontId="17" fillId="0" borderId="10" xfId="0" applyAlignment="1" applyBorder="1" applyFont="1" applyNumberFormat="1" applyFill="1" applyProtection="1">
      <alignment horizontal="right" vertical="center"/>
      <protection locked="0"/>
    </xf>
    <xf xxid="1006" numFmtId="166" fontId="17" fillId="0" borderId="0" xfId="0" applyAlignment="1" applyBorder="1" applyFont="1" applyNumberFormat="1" applyFill="1" applyProtection="1">
      <alignment horizontal="right" vertical="center"/>
      <protection locked="0"/>
    </xf>
    <xf xxid="1007" numFmtId="169" fontId="17" fillId="0" borderId="0" xfId="0" applyAlignment="1" applyBorder="1" applyFont="1" applyNumberFormat="1" applyFill="1" applyProtection="1">
      <alignment vertical="center" wrapText="1"/>
      <protection locked="0"/>
    </xf>
    <xf xxid="1008" numFmtId="169" fontId="17" fillId="0" borderId="12" xfId="0" applyAlignment="1" applyBorder="1" applyFont="1" applyNumberFormat="1" applyFill="1" applyProtection="1">
      <alignment vertical="center" wrapText="1"/>
      <protection locked="0"/>
    </xf>
    <xf xxid="1009" numFmtId="0" fontId="1" fillId="0" borderId="22" xfId="24" applyAlignment="1" applyBorder="1" applyFont="1" applyNumberFormat="1" applyFill="1" applyProtection="1"/>
    <xf xxid="1010" numFmtId="0" fontId="1" fillId="0" borderId="9" xfId="24" applyAlignment="1" applyBorder="1" applyFont="1" applyNumberFormat="1" applyFill="1" applyProtection="1"/>
    <xf xxid="1011" numFmtId="0" fontId="1" fillId="0" borderId="21" xfId="24" applyAlignment="1" applyBorder="1" applyFont="1" applyNumberFormat="1" applyFill="1" applyProtection="1"/>
    <xf xxid="1012" numFmtId="0" fontId="1" fillId="0" borderId="0" xfId="24" applyAlignment="1" applyBorder="1" applyFont="1" applyNumberFormat="1" applyFill="1" applyProtection="1"/>
    <xf xxid="1013" numFmtId="0" fontId="1" fillId="0" borderId="10" xfId="24" applyAlignment="1" applyBorder="1" applyFont="1" applyNumberFormat="1" applyFill="1" applyProtection="1"/>
    <xf xxid="1014" numFmtId="0" fontId="1" fillId="0" borderId="12" xfId="24" applyAlignment="1" applyBorder="1" applyFont="1" applyNumberFormat="1" applyFill="1" applyProtection="1"/>
    <xf xxid="1015" numFmtId="0" fontId="5" fillId="17" borderId="8" xfId="5" applyAlignment="1" applyBorder="1" applyFont="1" applyNumberFormat="1" applyFill="1" applyProtection="1">
      <alignment horizontal="center"/>
      <protection locked="0"/>
    </xf>
    <xf xxid="1016" numFmtId="0" fontId="5" fillId="17" borderId="0" xfId="8" applyAlignment="1" applyBorder="1" applyFont="1" applyNumberFormat="1" applyFill="1" applyProtection="1">
      <protection locked="0"/>
    </xf>
    <xf xxid="1017" numFmtId="0" fontId="2" fillId="17" borderId="0" xfId="8" applyAlignment="1" applyBorder="1" applyFont="1" applyNumberFormat="1" applyFill="1" applyProtection="1">
      <protection locked="0"/>
    </xf>
    <xf xxid="1018" numFmtId="0" fontId="5" fillId="17" borderId="0" xfId="8" applyAlignment="1" applyBorder="1" applyFont="1" applyNumberFormat="1" applyFill="1" applyProtection="1">
      <alignment horizontal="center"/>
      <protection locked="0"/>
    </xf>
    <xf xxid="1019" numFmtId="0" fontId="2" fillId="17" borderId="0" xfId="5" applyAlignment="1" applyBorder="1" applyFont="1" applyNumberFormat="1" applyFill="1" applyProtection="1">
      <alignment horizontal="left" indent="1"/>
      <protection locked="0"/>
    </xf>
    <xf xxid="1020" numFmtId="0" fontId="2" fillId="17" borderId="0" xfId="5" applyAlignment="1" applyBorder="1" applyFont="1" applyNumberFormat="1" applyFill="1" applyProtection="1">
      <alignment horizontal="left"/>
      <protection locked="0"/>
    </xf>
    <xf xxid="1021" numFmtId="0" fontId="2" fillId="17" borderId="62" xfId="5" applyAlignment="1" applyBorder="1" applyFont="1" applyNumberFormat="1" applyFill="1" applyProtection="1">
      <alignment horizontal="left" indent="1"/>
      <protection locked="0"/>
    </xf>
    <xf xxid="1022" numFmtId="0" fontId="2" fillId="17" borderId="8" xfId="5" applyAlignment="1" applyBorder="1" applyFont="1" applyNumberFormat="1" applyFill="1" applyProtection="1">
      <protection locked="0"/>
    </xf>
    <xf xxid="1023" numFmtId="0" fontId="1" fillId="0" borderId="18" xfId="24" applyAlignment="1" applyBorder="1" applyFont="1" applyNumberFormat="1" applyFill="1" applyProtection="1"/>
    <xf xxid="1024" numFmtId="0" fontId="1" fillId="0" borderId="8" xfId="24" applyAlignment="1" applyBorder="1" applyFont="1" applyNumberFormat="1" applyFill="1" applyProtection="1"/>
    <xf xxid="1025" numFmtId="0" fontId="1" fillId="0" borderId="19" xfId="24" applyAlignment="1" applyBorder="1" applyFont="1" applyNumberFormat="1" applyFill="1" applyProtection="1"/>
    <xf xxid="1026" numFmtId="0" fontId="5" fillId="17" borderId="8" xfId="5" applyAlignment="1" applyBorder="1" applyFont="1" applyNumberFormat="1" applyFill="1" applyProtection="1">
      <alignment horizontal="left"/>
      <protection locked="0"/>
    </xf>
    <xf xxid="1027" numFmtId="0" fontId="2" fillId="17" borderId="8" xfId="5" applyAlignment="1" applyBorder="1" applyFont="1" applyNumberFormat="1" applyFill="1" applyProtection="1">
      <alignment horizontal="left"/>
      <protection locked="0"/>
    </xf>
    <xf xxid="1028" numFmtId="0" fontId="10" fillId="0" borderId="0" xfId="0" applyAlignment="1" applyBorder="1" applyFont="1" applyNumberFormat="1" applyFill="1" applyProtection="1">
      <alignment vertical="center" wrapText="1"/>
    </xf>
    <xf xxid="1029" numFmtId="0" fontId="10" fillId="0" borderId="12" xfId="0" applyAlignment="1" applyBorder="1" applyFont="1" applyNumberFormat="1" applyFill="1" applyProtection="1">
      <alignment vertical="center" wrapText="1"/>
    </xf>
    <xf xxid="1030" numFmtId="0" fontId="2" fillId="17" borderId="62" xfId="5" applyAlignment="1" applyBorder="1" applyFont="1" applyNumberFormat="1" applyFill="1" applyProtection="1">
      <alignment horizontal="center"/>
      <protection locked="0"/>
    </xf>
    <xf xxid="1031" numFmtId="0" fontId="45" fillId="0" borderId="0" xfId="0" applyAlignment="1" applyBorder="1" applyFont="1" applyNumberFormat="1" applyFill="1" applyProtection="1">
      <alignment horizontal="center"/>
    </xf>
    <xf xxid="1032" numFmtId="0" fontId="17" fillId="0" borderId="0" xfId="0" applyAlignment="1" applyBorder="1" applyFont="1" applyNumberFormat="1" applyFill="1" applyProtection="1">
      <alignment horizontal="center"/>
      <protection hidden="1"/>
    </xf>
    <xf xxid="1033" numFmtId="169" fontId="17" fillId="0" borderId="0" xfId="0" applyAlignment="1" applyBorder="1" applyFont="1" applyNumberFormat="1" applyFill="1" applyProtection="1">
      <alignment horizontal="center"/>
      <protection hidden="1"/>
    </xf>
    <xf xxid="1034" numFmtId="169" fontId="15" fillId="0" borderId="0" xfId="0" applyAlignment="1" applyBorder="1" applyFont="1" applyNumberFormat="1" applyFill="1" applyProtection="1">
      <alignment horizontal="center"/>
      <protection hidden="1"/>
    </xf>
    <xf xxid="1035" numFmtId="169" fontId="5" fillId="0" borderId="0" xfId="0" applyAlignment="1" applyBorder="1" applyFont="1" applyNumberFormat="1" applyFill="1" applyProtection="1">
      <alignment horizontal="center"/>
      <protection hidden="1"/>
    </xf>
    <xf xxid="1036" numFmtId="0" fontId="9" fillId="0" borderId="0" xfId="0" applyAlignment="1" applyBorder="1" applyFont="1" applyNumberFormat="1" applyFill="1" applyProtection="1">
      <protection hidden="1"/>
    </xf>
    <xf xxid="1037" numFmtId="0" fontId="6" fillId="0" borderId="0" xfId="0" applyAlignment="1" applyBorder="1" applyFont="1" applyNumberFormat="1" applyFill="1" applyProtection="1">
      <alignment vertical="center"/>
      <protection hidden="1"/>
    </xf>
    <xf xxid="1038" numFmtId="0" fontId="17" fillId="0" borderId="0" xfId="0" applyAlignment="1" applyBorder="1" applyFont="1" applyNumberFormat="1" applyFill="1" applyProtection="1">
      <alignment horizontal="center" vertical="center"/>
      <protection hidden="1"/>
    </xf>
    <xf xxid="1039" numFmtId="0" fontId="6" fillId="0" borderId="0" xfId="0" applyAlignment="1" applyBorder="1" applyFont="1" applyNumberFormat="1" applyFill="1" applyProtection="1">
      <protection hidden="1"/>
    </xf>
    <xf xxid="1040" numFmtId="0" fontId="31" fillId="0" borderId="0" xfId="0" applyAlignment="1" applyBorder="1" applyFont="1" applyNumberFormat="1" applyFill="1" applyProtection="1">
      <alignment vertical="center"/>
      <protection hidden="1"/>
    </xf>
    <xf xxid="1041" numFmtId="0" fontId="2" fillId="0" borderId="0" xfId="0" applyAlignment="1" applyBorder="1" applyFont="1" applyNumberFormat="1" applyFill="1" applyProtection="1">
      <alignment horizontal="center" vertical="center"/>
      <protection hidden="1"/>
    </xf>
    <xf xxid="1042" numFmtId="0" fontId="3" fillId="0" borderId="0" xfId="0" applyAlignment="1" applyBorder="1" applyFont="1" applyNumberFormat="1" applyFill="1" applyProtection="1">
      <alignment vertical="center"/>
      <protection hidden="1"/>
    </xf>
    <xf xxid="1043" numFmtId="167" fontId="38" fillId="0" borderId="0" xfId="0" applyAlignment="1" applyBorder="1" applyFont="1" applyNumberFormat="1" applyFill="1" applyProtection="1">
      <alignment horizontal="center" vertical="center" wrapText="1"/>
      <protection hidden="1"/>
    </xf>
    <xf xxid="1044" numFmtId="167" fontId="17" fillId="0" borderId="10" xfId="0" applyAlignment="1" applyBorder="1" applyFont="1" applyNumberFormat="1" applyFill="1" applyProtection="1">
      <alignment horizontal="center" vertical="center" wrapText="1"/>
      <protection hidden="1"/>
    </xf>
    <xf xxid="1045" numFmtId="167" fontId="17" fillId="0" borderId="0" xfId="0" applyAlignment="1" applyBorder="1" applyFont="1" applyNumberFormat="1" applyFill="1" applyProtection="1">
      <alignment horizontal="center" vertical="center" wrapText="1"/>
      <protection hidden="1"/>
    </xf>
    <xf xxid="1046" numFmtId="167" fontId="17" fillId="0" borderId="12" xfId="0" applyAlignment="1" applyBorder="1" applyFont="1" applyNumberFormat="1" applyFill="1" applyProtection="1">
      <alignment horizontal="center" vertical="center" wrapText="1"/>
      <protection hidden="1"/>
    </xf>
    <xf xxid="1047" numFmtId="0" fontId="44" fillId="17" borderId="0" xfId="5" applyAlignment="1" applyBorder="1" applyFont="1" applyNumberFormat="1" applyFill="1" applyProtection="1">
      <alignment horizontal="left" vertical="center"/>
    </xf>
    <xf xxid="1048" numFmtId="0" fontId="3" fillId="26" borderId="0" xfId="5" applyAlignment="1" applyBorder="1" applyFont="1" applyNumberFormat="1" applyFill="1" applyProtection="1"/>
    <xf xxid="1049" numFmtId="169" fontId="17" fillId="26" borderId="30" xfId="1" applyAlignment="1" applyBorder="1" applyFont="1" applyNumberFormat="1" applyFill="1" applyProtection="1">
      <protection hidden="1"/>
    </xf>
    <xf xxid="1050" numFmtId="0" fontId="2" fillId="5" borderId="7" xfId="5" applyAlignment="1" applyBorder="1" applyFont="1" applyNumberFormat="1" applyFill="1" applyProtection="1">
      <alignment horizontal="center"/>
      <protection locked="0"/>
    </xf>
    <xf xxid="1051" numFmtId="0" fontId="5" fillId="17" borderId="31" xfId="5" applyAlignment="1" applyBorder="1" applyFont="1" applyNumberFormat="1" applyFill="1" applyProtection="1">
      <alignment horizontal="center" vertical="center" wrapText="1"/>
    </xf>
    <xf xxid="1052" numFmtId="0" fontId="2" fillId="5" borderId="7" xfId="5" applyAlignment="1" applyBorder="1" applyFont="1" applyNumberFormat="1" applyFill="1" applyProtection="1">
      <alignment horizontal="left" vertical="top" wrapText="1"/>
      <protection locked="0"/>
    </xf>
    <xf xxid="1053" numFmtId="0" fontId="2" fillId="5" borderId="32" xfId="5" applyAlignment="1" applyBorder="1" applyFont="1" applyNumberFormat="1" applyFill="1" applyProtection="1">
      <alignment horizontal="left" vertical="top" wrapText="1"/>
      <protection locked="0"/>
    </xf>
    <xf xxid="1054" numFmtId="0" fontId="2" fillId="0" borderId="0" xfId="5" applyAlignment="1" applyBorder="1" applyFont="1" applyNumberFormat="1" applyFill="1" applyProtection="1">
      <alignment vertical="top" wrapText="1"/>
      <protection locked="0"/>
    </xf>
    <xf xxid="1055" numFmtId="0" fontId="17" fillId="0" borderId="72" xfId="21" applyAlignment="1" applyBorder="1" applyFont="1" applyNumberFormat="1" applyFill="1" applyProtection="1">
      <alignment horizontal="left" vertical="top" wrapText="1"/>
    </xf>
    <xf xxid="1056" numFmtId="0" fontId="2" fillId="0" borderId="0" xfId="5" applyAlignment="1" applyBorder="1" applyFont="1" applyNumberFormat="1" applyFill="1" applyProtection="1">
      <alignment horizontal="left" vertical="top" wrapText="1"/>
    </xf>
    <xf xxid="1057" numFmtId="0" fontId="2" fillId="0" borderId="8" xfId="5" applyAlignment="1" applyBorder="1" applyFont="1" applyNumberFormat="1" applyFill="1" applyProtection="1">
      <alignment horizontal="left" vertical="top" wrapText="1"/>
    </xf>
    <xf xxid="1058" numFmtId="0" fontId="2" fillId="0" borderId="0" xfId="5" applyAlignment="1" applyBorder="1" applyFont="1" applyNumberFormat="1" applyFill="1" applyProtection="1">
      <alignment vertical="top" wrapText="1"/>
    </xf>
    <xf xxid="1059" numFmtId="0" fontId="84" fillId="0" borderId="0" xfId="0" applyAlignment="1" applyBorder="1" applyFont="1" applyNumberFormat="1" applyFill="1" applyProtection="1">
      <alignment vertical="top" wrapText="1"/>
    </xf>
    <xf xxid="1060" numFmtId="0" fontId="84" fillId="0" borderId="1" xfId="0" applyAlignment="1" applyBorder="1" applyFont="1" applyNumberFormat="1" applyFill="1" applyProtection="1">
      <alignment vertical="top" wrapText="1"/>
    </xf>
    <xf xxid="1061" numFmtId="169" fontId="2" fillId="0" borderId="0" xfId="1" applyAlignment="1" applyBorder="1" applyFont="1" applyNumberFormat="1" applyFill="1" applyProtection="1">
      <protection hidden="1"/>
    </xf>
    <xf xxid="1062" numFmtId="0" fontId="17" fillId="0" borderId="0" xfId="21" applyAlignment="1" applyBorder="1" applyFont="1" applyNumberFormat="1" applyFill="1" applyProtection="1">
      <alignment horizontal="center" vertical="top" wrapText="1"/>
    </xf>
    <xf xxid="1063" numFmtId="0" fontId="5" fillId="17" borderId="7" xfId="5" applyAlignment="1" applyBorder="1" applyFont="1" applyNumberFormat="1" applyFill="1" applyProtection="1">
      <alignment horizontal="center" vertical="center" wrapText="1"/>
    </xf>
    <xf xxid="1064" numFmtId="169" fontId="2" fillId="0" borderId="0" xfId="1" applyAlignment="1" applyBorder="1" applyFont="1" applyNumberFormat="1" applyFill="1" applyProtection="1">
      <alignment vertical="top"/>
      <protection hidden="1"/>
    </xf>
    <xf xxid="1065" numFmtId="0" fontId="2" fillId="0" borderId="0" xfId="5" applyAlignment="1" applyBorder="1" applyFont="1" applyNumberFormat="1" applyFill="1" applyProtection="1">
      <alignment vertical="top"/>
      <protection locked="0"/>
    </xf>
    <xf xxid="1066" numFmtId="0" fontId="2" fillId="0" borderId="0" xfId="5" applyAlignment="1" applyBorder="1" applyFont="1" applyNumberFormat="1" applyFill="1" applyProtection="1">
      <alignment horizontal="left" vertical="top"/>
    </xf>
    <xf xxid="1067" numFmtId="0" fontId="2" fillId="0" borderId="8" xfId="5" applyAlignment="1" applyBorder="1" applyFont="1" applyNumberFormat="1" applyFill="1" applyProtection="1">
      <alignment horizontal="left" vertical="top"/>
    </xf>
    <xf xxid="1068" numFmtId="0" fontId="2" fillId="0" borderId="1" xfId="5" applyAlignment="1" applyBorder="1" applyFont="1" applyNumberFormat="1" applyFill="1" applyProtection="1">
      <alignment vertical="top"/>
      <protection locked="0"/>
    </xf>
    <xf xxid="1069" numFmtId="0" fontId="85" fillId="6" borderId="73" xfId="0" applyAlignment="1" applyBorder="1" applyFont="1" applyNumberFormat="1" applyFill="1" applyProtection="1">
      <alignment horizontal="center"/>
      <protection locked="0"/>
    </xf>
    <xf xxid="1070" numFmtId="0" fontId="85" fillId="6" borderId="66" xfId="0" applyAlignment="1" applyBorder="1" applyFont="1" applyNumberFormat="1" applyFill="1" applyProtection="1">
      <protection locked="0"/>
    </xf>
    <xf xxid="1071" numFmtId="0" fontId="85" fillId="6" borderId="6" xfId="0" applyAlignment="1" applyBorder="1" applyFont="1" applyNumberFormat="1" applyFill="1" applyProtection="1">
      <protection locked="0"/>
    </xf>
    <xf xxid="1072" numFmtId="0" fontId="85" fillId="6" borderId="2" xfId="0" applyAlignment="1" applyBorder="1" applyFont="1" applyNumberFormat="1" applyFill="1" applyProtection="1">
      <protection locked="0"/>
    </xf>
    <xf xxid="1073" numFmtId="0" fontId="85" fillId="6" borderId="74" xfId="0" applyAlignment="1" applyBorder="1" applyFont="1" applyNumberFormat="1" applyFill="1" applyProtection="1">
      <alignment horizontal="center"/>
      <protection locked="0"/>
    </xf>
    <xf xxid="1074" numFmtId="0" fontId="85" fillId="6" borderId="18" xfId="0" applyAlignment="1" applyBorder="1" applyFont="1" applyNumberFormat="1" applyFill="1" applyProtection="1">
      <protection locked="0"/>
    </xf>
    <xf xxid="1075" numFmtId="0" fontId="85" fillId="6" borderId="8" xfId="0" applyAlignment="1" applyBorder="1" applyFont="1" applyNumberFormat="1" applyFill="1" applyProtection="1">
      <protection locked="0"/>
    </xf>
    <xf xxid="1076" numFmtId="0" fontId="85" fillId="6" borderId="47" xfId="0" applyAlignment="1" applyBorder="1" applyFont="1" applyNumberFormat="1" applyFill="1" applyProtection="1">
      <protection locked="0"/>
    </xf>
    <xf xxid="1077" numFmtId="0" fontId="85" fillId="6" borderId="6" xfId="0" applyAlignment="1" applyBorder="1" applyFont="1" applyNumberFormat="1" applyFill="1" applyProtection="1">
      <protection hidden="1" locked="0"/>
    </xf>
    <xf xxid="1078" numFmtId="0" fontId="85" fillId="6" borderId="66" xfId="0" applyAlignment="1" applyBorder="1" applyFont="1" applyNumberFormat="1" applyFill="1" applyProtection="1">
      <protection hidden="1" locked="0"/>
    </xf>
    <xf xxid="1079" numFmtId="0" fontId="85" fillId="6" borderId="2" xfId="0" applyAlignment="1" applyBorder="1" applyFont="1" applyNumberFormat="1" applyFill="1" applyProtection="1">
      <protection hidden="1" locked="0"/>
    </xf>
    <xf xxid="1080" numFmtId="0" fontId="85" fillId="6" borderId="18" xfId="0" applyAlignment="1" applyBorder="1" applyFont="1" applyNumberFormat="1" applyFill="1" applyProtection="1">
      <protection hidden="1" locked="0"/>
    </xf>
    <xf xxid="1081" numFmtId="0" fontId="85" fillId="6" borderId="8" xfId="0" applyAlignment="1" applyBorder="1" applyFont="1" applyNumberFormat="1" applyFill="1" applyProtection="1">
      <protection hidden="1" locked="0"/>
    </xf>
    <xf xxid="1082" numFmtId="0" fontId="85" fillId="6" borderId="47" xfId="0" applyAlignment="1" applyBorder="1" applyFont="1" applyNumberFormat="1" applyFill="1" applyProtection="1">
      <protection hidden="1" locked="0"/>
    </xf>
    <xf xxid="1083" numFmtId="0" fontId="17" fillId="0" borderId="72" xfId="21" applyAlignment="1" applyBorder="1" applyFont="1" applyNumberFormat="1" applyFill="1" applyProtection="1">
      <alignment horizontal="left" vertical="top" wrapText="1"/>
      <protection hidden="1"/>
    </xf>
    <xf xxid="1084" numFmtId="0" fontId="17" fillId="0" borderId="72" xfId="21" applyAlignment="1" applyBorder="1" applyFont="1" applyNumberFormat="1" applyFill="1" applyProtection="1">
      <alignment horizontal="center" vertical="top" wrapText="1"/>
      <protection hidden="1"/>
    </xf>
    <xf xxid="1085" numFmtId="0" fontId="2" fillId="0" borderId="0" xfId="5" applyAlignment="1" applyBorder="1" applyFont="1" applyNumberFormat="1" applyFill="1" applyProtection="1">
      <alignment horizontal="left" vertical="top" wrapText="1"/>
      <protection hidden="1"/>
    </xf>
    <xf xxid="1086" numFmtId="0" fontId="2" fillId="0" borderId="0" xfId="5" applyAlignment="1" applyBorder="1" applyFont="1" applyNumberFormat="1" applyFill="1" applyProtection="1">
      <alignment vertical="top" wrapText="1"/>
      <protection hidden="1"/>
    </xf>
    <xf xxid="1087" numFmtId="0" fontId="2" fillId="0" borderId="8" xfId="5" applyAlignment="1" applyBorder="1" applyFont="1" applyNumberFormat="1" applyFill="1" applyProtection="1">
      <alignment horizontal="left" vertical="top" wrapText="1"/>
      <protection hidden="1"/>
    </xf>
    <xf xxid="1088" numFmtId="0" fontId="84" fillId="0" borderId="0" xfId="0" applyAlignment="1" applyBorder="1" applyFont="1" applyNumberFormat="1" applyFill="1" applyProtection="1">
      <alignment vertical="top" wrapText="1"/>
      <protection hidden="1"/>
    </xf>
    <xf xxid="1089" numFmtId="0" fontId="2" fillId="0" borderId="1" xfId="5" applyAlignment="1" applyBorder="1" applyFont="1" applyNumberFormat="1" applyFill="1" applyProtection="1">
      <alignment vertical="top" wrapText="1"/>
      <protection hidden="1"/>
    </xf>
    <xf xxid="1090" numFmtId="0" fontId="84" fillId="0" borderId="1" xfId="0" applyAlignment="1" applyBorder="1" applyFont="1" applyNumberFormat="1" applyFill="1" applyProtection="1">
      <alignment vertical="top" wrapText="1"/>
      <protection hidden="1"/>
    </xf>
    <xf xxid="1091" numFmtId="165" fontId="2" fillId="0" borderId="0" xfId="23" applyAlignment="1" applyBorder="1" applyFont="1" applyNumberFormat="1" applyFill="1" applyProtection="1">
      <alignment horizontal="center"/>
    </xf>
    <xf xxid="1092" numFmtId="165" fontId="2" fillId="0" borderId="7" xfId="23" applyAlignment="1" applyBorder="1" applyFont="1" applyNumberFormat="1" applyFill="1" applyProtection="1">
      <alignment horizontal="center"/>
    </xf>
    <xf xxid="1093" numFmtId="165" fontId="2" fillId="0" borderId="70" xfId="23" applyAlignment="1" applyBorder="1" applyFont="1" applyNumberFormat="1" applyFill="1" applyProtection="1">
      <alignment horizontal="center"/>
    </xf>
    <xf xxid="1094" numFmtId="165" fontId="2" fillId="0" borderId="75" xfId="23" applyAlignment="1" applyBorder="1" applyFont="1" applyNumberFormat="1" applyFill="1" applyProtection="1">
      <alignment horizontal="center"/>
    </xf>
    <xf xxid="1095" numFmtId="169" fontId="17" fillId="0" borderId="10" xfId="0" applyAlignment="1" applyBorder="1" applyFont="1" applyNumberFormat="1" applyFill="1" applyProtection="1">
      <alignment horizontal="center"/>
      <protection locked="0"/>
    </xf>
    <xf xxid="1096" numFmtId="169" fontId="17" fillId="0" borderId="0" xfId="0" applyAlignment="1" applyBorder="1" applyFont="1" applyNumberFormat="1" applyFill="1" applyProtection="1">
      <protection locked="0"/>
    </xf>
    <xf xxid="1097" numFmtId="166" fontId="17" fillId="0" borderId="0" xfId="0" applyAlignment="1" applyBorder="1" applyFont="1" applyNumberFormat="1" applyFill="1" applyProtection="1">
      <protection locked="0"/>
    </xf>
    <xf xxid="1098" numFmtId="169" fontId="17" fillId="0" borderId="0" xfId="0" applyAlignment="1" applyBorder="1" applyFont="1" applyNumberFormat="1" applyFill="1" applyProtection="1">
      <alignment horizontal="center"/>
      <protection locked="0"/>
    </xf>
    <xf xxid="1099" numFmtId="169" fontId="17" fillId="0" borderId="12" xfId="0" applyAlignment="1" applyBorder="1" applyFont="1" applyNumberFormat="1" applyFill="1" applyProtection="1">
      <protection locked="0"/>
    </xf>
    <xf xxid="1100" numFmtId="0" fontId="5" fillId="0" borderId="0" xfId="5" applyAlignment="1" applyBorder="1" applyFont="1" applyNumberFormat="1" applyFill="1" applyProtection="1">
      <alignment horizontal="right" vertical="center"/>
      <protection locked="0"/>
    </xf>
    <xf xxid="1101" numFmtId="0" fontId="111" fillId="27" borderId="0" xfId="5" applyAlignment="1" applyBorder="1" applyFont="1" applyNumberFormat="1" applyFill="1" applyProtection="1">
      <protection locked="0"/>
    </xf>
    <xf xxid="1102" numFmtId="169" fontId="111" fillId="27" borderId="0" xfId="1" applyAlignment="1" applyBorder="1" applyFont="1" applyNumberFormat="1" applyFill="1" applyProtection="1">
      <protection hidden="1"/>
    </xf>
    <xf xxid="1103" numFmtId="182" fontId="2" fillId="0" borderId="0" xfId="5" applyAlignment="1" applyBorder="1" applyFont="1" applyNumberFormat="1" applyFill="1" applyProtection="1">
      <protection locked="0"/>
    </xf>
    <xf xxid="1104" numFmtId="164" fontId="2" fillId="0" borderId="0" xfId="5" applyAlignment="1" applyBorder="1" applyFont="1" applyNumberFormat="1" applyFill="1" applyProtection="1">
      <protection locked="0"/>
    </xf>
    <xf xxid="1105" numFmtId="0" fontId="112" fillId="0" borderId="0" xfId="5" applyAlignment="1" applyBorder="1" applyFont="1" applyNumberFormat="1" applyFill="1" applyProtection="1">
      <alignment vertical="center"/>
      <protection locked="0"/>
    </xf>
    <xf xxid="1106" numFmtId="182" fontId="112" fillId="0" borderId="0" xfId="5" applyAlignment="1" applyBorder="1" applyFont="1" applyNumberFormat="1" applyFill="1" applyProtection="1">
      <alignment vertical="center"/>
      <protection locked="0"/>
    </xf>
    <xf xxid="1107" numFmtId="169" fontId="113" fillId="14" borderId="0" xfId="1" applyAlignment="1" applyBorder="1" applyFont="1" applyNumberFormat="1" applyFill="1" applyProtection="1">
      <protection hidden="1"/>
    </xf>
    <xf xxid="1108" numFmtId="0" fontId="113" fillId="0" borderId="0" xfId="5" applyAlignment="1" applyBorder="1" applyFont="1" applyNumberFormat="1" applyFill="1" applyProtection="1">
      <protection locked="0"/>
    </xf>
    <xf xxid="1109" numFmtId="182" fontId="113" fillId="0" borderId="0" xfId="5" applyAlignment="1" applyBorder="1" applyFont="1" applyNumberFormat="1" applyFill="1" applyProtection="1">
      <protection locked="0"/>
    </xf>
    <xf xxid="1110" numFmtId="164" fontId="113" fillId="0" borderId="0" xfId="5" applyAlignment="1" applyBorder="1" applyFont="1" applyNumberFormat="1" applyFill="1" applyProtection="1">
      <protection locked="0"/>
    </xf>
    <xf xxid="1111" numFmtId="169" fontId="113" fillId="0" borderId="0" xfId="5" applyAlignment="1" applyBorder="1" applyFont="1" applyNumberFormat="1" applyFill="1" applyProtection="1">
      <protection locked="0"/>
    </xf>
    <xf xxid="1112" numFmtId="169" fontId="113" fillId="14" borderId="9" xfId="1" applyAlignment="1" applyBorder="1" applyFont="1" applyNumberFormat="1" applyFill="1" applyProtection="1">
      <protection hidden="1"/>
    </xf>
    <xf xxid="1113" numFmtId="0" fontId="113" fillId="0" borderId="9" xfId="5" applyAlignment="1" applyBorder="1" applyFont="1" applyNumberFormat="1" applyFill="1" applyProtection="1">
      <protection locked="0"/>
    </xf>
    <xf xxid="1114" numFmtId="182" fontId="113" fillId="0" borderId="9" xfId="5" applyAlignment="1" applyBorder="1" applyFont="1" applyNumberFormat="1" applyFill="1" applyProtection="1">
      <protection locked="0"/>
    </xf>
    <xf xxid="1115" numFmtId="164" fontId="113" fillId="0" borderId="9" xfId="5" applyAlignment="1" applyBorder="1" applyFont="1" applyNumberFormat="1" applyFill="1" applyProtection="1">
      <protection locked="0"/>
    </xf>
    <xf xxid="1116" numFmtId="169" fontId="113" fillId="0" borderId="9" xfId="5" applyAlignment="1" applyBorder="1" applyFont="1" applyNumberFormat="1" applyFill="1" applyProtection="1">
      <protection locked="0"/>
    </xf>
    <xf xxid="1117" numFmtId="0" fontId="115" fillId="0" borderId="0" xfId="5" applyAlignment="1" applyBorder="1" applyFont="1" applyNumberFormat="1" applyFill="1" applyProtection="1">
      <protection locked="0"/>
    </xf>
    <xf xxid="1118" numFmtId="0" fontId="114" fillId="0" borderId="20" xfId="5" applyAlignment="1" applyBorder="1" applyFont="1" applyNumberFormat="1" applyFill="1" applyProtection="1">
      <alignment vertical="center"/>
      <protection locked="0"/>
    </xf>
    <xf xxid="1119" numFmtId="164" fontId="114" fillId="0" borderId="20" xfId="5" applyAlignment="1" applyBorder="1" applyFont="1" applyNumberFormat="1" applyFill="1" applyProtection="1">
      <alignment horizontal="right" vertical="center"/>
      <protection locked="0"/>
    </xf>
    <xf xxid="1120" numFmtId="0" fontId="112" fillId="0" borderId="0" xfId="5" applyAlignment="1" applyBorder="1" applyFont="1" applyNumberFormat="1" applyFill="1" applyProtection="1">
      <alignment horizontal="right" vertical="center"/>
      <protection locked="0"/>
    </xf>
    <xf xxid="1121" numFmtId="164" fontId="112" fillId="0" borderId="0" xfId="5" applyAlignment="1" applyBorder="1" applyFont="1" applyNumberFormat="1" applyFill="1" applyProtection="1">
      <alignment horizontal="right" vertical="center"/>
      <protection locked="0"/>
    </xf>
    <xf xxid="1122" numFmtId="0" fontId="116" fillId="28" borderId="0" xfId="5" applyAlignment="1" applyBorder="1" applyFont="1" applyNumberFormat="1" applyFill="1" applyProtection="1">
      <protection locked="0"/>
    </xf>
    <xf xxid="1123" numFmtId="4" fontId="2" fillId="0" borderId="0" xfId="5" applyAlignment="1" applyBorder="1" applyFont="1" applyNumberFormat="1" applyFill="1" applyProtection="1">
      <alignment wrapText="1"/>
      <protection hidden="1"/>
    </xf>
    <xf xxid="1124" numFmtId="1" fontId="2" fillId="0" borderId="0" xfId="5" applyAlignment="1" applyBorder="1" applyFont="1" applyNumberFormat="1" applyFill="1" applyProtection="1">
      <alignment horizontal="right"/>
      <protection locked="0"/>
    </xf>
    <xf xxid="1125" numFmtId="1" fontId="112" fillId="0" borderId="0" xfId="5" applyAlignment="1" applyBorder="1" applyFont="1" applyNumberFormat="1" applyFill="1" applyProtection="1">
      <alignment horizontal="right" vertical="center"/>
      <protection locked="0"/>
    </xf>
    <xf xxid="1126" numFmtId="1" fontId="113" fillId="14" borderId="0" xfId="1" applyAlignment="1" applyBorder="1" applyFont="1" applyNumberFormat="1" applyFill="1" applyProtection="1">
      <alignment horizontal="right"/>
      <protection hidden="1"/>
    </xf>
    <xf xxid="1127" numFmtId="1" fontId="113" fillId="0" borderId="0" xfId="5" applyAlignment="1" applyBorder="1" applyFont="1" applyNumberFormat="1" applyFill="1" applyProtection="1">
      <alignment horizontal="right"/>
      <protection locked="0"/>
    </xf>
    <xf xxid="1128" numFmtId="0" fontId="99" fillId="0" borderId="0" xfId="5" applyAlignment="1" applyBorder="1" applyFont="1" applyNumberFormat="1" applyFill="1" applyProtection="1">
      <alignment horizontal="left"/>
      <protection locked="0"/>
    </xf>
    <xf xxid="1129" numFmtId="0" fontId="98" fillId="0" borderId="7" xfId="5" applyAlignment="1" applyBorder="1" applyFont="1" applyNumberFormat="1" applyFill="1" applyProtection="1">
      <alignment horizontal="left"/>
      <protection locked="0"/>
    </xf>
    <xf xxid="1130" numFmtId="0" fontId="117" fillId="0" borderId="0" xfId="5" applyAlignment="1" applyBorder="1" applyFont="1" applyNumberFormat="1" applyFill="1" applyProtection="1">
      <protection locked="0"/>
    </xf>
    <xf xxid="1131" numFmtId="4" fontId="117" fillId="0" borderId="0" xfId="5" applyAlignment="1" applyBorder="1" applyFont="1" applyNumberFormat="1" applyFill="1" applyProtection="1">
      <alignment wrapText="1"/>
      <protection hidden="1"/>
    </xf>
    <xf xxid="1132" numFmtId="0" fontId="99" fillId="0" borderId="0" xfId="5" applyAlignment="1" applyBorder="1" applyFont="1" applyNumberFormat="1" applyFill="1" applyProtection="1">
      <alignment horizontal="right"/>
      <protection locked="0"/>
    </xf>
    <xf xxid="1133" numFmtId="0" fontId="98" fillId="0" borderId="29" xfId="5" applyAlignment="1" applyBorder="1" applyFont="1" applyNumberFormat="1" applyFill="1" applyProtection="1">
      <alignment horizontal="right"/>
      <protection locked="0"/>
    </xf>
    <xf xxid="1134" numFmtId="0" fontId="98" fillId="0" borderId="7" xfId="5" applyAlignment="1" applyBorder="1" applyFont="1" applyNumberFormat="1" applyFill="1" applyProtection="1">
      <alignment horizontal="right" vertical="center"/>
      <protection locked="0"/>
    </xf>
    <xf xxid="1135" numFmtId="0" fontId="114" fillId="0" borderId="7" xfId="5" applyAlignment="1" applyBorder="1" applyFont="1" applyNumberFormat="1" applyFill="1" applyProtection="1">
      <alignment vertical="center"/>
      <protection locked="0"/>
    </xf>
    <xf xxid="1136" numFmtId="0" fontId="115" fillId="0" borderId="0" xfId="0" applyAlignment="1" applyBorder="1" applyFont="1" applyNumberFormat="1" applyFill="1" applyProtection="1"/>
    <xf xxid="1137" numFmtId="3" fontId="99" fillId="0" borderId="0" xfId="5" applyAlignment="1" applyBorder="1" applyFont="1" applyNumberFormat="1" applyFill="1" applyProtection="1">
      <alignment horizontal="right"/>
      <protection locked="0"/>
    </xf>
    <xf xxid="1138" numFmtId="3" fontId="98" fillId="0" borderId="7" xfId="5" applyAlignment="1" applyBorder="1" applyFont="1" applyNumberFormat="1" applyFill="1" applyProtection="1">
      <alignment horizontal="right"/>
      <protection locked="0"/>
    </xf>
    <xf xxid="1139" numFmtId="2" fontId="2" fillId="0" borderId="0" xfId="5" applyAlignment="1" applyBorder="1" applyFont="1" applyNumberFormat="1" applyFill="1" applyProtection="1">
      <protection locked="0"/>
    </xf>
    <xf xxid="1140" numFmtId="3" fontId="115" fillId="0" borderId="0" xfId="5" applyAlignment="1" applyBorder="1" applyFont="1" applyNumberFormat="1" applyFill="1" applyProtection="1">
      <alignment horizontal="right"/>
      <protection locked="0"/>
    </xf>
    <xf xxid="1141" numFmtId="0" fontId="114" fillId="0" borderId="9" xfId="5" applyAlignment="1" applyBorder="1" applyFont="1" applyNumberFormat="1" applyFill="1" applyProtection="1">
      <alignment horizontal="right"/>
      <protection locked="0"/>
    </xf>
    <xf xxid="1142" numFmtId="3" fontId="114" fillId="0" borderId="7" xfId="5" applyAlignment="1" applyBorder="1" applyFont="1" applyNumberFormat="1" applyFill="1" applyProtection="1">
      <alignment horizontal="right" vertical="center"/>
      <protection locked="0"/>
    </xf>
    <xf xxid="1143" numFmtId="2" fontId="99" fillId="0" borderId="0" xfId="5" applyAlignment="1" applyBorder="1" applyFont="1" applyNumberFormat="1" applyFill="1" applyProtection="1">
      <protection locked="0"/>
    </xf>
    <xf xxid="1144" numFmtId="2" fontId="99" fillId="0" borderId="0" xfId="5" applyAlignment="1" applyBorder="1" applyFont="1" applyNumberFormat="1" applyFill="1" applyProtection="1">
      <alignment wrapText="1"/>
      <protection hidden="1"/>
    </xf>
    <xf xxid="1145" numFmtId="0" fontId="2" fillId="0" borderId="0" xfId="8" applyAlignment="1" applyBorder="1" applyFont="1" applyNumberFormat="1" applyFill="1" applyProtection="1"/>
    <xf xxid="1146" numFmtId="0" fontId="17" fillId="0" borderId="72" xfId="21" applyAlignment="1" applyBorder="1" applyFont="1" applyNumberFormat="1" applyFill="1" applyProtection="1">
      <alignment horizontal="left" vertical="top"/>
      <protection hidden="1"/>
    </xf>
    <xf xxid="1147" numFmtId="164" fontId="114" fillId="0" borderId="20" xfId="5" applyAlignment="1" applyBorder="1" applyFont="1" applyNumberFormat="1" applyFill="1" applyProtection="1">
      <alignment horizontal="left" vertical="center"/>
      <protection locked="0"/>
    </xf>
    <xf xxid="1148" numFmtId="0" fontId="115" fillId="0" borderId="0" xfId="0" applyAlignment="1" applyBorder="1" applyFont="1" applyNumberFormat="1" applyFill="1" applyProtection="1">
      <alignment horizontal="center"/>
    </xf>
    <xf xxid="1149" numFmtId="0" fontId="115" fillId="0" borderId="0" xfId="5" applyAlignment="1" applyBorder="1" applyFont="1" applyNumberFormat="1" applyFill="1" applyProtection="1">
      <alignment horizontal="center"/>
      <protection locked="0"/>
    </xf>
    <xf xxid="1150" numFmtId="164" fontId="115" fillId="0" borderId="0" xfId="5" applyAlignment="1" applyBorder="1" applyFont="1" applyNumberFormat="1" applyFill="1" applyProtection="1">
      <protection locked="0"/>
    </xf>
    <xf xxid="1151" numFmtId="0" fontId="2" fillId="0" borderId="0" xfId="5" applyAlignment="1" applyBorder="1" applyFont="1" applyNumberFormat="1" applyFill="1" applyProtection="1">
      <alignment horizontal="center"/>
      <protection locked="0"/>
    </xf>
    <xf xxid="1152" numFmtId="164" fontId="114" fillId="0" borderId="20" xfId="5" applyAlignment="1" applyBorder="1" applyFont="1" applyNumberFormat="1" applyFill="1" applyProtection="1">
      <alignment horizontal="center" vertical="center"/>
      <protection locked="0"/>
    </xf>
    <xf xxid="1153" numFmtId="164" fontId="115" fillId="0" borderId="0" xfId="5" applyAlignment="1" applyBorder="1" applyFont="1" applyNumberFormat="1" applyFill="1" applyProtection="1">
      <alignment horizontal="center"/>
      <protection locked="0"/>
    </xf>
    <xf xxid="1154" numFmtId="164" fontId="2" fillId="0" borderId="0" xfId="5" applyAlignment="1" applyBorder="1" applyFont="1" applyNumberFormat="1" applyFill="1" applyProtection="1">
      <alignment horizontal="center"/>
      <protection locked="0"/>
    </xf>
    <xf xxid="1155" numFmtId="2" fontId="115" fillId="0" borderId="0" xfId="5" applyAlignment="1" applyBorder="1" applyFont="1" applyNumberFormat="1" applyFill="1" applyProtection="1">
      <alignment horizontal="center"/>
      <protection locked="0"/>
    </xf>
    <xf xxid="1156" numFmtId="0" fontId="5" fillId="0" borderId="0" xfId="5" applyAlignment="1" applyBorder="1" applyFont="1" applyNumberFormat="1" applyFill="1" applyProtection="1">
      <alignment horizontal="center" vertical="center"/>
      <protection locked="0"/>
    </xf>
    <xf xxid="1157" numFmtId="3" fontId="115" fillId="0" borderId="8" xfId="5" applyAlignment="1" applyBorder="1" applyFont="1" applyNumberFormat="1" applyFill="1" applyProtection="1">
      <alignment horizontal="right"/>
      <protection locked="0"/>
    </xf>
    <xf xxid="1158" numFmtId="0" fontId="115" fillId="0" borderId="8" xfId="5" applyAlignment="1" applyBorder="1" applyFont="1" applyNumberFormat="1" applyFill="1" applyProtection="1">
      <protection locked="0"/>
    </xf>
    <xf xxid="1159" numFmtId="0" fontId="115" fillId="0" borderId="8" xfId="0" applyAlignment="1" applyBorder="1" applyFont="1" applyNumberFormat="1" applyFill="1" applyProtection="1"/>
    <xf xxid="1160" numFmtId="0" fontId="2" fillId="0" borderId="8" xfId="5" applyAlignment="1" applyBorder="1" applyFont="1" applyNumberFormat="1" applyFill="1" applyProtection="1">
      <protection locked="0"/>
    </xf>
    <xf xxid="1161" numFmtId="0" fontId="119" fillId="0" borderId="0" xfId="5" applyAlignment="1" applyBorder="1" applyFont="1" applyNumberFormat="1" applyFill="1" applyProtection="1">
      <alignment horizontal="center"/>
      <protection locked="0"/>
    </xf>
    <xf xxid="1162" numFmtId="0" fontId="120" fillId="0" borderId="0" xfId="5" applyAlignment="1" applyBorder="1" applyFont="1" applyNumberFormat="1" applyFill="1" applyProtection="1">
      <alignment horizontal="center" vertical="center"/>
      <protection locked="0"/>
    </xf>
    <xf xxid="1163" numFmtId="0" fontId="119" fillId="0" borderId="0" xfId="5" applyAlignment="1" applyBorder="1" applyFont="1" applyNumberFormat="1" applyFill="1" applyProtection="1">
      <protection locked="0"/>
    </xf>
    <xf xxid="1164" numFmtId="0" fontId="120" fillId="0" borderId="0" xfId="5" applyAlignment="1" applyBorder="1" applyFont="1" applyNumberFormat="1" applyFill="1" applyProtection="1">
      <alignment vertical="center"/>
      <protection locked="0"/>
    </xf>
    <xf xxid="1165" numFmtId="2" fontId="119" fillId="0" borderId="0" xfId="5" applyAlignment="1" applyBorder="1" applyFont="1" applyNumberFormat="1" applyFill="1" applyProtection="1">
      <protection locked="0"/>
    </xf>
    <xf xxid="1166" numFmtId="2" fontId="5" fillId="0" borderId="0" xfId="5" applyAlignment="1" applyBorder="1" applyFont="1" applyNumberFormat="1" applyFill="1" applyProtection="1">
      <alignment vertical="center"/>
      <protection locked="0"/>
    </xf>
    <xf xxid="1167" numFmtId="0" fontId="114" fillId="0" borderId="7" xfId="5" applyAlignment="1" applyBorder="1" applyFont="1" applyNumberFormat="1" applyFill="1" applyProtection="1">
      <alignment horizontal="center" vertical="center"/>
      <protection locked="0"/>
    </xf>
    <xf xxid="1168" numFmtId="0" fontId="115" fillId="0" borderId="8" xfId="0" applyAlignment="1" applyBorder="1" applyFont="1" applyNumberFormat="1" applyFill="1" applyProtection="1">
      <alignment horizontal="center"/>
    </xf>
    <xf xxid="1169" numFmtId="49" fontId="0" fillId="0" borderId="0" xfId="0" applyAlignment="1" applyBorder="1" applyFont="1" applyNumberFormat="1" applyFill="1" applyProtection="1">
      <alignment horizontal="center"/>
    </xf>
    <xf xxid="1170" numFmtId="49" fontId="2" fillId="0" borderId="0" xfId="5" applyAlignment="1" applyBorder="1" applyFont="1" applyNumberFormat="1" applyFill="1" applyProtection="1">
      <alignment horizontal="center"/>
      <protection locked="0"/>
    </xf>
    <xf xxid="1171" numFmtId="49" fontId="114" fillId="0" borderId="7" xfId="5" applyAlignment="1" applyBorder="1" applyFont="1" applyNumberFormat="1" applyFill="1" applyProtection="1">
      <alignment horizontal="center" vertical="center"/>
      <protection locked="0"/>
    </xf>
    <xf xxid="1172" numFmtId="49" fontId="115" fillId="0" borderId="0" xfId="0" applyAlignment="1" applyBorder="1" applyFont="1" applyNumberFormat="1" applyFill="1" applyProtection="1">
      <alignment horizontal="center"/>
    </xf>
    <xf xxid="1173" numFmtId="49" fontId="115" fillId="0" borderId="8" xfId="0" applyAlignment="1" applyBorder="1" applyFont="1" applyNumberFormat="1" applyFill="1" applyProtection="1">
      <alignment horizontal="center"/>
    </xf>
    <xf xxid="1174" numFmtId="164" fontId="99" fillId="0" borderId="0" xfId="5" applyAlignment="1" applyBorder="1" applyFont="1" applyNumberFormat="1" applyFill="1" applyProtection="1">
      <alignment horizontal="left"/>
      <protection locked="0"/>
    </xf>
    <xf xxid="1175" numFmtId="164" fontId="98" fillId="0" borderId="7" xfId="5" applyAlignment="1" applyBorder="1" applyFont="1" applyNumberFormat="1" applyFill="1" applyProtection="1">
      <alignment horizontal="left"/>
      <protection locked="0"/>
    </xf>
    <xf xxid="1176" numFmtId="49" fontId="99" fillId="0" borderId="0" xfId="5" applyAlignment="1" applyBorder="1" applyFont="1" applyNumberFormat="1" applyFill="1" applyProtection="1">
      <alignment horizontal="left"/>
      <protection locked="0"/>
    </xf>
    <xf xxid="1177" numFmtId="49" fontId="98" fillId="0" borderId="7" xfId="5" applyAlignment="1" applyBorder="1" applyFont="1" applyNumberFormat="1" applyFill="1" applyProtection="1">
      <alignment horizontal="left"/>
      <protection locked="0"/>
    </xf>
    <xf xxid="1178" numFmtId="0" fontId="2" fillId="29" borderId="7" xfId="5" applyAlignment="1" applyBorder="1" applyFont="1" applyNumberFormat="1" applyFill="1" applyProtection="1">
      <alignment horizontal="left" vertical="top" wrapText="1"/>
      <protection locked="0"/>
    </xf>
    <xf xxid="1179" numFmtId="0" fontId="2" fillId="29" borderId="7" xfId="5" applyAlignment="1" applyBorder="1" applyFont="1" applyNumberFormat="1" applyFill="1" applyProtection="1">
      <alignment horizontal="center"/>
      <protection locked="0"/>
    </xf>
    <xf xxid="1180" numFmtId="167" fontId="2" fillId="29" borderId="7" xfId="1" applyAlignment="1" applyBorder="1" applyFont="1" applyNumberFormat="1" applyFill="1" applyProtection="1">
      <alignment horizontal="right"/>
      <protection locked="0"/>
    </xf>
    <xf xxid="1181" numFmtId="167" fontId="2" fillId="29" borderId="7" xfId="1" applyAlignment="1" applyBorder="1" applyFont="1" applyNumberFormat="1" applyFill="1" applyProtection="1">
      <protection locked="0"/>
    </xf>
    <xf xxid="1182" numFmtId="0" fontId="102" fillId="18" borderId="0" xfId="5" applyAlignment="1" applyBorder="1" applyFont="1" applyNumberFormat="1" applyFill="1" applyProtection="1">
      <alignment wrapText="1"/>
    </xf>
    <xf xxid="1183" numFmtId="0" fontId="2" fillId="17" borderId="0" xfId="5" applyAlignment="1" applyBorder="1" applyFont="1" applyNumberFormat="1" applyFill="1" applyProtection="1">
      <alignment horizontal="left" wrapText="1"/>
    </xf>
    <xf xxid="1184" numFmtId="0" fontId="5" fillId="17" borderId="0" xfId="5" applyAlignment="1" applyBorder="1" applyFont="1" applyNumberFormat="1" applyFill="1" applyProtection="1">
      <alignment wrapText="1"/>
    </xf>
    <xf xxid="1185" numFmtId="0" fontId="2" fillId="17" borderId="0" xfId="5" applyAlignment="1" applyBorder="1" applyFont="1" applyNumberFormat="1" applyFill="1" applyProtection="1">
      <alignment wrapText="1"/>
    </xf>
    <xf xxid="1186" numFmtId="0" fontId="3" fillId="26" borderId="0" xfId="5" applyAlignment="1" applyBorder="1" applyFont="1" applyNumberFormat="1" applyFill="1" applyProtection="1">
      <alignment wrapText="1"/>
    </xf>
    <xf xxid="1187" numFmtId="0" fontId="2" fillId="0" borderId="0" xfId="5" applyAlignment="1" applyBorder="1" applyFont="1" applyNumberFormat="1" applyFill="1" applyProtection="1">
      <alignment wrapText="1"/>
      <protection locked="0"/>
    </xf>
    <xf xxid="1188" numFmtId="0" fontId="2" fillId="6" borderId="0" xfId="21" applyAlignment="1" applyBorder="1" applyFont="1" applyNumberFormat="1" applyFill="1" applyProtection="1"/>
    <xf xxid="1189" numFmtId="0" fontId="2" fillId="0" borderId="0" xfId="21" applyAlignment="1" applyBorder="1" applyFont="1" applyNumberFormat="1" applyFill="1" applyProtection="1"/>
    <xf xxid="1190" numFmtId="0" fontId="54" fillId="6" borderId="0" xfId="21" applyAlignment="1" applyBorder="1" applyFont="1" applyNumberFormat="1" applyFill="1" applyProtection="1"/>
    <xf xxid="1191" numFmtId="164" fontId="2" fillId="6" borderId="0" xfId="28" applyAlignment="1" applyBorder="1" applyFont="1" applyNumberFormat="1" applyFill="1" applyProtection="1"/>
    <xf xxid="1192" numFmtId="0" fontId="119" fillId="6" borderId="0" xfId="21" applyAlignment="1" applyBorder="1" applyFont="1" applyNumberFormat="1" applyFill="1" applyProtection="1"/>
    <xf xxid="1193" numFmtId="0" fontId="2" fillId="6" borderId="0" xfId="21" applyAlignment="1" applyBorder="1" applyFont="1" applyNumberFormat="1" applyFill="1" applyProtection="1">
      <alignment horizontal="center"/>
    </xf>
    <xf xxid="1194" numFmtId="0" fontId="2" fillId="6" borderId="0" xfId="21" applyAlignment="1" applyBorder="1" applyFont="1" applyNumberFormat="1" applyFill="1" applyProtection="1">
      <protection locked="0"/>
    </xf>
    <xf xxid="1195" numFmtId="0" fontId="2" fillId="6" borderId="0" xfId="21" applyAlignment="1" applyBorder="1" applyFont="1" applyNumberFormat="1" applyFill="1" applyProtection="1">
      <alignment horizontal="center"/>
      <protection locked="0"/>
    </xf>
    <xf xxid="1196" numFmtId="0" fontId="2" fillId="6" borderId="0" xfId="21" applyAlignment="1" applyBorder="1" applyFont="1" applyNumberFormat="1" applyFill="1" applyProtection="1">
      <alignment vertical="top"/>
    </xf>
    <xf xxid="1197" numFmtId="0" fontId="119" fillId="6" borderId="0" xfId="21" applyAlignment="1" applyBorder="1" applyFont="1" applyNumberFormat="1" applyFill="1" applyProtection="1">
      <alignment horizontal="center"/>
    </xf>
    <xf xxid="1198" numFmtId="0" fontId="54" fillId="6" borderId="0" xfId="21" applyAlignment="1" applyBorder="1" applyFont="1" applyNumberFormat="1" applyFill="1" applyProtection="1">
      <alignment horizontal="center"/>
    </xf>
    <xf xxid="1199" numFmtId="0" fontId="5" fillId="6" borderId="0" xfId="21" applyAlignment="1" applyBorder="1" applyFont="1" applyNumberFormat="1" applyFill="1" applyProtection="1"/>
    <xf xxid="1200" numFmtId="0" fontId="2" fillId="6" borderId="0" xfId="21" applyAlignment="1" applyBorder="1" applyFont="1" applyNumberFormat="1" applyFill="1" applyProtection="1">
      <alignment horizontal="center" vertical="center"/>
    </xf>
    <xf xxid="1201" numFmtId="0" fontId="2" fillId="6" borderId="8" xfId="21" applyAlignment="1" applyBorder="1" applyFont="1" applyNumberFormat="1" applyFill="1" applyProtection="1"/>
    <xf xxid="1202" numFmtId="0" fontId="119" fillId="6" borderId="8" xfId="21" applyAlignment="1" applyBorder="1" applyFont="1" applyNumberFormat="1" applyFill="1" applyProtection="1"/>
    <xf xxid="1203" numFmtId="0" fontId="98" fillId="20" borderId="76" xfId="0" applyAlignment="1" applyBorder="1" applyFont="1" applyNumberFormat="1" applyFill="1" applyProtection="1">
      <alignment horizontal="center" vertical="center" wrapText="1"/>
    </xf>
    <xf xxid="1204" numFmtId="0" fontId="54" fillId="0" borderId="0" xfId="21" applyAlignment="1" applyBorder="1" applyFont="1" applyNumberFormat="1" applyFill="1" applyProtection="1"/>
    <xf xxid="1205" numFmtId="0" fontId="122" fillId="6" borderId="0" xfId="21" applyAlignment="1" applyBorder="1" applyFont="1" applyNumberFormat="1" applyFill="1" applyProtection="1"/>
    <xf xxid="1206" numFmtId="0" fontId="122" fillId="0" borderId="0" xfId="21" applyAlignment="1" applyBorder="1" applyFont="1" applyNumberFormat="1" applyFill="1" applyProtection="1"/>
    <xf xxid="1207" numFmtId="0" fontId="123" fillId="6" borderId="0" xfId="21" applyAlignment="1" applyBorder="1" applyFont="1" applyNumberFormat="1" applyFill="1" applyProtection="1"/>
    <xf xxid="1208" numFmtId="0" fontId="54" fillId="6" borderId="0" xfId="21" applyAlignment="1" applyBorder="1" applyFont="1" applyNumberFormat="1" applyFill="1" applyProtection="1">
      <alignment vertical="top"/>
    </xf>
    <xf xxid="1209" numFmtId="49" fontId="17" fillId="0" borderId="0" xfId="0" applyAlignment="1" applyBorder="1" applyFont="1" applyNumberFormat="1" applyFill="1" applyProtection="1">
      <alignment horizontal="right" vertical="center"/>
    </xf>
    <xf xxid="1210" numFmtId="0" fontId="17" fillId="0" borderId="0" xfId="0" applyAlignment="1" applyBorder="1" applyFont="1" applyNumberFormat="1" applyFill="1" applyProtection="1">
      <alignment horizontal="right"/>
    </xf>
    <xf xxid="1211" numFmtId="0" fontId="17" fillId="0" borderId="16" xfId="0" applyAlignment="1" applyBorder="1" applyFont="1" applyNumberFormat="1" applyFill="1" applyProtection="1">
      <alignment vertical="center"/>
    </xf>
    <xf xxid="1212" numFmtId="0" fontId="17" fillId="0" borderId="18" xfId="0" applyAlignment="1" applyBorder="1" applyFont="1" applyNumberFormat="1" applyFill="1" applyProtection="1">
      <alignment vertical="center"/>
    </xf>
    <xf xxid="1213" numFmtId="0" fontId="17" fillId="0" borderId="19" xfId="0" applyAlignment="1" applyBorder="1" applyFont="1" applyNumberFormat="1" applyFill="1" applyProtection="1">
      <alignment vertical="center"/>
    </xf>
    <xf xxid="1214" numFmtId="0" fontId="17" fillId="0" borderId="8" xfId="0" applyAlignment="1" applyBorder="1" applyFont="1" applyNumberFormat="1" applyFill="1" applyProtection="1"/>
    <xf xxid="1215" numFmtId="0" fontId="17" fillId="0" borderId="8" xfId="0" applyAlignment="1" applyBorder="1" applyFont="1" applyNumberFormat="1" applyFill="1" applyProtection="1">
      <alignment horizontal="left" vertical="center"/>
    </xf>
    <xf xxid="1216" numFmtId="181" fontId="85" fillId="6" borderId="10" xfId="0" applyAlignment="1" applyBorder="1" applyFont="1" applyNumberFormat="1" applyFill="1" applyProtection="1">
      <alignment wrapText="1"/>
      <protection hidden="1" locked="0"/>
    </xf>
    <xf xxid="1217" numFmtId="181" fontId="85" fillId="6" borderId="0" xfId="0" applyAlignment="1" applyBorder="1" applyFont="1" applyNumberFormat="1" applyFill="1" applyProtection="1">
      <alignment wrapText="1"/>
      <protection hidden="1" locked="0"/>
    </xf>
    <xf xxid="1218" numFmtId="181" fontId="85" fillId="6" borderId="0" xfId="0" applyAlignment="1" applyBorder="1" applyFont="1" applyNumberFormat="1" applyFill="1" applyProtection="1">
      <protection hidden="1" locked="0"/>
    </xf>
    <xf xxid="1219" numFmtId="181" fontId="85" fillId="6" borderId="0" xfId="1" applyAlignment="1" applyBorder="1" applyFont="1" applyNumberFormat="1" applyFill="1" applyProtection="1">
      <protection hidden="1" locked="0"/>
    </xf>
    <xf xxid="1220" numFmtId="181" fontId="85" fillId="6" borderId="18" xfId="0" applyAlignment="1" applyBorder="1" applyFont="1" applyNumberFormat="1" applyFill="1" applyProtection="1">
      <alignment wrapText="1"/>
      <protection hidden="1" locked="0"/>
    </xf>
    <xf xxid="1221" numFmtId="181" fontId="85" fillId="6" borderId="8" xfId="0" applyAlignment="1" applyBorder="1" applyFont="1" applyNumberFormat="1" applyFill="1" applyProtection="1">
      <alignment wrapText="1"/>
      <protection hidden="1" locked="0"/>
    </xf>
    <xf xxid="1222" numFmtId="181" fontId="85" fillId="6" borderId="8" xfId="0" applyAlignment="1" applyBorder="1" applyFont="1" applyNumberFormat="1" applyFill="1" applyProtection="1">
      <protection hidden="1" locked="0"/>
    </xf>
    <xf xxid="1223" numFmtId="181" fontId="85" fillId="6" borderId="8" xfId="1" applyAlignment="1" applyBorder="1" applyFont="1" applyNumberFormat="1" applyFill="1" applyProtection="1">
      <protection hidden="1" locked="0"/>
    </xf>
    <xf xxid="1224" numFmtId="177" fontId="17" fillId="0" borderId="0" xfId="0" applyAlignment="1" applyBorder="1" applyFont="1" applyNumberFormat="1" applyFill="1" applyProtection="1">
      <alignment horizontal="right" vertical="center"/>
    </xf>
    <xf xxid="1225" numFmtId="0" fontId="5" fillId="0" borderId="0" xfId="29" applyAlignment="1" applyBorder="1" applyFont="1" applyNumberFormat="1" applyFill="1" applyProtection="1"/>
    <xf xxid="1226" numFmtId="4" fontId="2" fillId="0" borderId="0" xfId="23" applyAlignment="1" applyBorder="1" applyFont="1" applyNumberFormat="1" applyFill="1" applyProtection="1">
      <alignment horizontal="center"/>
    </xf>
    <xf xxid="1227" numFmtId="0" fontId="2" fillId="0" borderId="0" xfId="29" applyAlignment="1" applyBorder="1" applyFont="1" applyNumberFormat="1" applyFill="1" applyProtection="1"/>
    <xf xxid="1228" numFmtId="0" fontId="98" fillId="20" borderId="77" xfId="29" applyAlignment="1" applyBorder="1" applyFont="1" applyNumberFormat="1" applyFill="1" applyProtection="1">
      <alignment horizontal="center" vertical="center" wrapText="1"/>
    </xf>
    <xf xxid="1229" numFmtId="4" fontId="5" fillId="0" borderId="67" xfId="23" applyAlignment="1" applyBorder="1" applyFont="1" applyNumberFormat="1" applyFill="1" applyProtection="1">
      <alignment horizontal="center" vertical="center" wrapText="1"/>
    </xf>
    <xf xxid="1230" numFmtId="0" fontId="5" fillId="0" borderId="0" xfId="29" applyAlignment="1" applyBorder="1" applyFont="1" applyNumberFormat="1" applyFill="1" applyProtection="1">
      <alignment horizontal="center" vertical="center"/>
    </xf>
    <xf xxid="1231" numFmtId="0" fontId="98" fillId="20" borderId="78" xfId="29" applyAlignment="1" applyBorder="1" applyFont="1" applyNumberFormat="1" applyFill="1" applyProtection="1">
      <alignment horizontal="center" vertical="center" wrapText="1"/>
    </xf>
    <xf xxid="1232" numFmtId="4" fontId="5" fillId="0" borderId="32" xfId="23" applyAlignment="1" applyBorder="1" applyFont="1" applyNumberFormat="1" applyFill="1" applyProtection="1">
      <alignment horizontal="center" vertical="center" wrapText="1"/>
    </xf>
    <xf xxid="1233" numFmtId="39" fontId="2" fillId="0" borderId="7" xfId="0" applyAlignment="1" applyBorder="1" applyFont="1" applyNumberFormat="1" applyFill="1" applyProtection="1">
      <alignment horizontal="center" vertical="center" wrapText="1"/>
    </xf>
    <xf xxid="1234" numFmtId="39" fontId="99" fillId="18" borderId="7" xfId="0" applyAlignment="1" applyBorder="1" applyFont="1" applyNumberFormat="1" applyFill="1" applyProtection="1">
      <alignment horizontal="center" vertical="center" wrapText="1"/>
    </xf>
    <xf xxid="1235" numFmtId="39" fontId="2" fillId="0" borderId="7" xfId="1" applyAlignment="1" applyBorder="1" applyFont="1" applyNumberFormat="1" applyFill="1" applyProtection="1">
      <alignment horizontal="center" vertical="center" wrapText="1"/>
    </xf>
    <xf xxid="1236" numFmtId="39" fontId="99" fillId="18" borderId="7" xfId="1" applyAlignment="1" applyBorder="1" applyFont="1" applyNumberFormat="1" applyFill="1" applyProtection="1">
      <alignment horizontal="center" vertical="center" wrapText="1"/>
    </xf>
    <xf xxid="1237" numFmtId="0" fontId="99" fillId="20" borderId="64" xfId="29" applyAlignment="1" applyBorder="1" applyFont="1" applyNumberFormat="1" applyFill="1" applyProtection="1">
      <alignment horizontal="center" vertical="center" wrapText="1"/>
    </xf>
    <xf xxid="1238" numFmtId="0" fontId="99" fillId="0" borderId="71" xfId="29" applyAlignment="1" applyBorder="1" applyFont="1" applyNumberFormat="1" applyFill="1" applyProtection="1">
      <alignment horizontal="center" vertical="center" wrapText="1"/>
    </xf>
    <xf xxid="1239" numFmtId="4" fontId="5" fillId="0" borderId="7" xfId="23" applyAlignment="1" applyBorder="1" applyFont="1" applyNumberFormat="1" applyFill="1" applyProtection="1">
      <alignment horizontal="center" vertical="center" wrapText="1"/>
    </xf>
    <xf xxid="1240" numFmtId="4" fontId="2" fillId="0" borderId="7" xfId="23" applyAlignment="1" applyBorder="1" applyFont="1" applyNumberFormat="1" applyFill="1" applyProtection="1">
      <alignment horizontal="center"/>
    </xf>
    <xf xxid="1241" numFmtId="17" fontId="2" fillId="0" borderId="71" xfId="29" applyAlignment="1" applyBorder="1" applyFont="1" applyNumberFormat="1" applyFill="1" applyProtection="1"/>
    <xf xxid="1242" numFmtId="0" fontId="2" fillId="0" borderId="71" xfId="29" applyAlignment="1" applyBorder="1" applyFont="1" applyNumberFormat="1" applyFill="1" applyProtection="1"/>
    <xf xxid="1243" numFmtId="0" fontId="2" fillId="0" borderId="65" xfId="29" applyAlignment="1" applyBorder="1" applyFont="1" applyNumberFormat="1" applyFill="1" applyProtection="1"/>
    <xf xxid="1244" numFmtId="0" fontId="2" fillId="17" borderId="0" xfId="5" applyAlignment="1" applyBorder="1" applyFont="1" applyNumberFormat="1" applyFill="1" applyProtection="1">
      <alignment horizontal="center"/>
    </xf>
    <xf xxid="1245" numFmtId="0" fontId="5" fillId="17" borderId="0" xfId="5" applyAlignment="1" applyBorder="1" applyFont="1" applyNumberFormat="1" applyFill="1" applyProtection="1">
      <alignment horizontal="center"/>
    </xf>
    <xf xxid="1246" numFmtId="0" fontId="2" fillId="5" borderId="36" xfId="5" applyAlignment="1" applyBorder="1" applyFont="1" applyNumberFormat="1" applyFill="1" applyProtection="1">
      <alignment horizontal="center" vertical="top" wrapText="1"/>
    </xf>
    <xf xxid="1247" numFmtId="0" fontId="100" fillId="18" borderId="0" xfId="5" applyAlignment="1" applyBorder="1" applyFont="1" applyNumberFormat="1" applyFill="1" applyProtection="1">
      <alignment horizontal="left"/>
    </xf>
    <xf xxid="1248" numFmtId="0" fontId="17" fillId="26" borderId="0" xfId="5" applyAlignment="1" applyBorder="1" applyFont="1" applyNumberFormat="1" applyFill="1" applyProtection="1">
      <alignment horizontal="left"/>
    </xf>
    <xf xxid="1249" numFmtId="0" fontId="2" fillId="5" borderId="36" xfId="5" applyAlignment="1" applyBorder="1" applyFont="1" applyNumberFormat="1" applyFill="1" applyProtection="1">
      <alignment horizontal="center" vertical="center" wrapText="1"/>
    </xf>
    <xf xxid="1250" numFmtId="0" fontId="2" fillId="5" borderId="7" xfId="5" applyAlignment="1" applyBorder="1" applyFont="1" applyNumberFormat="1" applyFill="1" applyProtection="1">
      <alignment horizontal="left" vertical="center" wrapText="1"/>
      <protection locked="0"/>
    </xf>
    <xf xxid="1251" numFmtId="0" fontId="2" fillId="5" borderId="7" xfId="5" applyAlignment="1" applyBorder="1" applyFont="1" applyNumberFormat="1" applyFill="1" applyProtection="1">
      <alignment horizontal="center" vertical="center"/>
      <protection locked="0"/>
    </xf>
    <xf xxid="1252" numFmtId="167" fontId="2" fillId="5" borderId="7" xfId="1" applyAlignment="1" applyBorder="1" applyFont="1" applyNumberFormat="1" applyFill="1" applyProtection="1">
      <alignment horizontal="right" vertical="center"/>
      <protection locked="0"/>
    </xf>
    <xf xxid="1253" numFmtId="167" fontId="2" fillId="5" borderId="7" xfId="1" applyAlignment="1" applyBorder="1" applyFont="1" applyNumberFormat="1" applyFill="1" applyProtection="1">
      <alignment vertical="center"/>
      <protection locked="0"/>
    </xf>
    <xf xxid="1254" numFmtId="169" fontId="2" fillId="6" borderId="31" xfId="1" applyAlignment="1" applyBorder="1" applyFont="1" applyNumberFormat="1" applyFill="1" applyProtection="1">
      <alignment vertical="center"/>
      <protection hidden="1"/>
    </xf>
    <xf xxid="1255" numFmtId="0" fontId="2" fillId="5" borderId="32" xfId="5" applyAlignment="1" applyBorder="1" applyFont="1" applyNumberFormat="1" applyFill="1" applyProtection="1">
      <alignment horizontal="left" vertical="center" wrapText="1"/>
      <protection locked="0"/>
    </xf>
    <xf xxid="1256" numFmtId="0" fontId="2" fillId="5" borderId="32" xfId="5" applyAlignment="1" applyBorder="1" applyFont="1" applyNumberFormat="1" applyFill="1" applyProtection="1">
      <alignment horizontal="center" vertical="center"/>
      <protection locked="0"/>
    </xf>
    <xf xxid="1257" numFmtId="167" fontId="2" fillId="5" borderId="32" xfId="1" applyAlignment="1" applyBorder="1" applyFont="1" applyNumberFormat="1" applyFill="1" applyProtection="1">
      <alignment horizontal="right" vertical="center"/>
      <protection locked="0"/>
    </xf>
    <xf xxid="1258" numFmtId="167" fontId="2" fillId="5" borderId="32" xfId="1" applyAlignment="1" applyBorder="1" applyFont="1" applyNumberFormat="1" applyFill="1" applyProtection="1">
      <alignment vertical="center"/>
      <protection locked="0"/>
    </xf>
    <xf xxid="1259" numFmtId="169" fontId="2" fillId="6" borderId="33" xfId="1" applyAlignment="1" applyBorder="1" applyFont="1" applyNumberFormat="1" applyFill="1" applyProtection="1">
      <alignment vertical="center"/>
      <protection hidden="1"/>
    </xf>
    <xf xxid="1260" numFmtId="0" fontId="2" fillId="0" borderId="0" xfId="5" applyAlignment="1" applyBorder="1" applyFont="1" applyNumberFormat="1" applyFill="1" applyProtection="1">
      <alignment horizontal="center"/>
    </xf>
    <xf xxid="1261" numFmtId="168" fontId="2" fillId="0" borderId="0" xfId="5" applyAlignment="1" applyBorder="1" applyFont="1" applyNumberFormat="1" applyFill="1" applyProtection="1"/>
    <xf xxid="1262" numFmtId="0" fontId="13" fillId="0" borderId="7" xfId="21" applyAlignment="1" applyBorder="1" applyFont="1" applyNumberFormat="1" applyFill="1" applyProtection="1">
      <alignment horizontal="center" vertical="center" wrapText="1"/>
    </xf>
    <xf xxid="1263" numFmtId="0" fontId="2" fillId="30" borderId="0" xfId="5" applyAlignment="1" applyBorder="1" applyFont="1" applyNumberFormat="1" applyFill="1" applyProtection="1">
      <alignment vertical="top"/>
    </xf>
    <xf xxid="1264" numFmtId="168" fontId="2" fillId="30" borderId="0" xfId="5" applyAlignment="1" applyBorder="1" applyFont="1" applyNumberFormat="1" applyFill="1" applyProtection="1">
      <alignment vertical="top"/>
    </xf>
    <xf xxid="1265" numFmtId="181" fontId="2" fillId="0" borderId="15" xfId="5" applyAlignment="1" applyBorder="1" applyFont="1" applyNumberFormat="1" applyFill="1" applyProtection="1">
      <alignment horizontal="center" vertical="center" wrapText="1"/>
    </xf>
    <xf xxid="1266" numFmtId="181" fontId="2" fillId="0" borderId="15" xfId="5" applyAlignment="1" applyBorder="1" applyFont="1" applyNumberFormat="1" applyFill="1" applyProtection="1">
      <alignment vertical="center"/>
    </xf>
    <xf xxid="1267" numFmtId="181" fontId="2" fillId="0" borderId="79" xfId="5" applyAlignment="1" applyBorder="1" applyFont="1" applyNumberFormat="1" applyFill="1" applyProtection="1">
      <alignment horizontal="center" vertical="center" wrapText="1"/>
    </xf>
    <xf xxid="1268" numFmtId="181" fontId="2" fillId="0" borderId="79" xfId="5" applyAlignment="1" applyBorder="1" applyFont="1" applyNumberFormat="1" applyFill="1" applyProtection="1">
      <alignment vertical="center"/>
    </xf>
    <xf xxid="1269" numFmtId="181" fontId="2" fillId="0" borderId="16" xfId="5" applyAlignment="1" applyBorder="1" applyFont="1" applyNumberFormat="1" applyFill="1" applyProtection="1">
      <alignment horizontal="center" vertical="center" wrapText="1"/>
    </xf>
    <xf xxid="1270" numFmtId="181" fontId="2" fillId="0" borderId="16" xfId="5" applyAlignment="1" applyBorder="1" applyFont="1" applyNumberFormat="1" applyFill="1" applyProtection="1">
      <alignment vertical="center"/>
    </xf>
    <xf xxid="1271" numFmtId="0" fontId="5" fillId="0" borderId="0" xfId="5" applyAlignment="1" applyBorder="1" applyFont="1" applyNumberFormat="1" applyFill="1" applyProtection="1">
      <alignment horizontal="center" vertical="center"/>
    </xf>
    <xf xxid="1272" numFmtId="0" fontId="5" fillId="0" borderId="0" xfId="5" applyAlignment="1" applyBorder="1" applyFont="1" applyNumberFormat="1" applyFill="1" applyProtection="1">
      <alignment vertical="center"/>
    </xf>
    <xf xxid="1273" numFmtId="168" fontId="5" fillId="0" borderId="0" xfId="5" applyAlignment="1" applyBorder="1" applyFont="1" applyNumberFormat="1" applyFill="1" applyProtection="1">
      <alignment vertical="center"/>
    </xf>
    <xf xxid="1274" numFmtId="169" fontId="88" fillId="6" borderId="80" xfId="1" applyAlignment="1" applyBorder="1" applyFont="1" applyNumberFormat="1" applyFill="1" applyProtection="1">
      <protection hidden="1"/>
    </xf>
    <xf xxid="1275" numFmtId="169" fontId="88" fillId="6" borderId="1" xfId="1" applyAlignment="1" applyBorder="1" applyFont="1" applyNumberFormat="1" applyFill="1" applyProtection="1">
      <protection hidden="1"/>
    </xf>
    <xf xxid="1276" numFmtId="169" fontId="88" fillId="6" borderId="81" xfId="1" applyAlignment="1" applyBorder="1" applyFont="1" applyNumberFormat="1" applyFill="1" applyProtection="1">
      <protection hidden="1"/>
    </xf>
    <xf xxid="1277" numFmtId="0" fontId="85" fillId="6" borderId="80" xfId="0" applyAlignment="1" applyBorder="1" applyFont="1" applyNumberFormat="1" applyFill="1" applyProtection="1">
      <protection hidden="1"/>
    </xf>
    <xf xxid="1278" numFmtId="0" fontId="85" fillId="6" borderId="1" xfId="0" applyAlignment="1" applyBorder="1" applyFont="1" applyNumberFormat="1" applyFill="1" applyProtection="1">
      <protection hidden="1"/>
    </xf>
    <xf xxid="1279" numFmtId="0" fontId="2" fillId="17" borderId="82" xfId="4" applyAlignment="1" applyBorder="1" applyFont="1" applyNumberFormat="1" applyFill="1" applyProtection="1">
      <protection locked="0"/>
    </xf>
    <xf xxid="1280" numFmtId="0" fontId="2" fillId="17" borderId="83" xfId="4" applyAlignment="1" applyBorder="1" applyFont="1" applyNumberFormat="1" applyFill="1" applyProtection="1">
      <protection locked="0"/>
    </xf>
    <xf xxid="1281" numFmtId="0" fontId="2" fillId="23" borderId="82" xfId="4" applyAlignment="1" applyBorder="1" applyFont="1" applyNumberFormat="1" applyFill="1" applyProtection="1">
      <protection locked="0"/>
    </xf>
    <xf xxid="1282" numFmtId="0" fontId="2" fillId="23" borderId="83" xfId="4" applyAlignment="1" applyBorder="1" applyFont="1" applyNumberFormat="1" applyFill="1" applyProtection="1">
      <protection locked="0"/>
    </xf>
    <xf xxid="1283" numFmtId="0" fontId="2" fillId="31" borderId="56" xfId="4" applyAlignment="1" applyBorder="1" applyFont="1" applyNumberFormat="1" applyFill="1" applyProtection="1">
      <protection locked="0"/>
    </xf>
    <xf xxid="1284" numFmtId="0" fontId="2" fillId="31" borderId="58" xfId="4" applyAlignment="1" applyBorder="1" applyFont="1" applyNumberFormat="1" applyFill="1" applyProtection="1">
      <protection locked="0"/>
    </xf>
    <xf xxid="1285" numFmtId="0" fontId="2" fillId="31" borderId="57" xfId="4" applyAlignment="1" applyBorder="1" applyFont="1" applyNumberFormat="1" applyFill="1" applyProtection="1">
      <protection locked="0"/>
    </xf>
    <xf xxid="1286" numFmtId="0" fontId="2" fillId="31" borderId="82" xfId="4" applyAlignment="1" applyBorder="1" applyFont="1" applyNumberFormat="1" applyFill="1" applyProtection="1">
      <protection locked="0"/>
    </xf>
    <xf xxid="1287" numFmtId="0" fontId="2" fillId="31" borderId="59" xfId="4" applyAlignment="1" applyBorder="1" applyFont="1" applyNumberFormat="1" applyFill="1" applyProtection="1">
      <protection locked="0"/>
    </xf>
    <xf xxid="1288" numFmtId="0" fontId="2" fillId="31" borderId="61" xfId="4" applyAlignment="1" applyBorder="1" applyFont="1" applyNumberFormat="1" applyFill="1" applyProtection="1">
      <protection locked="0"/>
    </xf>
    <xf xxid="1289" numFmtId="0" fontId="2" fillId="31" borderId="60" xfId="4" applyAlignment="1" applyBorder="1" applyFont="1" applyNumberFormat="1" applyFill="1" applyProtection="1">
      <protection locked="0"/>
    </xf>
    <xf xxid="1290" numFmtId="0" fontId="2" fillId="31" borderId="83" xfId="4" applyAlignment="1" applyBorder="1" applyFont="1" applyNumberFormat="1" applyFill="1" applyProtection="1">
      <protection locked="0"/>
    </xf>
    <xf xxid="1291" numFmtId="0" fontId="2" fillId="31" borderId="0" xfId="4" applyAlignment="1" applyBorder="1" applyFont="1" applyNumberFormat="1" applyFill="1" applyProtection="1">
      <protection locked="0"/>
    </xf>
    <xf xxid="1292" numFmtId="0" fontId="2" fillId="24" borderId="82" xfId="4" applyAlignment="1" applyBorder="1" applyFont="1" applyNumberFormat="1" applyFill="1" applyProtection="1">
      <protection locked="0"/>
    </xf>
    <xf xxid="1293" numFmtId="0" fontId="2" fillId="24" borderId="83" xfId="4" applyAlignment="1" applyBorder="1" applyFont="1" applyNumberFormat="1" applyFill="1" applyProtection="1">
      <protection locked="0"/>
    </xf>
    <xf xxid="1294" numFmtId="0" fontId="2" fillId="17" borderId="84" xfId="4" applyAlignment="1" applyBorder="1" applyFont="1" applyNumberFormat="1" applyFill="1" applyProtection="1">
      <protection hidden="1"/>
    </xf>
    <xf xxid="1295" numFmtId="0" fontId="2" fillId="17" borderId="85" xfId="4" applyAlignment="1" applyBorder="1" applyFont="1" applyNumberFormat="1" applyFill="1" applyProtection="1">
      <protection hidden="1"/>
    </xf>
    <xf xxid="1296" numFmtId="0" fontId="2" fillId="17" borderId="86" xfId="4" applyAlignment="1" applyBorder="1" applyFont="1" applyNumberFormat="1" applyFill="1" applyProtection="1">
      <protection hidden="1"/>
    </xf>
    <xf xxid="1297" numFmtId="0" fontId="2" fillId="17" borderId="63" xfId="4" applyAlignment="1" applyBorder="1" applyFont="1" applyNumberFormat="1" applyFill="1" applyProtection="1">
      <protection hidden="1"/>
    </xf>
    <xf xxid="1298" numFmtId="0" fontId="2" fillId="17" borderId="10" xfId="4" applyAlignment="1" applyBorder="1" applyFont="1" applyNumberFormat="1" applyFill="1" applyProtection="1">
      <protection hidden="1"/>
    </xf>
    <xf xxid="1299" numFmtId="0" fontId="2" fillId="17" borderId="12" xfId="4" applyAlignment="1" applyBorder="1" applyFont="1" applyNumberFormat="1" applyFill="1" applyProtection="1">
      <protection hidden="1"/>
    </xf>
    <xf xxid="1300" numFmtId="0" fontId="2" fillId="23" borderId="10" xfId="4" applyAlignment="1" applyBorder="1" applyFont="1" applyNumberFormat="1" applyFill="1" applyProtection="1">
      <protection hidden="1"/>
    </xf>
    <xf xxid="1301" numFmtId="0" fontId="2" fillId="23" borderId="12" xfId="4" applyAlignment="1" applyBorder="1" applyFont="1" applyNumberFormat="1" applyFill="1" applyProtection="1">
      <protection hidden="1"/>
    </xf>
    <xf xxid="1302" numFmtId="0" fontId="2" fillId="23" borderId="63" xfId="4" applyAlignment="1" applyBorder="1" applyFont="1" applyNumberFormat="1" applyFill="1" applyProtection="1">
      <protection hidden="1"/>
    </xf>
    <xf xxid="1303" numFmtId="0" fontId="2" fillId="25" borderId="10" xfId="4" applyAlignment="1" applyBorder="1" applyFont="1" applyNumberFormat="1" applyFill="1" applyProtection="1">
      <protection hidden="1"/>
    </xf>
    <xf xxid="1304" numFmtId="0" fontId="2" fillId="25" borderId="12" xfId="4" applyAlignment="1" applyBorder="1" applyFont="1" applyNumberFormat="1" applyFill="1" applyProtection="1">
      <protection hidden="1"/>
    </xf>
    <xf xxid="1305" numFmtId="0" fontId="2" fillId="25" borderId="63" xfId="4" applyAlignment="1" applyBorder="1" applyFont="1" applyNumberFormat="1" applyFill="1" applyProtection="1">
      <protection hidden="1"/>
    </xf>
    <xf xxid="1306" numFmtId="0" fontId="2" fillId="24" borderId="10" xfId="4" applyAlignment="1" applyBorder="1" applyFont="1" applyNumberFormat="1" applyFill="1" applyProtection="1">
      <protection hidden="1"/>
    </xf>
    <xf xxid="1307" numFmtId="0" fontId="2" fillId="24" borderId="12" xfId="4" applyAlignment="1" applyBorder="1" applyFont="1" applyNumberFormat="1" applyFill="1" applyProtection="1">
      <protection hidden="1"/>
    </xf>
    <xf xxid="1308" numFmtId="0" fontId="2" fillId="24" borderId="63" xfId="4" applyAlignment="1" applyBorder="1" applyFont="1" applyNumberFormat="1" applyFill="1" applyProtection="1">
      <protection hidden="1"/>
    </xf>
    <xf xxid="1309" numFmtId="0" fontId="88" fillId="6" borderId="87" xfId="0" applyAlignment="1" applyBorder="1" applyFont="1" applyNumberFormat="1" applyFill="1" applyProtection="1">
      <alignment horizontal="center"/>
      <protection hidden="1"/>
    </xf>
    <xf xxid="1310" numFmtId="0" fontId="88" fillId="6" borderId="88" xfId="0" applyAlignment="1" applyBorder="1" applyFont="1" applyNumberFormat="1" applyFill="1" applyProtection="1">
      <alignment horizontal="center"/>
      <protection hidden="1"/>
    </xf>
    <xf xxid="1311" numFmtId="0" fontId="88" fillId="6" borderId="20" xfId="0" applyAlignment="1" applyBorder="1" applyFont="1" applyNumberFormat="1" applyFill="1" applyProtection="1">
      <alignment horizontal="center"/>
      <protection hidden="1"/>
    </xf>
    <xf xxid="1312" numFmtId="0" fontId="88" fillId="6" borderId="0" xfId="0" applyAlignment="1" applyBorder="1" applyFont="1" applyNumberFormat="1" applyFill="1" applyProtection="1">
      <alignment vertical="center" wrapText="1" shrinkToFit="1"/>
      <protection hidden="1"/>
    </xf>
    <xf xxid="1313" numFmtId="0" fontId="85" fillId="6" borderId="47" xfId="0" applyAlignment="1" applyBorder="1" applyFont="1" applyNumberFormat="1" applyFill="1" applyProtection="1">
      <protection hidden="1"/>
    </xf>
    <xf xxid="1314" numFmtId="169" fontId="2" fillId="0" borderId="0" xfId="4" applyAlignment="1" applyBorder="1" applyFont="1" applyNumberFormat="1" applyFill="1" applyProtection="1">
      <protection locked="0"/>
    </xf>
    <xf xxid="1315" numFmtId="168" fontId="13" fillId="0" borderId="24" xfId="21" applyAlignment="1" applyBorder="1" applyFont="1" applyNumberFormat="1" applyFill="1" applyProtection="1">
      <alignment horizontal="center" vertical="center" wrapText="1"/>
    </xf>
    <xf xxid="1316" numFmtId="164" fontId="2" fillId="0" borderId="22" xfId="5" applyAlignment="1" applyBorder="1" applyFont="1" applyNumberFormat="1" applyFill="1" applyProtection="1">
      <alignment vertical="center"/>
    </xf>
    <xf xxid="1317" numFmtId="164" fontId="2" fillId="0" borderId="89" xfId="5" applyAlignment="1" applyBorder="1" applyFont="1" applyNumberFormat="1" applyFill="1" applyProtection="1">
      <alignment vertical="center"/>
    </xf>
    <xf xxid="1318" numFmtId="164" fontId="2" fillId="0" borderId="18" xfId="5" applyAlignment="1" applyBorder="1" applyFont="1" applyNumberFormat="1" applyFill="1" applyProtection="1">
      <alignment vertical="center"/>
    </xf>
    <xf xxid="1319" numFmtId="0" fontId="32" fillId="32" borderId="0" xfId="5" applyAlignment="1" applyBorder="1" applyFont="1" applyNumberFormat="1" applyFill="1" applyProtection="1"/>
    <xf xxid="1320" numFmtId="0" fontId="5" fillId="17" borderId="70" xfId="5" applyAlignment="1" applyBorder="1" applyFont="1" applyNumberFormat="1" applyFill="1" applyProtection="1">
      <alignment horizontal="center" vertical="center" wrapText="1"/>
    </xf>
    <xf xxid="1321" numFmtId="0" fontId="2" fillId="5" borderId="71" xfId="5" applyAlignment="1" applyBorder="1" applyFont="1" applyNumberFormat="1" applyFill="1" applyProtection="1">
      <alignment horizontal="center" vertical="top" wrapText="1"/>
    </xf>
    <xf xxid="1322" numFmtId="169" fontId="2" fillId="6" borderId="70" xfId="1" applyAlignment="1" applyBorder="1" applyFont="1" applyNumberFormat="1" applyFill="1" applyProtection="1">
      <protection hidden="1"/>
    </xf>
    <xf xxid="1323" numFmtId="0" fontId="2" fillId="5" borderId="65" xfId="5" applyAlignment="1" applyBorder="1" applyFont="1" applyNumberFormat="1" applyFill="1" applyProtection="1">
      <alignment horizontal="center" vertical="top" wrapText="1"/>
    </xf>
    <xf xxid="1324" numFmtId="0" fontId="2" fillId="29" borderId="75" xfId="5" applyAlignment="1" applyBorder="1" applyFont="1" applyNumberFormat="1" applyFill="1" applyProtection="1">
      <alignment horizontal="left" vertical="top" wrapText="1"/>
      <protection locked="0"/>
    </xf>
    <xf xxid="1325" numFmtId="0" fontId="2" fillId="29" borderId="75" xfId="5" applyAlignment="1" applyBorder="1" applyFont="1" applyNumberFormat="1" applyFill="1" applyProtection="1">
      <alignment horizontal="center"/>
      <protection locked="0"/>
    </xf>
    <xf xxid="1326" numFmtId="167" fontId="2" fillId="29" borderId="75" xfId="1" applyAlignment="1" applyBorder="1" applyFont="1" applyNumberFormat="1" applyFill="1" applyProtection="1">
      <alignment horizontal="right"/>
      <protection locked="0"/>
    </xf>
    <xf xxid="1327" numFmtId="167" fontId="2" fillId="29" borderId="75" xfId="1" applyAlignment="1" applyBorder="1" applyFont="1" applyNumberFormat="1" applyFill="1" applyProtection="1">
      <protection locked="0"/>
    </xf>
    <xf xxid="1328" numFmtId="169" fontId="2" fillId="6" borderId="90" xfId="1" applyAlignment="1" applyBorder="1" applyFont="1" applyNumberFormat="1" applyFill="1" applyProtection="1">
      <protection hidden="1"/>
    </xf>
    <xf xxid="1329" numFmtId="0" fontId="2" fillId="29" borderId="71" xfId="5" applyAlignment="1" applyBorder="1" applyFont="1" applyNumberFormat="1" applyFill="1" applyProtection="1">
      <alignment horizontal="center" vertical="top" wrapText="1"/>
    </xf>
    <xf xxid="1330" numFmtId="0" fontId="2" fillId="5" borderId="75" xfId="5" applyAlignment="1" applyBorder="1" applyFont="1" applyNumberFormat="1" applyFill="1" applyProtection="1">
      <alignment horizontal="left" vertical="top" wrapText="1"/>
      <protection locked="0"/>
    </xf>
    <xf xxid="1331" numFmtId="0" fontId="2" fillId="5" borderId="75" xfId="5" applyAlignment="1" applyBorder="1" applyFont="1" applyNumberFormat="1" applyFill="1" applyProtection="1">
      <alignment horizontal="center"/>
      <protection locked="0"/>
    </xf>
    <xf xxid="1332" numFmtId="167" fontId="2" fillId="5" borderId="75" xfId="1" applyAlignment="1" applyBorder="1" applyFont="1" applyNumberFormat="1" applyFill="1" applyProtection="1">
      <alignment horizontal="right"/>
      <protection locked="0"/>
    </xf>
    <xf xxid="1333" numFmtId="167" fontId="2" fillId="5" borderId="75" xfId="1" applyAlignment="1" applyBorder="1" applyFont="1" applyNumberFormat="1" applyFill="1" applyProtection="1">
      <protection locked="0"/>
    </xf>
    <xf xxid="1334" numFmtId="0" fontId="124" fillId="6" borderId="0" xfId="21" applyAlignment="1" applyBorder="1" applyFont="1" applyNumberFormat="1" applyFill="1" applyProtection="1">
      <alignment vertical="top"/>
    </xf>
    <xf xxid="1335" numFmtId="0" fontId="2" fillId="0" borderId="15" xfId="5" applyAlignment="1" applyBorder="1" applyFont="1" applyNumberFormat="1" applyFill="1" applyProtection="1">
      <alignment horizontal="center" vertical="center"/>
    </xf>
    <xf xxid="1336" numFmtId="0" fontId="2" fillId="0" borderId="15" xfId="5" applyAlignment="1" applyBorder="1" applyFont="1" applyNumberFormat="1" applyFill="1" applyProtection="1">
      <alignment vertical="center"/>
    </xf>
    <xf xxid="1337" numFmtId="168" fontId="2" fillId="0" borderId="22" xfId="5" applyAlignment="1" applyBorder="1" applyFont="1" applyNumberFormat="1" applyFill="1" applyProtection="1">
      <alignment vertical="center"/>
    </xf>
    <xf xxid="1338" numFmtId="0" fontId="2" fillId="0" borderId="79" xfId="5" applyAlignment="1" applyBorder="1" applyFont="1" applyNumberFormat="1" applyFill="1" applyProtection="1">
      <alignment horizontal="center" vertical="center"/>
    </xf>
    <xf xxid="1339" numFmtId="0" fontId="2" fillId="0" borderId="79" xfId="5" applyAlignment="1" applyBorder="1" applyFont="1" applyNumberFormat="1" applyFill="1" applyProtection="1">
      <alignment vertical="center"/>
    </xf>
    <xf xxid="1340" numFmtId="168" fontId="2" fillId="0" borderId="89" xfId="5" applyAlignment="1" applyBorder="1" applyFont="1" applyNumberFormat="1" applyFill="1" applyProtection="1">
      <alignment vertical="center"/>
    </xf>
    <xf xxid="1341" numFmtId="0" fontId="2" fillId="30" borderId="0" xfId="5" applyAlignment="1" applyBorder="1" applyFont="1" applyNumberFormat="1" applyFill="1" applyProtection="1">
      <alignment vertical="center"/>
    </xf>
    <xf xxid="1342" numFmtId="168" fontId="2" fillId="30" borderId="0" xfId="5" applyAlignment="1" applyBorder="1" applyFont="1" applyNumberFormat="1" applyFill="1" applyProtection="1">
      <alignment vertical="center"/>
    </xf>
    <xf xxid="1343" numFmtId="0" fontId="2" fillId="0" borderId="0" xfId="5" applyAlignment="1" applyBorder="1" applyFont="1" applyNumberFormat="1" applyFill="1" applyProtection="1">
      <alignment horizontal="center" vertical="center"/>
    </xf>
    <xf xxid="1344" numFmtId="0" fontId="2" fillId="0" borderId="0" xfId="5" applyAlignment="1" applyBorder="1" applyFont="1" applyNumberFormat="1" applyFill="1" applyProtection="1">
      <alignment vertical="center"/>
    </xf>
    <xf xxid="1345" numFmtId="168" fontId="2" fillId="0" borderId="0" xfId="5" applyAlignment="1" applyBorder="1" applyFont="1" applyNumberFormat="1" applyFill="1" applyProtection="1">
      <alignment vertical="center"/>
    </xf>
    <xf xxid="1346" numFmtId="0" fontId="5" fillId="0" borderId="4" xfId="0" applyAlignment="1" applyBorder="1" applyFont="1" applyNumberFormat="1" applyFill="1" applyProtection="1">
      <alignment horizontal="left"/>
    </xf>
    <xf xxid="1347" numFmtId="0" fontId="17" fillId="0" borderId="0" xfId="0" applyAlignment="1" applyBorder="1" applyFont="1" applyNumberFormat="1" applyFill="1" applyProtection="1">
      <alignment horizontal="left" vertical="center" wrapText="1"/>
    </xf>
    <xf xxid="1348" numFmtId="0" fontId="17" fillId="0" borderId="12" xfId="0" applyAlignment="1" applyBorder="1" applyFont="1" applyNumberFormat="1" applyFill="1" applyProtection="1">
      <alignment horizontal="left" vertical="center" wrapText="1"/>
    </xf>
    <xf xxid="1349" numFmtId="173" fontId="17" fillId="0" borderId="0" xfId="0" applyAlignment="1" applyBorder="1" applyFont="1" applyNumberFormat="1" applyFill="1" applyProtection="1">
      <alignment horizontal="center" vertical="center"/>
      <protection locked="0"/>
    </xf>
    <xf xxid="1350" numFmtId="173" fontId="17" fillId="0" borderId="0" xfId="0" applyAlignment="1" applyBorder="1" applyFont="1" applyNumberFormat="1" applyFill="1" applyProtection="1">
      <alignment vertical="center"/>
      <protection locked="0"/>
    </xf>
    <xf xxid="1351" numFmtId="0" fontId="125" fillId="0" borderId="0" xfId="0" applyAlignment="1" applyBorder="1" applyFont="1" applyNumberFormat="1" applyFill="1" applyProtection="1"/>
    <xf xxid="1352" numFmtId="0" fontId="126" fillId="6" borderId="0" xfId="0" applyAlignment="1" applyBorder="1" applyFont="1" applyNumberFormat="1" applyFill="1" applyProtection="1">
      <protection hidden="1"/>
    </xf>
    <xf xxid="1353" numFmtId="173" fontId="17" fillId="0" borderId="12" xfId="0" applyAlignment="1" applyBorder="1" applyFont="1" applyNumberFormat="1" applyFill="1" applyProtection="1">
      <alignment horizontal="center" vertical="center" wrapText="1"/>
    </xf>
    <xf xxid="1354" numFmtId="173" fontId="17" fillId="0" borderId="10" xfId="0" applyAlignment="1" applyBorder="1" applyFont="1" applyNumberFormat="1" applyFill="1" applyProtection="1">
      <alignment vertical="center" wrapText="1"/>
      <protection locked="0"/>
    </xf>
    <xf xxid="1355" numFmtId="173" fontId="17" fillId="0" borderId="12" xfId="0" applyAlignment="1" applyBorder="1" applyFont="1" applyNumberFormat="1" applyFill="1" applyProtection="1">
      <alignment vertical="center" wrapText="1"/>
      <protection locked="0"/>
    </xf>
    <xf xxid="1356" numFmtId="173" fontId="17" fillId="0" borderId="0" xfId="0" applyAlignment="1" applyBorder="1" applyFont="1" applyNumberFormat="1" applyFill="1" applyProtection="1">
      <alignment vertical="center" wrapText="1"/>
      <protection locked="0"/>
    </xf>
    <xf xxid="1357" numFmtId="173" fontId="17" fillId="0" borderId="10" xfId="0" applyAlignment="1" applyBorder="1" applyFont="1" applyNumberFormat="1" applyFill="1" applyProtection="1">
      <alignment vertical="center" wrapText="1"/>
    </xf>
    <xf xxid="1358" numFmtId="173" fontId="17" fillId="0" borderId="0" xfId="0" applyAlignment="1" applyBorder="1" applyFont="1" applyNumberFormat="1" applyFill="1" applyProtection="1">
      <alignment vertical="center" wrapText="1"/>
    </xf>
    <xf xxid="1359" numFmtId="173" fontId="17" fillId="0" borderId="12" xfId="0" applyAlignment="1" applyBorder="1" applyFont="1" applyNumberFormat="1" applyFill="1" applyProtection="1">
      <alignment vertical="center" wrapText="1"/>
    </xf>
    <xf xxid="1360" numFmtId="173" fontId="17" fillId="0" borderId="0" xfId="0" applyAlignment="1" applyBorder="1" applyFont="1" applyNumberFormat="1" applyFill="1" applyProtection="1">
      <alignment horizontal="center" vertical="center" wrapText="1"/>
      <protection locked="0"/>
    </xf>
    <xf xxid="1361" numFmtId="173" fontId="17" fillId="0" borderId="12" xfId="0" applyAlignment="1" applyBorder="1" applyFont="1" applyNumberFormat="1" applyFill="1" applyProtection="1">
      <alignment horizontal="center" vertical="center" wrapText="1"/>
      <protection locked="0"/>
    </xf>
    <xf xxid="1362" numFmtId="0" fontId="54" fillId="17" borderId="0" xfId="5" applyAlignment="1" applyBorder="1" applyFont="1" applyNumberFormat="1" applyFill="1" applyProtection="1">
      <alignment vertical="top" wrapText="1"/>
      <protection locked="0"/>
    </xf>
    <xf xxid="1363" numFmtId="0" fontId="5" fillId="17" borderId="63" xfId="5" applyAlignment="1" applyBorder="1" applyFont="1" applyNumberFormat="1" applyFill="1" applyProtection="1">
      <alignment horizontal="left" vertical="top"/>
      <protection locked="0"/>
    </xf>
    <xf xxid="1364" numFmtId="0" fontId="17" fillId="0" borderId="22" xfId="0" applyAlignment="1" applyBorder="1" applyFont="1" applyNumberFormat="1" applyFill="1" applyProtection="1">
      <alignment horizontal="center" vertical="center"/>
    </xf>
    <xf xxid="1365" numFmtId="0" fontId="17" fillId="0" borderId="9" xfId="0" applyAlignment="1" applyBorder="1" applyFont="1" applyNumberFormat="1" applyFill="1" applyProtection="1">
      <alignment horizontal="center" vertical="center"/>
    </xf>
    <xf xxid="1366" numFmtId="0" fontId="17" fillId="0" borderId="21" xfId="0" applyAlignment="1" applyBorder="1" applyFont="1" applyNumberFormat="1" applyFill="1" applyProtection="1">
      <alignment horizontal="center" vertical="center"/>
    </xf>
    <xf xxid="1367" numFmtId="0" fontId="3" fillId="0" borderId="18" xfId="0" applyAlignment="1" applyBorder="1" applyFont="1" applyNumberFormat="1" applyFill="1" applyProtection="1">
      <alignment horizontal="center" vertical="center"/>
    </xf>
    <xf xxid="1368" numFmtId="167" fontId="17" fillId="0" borderId="22" xfId="0" applyAlignment="1" applyBorder="1" applyFont="1" applyNumberFormat="1" applyFill="1" applyProtection="1">
      <alignment horizontal="center" vertical="center" wrapText="1"/>
    </xf>
    <xf xxid="1369" numFmtId="167" fontId="17" fillId="0" borderId="9" xfId="0" applyAlignment="1" applyBorder="1" applyFont="1" applyNumberFormat="1" applyFill="1" applyProtection="1">
      <alignment horizontal="center" vertical="center" wrapText="1"/>
    </xf>
    <xf xxid="1370" numFmtId="167" fontId="17" fillId="0" borderId="21" xfId="0" applyAlignment="1" applyBorder="1" applyFont="1" applyNumberFormat="1" applyFill="1" applyProtection="1">
      <alignment horizontal="center" vertical="center" wrapText="1"/>
    </xf>
    <xf xxid="1371" numFmtId="0" fontId="3" fillId="0" borderId="15" xfId="0" applyAlignment="1" applyBorder="1" applyFont="1" applyNumberFormat="1" applyFill="1" applyProtection="1">
      <alignment horizontal="center" vertical="center"/>
    </xf>
    <xf xxid="1372" numFmtId="167" fontId="38" fillId="0" borderId="9" xfId="0" applyAlignment="1" applyBorder="1" applyFont="1" applyNumberFormat="1" applyFill="1" applyProtection="1">
      <alignment horizontal="center" vertical="center" wrapText="1"/>
      <protection hidden="1"/>
    </xf>
    <xf xxid="1373" numFmtId="167" fontId="17" fillId="0" borderId="9" xfId="0" applyAlignment="1" applyBorder="1" applyFont="1" applyNumberFormat="1" applyFill="1" applyProtection="1">
      <alignment horizontal="center" vertical="center" wrapText="1"/>
      <protection hidden="1"/>
    </xf>
    <xf xxid="1374" numFmtId="167" fontId="17" fillId="0" borderId="21" xfId="0" applyAlignment="1" applyBorder="1" applyFont="1" applyNumberFormat="1" applyFill="1" applyProtection="1">
      <alignment horizontal="center" vertical="center" wrapText="1"/>
      <protection hidden="1"/>
    </xf>
    <xf xxid="1375" numFmtId="0" fontId="17" fillId="0" borderId="10" xfId="0" applyAlignment="1" applyBorder="1" applyFont="1" applyNumberFormat="1" applyFill="1" applyProtection="1">
      <alignment horizontal="left" vertical="center"/>
    </xf>
    <xf xxid="1376" numFmtId="0" fontId="17" fillId="0" borderId="0" xfId="0" applyAlignment="1" applyBorder="1" applyFont="1" applyNumberFormat="1" applyFill="1" applyProtection="1">
      <alignment horizontal="left" vertical="center"/>
    </xf>
    <xf xxid="1377" numFmtId="177" fontId="17" fillId="0" borderId="10" xfId="0" applyAlignment="1" applyBorder="1" applyFont="1" applyNumberFormat="1" applyFill="1" applyProtection="1">
      <alignment horizontal="right" vertical="center"/>
    </xf>
    <xf xxid="1378" numFmtId="177" fontId="17" fillId="0" borderId="9" xfId="0" applyAlignment="1" applyBorder="1" applyFont="1" applyNumberFormat="1" applyFill="1" applyProtection="1">
      <alignment horizontal="right" vertical="center"/>
    </xf>
    <xf xxid="1379" numFmtId="169" fontId="17" fillId="0" borderId="0" xfId="0" applyAlignment="1" applyBorder="1" applyFont="1" applyNumberFormat="1" applyFill="1" applyProtection="1">
      <alignment horizontal="left" vertical="center" wrapText="1"/>
    </xf>
    <xf xxid="1380" numFmtId="169" fontId="17" fillId="0" borderId="12" xfId="0" applyAlignment="1" applyBorder="1" applyFont="1" applyNumberFormat="1" applyFill="1" applyProtection="1">
      <alignment horizontal="left" vertical="center" wrapText="1"/>
    </xf>
    <xf xxid="1381" numFmtId="169" fontId="17" fillId="0" borderId="10" xfId="0" applyAlignment="1" applyBorder="1" applyFont="1" applyNumberFormat="1" applyFill="1" applyProtection="1">
      <alignment horizontal="right" vertical="center"/>
    </xf>
    <xf xxid="1382" numFmtId="169" fontId="17" fillId="0" borderId="0" xfId="0" applyAlignment="1" applyBorder="1" applyFont="1" applyNumberFormat="1" applyFill="1" applyProtection="1">
      <alignment horizontal="right" vertical="center"/>
    </xf>
    <xf xxid="1383" numFmtId="169" fontId="17" fillId="0" borderId="12" xfId="0" applyAlignment="1" applyBorder="1" applyFont="1" applyNumberFormat="1" applyFill="1" applyProtection="1">
      <alignment horizontal="right" vertical="center"/>
    </xf>
    <xf xxid="1384" numFmtId="0" fontId="17" fillId="0" borderId="42" xfId="0" applyAlignment="1" applyBorder="1" applyFont="1" applyNumberFormat="1" applyFill="1" applyProtection="1">
      <alignment horizontal="center" vertical="center"/>
    </xf>
    <xf xxid="1385" numFmtId="0" fontId="17" fillId="0" borderId="15" xfId="0" applyAlignment="1" applyBorder="1" applyFont="1" applyNumberFormat="1" applyFill="1" applyProtection="1">
      <alignment horizontal="center" vertical="center"/>
    </xf>
    <xf xxid="1386" numFmtId="177" fontId="17" fillId="0" borderId="10" xfId="0" applyAlignment="1" applyBorder="1" applyFont="1" applyNumberFormat="1" applyFill="1" applyProtection="1">
      <alignment horizontal="right" vertical="center"/>
      <protection locked="0"/>
    </xf>
    <xf xxid="1387" numFmtId="177" fontId="17" fillId="0" borderId="0" xfId="0" applyAlignment="1" applyBorder="1" applyFont="1" applyNumberFormat="1" applyFill="1" applyProtection="1">
      <alignment horizontal="right" vertical="center"/>
      <protection locked="0"/>
    </xf>
    <xf xxid="1388" numFmtId="177" fontId="17" fillId="0" borderId="12" xfId="0" applyAlignment="1" applyBorder="1" applyFont="1" applyNumberFormat="1" applyFill="1" applyProtection="1">
      <alignment horizontal="right" vertical="center"/>
      <protection locked="0"/>
    </xf>
    <xf xxid="1389" numFmtId="169" fontId="17" fillId="0" borderId="0" xfId="0" applyAlignment="1" applyBorder="1" applyFont="1" applyNumberFormat="1" applyFill="1" applyProtection="1">
      <alignment horizontal="left" vertical="center" wrapText="1"/>
      <protection locked="0"/>
    </xf>
    <xf xxid="1390" numFmtId="169" fontId="17" fillId="0" borderId="12" xfId="0" applyAlignment="1" applyBorder="1" applyFont="1" applyNumberFormat="1" applyFill="1" applyProtection="1">
      <alignment horizontal="left" vertical="center" wrapText="1"/>
      <protection locked="0"/>
    </xf>
    <xf xxid="1391" numFmtId="169" fontId="17" fillId="0" borderId="10" xfId="0" applyAlignment="1" applyBorder="1" applyFont="1" applyNumberFormat="1" applyFill="1" applyProtection="1">
      <alignment horizontal="right" vertical="center"/>
      <protection locked="0"/>
    </xf>
    <xf xxid="1392" numFmtId="169" fontId="17" fillId="0" borderId="0" xfId="0" applyAlignment="1" applyBorder="1" applyFont="1" applyNumberFormat="1" applyFill="1" applyProtection="1">
      <alignment horizontal="right" vertical="center"/>
      <protection locked="0"/>
    </xf>
    <xf xxid="1393" numFmtId="177" fontId="9" fillId="0" borderId="0" xfId="0" applyAlignment="1" applyBorder="1" applyFont="1" applyNumberFormat="1" applyFill="1" applyProtection="1">
      <alignment horizontal="right" vertical="center"/>
    </xf>
    <xf xxid="1394" numFmtId="177" fontId="9" fillId="0" borderId="12" xfId="0" applyAlignment="1" applyBorder="1" applyFont="1" applyNumberFormat="1" applyFill="1" applyProtection="1">
      <alignment horizontal="right" vertical="center"/>
    </xf>
    <xf xxid="1395" numFmtId="169" fontId="3" fillId="0" borderId="9" xfId="0" applyAlignment="1" applyBorder="1" applyFont="1" applyNumberFormat="1" applyFill="1" applyProtection="1">
      <alignment horizontal="right" vertical="center"/>
    </xf>
    <xf xxid="1396" numFmtId="169" fontId="17" fillId="0" borderId="10" xfId="0" applyAlignment="1" applyBorder="1" applyFont="1" applyNumberFormat="1" applyFill="1" applyProtection="1">
      <alignment vertical="center" wrapText="1"/>
    </xf>
    <xf xxid="1397" numFmtId="169" fontId="17" fillId="0" borderId="9" xfId="0" applyAlignment="1" applyBorder="1" applyFont="1" applyNumberFormat="1" applyFill="1" applyProtection="1">
      <alignment vertical="center" wrapText="1"/>
    </xf>
    <xf xxid="1398" numFmtId="0" fontId="17" fillId="0" borderId="9" xfId="0" applyAlignment="1" applyBorder="1" applyFont="1" applyNumberFormat="1" applyFill="1" applyProtection="1">
      <alignment vertical="center" wrapText="1"/>
    </xf>
    <xf xxid="1399" numFmtId="0" fontId="17" fillId="0" borderId="10" xfId="0" applyAlignment="1" applyBorder="1" applyFont="1" applyNumberFormat="1" applyFill="1" applyProtection="1">
      <alignment vertical="center" wrapText="1"/>
    </xf>
    <xf xxid="1400" numFmtId="169" fontId="17" fillId="0" borderId="10" xfId="0" applyAlignment="1" applyBorder="1" applyFont="1" applyNumberFormat="1" applyFill="1" applyProtection="1">
      <alignment vertical="center" wrapText="1"/>
      <protection locked="0"/>
    </xf>
    <xf xxid="1401" numFmtId="169" fontId="3" fillId="0" borderId="10" xfId="0" applyAlignment="1" applyBorder="1" applyFont="1" applyNumberFormat="1" applyFill="1" applyProtection="1">
      <alignment horizontal="right" vertical="center"/>
    </xf>
    <xf xxid="1402" numFmtId="0" fontId="5" fillId="0" borderId="7" xfId="0" applyAlignment="1" applyBorder="1" applyFont="1" applyNumberFormat="1" applyFill="1" applyProtection="1">
      <alignment horizontal="center" vertical="center"/>
    </xf>
    <xf xxid="1403" numFmtId="0" fontId="17" fillId="0" borderId="7" xfId="0" applyAlignment="1" applyBorder="1" applyFont="1" applyNumberFormat="1" applyFill="1" applyProtection="1">
      <alignment horizontal="center"/>
      <protection hidden="1"/>
    </xf>
    <xf xxid="1404" numFmtId="169" fontId="17" fillId="0" borderId="7" xfId="0" applyAlignment="1" applyBorder="1" applyFont="1" applyNumberFormat="1" applyFill="1" applyProtection="1">
      <alignment horizontal="center"/>
      <protection hidden="1"/>
    </xf>
    <xf xxid="1405" numFmtId="169" fontId="17" fillId="0" borderId="91" xfId="0" applyAlignment="1" applyBorder="1" applyFont="1" applyNumberFormat="1" applyFill="1" applyProtection="1">
      <alignment horizontal="center"/>
      <protection hidden="1"/>
    </xf>
    <xf xxid="1406" numFmtId="0" fontId="17" fillId="0" borderId="7" xfId="0" applyAlignment="1" applyBorder="1" applyFont="1" applyNumberFormat="1" applyFill="1" applyProtection="1">
      <alignment horizontal="center"/>
    </xf>
    <xf xxid="1407" numFmtId="169" fontId="17" fillId="0" borderId="7" xfId="0" applyAlignment="1" applyBorder="1" applyFont="1" applyNumberFormat="1" applyFill="1" applyProtection="1">
      <alignment horizontal="center" vertical="center"/>
      <protection hidden="1"/>
    </xf>
    <xf xxid="1408" numFmtId="0" fontId="12" fillId="0" borderId="29" xfId="0" applyAlignment="1" applyBorder="1" applyFont="1" applyNumberFormat="1" applyFill="1" applyProtection="1">
      <alignment horizontal="center"/>
    </xf>
    <xf xxid="1409" numFmtId="0" fontId="12" fillId="0" borderId="7" xfId="0" applyAlignment="1" applyBorder="1" applyFont="1" applyNumberFormat="1" applyFill="1" applyProtection="1">
      <alignment horizontal="center"/>
    </xf>
    <xf xxid="1410" numFmtId="0" fontId="23" fillId="0" borderId="22" xfId="0" applyAlignment="1" applyBorder="1" applyFont="1" applyNumberFormat="1" applyFill="1" applyProtection="1"/>
    <xf xxid="1411" numFmtId="0" fontId="7" fillId="0" borderId="21" xfId="0" applyAlignment="1" applyBorder="1" applyFont="1" applyNumberFormat="1" applyFill="1" applyProtection="1"/>
    <xf xxid="1412" numFmtId="0" fontId="11" fillId="0" borderId="10" xfId="0" applyAlignment="1" applyBorder="1" applyFont="1" applyNumberFormat="1" applyFill="1" applyProtection="1"/>
    <xf xxid="1413" numFmtId="0" fontId="9" fillId="0" borderId="18" xfId="0" applyAlignment="1" applyBorder="1" applyFont="1" applyNumberFormat="1" applyFill="1" applyProtection="1"/>
    <xf xxid="1414" numFmtId="169" fontId="17" fillId="0" borderId="7" xfId="0" applyAlignment="1" applyBorder="1" applyFont="1" applyNumberFormat="1" applyFill="1" applyProtection="1"/>
    <xf xxid="1415" numFmtId="0" fontId="17" fillId="0" borderId="7" xfId="0" applyAlignment="1" applyBorder="1" applyFont="1" applyNumberFormat="1" applyFill="1" applyProtection="1">
      <alignment horizontal="center" vertical="center"/>
    </xf>
    <xf xxid="1416" numFmtId="0" fontId="45" fillId="0" borderId="7" xfId="0" applyAlignment="1" applyBorder="1" applyFont="1" applyNumberFormat="1" applyFill="1" applyProtection="1">
      <alignment horizontal="center"/>
    </xf>
    <xf xxid="1417" numFmtId="181" fontId="45" fillId="0" borderId="7" xfId="0" applyAlignment="1" applyBorder="1" applyFont="1" applyNumberFormat="1" applyFill="1" applyProtection="1">
      <protection locked="0"/>
    </xf>
    <xf xxid="1418" numFmtId="181" fontId="17" fillId="0" borderId="7" xfId="0" applyAlignment="1" applyBorder="1" applyFont="1" applyNumberFormat="1" applyFill="1" applyProtection="1">
      <protection locked="0"/>
    </xf>
    <xf xxid="1419" numFmtId="167" fontId="17" fillId="0" borderId="22" xfId="0" applyAlignment="1" applyBorder="1" applyFont="1" applyNumberFormat="1" applyFill="1" applyProtection="1">
      <alignment horizontal="center" vertical="center" wrapText="1"/>
      <protection hidden="1"/>
    </xf>
    <xf xxid="1420" numFmtId="0" fontId="39" fillId="0" borderId="9" xfId="0" applyAlignment="1" applyBorder="1" applyFont="1" applyNumberFormat="1" applyFill="1" applyProtection="1">
      <alignment horizontal="center" vertical="center" wrapText="1"/>
    </xf>
    <xf xxid="1421" numFmtId="0" fontId="39" fillId="0" borderId="9" xfId="0" applyAlignment="1" applyBorder="1" applyFont="1" applyNumberFormat="1" applyFill="1" applyProtection="1">
      <alignment horizontal="center" vertical="center"/>
    </xf>
    <xf xxid="1422" numFmtId="0" fontId="9" fillId="0" borderId="7" xfId="0" applyAlignment="1" applyBorder="1" applyFont="1" applyNumberFormat="1" applyFill="1" applyProtection="1">
      <alignment horizontal="center" vertical="center"/>
    </xf>
    <xf xxid="1423" numFmtId="181" fontId="45" fillId="0" borderId="7" xfId="0" applyAlignment="1" applyBorder="1" applyFont="1" applyNumberFormat="1" applyFill="1" applyProtection="1">
      <alignment horizontal="left"/>
    </xf>
    <xf xxid="1424" numFmtId="181" fontId="45" fillId="0" borderId="7" xfId="0" applyAlignment="1" applyBorder="1" applyFont="1" applyNumberFormat="1" applyFill="1" applyProtection="1">
      <alignment horizontal="center"/>
    </xf>
    <xf xxid="1425" numFmtId="0" fontId="9" fillId="0" borderId="7" xfId="0" applyAlignment="1" applyBorder="1" applyFont="1" applyNumberFormat="1" applyFill="1" applyProtection="1">
      <alignment horizontal="center" vertical="center"/>
      <protection locked="0"/>
    </xf>
    <xf xxid="1426" numFmtId="0" fontId="20" fillId="0" borderId="8" xfId="0" applyAlignment="1" applyBorder="1" applyFont="1" applyNumberFormat="1" applyFill="1" applyProtection="1">
      <alignment vertical="center"/>
    </xf>
    <xf xxid="1427" numFmtId="0" fontId="20" fillId="0" borderId="19" xfId="0" applyAlignment="1" applyBorder="1" applyFont="1" applyNumberFormat="1" applyFill="1" applyProtection="1">
      <alignment vertical="center"/>
    </xf>
    <xf xxid="1428" numFmtId="0" fontId="20" fillId="0" borderId="19" xfId="0" applyAlignment="1" applyBorder="1" applyFont="1" applyNumberFormat="1" applyFill="1" applyProtection="1">
      <alignment vertical="top"/>
    </xf>
    <xf xxid="1429" numFmtId="176" fontId="17" fillId="0" borderId="19" xfId="0" applyAlignment="1" applyBorder="1" applyFont="1" applyNumberFormat="1" applyFill="1" applyProtection="1">
      <alignment vertical="center"/>
    </xf>
    <xf xxid="1430" numFmtId="169" fontId="17" fillId="19" borderId="8" xfId="0" applyAlignment="1" applyBorder="1" applyFont="1" applyNumberFormat="1" applyFill="1" applyProtection="1">
      <alignment vertical="center"/>
    </xf>
    <xf xxid="1431" numFmtId="169" fontId="17" fillId="19" borderId="19" xfId="0" applyAlignment="1" applyBorder="1" applyFont="1" applyNumberFormat="1" applyFill="1" applyProtection="1">
      <alignment vertical="center"/>
    </xf>
    <xf xxid="1432" numFmtId="0" fontId="37" fillId="0" borderId="9" xfId="0" applyAlignment="1" applyBorder="1" applyFont="1" applyNumberFormat="1" applyFill="1" applyProtection="1">
      <alignment horizontal="center" vertical="center"/>
    </xf>
    <xf xxid="1433" numFmtId="0" fontId="37" fillId="0" borderId="9" xfId="0" applyAlignment="1" applyBorder="1" applyFont="1" applyNumberFormat="1" applyFill="1" applyProtection="1">
      <alignment vertical="center"/>
    </xf>
    <xf xxid="1434" numFmtId="0" fontId="37" fillId="0" borderId="22" xfId="0" applyAlignment="1" applyBorder="1" applyFont="1" applyNumberFormat="1" applyFill="1" applyProtection="1">
      <alignment horizontal="center" vertical="center"/>
    </xf>
    <xf xxid="1435" numFmtId="177" fontId="17" fillId="0" borderId="10" xfId="0" applyAlignment="1" applyBorder="1" applyFont="1" applyNumberFormat="1" applyFill="1" applyProtection="1">
      <alignment vertical="center"/>
      <protection locked="0"/>
    </xf>
    <xf xxid="1436" numFmtId="177" fontId="17" fillId="0" borderId="0" xfId="0" applyAlignment="1" applyBorder="1" applyFont="1" applyNumberFormat="1" applyFill="1" applyProtection="1">
      <alignment vertical="center"/>
      <protection locked="0"/>
    </xf>
    <xf xxid="1437" numFmtId="169" fontId="17" fillId="0" borderId="10" xfId="0" applyAlignment="1" applyBorder="1" applyFont="1" applyNumberFormat="1" applyFill="1" applyProtection="1">
      <alignment vertical="center"/>
      <protection locked="0"/>
    </xf>
    <xf xxid="1438" numFmtId="169" fontId="17" fillId="0" borderId="0" xfId="0" applyAlignment="1" applyBorder="1" applyFont="1" applyNumberFormat="1" applyFill="1" applyProtection="1">
      <alignment vertical="center"/>
      <protection locked="0"/>
    </xf>
    <xf xxid="1439" numFmtId="49" fontId="17" fillId="0" borderId="9" xfId="0" applyAlignment="1" applyBorder="1" applyFont="1" applyNumberFormat="1" applyFill="1" applyProtection="1">
      <alignment horizontal="right" vertical="center"/>
    </xf>
    <xf xxid="1440" numFmtId="0" fontId="17" fillId="0" borderId="9" xfId="0" applyAlignment="1" applyBorder="1" applyFont="1" applyNumberFormat="1" applyFill="1" applyProtection="1">
      <alignment horizontal="right"/>
    </xf>
    <xf xxid="1441" numFmtId="169" fontId="17" fillId="0" borderId="21" xfId="0" applyAlignment="1" applyBorder="1" applyFont="1" applyNumberFormat="1" applyFill="1" applyProtection="1">
      <alignment horizontal="right" vertical="center"/>
    </xf>
    <xf xxid="1442" numFmtId="169" fontId="3" fillId="0" borderId="21" xfId="0" applyAlignment="1" applyBorder="1" applyFont="1" applyNumberFormat="1" applyFill="1" applyProtection="1">
      <alignment vertical="center"/>
    </xf>
    <xf xxid="1443" numFmtId="49" fontId="17" fillId="0" borderId="22" xfId="0" applyAlignment="1" applyBorder="1" applyFont="1" applyNumberFormat="1" applyFill="1" applyProtection="1">
      <alignment vertical="center"/>
    </xf>
    <xf xxid="1444" numFmtId="49" fontId="17" fillId="0" borderId="21" xfId="0" applyAlignment="1" applyBorder="1" applyFont="1" applyNumberFormat="1" applyFill="1" applyProtection="1">
      <alignment vertical="center"/>
    </xf>
    <xf xxid="1445" numFmtId="0" fontId="9" fillId="0" borderId="22" xfId="0" applyAlignment="1" applyBorder="1" applyFont="1" applyNumberFormat="1" applyFill="1" applyProtection="1">
      <alignment vertical="center"/>
    </xf>
    <xf xxid="1446" numFmtId="0" fontId="9" fillId="0" borderId="9" xfId="0" applyAlignment="1" applyBorder="1" applyFont="1" applyNumberFormat="1" applyFill="1" applyProtection="1">
      <alignment vertical="center"/>
    </xf>
    <xf xxid="1447" numFmtId="49" fontId="9" fillId="0" borderId="22" xfId="0" applyAlignment="1" applyBorder="1" applyFont="1" applyNumberFormat="1" applyFill="1" applyProtection="1">
      <alignment vertical="center"/>
    </xf>
    <xf xxid="1448" numFmtId="49" fontId="9" fillId="0" borderId="21" xfId="0" applyAlignment="1" applyBorder="1" applyFont="1" applyNumberFormat="1" applyFill="1" applyProtection="1">
      <alignment vertical="center"/>
    </xf>
    <xf xxid="1449" numFmtId="0" fontId="6" fillId="0" borderId="12" xfId="0" applyAlignment="1" applyBorder="1" applyFont="1" applyNumberFormat="1" applyFill="1" applyProtection="1">
      <alignment vertical="center"/>
    </xf>
    <xf xxid="1450" numFmtId="177" fontId="9" fillId="0" borderId="9" xfId="0" applyAlignment="1" applyBorder="1" applyFont="1" applyNumberFormat="1" applyFill="1" applyProtection="1">
      <alignment horizontal="right" vertical="center"/>
    </xf>
    <xf xxid="1451" numFmtId="49" fontId="9" fillId="0" borderId="9" xfId="0" applyAlignment="1" applyBorder="1" applyFont="1" applyNumberFormat="1" applyFill="1" applyProtection="1">
      <alignment horizontal="right" vertical="center"/>
    </xf>
    <xf xxid="1452" numFmtId="0" fontId="0" fillId="0" borderId="9" xfId="0" applyAlignment="1" applyBorder="1" applyFont="1" applyNumberFormat="1" applyFill="1" applyProtection="1">
      <alignment horizontal="right"/>
    </xf>
    <xf xxid="1453" numFmtId="177" fontId="9" fillId="0" borderId="21" xfId="0" applyAlignment="1" applyBorder="1" applyFont="1" applyNumberFormat="1" applyFill="1" applyProtection="1">
      <alignment horizontal="right" vertical="center"/>
    </xf>
    <xf xxid="1454" numFmtId="0" fontId="85" fillId="6" borderId="92" xfId="0" applyAlignment="1" applyBorder="1" applyFont="1" applyNumberFormat="1" applyFill="1" applyProtection="1">
      <protection hidden="1"/>
    </xf>
    <xf xxid="1455" numFmtId="0" fontId="85" fillId="6" borderId="29" xfId="0" applyAlignment="1" applyBorder="1" applyFont="1" applyNumberFormat="1" applyFill="1" applyProtection="1">
      <protection hidden="1"/>
    </xf>
    <xf xxid="1456" numFmtId="0" fontId="85" fillId="6" borderId="19" xfId="0" applyAlignment="1" applyBorder="1" applyFont="1" applyNumberFormat="1" applyFill="1" applyProtection="1">
      <protection hidden="1"/>
    </xf>
    <xf xxid="1457" numFmtId="0" fontId="85" fillId="6" borderId="46" xfId="0" applyAlignment="1" applyBorder="1" applyFont="1" applyNumberFormat="1" applyFill="1" applyProtection="1">
      <protection hidden="1"/>
    </xf>
    <xf xxid="1458" numFmtId="0" fontId="85" fillId="6" borderId="49" xfId="0" applyAlignment="1" applyBorder="1" applyFont="1" applyNumberFormat="1" applyFill="1" applyProtection="1">
      <protection hidden="1"/>
    </xf>
    <xf xxid="1459" numFmtId="169" fontId="17" fillId="0" borderId="7" xfId="0" applyAlignment="1" applyBorder="1" applyFont="1" applyNumberFormat="1" applyFill="1" applyProtection="1">
      <alignment horizontal="center"/>
    </xf>
    <xf xxid="1460" numFmtId="0" fontId="17" fillId="0" borderId="7" xfId="0" applyAlignment="1" applyBorder="1" applyFont="1" applyNumberFormat="1" applyFill="1" applyProtection="1">
      <alignment horizontal="center"/>
      <protection locked="0"/>
    </xf>
    <xf xxid="1461" numFmtId="169" fontId="17" fillId="0" borderId="7" xfId="0" applyAlignment="1" applyBorder="1" applyFont="1" applyNumberFormat="1" applyFill="1" applyProtection="1">
      <alignment horizontal="center" vertical="center"/>
    </xf>
    <xf xxid="1462" numFmtId="0" fontId="10" fillId="0" borderId="7" xfId="0" applyAlignment="1" applyBorder="1" applyFont="1" applyNumberFormat="1" applyFill="1" applyProtection="1">
      <alignment horizontal="right"/>
    </xf>
    <xf xxid="1463" numFmtId="0" fontId="10" fillId="0" borderId="7" xfId="0" applyAlignment="1" applyBorder="1" applyFont="1" applyNumberFormat="1" applyFill="1" applyProtection="1"/>
    <xf xxid="1464" numFmtId="169" fontId="17" fillId="0" borderId="7" xfId="0" applyAlignment="1" applyBorder="1" applyFont="1" applyNumberFormat="1" applyFill="1" applyProtection="1">
      <alignment horizontal="left"/>
    </xf>
    <xf xxid="1465" numFmtId="49" fontId="45" fillId="0" borderId="7" xfId="0" applyAlignment="1" applyBorder="1" applyFont="1" applyNumberFormat="1" applyFill="1" applyProtection="1">
      <alignment horizontal="center"/>
    </xf>
    <xf xxid="1466" numFmtId="181" fontId="17" fillId="0" borderId="7" xfId="0" applyAlignment="1" applyBorder="1" applyFont="1" applyNumberFormat="1" applyFill="1" applyProtection="1">
      <alignment horizontal="center"/>
    </xf>
    <xf xxid="1467" numFmtId="0" fontId="17" fillId="0" borderId="22" xfId="0" applyAlignment="1" applyBorder="1" applyFont="1" applyNumberFormat="1" applyFill="1" applyProtection="1">
      <alignment horizontal="center" vertical="center" wrapText="1"/>
    </xf>
    <xf xxid="1468" numFmtId="0" fontId="17" fillId="0" borderId="9" xfId="0" applyAlignment="1" applyBorder="1" applyFont="1" applyNumberFormat="1" applyFill="1" applyProtection="1">
      <alignment horizontal="center" vertical="center" wrapText="1"/>
    </xf>
    <xf xxid="1469" numFmtId="0" fontId="17" fillId="0" borderId="21" xfId="0" applyAlignment="1" applyBorder="1" applyFont="1" applyNumberFormat="1" applyFill="1" applyProtection="1">
      <alignment horizontal="center" vertical="center" wrapText="1"/>
    </xf>
    <xf xxid="1470" numFmtId="0" fontId="38" fillId="0" borderId="9" xfId="0" applyAlignment="1" applyBorder="1" applyFont="1" applyNumberFormat="1" applyFill="1" applyProtection="1">
      <alignment vertical="center" wrapText="1"/>
    </xf>
    <xf xxid="1471" numFmtId="0" fontId="20" fillId="0" borderId="22" xfId="0" applyAlignment="1" applyBorder="1" applyFont="1" applyNumberFormat="1" applyFill="1" applyProtection="1">
      <alignment vertical="top"/>
    </xf>
    <xf xxid="1472" numFmtId="0" fontId="20" fillId="0" borderId="9" xfId="0" applyAlignment="1" applyBorder="1" applyFont="1" applyNumberFormat="1" applyFill="1" applyProtection="1">
      <alignment vertical="top"/>
    </xf>
    <xf xxid="1473" numFmtId="0" fontId="20" fillId="0" borderId="21" xfId="0" applyAlignment="1" applyBorder="1" applyFont="1" applyNumberFormat="1" applyFill="1" applyProtection="1">
      <alignment vertical="top"/>
    </xf>
    <xf xxid="1474" numFmtId="0" fontId="3" fillId="0" borderId="9" xfId="0" applyAlignment="1" applyBorder="1" applyFont="1" applyNumberFormat="1" applyFill="1" applyProtection="1">
      <alignment horizontal="center" vertical="center"/>
    </xf>
    <xf xxid="1475" numFmtId="0" fontId="20" fillId="0" borderId="22" xfId="0" applyAlignment="1" applyBorder="1" applyFont="1" applyNumberFormat="1" applyFill="1" applyProtection="1">
      <alignment vertical="center"/>
    </xf>
    <xf xxid="1476" numFmtId="0" fontId="20" fillId="0" borderId="9" xfId="0" applyAlignment="1" applyBorder="1" applyFont="1" applyNumberFormat="1" applyFill="1" applyProtection="1">
      <alignment vertical="center"/>
    </xf>
    <xf xxid="1477" numFmtId="0" fontId="20" fillId="0" borderId="21" xfId="0" applyAlignment="1" applyBorder="1" applyFont="1" applyNumberFormat="1" applyFill="1" applyProtection="1">
      <alignment vertical="center"/>
    </xf>
    <xf xxid="1478" numFmtId="0" fontId="20" fillId="0" borderId="9" xfId="0" applyAlignment="1" applyBorder="1" applyFont="1" applyNumberFormat="1" applyFill="1" applyProtection="1">
      <alignment horizontal="center" vertical="top"/>
    </xf>
    <xf xxid="1479" numFmtId="0" fontId="3" fillId="15" borderId="9" xfId="0" applyAlignment="1" applyBorder="1" applyFont="1" applyNumberFormat="1" applyFill="1" applyProtection="1">
      <alignment horizontal="center" vertical="center"/>
    </xf>
    <xf xxid="1480" numFmtId="0" fontId="3" fillId="15" borderId="9" xfId="0" applyAlignment="1" applyBorder="1" applyFont="1" applyNumberFormat="1" applyFill="1" applyProtection="1">
      <alignment vertical="center"/>
    </xf>
    <xf xxid="1481" numFmtId="0" fontId="3" fillId="15" borderId="21" xfId="0" applyAlignment="1" applyBorder="1" applyFont="1" applyNumberFormat="1" applyFill="1" applyProtection="1"/>
    <xf xxid="1482" numFmtId="169" fontId="17" fillId="15" borderId="19" xfId="0" applyAlignment="1" applyBorder="1" applyFont="1" applyNumberFormat="1" applyFill="1" applyProtection="1">
      <alignment vertical="center"/>
    </xf>
    <xf xxid="1483" numFmtId="169" fontId="17" fillId="15" borderId="19" xfId="0" applyAlignment="1" applyBorder="1" applyFont="1" applyNumberFormat="1" applyFill="1" applyProtection="1"/>
    <xf xxid="1484" numFmtId="169" fontId="17" fillId="0" borderId="22" xfId="0" applyAlignment="1" applyBorder="1" applyFont="1" applyNumberFormat="1" applyFill="1" applyProtection="1">
      <alignment vertical="center"/>
    </xf>
    <xf xxid="1485" numFmtId="169" fontId="17" fillId="0" borderId="9" xfId="0" applyAlignment="1" applyBorder="1" applyFont="1" applyNumberFormat="1" applyFill="1" applyProtection="1">
      <alignment vertical="center"/>
    </xf>
    <xf xxid="1486" numFmtId="169" fontId="17" fillId="0" borderId="22" xfId="0" applyAlignment="1" applyBorder="1" applyFont="1" applyNumberFormat="1" applyFill="1" applyProtection="1">
      <alignment horizontal="right" vertical="center"/>
    </xf>
    <xf xxid="1487" numFmtId="169" fontId="17" fillId="0" borderId="9" xfId="0" applyAlignment="1" applyBorder="1" applyFont="1" applyNumberFormat="1" applyFill="1" applyProtection="1">
      <alignment horizontal="right" vertical="center"/>
    </xf>
    <xf xxid="1488" numFmtId="0" fontId="3" fillId="0" borderId="0" xfId="0" applyAlignment="1" applyBorder="1" applyFont="1" applyNumberFormat="1" applyFill="1" applyProtection="1">
      <alignment vertical="center" wrapText="1"/>
    </xf>
    <xf xxid="1489" numFmtId="169" fontId="3" fillId="0" borderId="9" xfId="0" applyAlignment="1" applyBorder="1" applyFont="1" applyNumberFormat="1" applyFill="1" applyProtection="1">
      <alignment vertical="center"/>
    </xf>
    <xf xxid="1490" numFmtId="169" fontId="3" fillId="0" borderId="0" xfId="0" applyAlignment="1" applyBorder="1" applyFont="1" applyNumberFormat="1" applyFill="1" applyProtection="1">
      <alignment vertical="center" wrapText="1"/>
    </xf>
    <xf xxid="1491" numFmtId="169" fontId="3" fillId="0" borderId="22" xfId="0" applyAlignment="1" applyBorder="1" applyFont="1" applyNumberFormat="1" applyFill="1" applyProtection="1">
      <alignment vertical="center"/>
    </xf>
    <xf xxid="1492" numFmtId="169" fontId="3" fillId="0" borderId="9" xfId="0" applyAlignment="1" applyBorder="1" applyFont="1" applyNumberFormat="1" applyFill="1" applyProtection="1">
      <alignment vertical="center" wrapText="1"/>
    </xf>
    <xf xxid="1493" numFmtId="169" fontId="3" fillId="0" borderId="22" xfId="0" applyAlignment="1" applyBorder="1" applyFont="1" applyNumberFormat="1" applyFill="1" applyProtection="1">
      <alignment horizontal="right" vertical="center"/>
    </xf>
    <xf xxid="1494" numFmtId="169" fontId="3" fillId="0" borderId="21" xfId="0" applyAlignment="1" applyBorder="1" applyFont="1" applyNumberFormat="1" applyFill="1" applyProtection="1">
      <alignment horizontal="right" vertical="center"/>
    </xf>
    <xf xxid="1495" numFmtId="0" fontId="2" fillId="5" borderId="35" xfId="4" applyAlignment="1" applyBorder="1" applyFont="1" applyNumberFormat="1" applyFill="1" applyProtection="1">
      <alignment horizontal="center"/>
      <protection locked="0"/>
    </xf>
    <xf xxid="1496" numFmtId="0" fontId="2" fillId="5" borderId="39" xfId="5" applyAlignment="1" applyBorder="1" applyFont="1" applyNumberFormat="1" applyFill="1" applyProtection="1">
      <alignment horizontal="center" vertical="top" wrapText="1"/>
    </xf>
    <xf xxid="1497" numFmtId="0" fontId="2" fillId="29" borderId="65" xfId="5" applyAlignment="1" applyBorder="1" applyFont="1" applyNumberFormat="1" applyFill="1" applyProtection="1">
      <alignment horizontal="center" vertical="top" wrapText="1"/>
    </xf>
    <xf xxid="1498" numFmtId="0" fontId="2" fillId="5" borderId="39" xfId="5" applyAlignment="1" applyBorder="1" applyFont="1" applyNumberFormat="1" applyFill="1" applyProtection="1">
      <alignment horizontal="center" vertical="center" wrapText="1"/>
    </xf>
    <xf xxid="1499" numFmtId="0" fontId="13" fillId="0" borderId="0" xfId="0" applyAlignment="1" applyBorder="1" applyFont="1" applyNumberFormat="1" applyFill="1" applyProtection="1">
      <alignment horizontal="right" vertical="center"/>
    </xf>
    <xf xxid="1500" numFmtId="189" fontId="99" fillId="18" borderId="0" xfId="5" applyAlignment="1" applyBorder="1" applyFont="1" applyNumberFormat="1" applyFill="1" applyProtection="1"/>
    <xf xxid="1501" numFmtId="189" fontId="2" fillId="17" borderId="0" xfId="5" applyAlignment="1" applyBorder="1" applyFont="1" applyNumberFormat="1" applyFill="1" applyProtection="1"/>
    <xf xxid="1502" numFmtId="189" fontId="2" fillId="29" borderId="7" xfId="5" applyAlignment="1" applyBorder="1" applyFont="1" applyNumberFormat="1" applyFill="1" applyProtection="1">
      <protection locked="0"/>
    </xf>
    <xf xxid="1503" numFmtId="189" fontId="2" fillId="29" borderId="75" xfId="5" applyAlignment="1" applyBorder="1" applyFont="1" applyNumberFormat="1" applyFill="1" applyProtection="1">
      <protection locked="0"/>
    </xf>
    <xf xxid="1504" numFmtId="189" fontId="5" fillId="17" borderId="0" xfId="5" applyAlignment="1" applyBorder="1" applyFont="1" applyNumberFormat="1" applyFill="1" applyProtection="1"/>
    <xf xxid="1505" numFmtId="189" fontId="2" fillId="5" borderId="7" xfId="5" applyAlignment="1" applyBorder="1" applyFont="1" applyNumberFormat="1" applyFill="1" applyProtection="1">
      <protection locked="0"/>
    </xf>
    <xf xxid="1506" numFmtId="189" fontId="2" fillId="5" borderId="75" xfId="5" applyAlignment="1" applyBorder="1" applyFont="1" applyNumberFormat="1" applyFill="1" applyProtection="1">
      <protection locked="0"/>
    </xf>
    <xf xxid="1507" numFmtId="189" fontId="2" fillId="5" borderId="32" xfId="5" applyAlignment="1" applyBorder="1" applyFont="1" applyNumberFormat="1" applyFill="1" applyProtection="1">
      <protection locked="0"/>
    </xf>
    <xf xxid="1508" numFmtId="189" fontId="2" fillId="5" borderId="7" xfId="5" applyAlignment="1" applyBorder="1" applyFont="1" applyNumberFormat="1" applyFill="1" applyProtection="1">
      <alignment vertical="center"/>
      <protection locked="0"/>
    </xf>
    <xf xxid="1509" numFmtId="189" fontId="2" fillId="5" borderId="32" xfId="5" applyAlignment="1" applyBorder="1" applyFont="1" applyNumberFormat="1" applyFill="1" applyProtection="1">
      <alignment vertical="center"/>
      <protection locked="0"/>
    </xf>
    <xf xxid="1510" numFmtId="189" fontId="3" fillId="26" borderId="0" xfId="5" applyAlignment="1" applyBorder="1" applyFont="1" applyNumberFormat="1" applyFill="1" applyProtection="1"/>
    <xf xxid="1511" numFmtId="189" fontId="2" fillId="0" borderId="0" xfId="5" applyAlignment="1" applyBorder="1" applyFont="1" applyNumberFormat="1" applyFill="1" applyProtection="1">
      <protection locked="0"/>
    </xf>
    <xf xxid="1512" numFmtId="0" fontId="85" fillId="6" borderId="93" xfId="0" applyAlignment="1" applyBorder="1" applyFont="1" applyNumberFormat="1" applyFill="1" applyProtection="1">
      <alignment horizontal="left" vertical="center" wrapText="1"/>
      <protection hidden="1"/>
    </xf>
    <xf xxid="1513" numFmtId="0" fontId="85" fillId="6" borderId="93" xfId="0" applyAlignment="1" applyBorder="1" applyFont="1" applyNumberFormat="1" applyFill="1" applyProtection="1">
      <alignment horizontal="center" vertical="center"/>
      <protection hidden="1" locked="0"/>
    </xf>
    <xf xxid="1514" numFmtId="169" fontId="85" fillId="6" borderId="93" xfId="1" applyAlignment="1" applyBorder="1" applyFont="1" applyNumberFormat="1" applyFill="1" applyProtection="1">
      <alignment horizontal="center" vertical="center"/>
      <protection hidden="1"/>
    </xf>
    <xf xxid="1515" numFmtId="0" fontId="85" fillId="6" borderId="89" xfId="0" applyAlignment="1" applyBorder="1" applyFont="1" applyNumberFormat="1" applyFill="1" applyProtection="1">
      <alignment horizontal="left" vertical="center" wrapText="1"/>
      <protection hidden="1"/>
    </xf>
    <xf xxid="1516" numFmtId="0" fontId="85" fillId="6" borderId="89" xfId="0" applyAlignment="1" applyBorder="1" applyFont="1" applyNumberFormat="1" applyFill="1" applyProtection="1">
      <alignment horizontal="center" vertical="center"/>
      <protection hidden="1" locked="0"/>
    </xf>
    <xf xxid="1517" numFmtId="169" fontId="85" fillId="6" borderId="89" xfId="1" applyAlignment="1" applyBorder="1" applyFont="1" applyNumberFormat="1" applyFill="1" applyProtection="1">
      <alignment horizontal="right" vertical="center"/>
      <protection hidden="1"/>
    </xf>
    <xf xxid="1518" numFmtId="0" fontId="106" fillId="22" borderId="54" xfId="0" applyAlignment="1" applyBorder="1" applyFont="1" applyNumberFormat="1" applyFill="1" applyProtection="1">
      <alignment horizontal="center" vertical="center"/>
      <protection hidden="1"/>
    </xf>
    <xf xxid="1519" numFmtId="0" fontId="104" fillId="22" borderId="7" xfId="0" applyAlignment="1" applyBorder="1" applyFont="1" applyNumberFormat="1" applyFill="1" applyProtection="1">
      <alignment horizontal="center" vertical="center"/>
      <protection hidden="1"/>
    </xf>
    <xf xxid="1520" numFmtId="0" fontId="104" fillId="22" borderId="24" xfId="0" applyAlignment="1" applyBorder="1" applyFont="1" applyNumberFormat="1" applyFill="1" applyProtection="1">
      <alignment horizontal="center" vertical="center"/>
      <protection hidden="1"/>
    </xf>
    <xf xxid="1521" numFmtId="0" fontId="106" fillId="22" borderId="75" xfId="0" applyAlignment="1" applyBorder="1" applyFont="1" applyNumberFormat="1" applyFill="1" applyProtection="1">
      <alignment horizontal="center" vertical="center"/>
      <protection hidden="1"/>
    </xf>
    <xf xxid="1522" numFmtId="0" fontId="85" fillId="6" borderId="94" xfId="0" applyAlignment="1" applyBorder="1" applyFont="1" applyNumberFormat="1" applyFill="1" applyProtection="1">
      <alignment horizontal="center" vertical="center"/>
      <protection hidden="1"/>
    </xf>
    <xf xxid="1523" numFmtId="169" fontId="85" fillId="6" borderId="94" xfId="1" applyAlignment="1" applyBorder="1" applyFont="1" applyNumberFormat="1" applyFill="1" applyProtection="1">
      <alignment horizontal="center" vertical="center"/>
      <protection hidden="1"/>
    </xf>
    <xf xxid="1524" numFmtId="0" fontId="85" fillId="6" borderId="79" xfId="0" applyAlignment="1" applyBorder="1" applyFont="1" applyNumberFormat="1" applyFill="1" applyProtection="1">
      <alignment horizontal="center" vertical="center"/>
      <protection hidden="1"/>
    </xf>
    <xf xxid="1525" numFmtId="169" fontId="85" fillId="6" borderId="79" xfId="1" applyAlignment="1" applyBorder="1" applyFont="1" applyNumberFormat="1" applyFill="1" applyProtection="1">
      <alignment horizontal="right" vertical="center"/>
      <protection hidden="1"/>
    </xf>
    <xf xxid="1526" numFmtId="0" fontId="85" fillId="6" borderId="95" xfId="0" applyAlignment="1" applyBorder="1" applyFont="1" applyNumberFormat="1" applyFill="1" applyProtection="1">
      <alignment horizontal="center" vertical="center"/>
      <protection hidden="1"/>
    </xf>
    <xf xxid="1527" numFmtId="0" fontId="85" fillId="6" borderId="96" xfId="0" applyAlignment="1" applyBorder="1" applyFont="1" applyNumberFormat="1" applyFill="1" applyProtection="1">
      <alignment horizontal="left" vertical="center" wrapText="1"/>
      <protection hidden="1"/>
    </xf>
    <xf xxid="1528" numFmtId="0" fontId="85" fillId="6" borderId="96" xfId="0" applyAlignment="1" applyBorder="1" applyFont="1" applyNumberFormat="1" applyFill="1" applyProtection="1">
      <alignment horizontal="center" vertical="center"/>
      <protection hidden="1" locked="0"/>
    </xf>
    <xf xxid="1529" numFmtId="169" fontId="85" fillId="6" borderId="96" xfId="1" applyAlignment="1" applyBorder="1" applyFont="1" applyNumberFormat="1" applyFill="1" applyProtection="1">
      <alignment horizontal="right" vertical="center"/>
      <protection hidden="1"/>
    </xf>
    <xf xxid="1530" numFmtId="169" fontId="85" fillId="6" borderId="95" xfId="1" applyAlignment="1" applyBorder="1" applyFont="1" applyNumberFormat="1" applyFill="1" applyProtection="1">
      <alignment horizontal="right" vertical="center"/>
      <protection hidden="1"/>
    </xf>
    <xf xxid="1531" numFmtId="0" fontId="5" fillId="17" borderId="7" xfId="5" applyAlignment="1" applyBorder="1" applyFont="1" applyNumberFormat="1" applyFill="1" applyProtection="1">
      <alignment horizontal="center" vertical="center"/>
    </xf>
    <xf xxid="1532" numFmtId="0" fontId="114" fillId="0" borderId="20" xfId="5" applyAlignment="1" applyBorder="1" applyFont="1" applyNumberFormat="1" applyFill="1" applyProtection="1">
      <alignment horizontal="center" vertical="center"/>
      <protection locked="0"/>
    </xf>
    <xf xxid="1533" numFmtId="49" fontId="100" fillId="18" borderId="0" xfId="5" applyAlignment="1" applyBorder="1" applyFont="1" applyNumberFormat="1" applyFill="1" applyProtection="1">
      <alignment horizontal="center"/>
    </xf>
    <xf xxid="1534" numFmtId="49" fontId="2" fillId="17" borderId="0" xfId="5" applyAlignment="1" applyBorder="1" applyFont="1" applyNumberFormat="1" applyFill="1" applyProtection="1">
      <alignment horizontal="center"/>
    </xf>
    <xf xxid="1535" numFmtId="49" fontId="5" fillId="17" borderId="0" xfId="5" applyAlignment="1" applyBorder="1" applyFont="1" applyNumberFormat="1" applyFill="1" applyProtection="1">
      <alignment horizontal="center"/>
    </xf>
    <xf xxid="1536" numFmtId="49" fontId="2" fillId="29" borderId="7" xfId="5" applyAlignment="1" applyBorder="1" applyFont="1" applyNumberFormat="1" applyFill="1" applyProtection="1">
      <alignment horizontal="center" vertical="top" wrapText="1"/>
    </xf>
    <xf xxid="1537" numFmtId="49" fontId="2" fillId="29" borderId="75" xfId="5" applyAlignment="1" applyBorder="1" applyFont="1" applyNumberFormat="1" applyFill="1" applyProtection="1">
      <alignment horizontal="center" vertical="top" wrapText="1"/>
    </xf>
    <xf xxid="1538" numFmtId="49" fontId="2" fillId="5" borderId="7" xfId="5" applyAlignment="1" applyBorder="1" applyFont="1" applyNumberFormat="1" applyFill="1" applyProtection="1">
      <alignment horizontal="center" vertical="top" wrapText="1"/>
      <protection hidden="1"/>
    </xf>
    <xf xxid="1539" numFmtId="49" fontId="2" fillId="5" borderId="75" xfId="5" applyAlignment="1" applyBorder="1" applyFont="1" applyNumberFormat="1" applyFill="1" applyProtection="1">
      <alignment horizontal="center" vertical="top" wrapText="1"/>
      <protection hidden="1"/>
    </xf>
    <xf xxid="1540" numFmtId="49" fontId="2" fillId="5" borderId="7" xfId="5" applyAlignment="1" applyBorder="1" applyFont="1" applyNumberFormat="1" applyFill="1" applyProtection="1">
      <alignment horizontal="center" vertical="top" wrapText="1"/>
    </xf>
    <xf xxid="1541" numFmtId="49" fontId="2" fillId="5" borderId="75" xfId="5" applyAlignment="1" applyBorder="1" applyFont="1" applyNumberFormat="1" applyFill="1" applyProtection="1">
      <alignment horizontal="center" vertical="top" wrapText="1"/>
    </xf>
    <xf xxid="1542" numFmtId="49" fontId="2" fillId="5" borderId="32" xfId="5" applyAlignment="1" applyBorder="1" applyFont="1" applyNumberFormat="1" applyFill="1" applyProtection="1">
      <alignment horizontal="center" vertical="top" wrapText="1"/>
    </xf>
    <xf xxid="1543" numFmtId="49" fontId="2" fillId="5" borderId="7" xfId="5" applyAlignment="1" applyBorder="1" applyFont="1" applyNumberFormat="1" applyFill="1" applyProtection="1">
      <alignment horizontal="center" vertical="center" wrapText="1"/>
      <protection hidden="1"/>
    </xf>
    <xf xxid="1544" numFmtId="49" fontId="2" fillId="5" borderId="32" xfId="5" applyAlignment="1" applyBorder="1" applyFont="1" applyNumberFormat="1" applyFill="1" applyProtection="1">
      <alignment horizontal="center" vertical="center" wrapText="1"/>
      <protection hidden="1"/>
    </xf>
    <xf xxid="1545" numFmtId="49" fontId="17" fillId="26" borderId="0" xfId="5" applyAlignment="1" applyBorder="1" applyFont="1" applyNumberFormat="1" applyFill="1" applyProtection="1">
      <alignment horizontal="center"/>
    </xf>
    <xf xxid="1546" numFmtId="0" fontId="13" fillId="0" borderId="7" xfId="21" applyAlignment="1" applyBorder="1" applyFont="1" applyNumberFormat="1" applyFill="1" applyProtection="1">
      <alignment horizontal="center" vertical="center"/>
    </xf>
    <xf xxid="1547" numFmtId="0" fontId="5" fillId="17" borderId="70" xfId="5" applyAlignment="1" applyBorder="1" applyFont="1" applyNumberFormat="1" applyFill="1" applyProtection="1">
      <alignment horizontal="center" vertical="center"/>
    </xf>
    <xf xxid="1548" numFmtId="0" fontId="17" fillId="0" borderId="0" xfId="21" applyAlignment="1" applyBorder="1" applyFont="1" applyNumberFormat="1" applyFill="1" applyProtection="1">
      <alignment horizontal="center" vertical="top"/>
      <protection hidden="1"/>
    </xf>
    <xf xxid="1549" numFmtId="168" fontId="13" fillId="0" borderId="24" xfId="21" applyAlignment="1" applyBorder="1" applyFont="1" applyNumberFormat="1" applyFill="1" applyProtection="1">
      <alignment horizontal="center" vertical="center"/>
    </xf>
    <xf xxid="1550" numFmtId="0" fontId="2" fillId="30" borderId="0" xfId="5" applyAlignment="1" applyBorder="1" applyFont="1" applyNumberFormat="1" applyFill="1" applyProtection="1">
      <alignment horizontal="center" vertical="top"/>
    </xf>
    <xf xxid="1551" numFmtId="0" fontId="2" fillId="29" borderId="79" xfId="5" applyAlignment="1" applyBorder="1" applyFont="1" applyNumberFormat="1" applyFill="1" applyProtection="1">
      <alignment horizontal="center" vertical="center"/>
      <protection locked="0"/>
    </xf>
    <xf xxid="1552" numFmtId="0" fontId="5" fillId="29" borderId="79" xfId="5" applyAlignment="1" applyBorder="1" applyFont="1" applyNumberFormat="1" applyFill="1" applyProtection="1">
      <alignment horizontal="center" vertical="center"/>
      <protection locked="0"/>
    </xf>
    <xf xxid="1553" numFmtId="0" fontId="2" fillId="30" borderId="42" xfId="5" applyAlignment="1" applyBorder="1" applyFont="1" applyNumberFormat="1" applyFill="1" applyProtection="1">
      <alignment horizontal="center" vertical="center"/>
    </xf>
    <xf xxid="1554" numFmtId="0" fontId="2" fillId="29" borderId="15" xfId="5" applyAlignment="1" applyBorder="1" applyFont="1" applyNumberFormat="1" applyFill="1" applyProtection="1">
      <alignment horizontal="center" vertical="center"/>
      <protection locked="0"/>
    </xf>
    <xf xxid="1555" numFmtId="0" fontId="5" fillId="29" borderId="16" xfId="5" applyAlignment="1" applyBorder="1" applyFont="1" applyNumberFormat="1" applyFill="1" applyProtection="1">
      <alignment horizontal="center" vertical="center"/>
      <protection locked="0"/>
    </xf>
    <xf xxid="1556" numFmtId="0" fontId="100" fillId="18" borderId="0" xfId="5" applyAlignment="1" applyBorder="1" applyFont="1" applyNumberFormat="1" applyFill="1" applyProtection="1">
      <alignment vertical="center"/>
      <protection locked="0"/>
    </xf>
    <xf xxid="1557" numFmtId="0" fontId="101" fillId="18" borderId="0" xfId="5" applyAlignment="1" applyBorder="1" applyFont="1" applyNumberFormat="1" applyFill="1" applyProtection="1">
      <alignment horizontal="center"/>
      <protection locked="0"/>
    </xf>
    <xf xxid="1558" numFmtId="0" fontId="2" fillId="17" borderId="38" xfId="5" applyAlignment="1" applyBorder="1" applyFont="1" applyNumberFormat="1" applyFill="1" applyProtection="1">
      <alignment horizontal="center"/>
      <protection locked="0"/>
    </xf>
    <xf xxid="1559" numFmtId="0" fontId="5" fillId="30" borderId="0" xfId="5" applyAlignment="1" applyBorder="1" applyFont="1" applyNumberFormat="1" applyFill="1" applyProtection="1">
      <alignment horizontal="center"/>
      <protection locked="0"/>
    </xf>
    <xf xxid="1560" numFmtId="0" fontId="2" fillId="30" borderId="0" xfId="5" applyAlignment="1" applyBorder="1" applyFont="1" applyNumberFormat="1" applyFill="1" applyProtection="1">
      <protection locked="0"/>
    </xf>
    <xf xxid="1561" numFmtId="0" fontId="2" fillId="17" borderId="39" xfId="5" applyAlignment="1" applyBorder="1" applyFont="1" applyNumberFormat="1" applyFill="1" applyProtection="1">
      <alignment horizontal="center"/>
      <protection locked="0"/>
    </xf>
    <xf xxid="1562" numFmtId="0" fontId="36" fillId="30" borderId="0" xfId="5" applyAlignment="1" applyBorder="1" applyFont="1" applyNumberFormat="1" applyFill="1" applyProtection="1">
      <protection locked="0"/>
    </xf>
    <xf xxid="1563" numFmtId="0" fontId="2" fillId="29" borderId="7" xfId="5" applyAlignment="1" applyBorder="1" applyFont="1" applyNumberFormat="1" applyFill="1" applyProtection="1">
      <alignment horizontal="left"/>
      <protection locked="0"/>
    </xf>
    <xf xxid="1564" numFmtId="3" fontId="2" fillId="29" borderId="7" xfId="5" applyAlignment="1" applyBorder="1" applyFont="1" applyNumberFormat="1" applyFill="1" applyProtection="1">
      <alignment horizontal="right"/>
      <protection locked="0"/>
    </xf>
    <xf xxid="1565" numFmtId="173" fontId="2" fillId="29" borderId="7" xfId="5" applyAlignment="1" applyBorder="1" applyFont="1" applyNumberFormat="1" applyFill="1" applyProtection="1">
      <alignment horizontal="center"/>
      <protection locked="0"/>
    </xf>
    <xf xxid="1566" numFmtId="173" fontId="2" fillId="29" borderId="31" xfId="5" applyAlignment="1" applyBorder="1" applyFont="1" applyNumberFormat="1" applyFill="1" applyProtection="1">
      <alignment horizontal="center"/>
      <protection locked="0"/>
    </xf>
    <xf xxid="1567" numFmtId="0" fontId="2" fillId="17" borderId="32" xfId="5" applyAlignment="1" applyBorder="1" applyFont="1" applyNumberFormat="1" applyFill="1" applyProtection="1">
      <alignment horizontal="left"/>
      <protection locked="0"/>
    </xf>
    <xf xxid="1568" numFmtId="0" fontId="2" fillId="17" borderId="32" xfId="5" applyAlignment="1" applyBorder="1" applyFont="1" applyNumberFormat="1" applyFill="1" applyProtection="1">
      <alignment horizontal="right"/>
      <protection locked="0"/>
    </xf>
    <xf xxid="1569" numFmtId="189" fontId="2" fillId="17" borderId="32" xfId="5" applyAlignment="1" applyBorder="1" applyFont="1" applyNumberFormat="1" applyFill="1" applyProtection="1">
      <alignment horizontal="center"/>
      <protection locked="0"/>
    </xf>
    <xf xxid="1570" numFmtId="189" fontId="2" fillId="17" borderId="33" xfId="5" applyAlignment="1" applyBorder="1" applyFont="1" applyNumberFormat="1" applyFill="1" applyProtection="1">
      <alignment horizontal="center"/>
      <protection locked="0"/>
    </xf>
    <xf xxid="1571" numFmtId="0" fontId="5" fillId="17" borderId="97" xfId="5" applyAlignment="1" applyBorder="1" applyFont="1" applyNumberFormat="1" applyFill="1" applyProtection="1">
      <alignment horizontal="center" vertical="center"/>
      <protection locked="0"/>
    </xf>
    <xf xxid="1572" numFmtId="0" fontId="5" fillId="17" borderId="98" xfId="5" applyAlignment="1" applyBorder="1" applyFont="1" applyNumberFormat="1" applyFill="1" applyProtection="1">
      <alignment horizontal="center" vertical="center"/>
      <protection locked="0"/>
    </xf>
    <xf xxid="1573" numFmtId="0" fontId="5" fillId="17" borderId="99" xfId="5" applyAlignment="1" applyBorder="1" applyFont="1" applyNumberFormat="1" applyFill="1" applyProtection="1">
      <alignment horizontal="center" vertical="center"/>
      <protection locked="0"/>
    </xf>
    <xf xxid="1574" numFmtId="0" fontId="5" fillId="17" borderId="85" xfId="5" applyAlignment="1" applyBorder="1" applyFont="1" applyNumberFormat="1" applyFill="1" applyProtection="1">
      <alignment horizontal="center" vertical="center"/>
      <protection locked="0"/>
    </xf>
    <xf xxid="1575" numFmtId="0" fontId="5" fillId="17" borderId="100" xfId="5" applyAlignment="1" applyBorder="1" applyFont="1" applyNumberFormat="1" applyFill="1" applyProtection="1">
      <alignment horizontal="center" vertical="center"/>
      <protection locked="0"/>
    </xf>
    <xf xxid="1576" numFmtId="0" fontId="5" fillId="17" borderId="101" xfId="5" applyAlignment="1" applyBorder="1" applyFont="1" applyNumberFormat="1" applyFill="1" applyProtection="1">
      <alignment horizontal="center" vertical="center"/>
      <protection locked="0"/>
    </xf>
    <xf xxid="1577" numFmtId="0" fontId="5" fillId="17" borderId="72" xfId="5" applyAlignment="1" applyBorder="1" applyFont="1" applyNumberFormat="1" applyFill="1" applyProtection="1">
      <alignment horizontal="center" vertical="center"/>
      <protection locked="0"/>
    </xf>
    <xf xxid="1578" numFmtId="0" fontId="5" fillId="17" borderId="102" xfId="5" applyAlignment="1" applyBorder="1" applyFont="1" applyNumberFormat="1" applyFill="1" applyProtection="1">
      <alignment horizontal="center" vertical="center"/>
      <protection locked="0"/>
    </xf>
    <xf xxid="1579" numFmtId="0" fontId="5" fillId="17" borderId="99" xfId="5" applyAlignment="1" applyBorder="1" applyFont="1" applyNumberFormat="1" applyFill="1" applyProtection="1">
      <alignment horizontal="center" vertical="center" wrapText="1"/>
      <protection locked="0"/>
    </xf>
    <xf xxid="1580" numFmtId="0" fontId="2" fillId="17" borderId="103" xfId="5" applyAlignment="1" applyBorder="1" applyFont="1" applyNumberFormat="1" applyFill="1" applyProtection="1">
      <alignment horizontal="left"/>
      <protection locked="0"/>
    </xf>
    <xf xxid="1581" numFmtId="0" fontId="2" fillId="17" borderId="103" xfId="5" applyAlignment="1" applyBorder="1" applyFont="1" applyNumberFormat="1" applyFill="1" applyProtection="1">
      <alignment horizontal="right"/>
      <protection locked="0"/>
    </xf>
    <xf xxid="1582" numFmtId="189" fontId="2" fillId="17" borderId="103" xfId="5" applyAlignment="1" applyBorder="1" applyFont="1" applyNumberFormat="1" applyFill="1" applyProtection="1">
      <alignment horizontal="center"/>
      <protection locked="0"/>
    </xf>
    <xf xxid="1583" numFmtId="189" fontId="2" fillId="17" borderId="104" xfId="5" applyAlignment="1" applyBorder="1" applyFont="1" applyNumberFormat="1" applyFill="1" applyProtection="1">
      <alignment horizontal="center"/>
      <protection locked="0"/>
    </xf>
    <xf xxid="1584" numFmtId="49" fontId="2" fillId="5" borderId="105" xfId="5" applyAlignment="1" applyBorder="1" applyFont="1" applyNumberFormat="1" applyFill="1" applyProtection="1">
      <alignment horizontal="left"/>
      <protection locked="0"/>
    </xf>
    <xf xxid="1585" numFmtId="49" fontId="0" fillId="0" borderId="34" xfId="0" applyAlignment="1" applyBorder="1" applyFont="1" applyNumberFormat="1" applyFill="1" applyProtection="1">
      <alignment horizontal="left"/>
    </xf>
    <xf xxid="1586" numFmtId="49" fontId="0" fillId="0" borderId="106" xfId="0" applyAlignment="1" applyBorder="1" applyFont="1" applyNumberFormat="1" applyFill="1" applyProtection="1">
      <alignment horizontal="left"/>
    </xf>
    <xf xxid="1587" numFmtId="0" fontId="2" fillId="5" borderId="105" xfId="5" applyAlignment="1" applyBorder="1" applyFont="1" applyNumberFormat="1" applyFill="1" applyProtection="1">
      <alignment horizontal="left"/>
      <protection locked="0"/>
    </xf>
    <xf xxid="1588" numFmtId="0" fontId="0" fillId="0" borderId="34" xfId="0" applyAlignment="1" applyBorder="1" applyFont="1" applyNumberFormat="1" applyFill="1" applyProtection="1">
      <alignment horizontal="left"/>
    </xf>
    <xf xxid="1589" numFmtId="0" fontId="0" fillId="0" borderId="106" xfId="0" applyAlignment="1" applyBorder="1" applyFont="1" applyNumberFormat="1" applyFill="1" applyProtection="1">
      <alignment horizontal="left"/>
    </xf>
    <xf xxid="1590" numFmtId="170" fontId="2" fillId="5" borderId="105" xfId="0" applyAlignment="1" applyBorder="1" applyFont="1" applyNumberFormat="1" applyFill="1" applyProtection="1">
      <alignment horizontal="right"/>
      <protection locked="0"/>
    </xf>
    <xf xxid="1591" numFmtId="170" fontId="2" fillId="5" borderId="34" xfId="0" applyAlignment="1" applyBorder="1" applyFont="1" applyNumberFormat="1" applyFill="1" applyProtection="1">
      <alignment horizontal="right"/>
      <protection locked="0"/>
    </xf>
    <xf xxid="1592" numFmtId="170" fontId="2" fillId="5" borderId="106" xfId="0" applyAlignment="1" applyBorder="1" applyFont="1" applyNumberFormat="1" applyFill="1" applyProtection="1">
      <alignment horizontal="right"/>
      <protection locked="0"/>
    </xf>
    <xf xxid="1593" numFmtId="170" fontId="2" fillId="6" borderId="105" xfId="0" applyAlignment="1" applyBorder="1" applyFont="1" applyNumberFormat="1" applyFill="1" applyProtection="1">
      <alignment horizontal="right"/>
      <protection hidden="1"/>
    </xf>
    <xf xxid="1594" numFmtId="170" fontId="2" fillId="6" borderId="34" xfId="0" applyAlignment="1" applyBorder="1" applyFont="1" applyNumberFormat="1" applyFill="1" applyProtection="1">
      <alignment horizontal="right"/>
      <protection hidden="1"/>
    </xf>
    <xf xxid="1595" numFmtId="170" fontId="2" fillId="6" borderId="106" xfId="0" applyAlignment="1" applyBorder="1" applyFont="1" applyNumberFormat="1" applyFill="1" applyProtection="1">
      <alignment horizontal="right"/>
      <protection hidden="1"/>
    </xf>
    <xf xxid="1596" numFmtId="178" fontId="2" fillId="5" borderId="105" xfId="0" applyAlignment="1" applyBorder="1" applyFont="1" applyNumberFormat="1" applyFill="1" applyProtection="1">
      <alignment horizontal="center"/>
      <protection locked="0"/>
    </xf>
    <xf xxid="1597" numFmtId="178" fontId="2" fillId="5" borderId="34" xfId="0" applyAlignment="1" applyBorder="1" applyFont="1" applyNumberFormat="1" applyFill="1" applyProtection="1">
      <alignment horizontal="center"/>
      <protection locked="0"/>
    </xf>
    <xf xxid="1598" numFmtId="3" fontId="2" fillId="5" borderId="24" xfId="0" applyAlignment="1" applyBorder="1" applyFont="1" applyNumberFormat="1" applyFill="1" applyProtection="1">
      <alignment horizontal="right"/>
      <protection locked="0"/>
    </xf>
    <xf xxid="1599" numFmtId="3" fontId="2" fillId="5" borderId="20" xfId="0" applyAlignment="1" applyBorder="1" applyFont="1" applyNumberFormat="1" applyFill="1" applyProtection="1">
      <alignment horizontal="right"/>
      <protection locked="0"/>
    </xf>
    <xf xxid="1600" numFmtId="3" fontId="2" fillId="5" borderId="29" xfId="0" applyAlignment="1" applyBorder="1" applyFont="1" applyNumberFormat="1" applyFill="1" applyProtection="1">
      <alignment horizontal="right"/>
      <protection locked="0"/>
    </xf>
    <xf xxid="1601" numFmtId="169" fontId="2" fillId="5" borderId="7" xfId="1" applyAlignment="1" applyBorder="1" applyFont="1" applyNumberFormat="1" applyFill="1" applyProtection="1">
      <alignment horizontal="center"/>
      <protection hidden="1" locked="0"/>
    </xf>
    <xf xxid="1602" numFmtId="169" fontId="2" fillId="5" borderId="20" xfId="1" applyAlignment="1" applyBorder="1" applyFont="1" applyNumberFormat="1" applyFill="1" applyProtection="1">
      <alignment horizontal="center"/>
      <protection hidden="1" locked="0"/>
    </xf>
    <xf xxid="1603" numFmtId="169" fontId="2" fillId="5" borderId="29" xfId="1" applyAlignment="1" applyBorder="1" applyFont="1" applyNumberFormat="1" applyFill="1" applyProtection="1">
      <alignment horizontal="center"/>
      <protection hidden="1" locked="0"/>
    </xf>
    <xf xxid="1604" numFmtId="178" fontId="2" fillId="5" borderId="106" xfId="0" applyAlignment="1" applyBorder="1" applyFont="1" applyNumberFormat="1" applyFill="1" applyProtection="1">
      <alignment horizontal="center"/>
      <protection locked="0"/>
    </xf>
    <xf xxid="1605" numFmtId="169" fontId="2" fillId="0" borderId="7" xfId="1" applyAlignment="1" applyBorder="1" applyFont="1" applyNumberFormat="1" applyFill="1" applyProtection="1">
      <alignment horizontal="center"/>
      <protection hidden="1"/>
    </xf>
    <xf xxid="1606" numFmtId="169" fontId="2" fillId="0" borderId="31" xfId="1" applyAlignment="1" applyBorder="1" applyFont="1" applyNumberFormat="1" applyFill="1" applyProtection="1">
      <alignment horizontal="center"/>
      <protection hidden="1"/>
    </xf>
    <xf xxid="1607" numFmtId="178" fontId="2" fillId="6" borderId="105" xfId="0" applyAlignment="1" applyBorder="1" applyFont="1" applyNumberFormat="1" applyFill="1" applyProtection="1">
      <alignment horizontal="center"/>
      <protection hidden="1"/>
    </xf>
    <xf xxid="1608" numFmtId="178" fontId="2" fillId="6" borderId="34" xfId="0" applyAlignment="1" applyBorder="1" applyFont="1" applyNumberFormat="1" applyFill="1" applyProtection="1">
      <alignment horizontal="center"/>
      <protection hidden="1"/>
    </xf>
    <xf xxid="1609" numFmtId="169" fontId="5" fillId="0" borderId="105" xfId="0" applyAlignment="1" applyBorder="1" applyFont="1" applyNumberFormat="1" applyFill="1" applyProtection="1">
      <alignment horizontal="center"/>
      <protection hidden="1"/>
    </xf>
    <xf xxid="1610" numFmtId="0" fontId="5" fillId="0" borderId="34" xfId="0" applyAlignment="1" applyBorder="1" applyFont="1" applyNumberFormat="1" applyFill="1" applyProtection="1">
      <alignment horizontal="center"/>
      <protection hidden="1"/>
    </xf>
    <xf xxid="1611" numFmtId="0" fontId="5" fillId="0" borderId="106" xfId="0" applyAlignment="1" applyBorder="1" applyFont="1" applyNumberFormat="1" applyFill="1" applyProtection="1">
      <alignment horizontal="center"/>
      <protection hidden="1"/>
    </xf>
    <xf xxid="1612" numFmtId="169" fontId="2" fillId="0" borderId="0" xfId="1" applyAlignment="1" applyBorder="1" applyFont="1" applyNumberFormat="1" applyFill="1" applyProtection="1">
      <alignment horizontal="center"/>
    </xf>
    <xf xxid="1613" numFmtId="169" fontId="2" fillId="5" borderId="105" xfId="1" applyAlignment="1" applyBorder="1" applyFont="1" applyNumberFormat="1" applyFill="1" applyProtection="1">
      <alignment horizontal="center"/>
      <protection locked="0"/>
    </xf>
    <xf xxid="1614" numFmtId="169" fontId="2" fillId="5" borderId="34" xfId="1" applyAlignment="1" applyBorder="1" applyFont="1" applyNumberFormat="1" applyFill="1" applyProtection="1">
      <alignment horizontal="center"/>
      <protection locked="0"/>
    </xf>
    <xf xxid="1615" numFmtId="169" fontId="2" fillId="5" borderId="106" xfId="1" applyAlignment="1" applyBorder="1" applyFont="1" applyNumberFormat="1" applyFill="1" applyProtection="1">
      <alignment horizontal="center"/>
      <protection locked="0"/>
    </xf>
    <xf xxid="1616" numFmtId="169" fontId="2" fillId="5" borderId="105" xfId="1" applyAlignment="1" applyBorder="1" applyFont="1" applyNumberFormat="1" applyFill="1" applyProtection="1">
      <alignment horizontal="right"/>
      <protection locked="0"/>
    </xf>
    <xf xxid="1617" numFmtId="169" fontId="2" fillId="5" borderId="34" xfId="1" applyAlignment="1" applyBorder="1" applyFont="1" applyNumberFormat="1" applyFill="1" applyProtection="1">
      <alignment horizontal="right"/>
      <protection locked="0"/>
    </xf>
    <xf xxid="1618" numFmtId="169" fontId="2" fillId="5" borderId="106" xfId="1" applyAlignment="1" applyBorder="1" applyFont="1" applyNumberFormat="1" applyFill="1" applyProtection="1">
      <alignment horizontal="right"/>
      <protection locked="0"/>
    </xf>
    <xf xxid="1619" numFmtId="169" fontId="2" fillId="11" borderId="105" xfId="1" applyAlignment="1" applyBorder="1" applyFont="1" applyNumberFormat="1" applyFill="1" applyProtection="1">
      <alignment horizontal="right"/>
    </xf>
    <xf xxid="1620" numFmtId="169" fontId="2" fillId="11" borderId="34" xfId="1" applyAlignment="1" applyBorder="1" applyFont="1" applyNumberFormat="1" applyFill="1" applyProtection="1">
      <alignment horizontal="right"/>
    </xf>
    <xf xxid="1621" numFmtId="169" fontId="2" fillId="11" borderId="106" xfId="1" applyAlignment="1" applyBorder="1" applyFont="1" applyNumberFormat="1" applyFill="1" applyProtection="1">
      <alignment horizontal="right"/>
    </xf>
    <xf xxid="1622" numFmtId="169" fontId="2" fillId="11" borderId="105" xfId="1" applyAlignment="1" applyBorder="1" applyFont="1" applyNumberFormat="1" applyFill="1" applyProtection="1">
      <alignment horizontal="center"/>
    </xf>
    <xf xxid="1623" numFmtId="169" fontId="2" fillId="11" borderId="34" xfId="1" applyAlignment="1" applyBorder="1" applyFont="1" applyNumberFormat="1" applyFill="1" applyProtection="1">
      <alignment horizontal="center"/>
    </xf>
    <xf xxid="1624" numFmtId="169" fontId="2" fillId="11" borderId="106" xfId="1" applyAlignment="1" applyBorder="1" applyFont="1" applyNumberFormat="1" applyFill="1" applyProtection="1">
      <alignment horizontal="center"/>
    </xf>
    <xf xxid="1625" numFmtId="0" fontId="5" fillId="17" borderId="30" xfId="0" applyAlignment="1" applyBorder="1" applyFont="1" applyNumberFormat="1" applyFill="1" applyProtection="1">
      <alignment horizontal="center" vertical="center" wrapText="1"/>
      <protection locked="0"/>
    </xf>
    <xf xxid="1626" numFmtId="0" fontId="5" fillId="17" borderId="105" xfId="0" applyAlignment="1" applyBorder="1" applyFont="1" applyNumberFormat="1" applyFill="1" applyProtection="1">
      <alignment horizontal="center" vertical="center" wrapText="1"/>
      <protection locked="0"/>
    </xf>
    <xf xxid="1627" numFmtId="0" fontId="5" fillId="17" borderId="34" xfId="0" applyAlignment="1" applyBorder="1" applyFont="1" applyNumberFormat="1" applyFill="1" applyProtection="1">
      <alignment horizontal="center" vertical="center" wrapText="1"/>
      <protection locked="0"/>
    </xf>
    <xf xxid="1628" numFmtId="0" fontId="5" fillId="17" borderId="106" xfId="0" applyAlignment="1" applyBorder="1" applyFont="1" applyNumberFormat="1" applyFill="1" applyProtection="1">
      <alignment horizontal="center" vertical="center" wrapText="1"/>
      <protection locked="0"/>
    </xf>
    <xf xxid="1629" numFmtId="169" fontId="2" fillId="0" borderId="105" xfId="1" applyAlignment="1" applyBorder="1" applyFont="1" applyNumberFormat="1" applyFill="1" applyProtection="1">
      <alignment horizontal="right"/>
      <protection hidden="1"/>
    </xf>
    <xf xxid="1630" numFmtId="169" fontId="2" fillId="0" borderId="34" xfId="1" applyAlignment="1" applyBorder="1" applyFont="1" applyNumberFormat="1" applyFill="1" applyProtection="1">
      <alignment horizontal="right"/>
      <protection hidden="1"/>
    </xf>
    <xf xxid="1631" numFmtId="169" fontId="2" fillId="0" borderId="106" xfId="1" applyAlignment="1" applyBorder="1" applyFont="1" applyNumberFormat="1" applyFill="1" applyProtection="1">
      <alignment horizontal="right"/>
      <protection hidden="1"/>
    </xf>
    <xf xxid="1632" numFmtId="169" fontId="2" fillId="5" borderId="105" xfId="1" applyAlignment="1" applyBorder="1" applyFont="1" applyNumberFormat="1" applyFill="1" applyProtection="1">
      <alignment horizontal="right"/>
      <protection hidden="1" locked="0"/>
    </xf>
    <xf xxid="1633" numFmtId="169" fontId="2" fillId="5" borderId="34" xfId="1" applyAlignment="1" applyBorder="1" applyFont="1" applyNumberFormat="1" applyFill="1" applyProtection="1">
      <alignment horizontal="right"/>
      <protection hidden="1" locked="0"/>
    </xf>
    <xf xxid="1634" numFmtId="169" fontId="2" fillId="5" borderId="106" xfId="1" applyAlignment="1" applyBorder="1" applyFont="1" applyNumberFormat="1" applyFill="1" applyProtection="1">
      <alignment horizontal="right"/>
      <protection hidden="1" locked="0"/>
    </xf>
    <xf xxid="1635" numFmtId="170" fontId="5" fillId="17" borderId="105" xfId="0" applyAlignment="1" applyBorder="1" applyFont="1" applyNumberFormat="1" applyFill="1" applyProtection="1">
      <alignment horizontal="center"/>
      <protection locked="0"/>
    </xf>
    <xf xxid="1636" numFmtId="170" fontId="5" fillId="17" borderId="34" xfId="0" applyAlignment="1" applyBorder="1" applyFont="1" applyNumberFormat="1" applyFill="1" applyProtection="1">
      <alignment horizontal="center"/>
      <protection locked="0"/>
    </xf>
    <xf xxid="1637" numFmtId="170" fontId="5" fillId="17" borderId="106" xfId="0" applyAlignment="1" applyBorder="1" applyFont="1" applyNumberFormat="1" applyFill="1" applyProtection="1">
      <alignment horizontal="center"/>
      <protection locked="0"/>
    </xf>
    <xf xxid="1638" numFmtId="170" fontId="2" fillId="5" borderId="105" xfId="0" applyAlignment="1" applyBorder="1" applyFont="1" applyNumberFormat="1" applyFill="1" applyProtection="1">
      <protection locked="0"/>
    </xf>
    <xf xxid="1639" numFmtId="170" fontId="2" fillId="5" borderId="34" xfId="0" applyAlignment="1" applyBorder="1" applyFont="1" applyNumberFormat="1" applyFill="1" applyProtection="1">
      <protection locked="0"/>
    </xf>
    <xf xxid="1640" numFmtId="170" fontId="2" fillId="5" borderId="106" xfId="0" applyAlignment="1" applyBorder="1" applyFont="1" applyNumberFormat="1" applyFill="1" applyProtection="1">
      <protection locked="0"/>
    </xf>
    <xf xxid="1641" numFmtId="0" fontId="32" fillId="32" borderId="0" xfId="5" applyAlignment="1" applyBorder="1" applyFont="1" applyNumberFormat="1" applyFill="1" applyProtection="1">
      <alignment horizontal="center"/>
      <protection locked="0"/>
    </xf>
    <xf xxid="1642" numFmtId="0" fontId="5" fillId="17" borderId="32" xfId="5" applyAlignment="1" applyBorder="1" applyFont="1" applyNumberFormat="1" applyFill="1" applyProtection="1">
      <alignment horizontal="center"/>
      <protection locked="0"/>
    </xf>
    <xf xxid="1643" numFmtId="0" fontId="5" fillId="17" borderId="33" xfId="5" applyAlignment="1" applyBorder="1" applyFont="1" applyNumberFormat="1" applyFill="1" applyProtection="1">
      <alignment horizontal="center"/>
      <protection locked="0"/>
    </xf>
    <xf xxid="1644" numFmtId="169" fontId="2" fillId="5" borderId="105" xfId="5" applyAlignment="1" applyBorder="1" applyFont="1" applyNumberFormat="1" applyFill="1" applyProtection="1">
      <alignment horizontal="center"/>
      <protection locked="0"/>
    </xf>
    <xf xxid="1645" numFmtId="169" fontId="0" fillId="0" borderId="34" xfId="0" applyAlignment="1" applyBorder="1" applyFont="1" applyNumberFormat="1" applyFill="1" applyProtection="1">
      <protection locked="0"/>
    </xf>
    <xf xxid="1646" numFmtId="169" fontId="0" fillId="0" borderId="106" xfId="0" applyAlignment="1" applyBorder="1" applyFont="1" applyNumberFormat="1" applyFill="1" applyProtection="1">
      <protection locked="0"/>
    </xf>
    <xf xxid="1647" numFmtId="0" fontId="5" fillId="17" borderId="107" xfId="0" applyAlignment="1" applyBorder="1" applyFont="1" applyNumberFormat="1" applyFill="1" applyProtection="1">
      <alignment horizontal="center" vertical="center" wrapText="1"/>
      <protection locked="0"/>
    </xf>
    <xf xxid="1648" numFmtId="0" fontId="5" fillId="17" borderId="108" xfId="0" applyAlignment="1" applyBorder="1" applyFont="1" applyNumberFormat="1" applyFill="1" applyProtection="1">
      <alignment horizontal="center" vertical="center" wrapText="1"/>
      <protection locked="0"/>
    </xf>
    <xf xxid="1649" numFmtId="0" fontId="5" fillId="17" borderId="56" xfId="5" applyAlignment="1" applyBorder="1" applyFont="1" applyNumberFormat="1" applyFill="1" applyProtection="1">
      <alignment horizontal="center" vertical="center"/>
      <protection locked="0"/>
    </xf>
    <xf xxid="1650" numFmtId="0" fontId="5" fillId="17" borderId="57" xfId="5" applyAlignment="1" applyBorder="1" applyFont="1" applyNumberFormat="1" applyFill="1" applyProtection="1">
      <alignment horizontal="center" vertical="center"/>
      <protection locked="0"/>
    </xf>
    <xf xxid="1651" numFmtId="0" fontId="5" fillId="17" borderId="58" xfId="5" applyAlignment="1" applyBorder="1" applyFont="1" applyNumberFormat="1" applyFill="1" applyProtection="1">
      <alignment horizontal="center" vertical="center"/>
      <protection locked="0"/>
    </xf>
    <xf xxid="1652" numFmtId="169" fontId="2" fillId="0" borderId="24" xfId="1" applyAlignment="1" applyBorder="1" applyFont="1" applyNumberFormat="1" applyFill="1" applyProtection="1">
      <alignment horizontal="center"/>
      <protection hidden="1"/>
    </xf>
    <xf xxid="1653" numFmtId="169" fontId="2" fillId="0" borderId="20" xfId="1" applyAlignment="1" applyBorder="1" applyFont="1" applyNumberFormat="1" applyFill="1" applyProtection="1">
      <alignment horizontal="center"/>
      <protection hidden="1"/>
    </xf>
    <xf xxid="1654" numFmtId="169" fontId="2" fillId="0" borderId="29" xfId="1" applyAlignment="1" applyBorder="1" applyFont="1" applyNumberFormat="1" applyFill="1" applyProtection="1">
      <alignment horizontal="center"/>
      <protection hidden="1"/>
    </xf>
    <xf xxid="1655" numFmtId="173" fontId="2" fillId="5" borderId="7" xfId="5" applyAlignment="1" applyBorder="1" applyFont="1" applyNumberFormat="1" applyFill="1" applyProtection="1">
      <alignment horizontal="center"/>
      <protection locked="0"/>
    </xf>
    <xf xxid="1656" numFmtId="0" fontId="2" fillId="5" borderId="7" xfId="5" applyAlignment="1" applyBorder="1" applyFont="1" applyNumberFormat="1" applyFill="1" applyProtection="1">
      <alignment horizontal="left"/>
      <protection locked="0"/>
    </xf>
    <xf xxid="1657" numFmtId="173" fontId="2" fillId="5" borderId="105" xfId="5" applyAlignment="1" applyBorder="1" applyFont="1" applyNumberFormat="1" applyFill="1" applyProtection="1">
      <alignment horizontal="center"/>
      <protection locked="0"/>
    </xf>
    <xf xxid="1658" numFmtId="173" fontId="0" fillId="0" borderId="34" xfId="0" applyAlignment="1" applyBorder="1" applyFont="1" applyNumberFormat="1" applyFill="1" applyProtection="1">
      <protection locked="0"/>
    </xf>
    <xf xxid="1659" numFmtId="173" fontId="0" fillId="0" borderId="106" xfId="0" applyAlignment="1" applyBorder="1" applyFont="1" applyNumberFormat="1" applyFill="1" applyProtection="1">
      <protection locked="0"/>
    </xf>
    <xf xxid="1660" numFmtId="0" fontId="5" fillId="17" borderId="109" xfId="5" applyAlignment="1" applyBorder="1" applyFont="1" applyNumberFormat="1" applyFill="1" applyProtection="1">
      <alignment horizontal="center" vertical="center"/>
      <protection locked="0"/>
    </xf>
    <xf xxid="1661" numFmtId="0" fontId="5" fillId="17" borderId="110" xfId="5" applyAlignment="1" applyBorder="1" applyFont="1" applyNumberFormat="1" applyFill="1" applyProtection="1">
      <alignment horizontal="center" vertical="center"/>
      <protection locked="0"/>
    </xf>
    <xf xxid="1662" numFmtId="0" fontId="5" fillId="17" borderId="111" xfId="5" applyAlignment="1" applyBorder="1" applyFont="1" applyNumberFormat="1" applyFill="1" applyProtection="1">
      <alignment horizontal="center" vertical="center"/>
      <protection locked="0"/>
    </xf>
    <xf xxid="1663" numFmtId="0" fontId="5" fillId="17" borderId="112" xfId="5" applyAlignment="1" applyBorder="1" applyFont="1" applyNumberFormat="1" applyFill="1" applyProtection="1">
      <alignment horizontal="center" vertical="center"/>
      <protection locked="0"/>
    </xf>
    <xf xxid="1664" numFmtId="0" fontId="5" fillId="17" borderId="0" xfId="5" applyAlignment="1" applyBorder="1" applyFont="1" applyNumberFormat="1" applyFill="1" applyProtection="1">
      <alignment horizontal="left" vertical="center" wrapText="1"/>
    </xf>
    <xf xxid="1665" numFmtId="0" fontId="5" fillId="17" borderId="0" xfId="5" applyAlignment="1" applyBorder="1" applyFont="1" applyNumberFormat="1" applyFill="1" applyProtection="1">
      <alignment horizontal="left" wrapText="1"/>
      <protection locked="0"/>
    </xf>
    <xf xxid="1666" numFmtId="169" fontId="5" fillId="0" borderId="34" xfId="0" applyAlignment="1" applyBorder="1" applyFont="1" applyNumberFormat="1" applyFill="1" applyProtection="1">
      <alignment horizontal="center"/>
      <protection hidden="1"/>
    </xf>
    <xf xxid="1667" numFmtId="169" fontId="5" fillId="0" borderId="106" xfId="0" applyAlignment="1" applyBorder="1" applyFont="1" applyNumberFormat="1" applyFill="1" applyProtection="1">
      <alignment horizontal="center"/>
      <protection hidden="1"/>
    </xf>
    <xf xxid="1668" numFmtId="178" fontId="2" fillId="6" borderId="106" xfId="0" applyAlignment="1" applyBorder="1" applyFont="1" applyNumberFormat="1" applyFill="1" applyProtection="1">
      <alignment horizontal="center"/>
      <protection hidden="1"/>
    </xf>
    <xf xxid="1669" numFmtId="170" fontId="2" fillId="17" borderId="62" xfId="0" applyAlignment="1" applyBorder="1" applyFont="1" applyNumberFormat="1" applyFill="1" applyProtection="1">
      <alignment horizontal="center"/>
      <protection locked="0"/>
    </xf>
    <xf xxid="1670" numFmtId="170" fontId="2" fillId="6" borderId="105" xfId="0" applyAlignment="1" applyBorder="1" applyFont="1" applyNumberFormat="1" applyFill="1" applyProtection="1">
      <alignment horizontal="center"/>
      <protection hidden="1"/>
    </xf>
    <xf xxid="1671" numFmtId="170" fontId="2" fillId="6" borderId="34" xfId="0" applyAlignment="1" applyBorder="1" applyFont="1" applyNumberFormat="1" applyFill="1" applyProtection="1">
      <alignment horizontal="center"/>
      <protection hidden="1"/>
    </xf>
    <xf xxid="1672" numFmtId="170" fontId="2" fillId="6" borderId="106" xfId="0" applyAlignment="1" applyBorder="1" applyFont="1" applyNumberFormat="1" applyFill="1" applyProtection="1">
      <alignment horizontal="center"/>
      <protection hidden="1"/>
    </xf>
    <xf xxid="1673" numFmtId="0" fontId="5" fillId="17" borderId="0" xfId="0" applyAlignment="1" applyBorder="1" applyFont="1" applyNumberFormat="1" applyFill="1" applyProtection="1">
      <alignment horizontal="left" wrapText="1"/>
      <protection locked="0"/>
    </xf>
    <xf xxid="1674" numFmtId="0" fontId="5" fillId="17" borderId="63" xfId="0" applyAlignment="1" applyBorder="1" applyFont="1" applyNumberFormat="1" applyFill="1" applyProtection="1">
      <alignment horizontal="left" wrapText="1"/>
      <protection locked="0"/>
    </xf>
    <xf xxid="1675" numFmtId="0" fontId="5" fillId="17" borderId="0" xfId="0" applyAlignment="1" applyBorder="1" applyFont="1" applyNumberFormat="1" applyFill="1" applyProtection="1">
      <alignment horizontal="left" wrapText="1" shrinkToFit="1"/>
      <protection locked="0"/>
    </xf>
    <xf xxid="1676" numFmtId="0" fontId="5" fillId="17" borderId="63" xfId="0" applyAlignment="1" applyBorder="1" applyFont="1" applyNumberFormat="1" applyFill="1" applyProtection="1">
      <alignment horizontal="left" wrapText="1" shrinkToFit="1"/>
      <protection locked="0"/>
    </xf>
    <xf xxid="1677" numFmtId="0" fontId="5" fillId="17" borderId="0" xfId="0" applyAlignment="1" applyBorder="1" applyFont="1" applyNumberFormat="1" applyFill="1" applyProtection="1">
      <alignment horizontal="left" vertical="center" wrapText="1"/>
      <protection locked="0"/>
    </xf>
    <xf xxid="1678" numFmtId="170" fontId="2" fillId="17" borderId="99" xfId="0" applyAlignment="1" applyBorder="1" applyFont="1" applyNumberFormat="1" applyFill="1" applyProtection="1">
      <alignment horizontal="center" vertical="center" wrapText="1"/>
      <protection locked="0"/>
    </xf>
    <xf xxid="1679" numFmtId="170" fontId="2" fillId="17" borderId="85" xfId="0" applyAlignment="1" applyBorder="1" applyFont="1" applyNumberFormat="1" applyFill="1" applyProtection="1">
      <alignment horizontal="center" vertical="center" wrapText="1"/>
      <protection locked="0"/>
    </xf>
    <xf xxid="1680" numFmtId="49" fontId="2" fillId="5" borderId="105" xfId="0" applyAlignment="1" applyBorder="1" applyFont="1" applyNumberFormat="1" applyFill="1" applyProtection="1">
      <alignment horizontal="center"/>
      <protection locked="0"/>
    </xf>
    <xf xxid="1681" numFmtId="49" fontId="2" fillId="5" borderId="34" xfId="0" applyAlignment="1" applyBorder="1" applyFont="1" applyNumberFormat="1" applyFill="1" applyProtection="1">
      <alignment horizontal="center"/>
      <protection locked="0"/>
    </xf>
    <xf xxid="1682" numFmtId="49" fontId="2" fillId="5" borderId="106" xfId="0" applyAlignment="1" applyBorder="1" applyFont="1" applyNumberFormat="1" applyFill="1" applyProtection="1">
      <alignment horizontal="center"/>
      <protection locked="0"/>
    </xf>
    <xf xxid="1683" numFmtId="49" fontId="2" fillId="5" borderId="105" xfId="0" applyAlignment="1" applyBorder="1" applyFont="1" applyNumberFormat="1" applyFill="1" applyProtection="1">
      <alignment horizontal="center" wrapText="1"/>
      <protection locked="0"/>
    </xf>
    <xf xxid="1684" numFmtId="49" fontId="2" fillId="5" borderId="34" xfId="0" applyAlignment="1" applyBorder="1" applyFont="1" applyNumberFormat="1" applyFill="1" applyProtection="1">
      <alignment horizontal="center" wrapText="1"/>
      <protection locked="0"/>
    </xf>
    <xf xxid="1685" numFmtId="49" fontId="2" fillId="5" borderId="106" xfId="0" applyAlignment="1" applyBorder="1" applyFont="1" applyNumberFormat="1" applyFill="1" applyProtection="1">
      <alignment horizontal="center" wrapText="1"/>
      <protection locked="0"/>
    </xf>
    <xf xxid="1686" numFmtId="0" fontId="17" fillId="0" borderId="0" xfId="5" applyAlignment="1" applyBorder="1" applyFont="1" applyNumberFormat="1" applyFill="1" applyProtection="1">
      <alignment horizontal="left"/>
      <protection locked="0"/>
    </xf>
    <xf xxid="1687" numFmtId="169" fontId="2" fillId="0" borderId="105" xfId="1" applyAlignment="1" applyBorder="1" applyFont="1" applyNumberFormat="1" applyFill="1" applyProtection="1">
      <alignment horizontal="center"/>
      <protection hidden="1"/>
    </xf>
    <xf xxid="1688" numFmtId="169" fontId="2" fillId="0" borderId="34" xfId="1" applyAlignment="1" applyBorder="1" applyFont="1" applyNumberFormat="1" applyFill="1" applyProtection="1">
      <alignment horizontal="center"/>
      <protection hidden="1"/>
    </xf>
    <xf xxid="1689" numFmtId="169" fontId="2" fillId="0" borderId="106" xfId="1" applyAlignment="1" applyBorder="1" applyFont="1" applyNumberFormat="1" applyFill="1" applyProtection="1">
      <alignment horizontal="center"/>
      <protection hidden="1"/>
    </xf>
    <xf xxid="1690" numFmtId="0" fontId="5" fillId="17" borderId="105" xfId="5" applyAlignment="1" applyBorder="1" applyFont="1" applyNumberFormat="1" applyFill="1" applyProtection="1">
      <alignment horizontal="center" vertical="center" wrapText="1"/>
      <protection locked="0"/>
    </xf>
    <xf xxid="1691" numFmtId="0" fontId="5" fillId="17" borderId="34" xfId="5" applyAlignment="1" applyBorder="1" applyFont="1" applyNumberFormat="1" applyFill="1" applyProtection="1">
      <alignment horizontal="center" vertical="center" wrapText="1"/>
      <protection locked="0"/>
    </xf>
    <xf xxid="1692" numFmtId="0" fontId="5" fillId="17" borderId="106" xfId="5" applyAlignment="1" applyBorder="1" applyFont="1" applyNumberFormat="1" applyFill="1" applyProtection="1">
      <alignment horizontal="center" vertical="center" wrapText="1"/>
      <protection locked="0"/>
    </xf>
    <xf xxid="1693" numFmtId="0" fontId="5" fillId="17" borderId="30" xfId="5" applyAlignment="1" applyBorder="1" applyFont="1" applyNumberFormat="1" applyFill="1" applyProtection="1">
      <alignment horizontal="center" vertical="center" wrapText="1"/>
      <protection locked="0"/>
    </xf>
    <xf xxid="1694" numFmtId="169" fontId="5" fillId="6" borderId="105" xfId="5" applyAlignment="1" applyBorder="1" applyFont="1" applyNumberFormat="1" applyFill="1" applyProtection="1">
      <alignment horizontal="center"/>
    </xf>
    <xf xxid="1695" numFmtId="0" fontId="5" fillId="6" borderId="34" xfId="5" applyAlignment="1" applyBorder="1" applyFont="1" applyNumberFormat="1" applyFill="1" applyProtection="1">
      <alignment horizontal="center"/>
    </xf>
    <xf xxid="1696" numFmtId="0" fontId="5" fillId="6" borderId="106" xfId="5" applyAlignment="1" applyBorder="1" applyFont="1" applyNumberFormat="1" applyFill="1" applyProtection="1">
      <alignment horizontal="center"/>
    </xf>
    <xf xxid="1697" numFmtId="173" fontId="2" fillId="5" borderId="105" xfId="0" applyAlignment="1" applyBorder="1" applyFont="1" applyNumberFormat="1" applyFill="1" applyProtection="1">
      <alignment horizontal="center"/>
      <protection locked="0"/>
    </xf>
    <xf xxid="1698" numFmtId="173" fontId="2" fillId="5" borderId="34" xfId="0" applyAlignment="1" applyBorder="1" applyFont="1" applyNumberFormat="1" applyFill="1" applyProtection="1">
      <alignment horizontal="center"/>
      <protection locked="0"/>
    </xf>
    <xf xxid="1699" numFmtId="173" fontId="2" fillId="5" borderId="106" xfId="0" applyAlignment="1" applyBorder="1" applyFont="1" applyNumberFormat="1" applyFill="1" applyProtection="1">
      <alignment horizontal="center"/>
      <protection locked="0"/>
    </xf>
    <xf xxid="1700" numFmtId="0" fontId="5" fillId="17" borderId="63" xfId="0" applyAlignment="1" applyBorder="1" applyFont="1" applyNumberFormat="1" applyFill="1" applyProtection="1">
      <alignment horizontal="left" vertical="center" wrapText="1"/>
      <protection locked="0"/>
    </xf>
    <xf xxid="1701" numFmtId="0" fontId="5" fillId="17" borderId="63" xfId="0" applyAlignment="1" applyBorder="1" applyFont="1" applyNumberFormat="1" applyFill="1" applyProtection="1">
      <alignment horizontal="left" vertical="top" wrapText="1"/>
      <protection locked="0"/>
    </xf>
    <xf xxid="1702" numFmtId="169" fontId="5" fillId="5" borderId="105" xfId="0" applyAlignment="1" applyBorder="1" applyFont="1" applyNumberFormat="1" applyFill="1" applyProtection="1">
      <alignment horizontal="center"/>
      <protection locked="0"/>
    </xf>
    <xf xxid="1703" numFmtId="169" fontId="5" fillId="5" borderId="34" xfId="0" applyAlignment="1" applyBorder="1" applyFont="1" applyNumberFormat="1" applyFill="1" applyProtection="1">
      <alignment horizontal="center"/>
      <protection locked="0"/>
    </xf>
    <xf xxid="1704" numFmtId="169" fontId="5" fillId="5" borderId="106" xfId="0" applyAlignment="1" applyBorder="1" applyFont="1" applyNumberFormat="1" applyFill="1" applyProtection="1">
      <alignment horizontal="center"/>
      <protection locked="0"/>
    </xf>
    <xf xxid="1705" numFmtId="0" fontId="5" fillId="17" borderId="113" xfId="0" applyAlignment="1" applyBorder="1" applyFont="1" applyNumberFormat="1" applyFill="1" applyProtection="1">
      <alignment horizontal="center" vertical="center" wrapText="1"/>
      <protection locked="0"/>
    </xf>
    <xf xxid="1706" numFmtId="0" fontId="5" fillId="17" borderId="29" xfId="0" applyAlignment="1" applyBorder="1" applyFont="1" applyNumberFormat="1" applyFill="1" applyProtection="1">
      <alignment horizontal="center" vertical="center" wrapText="1"/>
      <protection locked="0"/>
    </xf>
    <xf xxid="1707" numFmtId="0" fontId="5" fillId="17" borderId="114" xfId="0" applyAlignment="1" applyBorder="1" applyFont="1" applyNumberFormat="1" applyFill="1" applyProtection="1">
      <alignment horizontal="center" vertical="center" wrapText="1"/>
      <protection locked="0"/>
    </xf>
    <xf xxid="1708" numFmtId="0" fontId="5" fillId="17" borderId="61" xfId="0" applyAlignment="1" applyBorder="1" applyFont="1" applyNumberFormat="1" applyFill="1" applyProtection="1">
      <alignment horizontal="center" vertical="center" wrapText="1"/>
      <protection locked="0"/>
    </xf>
    <xf xxid="1709" numFmtId="0" fontId="5" fillId="17" borderId="32" xfId="0" applyAlignment="1" applyBorder="1" applyFont="1" applyNumberFormat="1" applyFill="1" applyProtection="1">
      <alignment horizontal="center"/>
      <protection hidden="1"/>
    </xf>
    <xf xxid="1710" numFmtId="0" fontId="5" fillId="17" borderId="33" xfId="0" applyAlignment="1" applyBorder="1" applyFont="1" applyNumberFormat="1" applyFill="1" applyProtection="1">
      <alignment horizontal="center"/>
      <protection hidden="1"/>
    </xf>
    <xf xxid="1711" numFmtId="0" fontId="5" fillId="17" borderId="115" xfId="0" applyAlignment="1" applyBorder="1" applyFont="1" applyNumberFormat="1" applyFill="1" applyProtection="1">
      <alignment horizontal="center" vertical="center" wrapText="1"/>
      <protection locked="0"/>
    </xf>
    <xf xxid="1712" numFmtId="0" fontId="5" fillId="17" borderId="103" xfId="0" applyAlignment="1" applyBorder="1" applyFont="1" applyNumberFormat="1" applyFill="1" applyProtection="1">
      <alignment horizontal="center"/>
      <protection locked="0"/>
    </xf>
    <xf xxid="1713" numFmtId="0" fontId="2" fillId="5" borderId="31" xfId="5" applyAlignment="1" applyBorder="1" applyFont="1" applyNumberFormat="1" applyFill="1" applyProtection="1">
      <alignment horizontal="center"/>
      <protection locked="0"/>
    </xf>
    <xf xxid="1714" numFmtId="0" fontId="5" fillId="17" borderId="82" xfId="5" applyAlignment="1" applyBorder="1" applyFont="1" applyNumberFormat="1" applyFill="1" applyProtection="1">
      <alignment horizontal="center" vertical="center"/>
      <protection locked="0"/>
    </xf>
    <xf xxid="1715" numFmtId="0" fontId="5" fillId="17" borderId="116" xfId="5" applyAlignment="1" applyBorder="1" applyFont="1" applyNumberFormat="1" applyFill="1" applyProtection="1">
      <alignment horizontal="center" vertical="center"/>
      <protection locked="0"/>
    </xf>
    <xf xxid="1716" numFmtId="0" fontId="5" fillId="17" borderId="117" xfId="5" applyAlignment="1" applyBorder="1" applyFont="1" applyNumberFormat="1" applyFill="1" applyProtection="1">
      <alignment horizontal="center" vertical="center"/>
      <protection locked="0"/>
    </xf>
    <xf xxid="1717" numFmtId="0" fontId="54" fillId="17" borderId="72" xfId="5" applyAlignment="1" applyBorder="1" applyFont="1" applyNumberFormat="1" applyFill="1" applyProtection="1">
      <alignment horizontal="center" vertical="top" wrapText="1"/>
      <protection locked="0"/>
    </xf>
    <xf xxid="1718" numFmtId="0" fontId="2" fillId="33" borderId="105" xfId="5" applyAlignment="1" applyBorder="1" applyFont="1" applyNumberFormat="1" applyFill="1" applyProtection="1">
      <alignment horizontal="left" vertical="top" wrapText="1"/>
      <protection locked="0"/>
    </xf>
    <xf xxid="1719" numFmtId="0" fontId="2" fillId="33" borderId="34" xfId="5" applyAlignment="1" applyBorder="1" applyFont="1" applyNumberFormat="1" applyFill="1" applyProtection="1">
      <alignment horizontal="left" vertical="top" wrapText="1"/>
      <protection locked="0"/>
    </xf>
    <xf xxid="1720" numFmtId="0" fontId="2" fillId="33" borderId="106" xfId="5" applyAlignment="1" applyBorder="1" applyFont="1" applyNumberFormat="1" applyFill="1" applyProtection="1">
      <alignment horizontal="left" vertical="top" wrapText="1"/>
      <protection locked="0"/>
    </xf>
    <xf xxid="1721" numFmtId="0" fontId="2" fillId="5" borderId="105" xfId="5" applyAlignment="1" applyBorder="1" applyFont="1" applyNumberFormat="1" applyFill="1" applyProtection="1">
      <alignment horizontal="left" vertical="top" wrapText="1"/>
      <protection locked="0"/>
    </xf>
    <xf xxid="1722" numFmtId="0" fontId="2" fillId="5" borderId="34" xfId="5" applyAlignment="1" applyBorder="1" applyFont="1" applyNumberFormat="1" applyFill="1" applyProtection="1">
      <alignment horizontal="left" vertical="top" wrapText="1"/>
      <protection locked="0"/>
    </xf>
    <xf xxid="1723" numFmtId="0" fontId="2" fillId="5" borderId="106" xfId="5" applyAlignment="1" applyBorder="1" applyFont="1" applyNumberFormat="1" applyFill="1" applyProtection="1">
      <alignment horizontal="left" vertical="top" wrapText="1"/>
      <protection locked="0"/>
    </xf>
    <xf xxid="1724" numFmtId="0" fontId="5" fillId="17" borderId="118" xfId="0" applyAlignment="1" applyBorder="1" applyFont="1" applyNumberFormat="1" applyFill="1" applyProtection="1">
      <alignment horizontal="center" vertical="center" wrapText="1"/>
      <protection locked="0"/>
    </xf>
    <xf xxid="1725" numFmtId="0" fontId="5" fillId="17" borderId="119" xfId="0" applyAlignment="1" applyBorder="1" applyFont="1" applyNumberFormat="1" applyFill="1" applyProtection="1">
      <alignment horizontal="center"/>
      <protection locked="0"/>
    </xf>
    <xf xxid="1726" numFmtId="0" fontId="5" fillId="17" borderId="58" xfId="0" applyAlignment="1" applyBorder="1" applyFont="1" applyNumberFormat="1" applyFill="1" applyProtection="1">
      <alignment horizontal="center"/>
      <protection locked="0"/>
    </xf>
    <xf xxid="1727" numFmtId="0" fontId="5" fillId="17" borderId="104" xfId="0" applyAlignment="1" applyBorder="1" applyFont="1" applyNumberFormat="1" applyFill="1" applyProtection="1">
      <alignment horizontal="center"/>
      <protection locked="0"/>
    </xf>
    <xf xxid="1728" numFmtId="0" fontId="5" fillId="17" borderId="59" xfId="5" applyAlignment="1" applyBorder="1" applyFont="1" applyNumberFormat="1" applyFill="1" applyProtection="1">
      <alignment horizontal="center"/>
      <protection locked="0"/>
    </xf>
    <xf xxid="1729" numFmtId="0" fontId="5" fillId="17" borderId="61" xfId="5" applyAlignment="1" applyBorder="1" applyFont="1" applyNumberFormat="1" applyFill="1" applyProtection="1">
      <alignment horizontal="center"/>
      <protection locked="0"/>
    </xf>
    <xf xxid="1730" numFmtId="0" fontId="2" fillId="5" borderId="24" xfId="5" applyAlignment="1" applyBorder="1" applyFont="1" applyNumberFormat="1" applyFill="1" applyProtection="1">
      <alignment horizontal="center"/>
      <protection locked="0"/>
    </xf>
    <xf xxid="1731" numFmtId="0" fontId="2" fillId="5" borderId="20" xfId="5" applyAlignment="1" applyBorder="1" applyFont="1" applyNumberFormat="1" applyFill="1" applyProtection="1">
      <alignment horizontal="center"/>
      <protection locked="0"/>
    </xf>
    <xf xxid="1732" numFmtId="0" fontId="2" fillId="5" borderId="29" xfId="5" applyAlignment="1" applyBorder="1" applyFont="1" applyNumberFormat="1" applyFill="1" applyProtection="1">
      <alignment horizontal="center"/>
      <protection locked="0"/>
    </xf>
    <xf xxid="1733" numFmtId="0" fontId="2" fillId="5" borderId="24" xfId="4" applyAlignment="1" applyBorder="1" applyFont="1" applyNumberFormat="1" applyFill="1" applyProtection="1">
      <alignment horizontal="left"/>
      <protection locked="0"/>
    </xf>
    <xf xxid="1734" numFmtId="0" fontId="2" fillId="5" borderId="20" xfId="4" applyAlignment="1" applyBorder="1" applyFont="1" applyNumberFormat="1" applyFill="1" applyProtection="1">
      <alignment horizontal="left"/>
      <protection locked="0"/>
    </xf>
    <xf xxid="1735" numFmtId="0" fontId="2" fillId="5" borderId="29" xfId="4" applyAlignment="1" applyBorder="1" applyFont="1" applyNumberFormat="1" applyFill="1" applyProtection="1">
      <alignment horizontal="left"/>
      <protection locked="0"/>
    </xf>
    <xf xxid="1736" numFmtId="0" fontId="2" fillId="5" borderId="24" xfId="4" applyAlignment="1" applyBorder="1" applyFont="1" applyNumberFormat="1" applyFill="1" applyProtection="1">
      <alignment horizontal="center"/>
      <protection locked="0"/>
    </xf>
    <xf xxid="1737" numFmtId="0" fontId="2" fillId="5" borderId="29" xfId="4" applyAlignment="1" applyBorder="1" applyFont="1" applyNumberFormat="1" applyFill="1" applyProtection="1">
      <alignment horizontal="center"/>
      <protection locked="0"/>
    </xf>
    <xf xxid="1738" numFmtId="173" fontId="2" fillId="5" borderId="24" xfId="4" applyAlignment="1" applyBorder="1" applyFont="1" applyNumberFormat="1" applyFill="1" applyProtection="1">
      <alignment horizontal="center"/>
      <protection locked="0"/>
    </xf>
    <xf xxid="1739" numFmtId="173" fontId="2" fillId="5" borderId="20" xfId="4" applyAlignment="1" applyBorder="1" applyFont="1" applyNumberFormat="1" applyFill="1" applyProtection="1">
      <alignment horizontal="center"/>
      <protection locked="0"/>
    </xf>
    <xf xxid="1740" numFmtId="173" fontId="2" fillId="5" borderId="29" xfId="4" applyAlignment="1" applyBorder="1" applyFont="1" applyNumberFormat="1" applyFill="1" applyProtection="1">
      <alignment horizontal="center"/>
      <protection locked="0"/>
    </xf>
    <xf xxid="1741" numFmtId="167" fontId="2" fillId="5" borderId="24" xfId="1" applyAlignment="1" applyBorder="1" applyFont="1" applyNumberFormat="1" applyFill="1" applyProtection="1">
      <alignment horizontal="center"/>
      <protection locked="0"/>
    </xf>
    <xf xxid="1742" numFmtId="167" fontId="2" fillId="5" borderId="20" xfId="1" applyAlignment="1" applyBorder="1" applyFont="1" applyNumberFormat="1" applyFill="1" applyProtection="1">
      <alignment horizontal="center"/>
      <protection locked="0"/>
    </xf>
    <xf xxid="1743" numFmtId="167" fontId="2" fillId="5" borderId="29" xfId="1" applyAlignment="1" applyBorder="1" applyFont="1" applyNumberFormat="1" applyFill="1" applyProtection="1">
      <alignment horizontal="center"/>
      <protection locked="0"/>
    </xf>
    <xf xxid="1744" numFmtId="169" fontId="2" fillId="6" borderId="24" xfId="1" applyAlignment="1" applyBorder="1" applyFont="1" applyNumberFormat="1" applyFill="1" applyProtection="1">
      <alignment horizontal="center"/>
      <protection hidden="1"/>
    </xf>
    <xf xxid="1745" numFmtId="169" fontId="2" fillId="6" borderId="20" xfId="1" applyAlignment="1" applyBorder="1" applyFont="1" applyNumberFormat="1" applyFill="1" applyProtection="1">
      <alignment horizontal="center"/>
      <protection hidden="1"/>
    </xf>
    <xf xxid="1746" numFmtId="169" fontId="2" fillId="6" borderId="120" xfId="1" applyAlignment="1" applyBorder="1" applyFont="1" applyNumberFormat="1" applyFill="1" applyProtection="1">
      <alignment horizontal="center"/>
      <protection hidden="1"/>
    </xf>
    <xf xxid="1747" numFmtId="167" fontId="2" fillId="0" borderId="24" xfId="4" applyAlignment="1" applyBorder="1" applyFont="1" applyNumberFormat="1" applyFill="1" applyProtection="1">
      <alignment horizontal="center"/>
      <protection hidden="1"/>
    </xf>
    <xf xxid="1748" numFmtId="0" fontId="2" fillId="0" borderId="20" xfId="4" applyAlignment="1" applyBorder="1" applyFont="1" applyNumberFormat="1" applyFill="1" applyProtection="1">
      <alignment horizontal="center"/>
      <protection hidden="1"/>
    </xf>
    <xf xxid="1749" numFmtId="0" fontId="2" fillId="0" borderId="29" xfId="4" applyAlignment="1" applyBorder="1" applyFont="1" applyNumberFormat="1" applyFill="1" applyProtection="1">
      <alignment horizontal="center"/>
      <protection hidden="1"/>
    </xf>
    <xf xxid="1750" numFmtId="169" fontId="2" fillId="6" borderId="29" xfId="1" applyAlignment="1" applyBorder="1" applyFont="1" applyNumberFormat="1" applyFill="1" applyProtection="1">
      <alignment horizontal="center"/>
      <protection hidden="1"/>
    </xf>
    <xf xxid="1751" numFmtId="169" fontId="2" fillId="0" borderId="120" xfId="1" applyAlignment="1" applyBorder="1" applyFont="1" applyNumberFormat="1" applyFill="1" applyProtection="1">
      <alignment horizontal="center"/>
      <protection hidden="1"/>
    </xf>
    <xf xxid="1752" numFmtId="169" fontId="2" fillId="5" borderId="24" xfId="1" applyAlignment="1" applyBorder="1" applyFont="1" applyNumberFormat="1" applyFill="1" applyProtection="1">
      <alignment horizontal="center"/>
      <protection locked="0"/>
    </xf>
    <xf xxid="1753" numFmtId="169" fontId="2" fillId="5" borderId="20" xfId="1" applyAlignment="1" applyBorder="1" applyFont="1" applyNumberFormat="1" applyFill="1" applyProtection="1">
      <alignment horizontal="center"/>
      <protection locked="0"/>
    </xf>
    <xf xxid="1754" numFmtId="169" fontId="2" fillId="5" borderId="29" xfId="1" applyAlignment="1" applyBorder="1" applyFont="1" applyNumberFormat="1" applyFill="1" applyProtection="1">
      <alignment horizontal="center"/>
      <protection locked="0"/>
    </xf>
    <xf xxid="1755" numFmtId="0" fontId="2" fillId="29" borderId="24" xfId="4" applyAlignment="1" applyBorder="1" applyFont="1" applyNumberFormat="1" applyFill="1" applyProtection="1">
      <protection locked="0"/>
    </xf>
    <xf xxid="1756" numFmtId="0" fontId="0" fillId="29" borderId="29" xfId="0" applyAlignment="1" applyBorder="1" applyFont="1" applyNumberFormat="1" applyFill="1" applyProtection="1"/>
    <xf xxid="1757" numFmtId="169" fontId="2" fillId="11" borderId="20" xfId="4" applyAlignment="1" applyBorder="1" applyFont="1" applyNumberFormat="1" applyFill="1" applyProtection="1">
      <alignment horizontal="right"/>
      <protection hidden="1"/>
    </xf>
    <xf xxid="1758" numFmtId="0" fontId="2" fillId="11" borderId="20" xfId="4" applyAlignment="1" applyBorder="1" applyFont="1" applyNumberFormat="1" applyFill="1" applyProtection="1">
      <alignment horizontal="right"/>
      <protection hidden="1"/>
    </xf>
    <xf xxid="1759" numFmtId="0" fontId="2" fillId="11" borderId="29" xfId="4" applyAlignment="1" applyBorder="1" applyFont="1" applyNumberFormat="1" applyFill="1" applyProtection="1">
      <alignment horizontal="right"/>
      <protection hidden="1"/>
    </xf>
    <xf xxid="1760" numFmtId="169" fontId="2" fillId="11" borderId="24" xfId="11" applyAlignment="1" applyBorder="1" applyFont="1" applyNumberFormat="1" applyFill="1" applyProtection="1">
      <alignment horizontal="center"/>
      <protection hidden="1"/>
    </xf>
    <xf xxid="1761" numFmtId="169" fontId="2" fillId="11" borderId="20" xfId="11" applyAlignment="1" applyBorder="1" applyFont="1" applyNumberFormat="1" applyFill="1" applyProtection="1">
      <alignment horizontal="center"/>
      <protection hidden="1"/>
    </xf>
    <xf xxid="1762" numFmtId="169" fontId="2" fillId="11" borderId="120" xfId="11" applyAlignment="1" applyBorder="1" applyFont="1" applyNumberFormat="1" applyFill="1" applyProtection="1">
      <alignment horizontal="center"/>
      <protection hidden="1"/>
    </xf>
    <xf xxid="1763" numFmtId="169" fontId="2" fillId="11" borderId="105" xfId="4" applyAlignment="1" applyBorder="1" applyFont="1" applyNumberFormat="1" applyFill="1" applyProtection="1">
      <alignment horizontal="right"/>
      <protection hidden="1"/>
    </xf>
    <xf xxid="1764" numFmtId="0" fontId="2" fillId="11" borderId="34" xfId="4" applyAlignment="1" applyBorder="1" applyFont="1" applyNumberFormat="1" applyFill="1" applyProtection="1">
      <alignment horizontal="right"/>
      <protection hidden="1"/>
    </xf>
    <xf xxid="1765" numFmtId="0" fontId="2" fillId="11" borderId="106" xfId="4" applyAlignment="1" applyBorder="1" applyFont="1" applyNumberFormat="1" applyFill="1" applyProtection="1">
      <alignment horizontal="right"/>
      <protection hidden="1"/>
    </xf>
    <xf xxid="1766" numFmtId="169" fontId="2" fillId="0" borderId="105" xfId="4" applyAlignment="1" applyBorder="1" applyFont="1" applyNumberFormat="1" applyFill="1" applyProtection="1">
      <alignment horizontal="center"/>
      <protection hidden="1"/>
    </xf>
    <xf xxid="1767" numFmtId="0" fontId="2" fillId="0" borderId="34" xfId="4" applyAlignment="1" applyBorder="1" applyFont="1" applyNumberFormat="1" applyFill="1" applyProtection="1">
      <alignment horizontal="center"/>
      <protection hidden="1"/>
    </xf>
    <xf xxid="1768" numFmtId="0" fontId="2" fillId="0" borderId="106" xfId="4" applyAlignment="1" applyBorder="1" applyFont="1" applyNumberFormat="1" applyFill="1" applyProtection="1">
      <alignment horizontal="center"/>
      <protection hidden="1"/>
    </xf>
    <xf xxid="1769" numFmtId="0" fontId="5" fillId="24" borderId="84" xfId="4" applyAlignment="1" applyBorder="1" applyFont="1" applyNumberFormat="1" applyFill="1" applyProtection="1">
      <alignment horizontal="center" vertical="center" wrapText="1"/>
      <protection locked="0"/>
    </xf>
    <xf xxid="1770" numFmtId="0" fontId="5" fillId="17" borderId="85" xfId="4" applyAlignment="1" applyBorder="1" applyFont="1" applyNumberFormat="1" applyFill="1" applyProtection="1">
      <alignment horizontal="center" vertical="center" wrapText="1"/>
      <protection locked="0"/>
    </xf>
    <xf xxid="1771" numFmtId="0" fontId="5" fillId="17" borderId="100" xfId="4" applyAlignment="1" applyBorder="1" applyFont="1" applyNumberFormat="1" applyFill="1" applyProtection="1">
      <alignment horizontal="center" vertical="center" wrapText="1"/>
      <protection locked="0"/>
    </xf>
    <xf xxid="1772" numFmtId="0" fontId="0" fillId="0" borderId="121" xfId="0" applyAlignment="1" applyBorder="1" applyFont="1" applyNumberFormat="1" applyFill="1" applyProtection="1">
      <alignment horizontal="center" vertical="center" wrapText="1"/>
    </xf>
    <xf xxid="1773" numFmtId="0" fontId="0" fillId="0" borderId="72" xfId="0" applyAlignment="1" applyBorder="1" applyFont="1" applyNumberFormat="1" applyFill="1" applyProtection="1">
      <alignment horizontal="center" vertical="center" wrapText="1"/>
    </xf>
    <xf xxid="1774" numFmtId="0" fontId="0" fillId="0" borderId="102" xfId="0" applyAlignment="1" applyBorder="1" applyFont="1" applyNumberFormat="1" applyFill="1" applyProtection="1">
      <alignment horizontal="center" vertical="center" wrapText="1"/>
    </xf>
    <xf xxid="1775" numFmtId="0" fontId="5" fillId="17" borderId="86" xfId="4" applyAlignment="1" applyBorder="1" applyFont="1" applyNumberFormat="1" applyFill="1" applyProtection="1">
      <alignment horizontal="center" vertical="center" wrapText="1"/>
      <protection locked="0"/>
    </xf>
    <xf xxid="1776" numFmtId="0" fontId="5" fillId="17" borderId="121" xfId="4" applyAlignment="1" applyBorder="1" applyFont="1" applyNumberFormat="1" applyFill="1" applyProtection="1">
      <alignment horizontal="center" vertical="center" wrapText="1"/>
      <protection locked="0"/>
    </xf>
    <xf xxid="1777" numFmtId="0" fontId="5" fillId="17" borderId="122" xfId="4" applyAlignment="1" applyBorder="1" applyFont="1" applyNumberFormat="1" applyFill="1" applyProtection="1">
      <alignment horizontal="center" vertical="center" wrapText="1"/>
      <protection locked="0"/>
    </xf>
    <xf xxid="1778" numFmtId="0" fontId="0" fillId="0" borderId="122" xfId="0" applyAlignment="1" applyBorder="1" applyFont="1" applyNumberFormat="1" applyFill="1" applyProtection="1">
      <alignment horizontal="center" vertical="center" wrapText="1"/>
    </xf>
    <xf xxid="1779" numFmtId="0" fontId="2" fillId="25" borderId="56" xfId="4" applyAlignment="1" applyBorder="1" applyFont="1" applyNumberFormat="1" applyFill="1" applyProtection="1">
      <alignment horizontal="center"/>
      <protection locked="0"/>
    </xf>
    <xf xxid="1780" numFmtId="0" fontId="2" fillId="17" borderId="58" xfId="4" applyAlignment="1" applyBorder="1" applyFont="1" applyNumberFormat="1" applyFill="1" applyProtection="1">
      <alignment horizontal="center"/>
      <protection locked="0"/>
    </xf>
    <xf xxid="1781" numFmtId="167" fontId="2" fillId="5" borderId="59" xfId="1" applyAlignment="1" applyBorder="1" applyFont="1" applyNumberFormat="1" applyFill="1" applyProtection="1">
      <alignment horizontal="center"/>
      <protection locked="0"/>
    </xf>
    <xf xxid="1782" numFmtId="167" fontId="2" fillId="5" borderId="60" xfId="1" applyAlignment="1" applyBorder="1" applyFont="1" applyNumberFormat="1" applyFill="1" applyProtection="1">
      <alignment horizontal="center"/>
      <protection locked="0"/>
    </xf>
    <xf xxid="1783" numFmtId="167" fontId="2" fillId="5" borderId="61" xfId="1" applyAlignment="1" applyBorder="1" applyFont="1" applyNumberFormat="1" applyFill="1" applyProtection="1">
      <alignment horizontal="center"/>
      <protection locked="0"/>
    </xf>
    <xf xxid="1784" numFmtId="169" fontId="2" fillId="6" borderId="59" xfId="1" applyAlignment="1" applyBorder="1" applyFont="1" applyNumberFormat="1" applyFill="1" applyProtection="1">
      <alignment horizontal="center"/>
      <protection hidden="1"/>
    </xf>
    <xf xxid="1785" numFmtId="169" fontId="2" fillId="6" borderId="60" xfId="1" applyAlignment="1" applyBorder="1" applyFont="1" applyNumberFormat="1" applyFill="1" applyProtection="1">
      <alignment horizontal="center"/>
      <protection hidden="1"/>
    </xf>
    <xf xxid="1786" numFmtId="169" fontId="2" fillId="6" borderId="83" xfId="1" applyAlignment="1" applyBorder="1" applyFont="1" applyNumberFormat="1" applyFill="1" applyProtection="1">
      <alignment horizontal="center"/>
      <protection hidden="1"/>
    </xf>
    <xf xxid="1787" numFmtId="0" fontId="2" fillId="17" borderId="82" xfId="4" applyAlignment="1" applyBorder="1" applyFont="1" applyNumberFormat="1" applyFill="1" applyProtection="1">
      <alignment horizontal="center"/>
      <protection locked="0"/>
    </xf>
    <xf xxid="1788" numFmtId="0" fontId="5" fillId="25" borderId="84" xfId="4" applyAlignment="1" applyBorder="1" applyFont="1" applyNumberFormat="1" applyFill="1" applyProtection="1">
      <alignment horizontal="center" vertical="center" wrapText="1"/>
      <protection locked="0"/>
    </xf>
    <xf xxid="1789" numFmtId="0" fontId="5" fillId="25" borderId="56" xfId="4" applyAlignment="1" applyBorder="1" applyFont="1" applyNumberFormat="1" applyFill="1" applyProtection="1">
      <alignment horizontal="center" vertical="center" wrapText="1"/>
      <protection locked="0"/>
    </xf>
    <xf xxid="1790" numFmtId="0" fontId="5" fillId="17" borderId="57" xfId="4" applyAlignment="1" applyBorder="1" applyFont="1" applyNumberFormat="1" applyFill="1" applyProtection="1">
      <alignment horizontal="center" vertical="center" wrapText="1"/>
      <protection locked="0"/>
    </xf>
    <xf xxid="1791" numFmtId="0" fontId="5" fillId="17" borderId="82" xfId="4" applyAlignment="1" applyBorder="1" applyFont="1" applyNumberFormat="1" applyFill="1" applyProtection="1">
      <alignment horizontal="center" vertical="center" wrapText="1"/>
      <protection locked="0"/>
    </xf>
    <xf xxid="1792" numFmtId="0" fontId="5" fillId="25" borderId="59" xfId="4" applyAlignment="1" applyBorder="1" applyFont="1" applyNumberFormat="1" applyFill="1" applyProtection="1">
      <alignment horizontal="center" vertical="center" wrapText="1"/>
      <protection locked="0"/>
    </xf>
    <xf xxid="1793" numFmtId="0" fontId="5" fillId="17" borderId="60" xfId="4" applyAlignment="1" applyBorder="1" applyFont="1" applyNumberFormat="1" applyFill="1" applyProtection="1">
      <alignment horizontal="center" vertical="center" wrapText="1"/>
      <protection locked="0"/>
    </xf>
    <xf xxid="1794" numFmtId="0" fontId="5" fillId="17" borderId="61" xfId="4" applyAlignment="1" applyBorder="1" applyFont="1" applyNumberFormat="1" applyFill="1" applyProtection="1">
      <alignment horizontal="center" vertical="center" wrapText="1"/>
      <protection locked="0"/>
    </xf>
    <xf xxid="1795" numFmtId="0" fontId="5" fillId="25" borderId="32" xfId="4" applyAlignment="1" applyBorder="1" applyFont="1" applyNumberFormat="1" applyFill="1" applyProtection="1">
      <alignment horizontal="center" vertical="center" wrapText="1"/>
      <protection locked="0"/>
    </xf>
    <xf xxid="1796" numFmtId="0" fontId="5" fillId="17" borderId="32" xfId="4" applyAlignment="1" applyBorder="1" applyFont="1" applyNumberFormat="1" applyFill="1" applyProtection="1">
      <alignment horizontal="center" vertical="center" wrapText="1"/>
      <protection locked="0"/>
    </xf>
    <xf xxid="1797" numFmtId="0" fontId="5" fillId="17" borderId="33" xfId="4" applyAlignment="1" applyBorder="1" applyFont="1" applyNumberFormat="1" applyFill="1" applyProtection="1">
      <alignment horizontal="center" vertical="center" wrapText="1"/>
      <protection locked="0"/>
    </xf>
    <xf xxid="1798" numFmtId="0" fontId="5" fillId="31" borderId="84" xfId="4" applyAlignment="1" applyBorder="1" applyFont="1" applyNumberFormat="1" applyFill="1" applyProtection="1">
      <alignment horizontal="center" vertical="center" wrapText="1"/>
      <protection locked="0"/>
    </xf>
    <xf xxid="1799" numFmtId="0" fontId="5" fillId="31" borderId="85" xfId="4" applyAlignment="1" applyBorder="1" applyFont="1" applyNumberFormat="1" applyFill="1" applyProtection="1">
      <alignment horizontal="center" vertical="center" wrapText="1"/>
      <protection locked="0"/>
    </xf>
    <xf xxid="1800" numFmtId="0" fontId="0" fillId="31" borderId="85" xfId="0" applyAlignment="1" applyBorder="1" applyFont="1" applyNumberFormat="1" applyFill="1" applyProtection="1">
      <alignment horizontal="center" vertical="center" wrapText="1"/>
    </xf>
    <xf xxid="1801" numFmtId="0" fontId="0" fillId="31" borderId="100" xfId="0" applyAlignment="1" applyBorder="1" applyFont="1" applyNumberFormat="1" applyFill="1" applyProtection="1">
      <alignment horizontal="center" vertical="center" wrapText="1"/>
    </xf>
    <xf xxid="1802" numFmtId="0" fontId="5" fillId="31" borderId="121" xfId="4" applyAlignment="1" applyBorder="1" applyFont="1" applyNumberFormat="1" applyFill="1" applyProtection="1">
      <alignment horizontal="center" vertical="center" wrapText="1"/>
      <protection locked="0"/>
    </xf>
    <xf xxid="1803" numFmtId="0" fontId="5" fillId="31" borderId="72" xfId="4" applyAlignment="1" applyBorder="1" applyFont="1" applyNumberFormat="1" applyFill="1" applyProtection="1">
      <alignment horizontal="center" vertical="center" wrapText="1"/>
      <protection locked="0"/>
    </xf>
    <xf xxid="1804" numFmtId="0" fontId="0" fillId="31" borderId="72" xfId="0" applyAlignment="1" applyBorder="1" applyFont="1" applyNumberFormat="1" applyFill="1" applyProtection="1">
      <alignment horizontal="center" vertical="center" wrapText="1"/>
    </xf>
    <xf xxid="1805" numFmtId="0" fontId="0" fillId="31" borderId="102" xfId="0" applyAlignment="1" applyBorder="1" applyFont="1" applyNumberFormat="1" applyFill="1" applyProtection="1">
      <alignment horizontal="center" vertical="center" wrapText="1"/>
    </xf>
    <xf xxid="1806" numFmtId="0" fontId="5" fillId="31" borderId="86" xfId="4" applyAlignment="1" applyBorder="1" applyFont="1" applyNumberFormat="1" applyFill="1" applyProtection="1">
      <alignment horizontal="center" vertical="center" wrapText="1"/>
      <protection locked="0"/>
    </xf>
    <xf xxid="1807" numFmtId="0" fontId="5" fillId="31" borderId="122" xfId="4" applyAlignment="1" applyBorder="1" applyFont="1" applyNumberFormat="1" applyFill="1" applyProtection="1">
      <alignment horizontal="center" vertical="center" wrapText="1"/>
      <protection locked="0"/>
    </xf>
    <xf xxid="1808" numFmtId="0" fontId="0" fillId="31" borderId="86" xfId="0" applyAlignment="1" applyBorder="1" applyFont="1" applyNumberFormat="1" applyFill="1" applyProtection="1">
      <alignment horizontal="center" vertical="center" wrapText="1"/>
    </xf>
    <xf xxid="1809" numFmtId="0" fontId="0" fillId="31" borderId="122" xfId="0" applyAlignment="1" applyBorder="1" applyFont="1" applyNumberFormat="1" applyFill="1" applyProtection="1">
      <alignment horizontal="center" vertical="center" wrapText="1"/>
    </xf>
    <xf xxid="1810" numFmtId="0" fontId="5" fillId="23" borderId="32" xfId="4" applyAlignment="1" applyBorder="1" applyFont="1" applyNumberFormat="1" applyFill="1" applyProtection="1">
      <alignment horizontal="center" vertical="center" wrapText="1"/>
      <protection locked="0"/>
    </xf>
    <xf xxid="1811" numFmtId="0" fontId="5" fillId="23" borderId="84" xfId="4" applyAlignment="1" applyBorder="1" applyFont="1" applyNumberFormat="1" applyFill="1" applyProtection="1">
      <alignment horizontal="center" vertical="center" wrapText="1"/>
      <protection locked="0"/>
    </xf>
    <xf xxid="1812" numFmtId="0" fontId="0" fillId="0" borderId="85" xfId="0" applyAlignment="1" applyBorder="1" applyFont="1" applyNumberFormat="1" applyFill="1" applyProtection="1">
      <alignment horizontal="center" vertical="center" wrapText="1"/>
    </xf>
    <xf xxid="1813" numFmtId="0" fontId="0" fillId="0" borderId="86" xfId="0" applyAlignment="1" applyBorder="1" applyFont="1" applyNumberFormat="1" applyFill="1" applyProtection="1">
      <alignment horizontal="center" vertical="center" wrapText="1"/>
    </xf>
    <xf xxid="1814" numFmtId="0" fontId="5" fillId="17" borderId="72" xfId="4" applyAlignment="1" applyBorder="1" applyFont="1" applyNumberFormat="1" applyFill="1" applyProtection="1">
      <alignment horizontal="center" vertical="center" wrapText="1"/>
      <protection locked="0"/>
    </xf>
    <xf xxid="1815" numFmtId="0" fontId="0" fillId="0" borderId="100" xfId="0" applyAlignment="1" applyBorder="1" applyFont="1" applyNumberFormat="1" applyFill="1" applyProtection="1">
      <alignment horizontal="center" vertical="center" wrapText="1"/>
    </xf>
    <xf xxid="1816" numFmtId="0" fontId="5" fillId="17" borderId="56" xfId="4" applyAlignment="1" applyBorder="1" applyFont="1" applyNumberFormat="1" applyFill="1" applyProtection="1">
      <alignment horizontal="center" vertical="center" wrapText="1"/>
      <protection locked="0"/>
    </xf>
    <xf xxid="1817" numFmtId="0" fontId="5" fillId="17" borderId="58" xfId="4" applyAlignment="1" applyBorder="1" applyFont="1" applyNumberFormat="1" applyFill="1" applyProtection="1">
      <alignment horizontal="center" vertical="center" wrapText="1"/>
      <protection locked="0"/>
    </xf>
    <xf xxid="1818" numFmtId="0" fontId="5" fillId="17" borderId="59" xfId="4" applyAlignment="1" applyBorder="1" applyFont="1" applyNumberFormat="1" applyFill="1" applyProtection="1">
      <alignment horizontal="center" vertical="center" wrapText="1"/>
      <protection locked="0"/>
    </xf>
    <xf xxid="1819" numFmtId="0" fontId="2" fillId="17" borderId="56" xfId="4" applyAlignment="1" applyBorder="1" applyFont="1" applyNumberFormat="1" applyFill="1" applyProtection="1">
      <alignment horizontal="center"/>
      <protection locked="0"/>
    </xf>
    <xf xxid="1820" numFmtId="0" fontId="5" fillId="17" borderId="84" xfId="4" applyAlignment="1" applyBorder="1" applyFont="1" applyNumberFormat="1" applyFill="1" applyProtection="1">
      <alignment horizontal="center" vertical="center" wrapText="1"/>
      <protection hidden="1"/>
    </xf>
    <xf xxid="1821" numFmtId="0" fontId="5" fillId="17" borderId="86" xfId="4" applyAlignment="1" applyBorder="1" applyFont="1" applyNumberFormat="1" applyFill="1" applyProtection="1">
      <alignment horizontal="center" vertical="center" wrapText="1"/>
      <protection hidden="1"/>
    </xf>
    <xf xxid="1822" numFmtId="0" fontId="5" fillId="17" borderId="121" xfId="4" applyAlignment="1" applyBorder="1" applyFont="1" applyNumberFormat="1" applyFill="1" applyProtection="1">
      <alignment horizontal="center" vertical="center" wrapText="1"/>
      <protection hidden="1"/>
    </xf>
    <xf xxid="1823" numFmtId="0" fontId="5" fillId="17" borderId="122" xfId="4" applyAlignment="1" applyBorder="1" applyFont="1" applyNumberFormat="1" applyFill="1" applyProtection="1">
      <alignment horizontal="center" vertical="center" wrapText="1"/>
      <protection hidden="1"/>
    </xf>
    <xf xxid="1824" numFmtId="0" fontId="5" fillId="17" borderId="85" xfId="4" applyAlignment="1" applyBorder="1" applyFont="1" applyNumberFormat="1" applyFill="1" applyProtection="1">
      <alignment horizontal="center" vertical="center" wrapText="1"/>
      <protection hidden="1"/>
    </xf>
    <xf xxid="1825" numFmtId="0" fontId="5" fillId="17" borderId="72" xfId="4" applyAlignment="1" applyBorder="1" applyFont="1" applyNumberFormat="1" applyFill="1" applyProtection="1">
      <alignment horizontal="center" vertical="center" wrapText="1"/>
      <protection hidden="1"/>
    </xf>
    <xf xxid="1826" numFmtId="0" fontId="5" fillId="17" borderId="84" xfId="4" applyAlignment="1" applyBorder="1" applyFont="1" applyNumberFormat="1" applyFill="1" applyProtection="1">
      <alignment horizontal="center" vertical="center" wrapText="1"/>
      <protection locked="0"/>
    </xf>
    <xf xxid="1827" numFmtId="0" fontId="5" fillId="17" borderId="102" xfId="4" applyAlignment="1" applyBorder="1" applyFont="1" applyNumberFormat="1" applyFill="1" applyProtection="1">
      <alignment horizontal="center" vertical="center" wrapText="1"/>
      <protection locked="0"/>
    </xf>
    <xf xxid="1828" numFmtId="169" fontId="5" fillId="0" borderId="105" xfId="4" applyAlignment="1" applyBorder="1" applyFont="1" applyNumberFormat="1" applyFill="1" applyProtection="1">
      <alignment horizontal="center"/>
      <protection hidden="1"/>
    </xf>
    <xf xxid="1829" numFmtId="169" fontId="5" fillId="0" borderId="34" xfId="4" applyAlignment="1" applyBorder="1" applyFont="1" applyNumberFormat="1" applyFill="1" applyProtection="1">
      <alignment horizontal="center"/>
      <protection hidden="1"/>
    </xf>
    <xf xxid="1830" numFmtId="169" fontId="5" fillId="0" borderId="106" xfId="4" applyAlignment="1" applyBorder="1" applyFont="1" applyNumberFormat="1" applyFill="1" applyProtection="1">
      <alignment horizontal="center"/>
      <protection hidden="1"/>
    </xf>
    <xf xxid="1831" numFmtId="169" fontId="5" fillId="0" borderId="59" xfId="4" applyAlignment="1" applyBorder="1" applyFont="1" applyNumberFormat="1" applyFill="1" applyProtection="1">
      <alignment horizontal="center"/>
      <protection hidden="1"/>
    </xf>
    <xf xxid="1832" numFmtId="169" fontId="5" fillId="0" borderId="60" xfId="4" applyAlignment="1" applyBorder="1" applyFont="1" applyNumberFormat="1" applyFill="1" applyProtection="1">
      <alignment horizontal="center"/>
      <protection hidden="1"/>
    </xf>
    <xf xxid="1833" numFmtId="169" fontId="5" fillId="0" borderId="61" xfId="4" applyAlignment="1" applyBorder="1" applyFont="1" applyNumberFormat="1" applyFill="1" applyProtection="1">
      <alignment horizontal="center"/>
      <protection hidden="1"/>
    </xf>
    <xf xxid="1834" numFmtId="169" fontId="5" fillId="0" borderId="59" xfId="1" applyAlignment="1" applyBorder="1" applyFont="1" applyNumberFormat="1" applyFill="1" applyProtection="1">
      <alignment horizontal="center"/>
      <protection hidden="1"/>
    </xf>
    <xf xxid="1835" numFmtId="169" fontId="5" fillId="0" borderId="60" xfId="1" applyAlignment="1" applyBorder="1" applyFont="1" applyNumberFormat="1" applyFill="1" applyProtection="1">
      <alignment horizontal="center"/>
      <protection hidden="1"/>
    </xf>
    <xf xxid="1836" numFmtId="169" fontId="5" fillId="0" borderId="83" xfId="1" applyAlignment="1" applyBorder="1" applyFont="1" applyNumberFormat="1" applyFill="1" applyProtection="1">
      <alignment horizontal="center"/>
      <protection hidden="1"/>
    </xf>
    <xf xxid="1837" numFmtId="169" fontId="5" fillId="0" borderId="24" xfId="4" applyAlignment="1" applyBorder="1" applyFont="1" applyNumberFormat="1" applyFill="1" applyProtection="1">
      <alignment horizontal="center"/>
      <protection hidden="1"/>
    </xf>
    <xf xxid="1838" numFmtId="169" fontId="5" fillId="0" borderId="20" xfId="4" applyAlignment="1" applyBorder="1" applyFont="1" applyNumberFormat="1" applyFill="1" applyProtection="1">
      <alignment horizontal="center"/>
      <protection hidden="1"/>
    </xf>
    <xf xxid="1839" numFmtId="169" fontId="5" fillId="0" borderId="29" xfId="4" applyAlignment="1" applyBorder="1" applyFont="1" applyNumberFormat="1" applyFill="1" applyProtection="1">
      <alignment horizontal="center"/>
      <protection hidden="1"/>
    </xf>
    <xf xxid="1840" numFmtId="169" fontId="5" fillId="0" borderId="24" xfId="1" applyAlignment="1" applyBorder="1" applyFont="1" applyNumberFormat="1" applyFill="1" applyProtection="1">
      <alignment horizontal="center"/>
      <protection hidden="1"/>
    </xf>
    <xf xxid="1841" numFmtId="169" fontId="5" fillId="0" borderId="20" xfId="1" applyAlignment="1" applyBorder="1" applyFont="1" applyNumberFormat="1" applyFill="1" applyProtection="1">
      <alignment horizontal="center"/>
      <protection hidden="1"/>
    </xf>
    <xf xxid="1842" numFmtId="169" fontId="5" fillId="0" borderId="120" xfId="1" applyAlignment="1" applyBorder="1" applyFont="1" applyNumberFormat="1" applyFill="1" applyProtection="1">
      <alignment horizontal="center"/>
      <protection hidden="1"/>
    </xf>
    <xf xxid="1843" numFmtId="0" fontId="5" fillId="17" borderId="56" xfId="4" applyAlignment="1" applyBorder="1" applyFont="1" applyNumberFormat="1" applyFill="1" applyProtection="1">
      <alignment horizontal="center"/>
      <protection hidden="1"/>
    </xf>
    <xf xxid="1844" numFmtId="0" fontId="5" fillId="17" borderId="57" xfId="4" applyAlignment="1" applyBorder="1" applyFont="1" applyNumberFormat="1" applyFill="1" applyProtection="1">
      <alignment horizontal="center"/>
      <protection hidden="1"/>
    </xf>
    <xf xxid="1845" numFmtId="0" fontId="5" fillId="17" borderId="82" xfId="4" applyAlignment="1" applyBorder="1" applyFont="1" applyNumberFormat="1" applyFill="1" applyProtection="1">
      <alignment horizontal="center"/>
      <protection hidden="1"/>
    </xf>
    <xf xxid="1846" numFmtId="0" fontId="5" fillId="17" borderId="32" xfId="4" applyAlignment="1" applyBorder="1" applyFont="1" applyNumberFormat="1" applyFill="1" applyProtection="1">
      <alignment horizontal="center" vertical="center" wrapText="1"/>
      <protection hidden="1"/>
    </xf>
    <xf xxid="1847" numFmtId="0" fontId="5" fillId="17" borderId="33" xfId="4" applyAlignment="1" applyBorder="1" applyFont="1" applyNumberFormat="1" applyFill="1" applyProtection="1">
      <alignment horizontal="center" vertical="center" wrapText="1"/>
      <protection hidden="1"/>
    </xf>
    <xf xxid="1848" numFmtId="0" fontId="5" fillId="17" borderId="59" xfId="4" applyAlignment="1" applyBorder="1" applyFont="1" applyNumberFormat="1" applyFill="1" applyProtection="1">
      <alignment horizontal="center" vertical="center" wrapText="1"/>
      <protection hidden="1"/>
    </xf>
    <xf xxid="1849" numFmtId="0" fontId="5" fillId="17" borderId="103" xfId="4" applyAlignment="1" applyBorder="1" applyFont="1" applyNumberFormat="1" applyFill="1" applyProtection="1">
      <alignment horizontal="center"/>
      <protection hidden="1"/>
    </xf>
    <xf xxid="1850" numFmtId="169" fontId="2" fillId="11" borderId="18" xfId="4" applyAlignment="1" applyBorder="1" applyFont="1" applyNumberFormat="1" applyFill="1" applyProtection="1">
      <alignment horizontal="center"/>
      <protection hidden="1"/>
    </xf>
    <xf xxid="1851" numFmtId="169" fontId="2" fillId="11" borderId="8" xfId="4" applyAlignment="1" applyBorder="1" applyFont="1" applyNumberFormat="1" applyFill="1" applyProtection="1">
      <alignment horizontal="center"/>
      <protection hidden="1"/>
    </xf>
    <xf xxid="1852" numFmtId="169" fontId="2" fillId="11" borderId="19" xfId="4" applyAlignment="1" applyBorder="1" applyFont="1" applyNumberFormat="1" applyFill="1" applyProtection="1">
      <alignment horizontal="center"/>
      <protection hidden="1"/>
    </xf>
    <xf xxid="1853" numFmtId="169" fontId="2" fillId="0" borderId="10" xfId="4" applyAlignment="1" applyBorder="1" applyFont="1" applyNumberFormat="1" applyFill="1" applyProtection="1">
      <alignment horizontal="center"/>
      <protection hidden="1"/>
    </xf>
    <xf xxid="1854" numFmtId="169" fontId="2" fillId="0" borderId="0" xfId="4" applyAlignment="1" applyBorder="1" applyFont="1" applyNumberFormat="1" applyFill="1" applyProtection="1">
      <alignment horizontal="center"/>
      <protection hidden="1"/>
    </xf>
    <xf xxid="1855" numFmtId="169" fontId="2" fillId="0" borderId="12" xfId="4" applyAlignment="1" applyBorder="1" applyFont="1" applyNumberFormat="1" applyFill="1" applyProtection="1">
      <alignment horizontal="center"/>
      <protection hidden="1"/>
    </xf>
    <xf xxid="1856" numFmtId="169" fontId="2" fillId="0" borderId="22" xfId="4" applyAlignment="1" applyBorder="1" applyFont="1" applyNumberFormat="1" applyFill="1" applyProtection="1">
      <alignment horizontal="center"/>
      <protection hidden="1"/>
    </xf>
    <xf xxid="1857" numFmtId="169" fontId="2" fillId="0" borderId="9" xfId="4" applyAlignment="1" applyBorder="1" applyFont="1" applyNumberFormat="1" applyFill="1" applyProtection="1">
      <alignment horizontal="center"/>
      <protection hidden="1"/>
    </xf>
    <xf xxid="1858" numFmtId="169" fontId="2" fillId="0" borderId="21" xfId="4" applyAlignment="1" applyBorder="1" applyFont="1" applyNumberFormat="1" applyFill="1" applyProtection="1">
      <alignment horizontal="center"/>
      <protection hidden="1"/>
    </xf>
    <xf xxid="1859" numFmtId="0" fontId="5" fillId="24" borderId="24" xfId="4" applyAlignment="1" applyBorder="1" applyFont="1" applyNumberFormat="1" applyFill="1" applyProtection="1">
      <alignment horizontal="left"/>
      <protection hidden="1"/>
    </xf>
    <xf xxid="1860" numFmtId="0" fontId="5" fillId="17" borderId="20" xfId="4" applyAlignment="1" applyBorder="1" applyFont="1" applyNumberFormat="1" applyFill="1" applyProtection="1">
      <alignment horizontal="left"/>
      <protection hidden="1"/>
    </xf>
    <xf xxid="1861" numFmtId="0" fontId="5" fillId="17" borderId="29" xfId="4" applyAlignment="1" applyBorder="1" applyFont="1" applyNumberFormat="1" applyFill="1" applyProtection="1">
      <alignment horizontal="left"/>
      <protection hidden="1"/>
    </xf>
    <xf xxid="1862" numFmtId="0" fontId="5" fillId="23" borderId="113" xfId="4" applyAlignment="1" applyBorder="1" applyFont="1" applyNumberFormat="1" applyFill="1" applyProtection="1">
      <alignment horizontal="left"/>
      <protection hidden="1"/>
    </xf>
    <xf xxid="1863" numFmtId="167" fontId="2" fillId="17" borderId="105" xfId="1" applyAlignment="1" applyBorder="1" applyFont="1" applyNumberFormat="1" applyFill="1" applyProtection="1">
      <alignment horizontal="center"/>
      <protection hidden="1"/>
    </xf>
    <xf xxid="1864" numFmtId="167" fontId="2" fillId="17" borderId="34" xfId="1" applyAlignment="1" applyBorder="1" applyFont="1" applyNumberFormat="1" applyFill="1" applyProtection="1">
      <alignment horizontal="center"/>
      <protection hidden="1"/>
    </xf>
    <xf xxid="1865" numFmtId="167" fontId="2" fillId="17" borderId="106" xfId="1" applyAlignment="1" applyBorder="1" applyFont="1" applyNumberFormat="1" applyFill="1" applyProtection="1">
      <alignment horizontal="center"/>
      <protection hidden="1"/>
    </xf>
    <xf xxid="1866" numFmtId="167" fontId="2" fillId="0" borderId="105" xfId="1" applyAlignment="1" applyBorder="1" applyFont="1" applyNumberFormat="1" applyFill="1" applyProtection="1">
      <alignment horizontal="center"/>
      <protection hidden="1"/>
    </xf>
    <xf xxid="1867" numFmtId="167" fontId="2" fillId="0" borderId="34" xfId="1" applyAlignment="1" applyBorder="1" applyFont="1" applyNumberFormat="1" applyFill="1" applyProtection="1">
      <alignment horizontal="center"/>
      <protection hidden="1"/>
    </xf>
    <xf xxid="1868" numFmtId="167" fontId="2" fillId="0" borderId="106" xfId="1" applyAlignment="1" applyBorder="1" applyFont="1" applyNumberFormat="1" applyFill="1" applyProtection="1">
      <alignment horizontal="center"/>
      <protection hidden="1"/>
    </xf>
    <xf xxid="1869" numFmtId="0" fontId="5" fillId="24" borderId="113" xfId="4" applyAlignment="1" applyBorder="1" applyFont="1" applyNumberFormat="1" applyFill="1" applyProtection="1">
      <alignment horizontal="left"/>
      <protection hidden="1"/>
    </xf>
    <xf xxid="1870" numFmtId="0" fontId="2" fillId="0" borderId="99" xfId="4" applyAlignment="1" applyBorder="1" applyFont="1" applyNumberFormat="1" applyFill="1" applyProtection="1">
      <alignment horizontal="center" vertical="center"/>
      <protection hidden="1"/>
    </xf>
    <xf xxid="1871" numFmtId="0" fontId="2" fillId="0" borderId="85" xfId="4" applyAlignment="1" applyBorder="1" applyFont="1" applyNumberFormat="1" applyFill="1" applyProtection="1">
      <alignment horizontal="center" vertical="center"/>
      <protection hidden="1"/>
    </xf>
    <xf xxid="1872" numFmtId="0" fontId="2" fillId="0" borderId="86" xfId="4" applyAlignment="1" applyBorder="1" applyFont="1" applyNumberFormat="1" applyFill="1" applyProtection="1">
      <alignment horizontal="center" vertical="center"/>
      <protection hidden="1"/>
    </xf>
    <xf xxid="1873" numFmtId="0" fontId="2" fillId="0" borderId="62" xfId="4" applyAlignment="1" applyBorder="1" applyFont="1" applyNumberFormat="1" applyFill="1" applyProtection="1">
      <alignment horizontal="center" vertical="center"/>
      <protection hidden="1"/>
    </xf>
    <xf xxid="1874" numFmtId="0" fontId="2" fillId="0" borderId="0" xfId="4" applyAlignment="1" applyBorder="1" applyFont="1" applyNumberFormat="1" applyFill="1" applyProtection="1">
      <alignment horizontal="center" vertical="center"/>
      <protection hidden="1"/>
    </xf>
    <xf xxid="1875" numFmtId="0" fontId="2" fillId="0" borderId="12" xfId="4" applyAlignment="1" applyBorder="1" applyFont="1" applyNumberFormat="1" applyFill="1" applyProtection="1">
      <alignment horizontal="center" vertical="center"/>
      <protection hidden="1"/>
    </xf>
    <xf xxid="1876" numFmtId="0" fontId="2" fillId="0" borderId="123" xfId="4" applyAlignment="1" applyBorder="1" applyFont="1" applyNumberFormat="1" applyFill="1" applyProtection="1">
      <alignment horizontal="center" vertical="center"/>
      <protection hidden="1"/>
    </xf>
    <xf xxid="1877" numFmtId="0" fontId="2" fillId="0" borderId="8" xfId="4" applyAlignment="1" applyBorder="1" applyFont="1" applyNumberFormat="1" applyFill="1" applyProtection="1">
      <alignment horizontal="center" vertical="center"/>
      <protection hidden="1"/>
    </xf>
    <xf xxid="1878" numFmtId="0" fontId="2" fillId="0" borderId="19" xfId="4" applyAlignment="1" applyBorder="1" applyFont="1" applyNumberFormat="1" applyFill="1" applyProtection="1">
      <alignment horizontal="center" vertical="center"/>
      <protection hidden="1"/>
    </xf>
    <xf xxid="1879" numFmtId="0" fontId="2" fillId="0" borderId="124" xfId="4" applyAlignment="1" applyBorder="1" applyFont="1" applyNumberFormat="1" applyFill="1" applyProtection="1">
      <alignment horizontal="center" vertical="center"/>
      <protection hidden="1"/>
    </xf>
    <xf xxid="1880" numFmtId="0" fontId="2" fillId="0" borderId="9" xfId="4" applyAlignment="1" applyBorder="1" applyFont="1" applyNumberFormat="1" applyFill="1" applyProtection="1">
      <alignment horizontal="center" vertical="center"/>
      <protection hidden="1"/>
    </xf>
    <xf xxid="1881" numFmtId="0" fontId="2" fillId="0" borderId="21" xfId="4" applyAlignment="1" applyBorder="1" applyFont="1" applyNumberFormat="1" applyFill="1" applyProtection="1">
      <alignment horizontal="center" vertical="center"/>
      <protection hidden="1"/>
    </xf>
    <xf xxid="1882" numFmtId="0" fontId="5" fillId="17" borderId="113" xfId="4" applyAlignment="1" applyBorder="1" applyFont="1" applyNumberFormat="1" applyFill="1" applyProtection="1">
      <alignment horizontal="left"/>
      <protection hidden="1"/>
    </xf>
    <xf xxid="1883" numFmtId="0" fontId="5" fillId="25" borderId="113" xfId="4" applyAlignment="1" applyBorder="1" applyFont="1" applyNumberFormat="1" applyFill="1" applyProtection="1">
      <alignment horizontal="left"/>
      <protection hidden="1"/>
    </xf>
    <xf xxid="1884" numFmtId="0" fontId="5" fillId="24" borderId="56" xfId="4" applyAlignment="1" applyBorder="1" applyFont="1" applyNumberFormat="1" applyFill="1" applyProtection="1">
      <alignment horizontal="center" vertical="center" wrapText="1"/>
      <protection locked="0"/>
    </xf>
    <xf xxid="1885" numFmtId="0" fontId="5" fillId="23" borderId="56" xfId="4" applyAlignment="1" applyBorder="1" applyFont="1" applyNumberFormat="1" applyFill="1" applyProtection="1">
      <alignment horizontal="center" vertical="center" wrapText="1"/>
      <protection locked="0"/>
    </xf>
    <xf xxid="1886" numFmtId="0" fontId="5" fillId="17" borderId="103" xfId="4" applyAlignment="1" applyBorder="1" applyFont="1" applyNumberFormat="1" applyFill="1" applyProtection="1">
      <alignment horizontal="center" vertical="center"/>
      <protection hidden="1"/>
    </xf>
    <xf xxid="1887" numFmtId="0" fontId="5" fillId="17" borderId="32" xfId="4" applyAlignment="1" applyBorder="1" applyFont="1" applyNumberFormat="1" applyFill="1" applyProtection="1">
      <alignment horizontal="center" vertical="center"/>
      <protection hidden="1"/>
    </xf>
    <xf xxid="1888" numFmtId="0" fontId="2" fillId="17" borderId="10" xfId="4" applyAlignment="1" applyBorder="1" applyFont="1" applyNumberFormat="1" applyFill="1" applyProtection="1">
      <alignment horizontal="left"/>
      <protection hidden="1"/>
    </xf>
    <xf xxid="1889" numFmtId="0" fontId="2" fillId="17" borderId="0" xfId="4" applyAlignment="1" applyBorder="1" applyFont="1" applyNumberFormat="1" applyFill="1" applyProtection="1">
      <alignment horizontal="left"/>
      <protection hidden="1"/>
    </xf>
    <xf xxid="1890" numFmtId="0" fontId="2" fillId="17" borderId="12" xfId="4" applyAlignment="1" applyBorder="1" applyFont="1" applyNumberFormat="1" applyFill="1" applyProtection="1">
      <alignment horizontal="left"/>
      <protection hidden="1"/>
    </xf>
    <xf xxid="1891" numFmtId="169" fontId="2" fillId="11" borderId="10" xfId="4" applyAlignment="1" applyBorder="1" applyFont="1" applyNumberFormat="1" applyFill="1" applyProtection="1">
      <alignment horizontal="center"/>
      <protection hidden="1"/>
    </xf>
    <xf xxid="1892" numFmtId="169" fontId="2" fillId="11" borderId="0" xfId="4" applyAlignment="1" applyBorder="1" applyFont="1" applyNumberFormat="1" applyFill="1" applyProtection="1">
      <alignment horizontal="center"/>
      <protection hidden="1"/>
    </xf>
    <xf xxid="1893" numFmtId="169" fontId="2" fillId="11" borderId="12" xfId="4" applyAlignment="1" applyBorder="1" applyFont="1" applyNumberFormat="1" applyFill="1" applyProtection="1">
      <alignment horizontal="center"/>
      <protection hidden="1"/>
    </xf>
    <xf xxid="1894" numFmtId="0" fontId="2" fillId="23" borderId="72" xfId="4" applyAlignment="1" applyBorder="1" applyFont="1" applyNumberFormat="1" applyFill="1" applyProtection="1">
      <alignment horizontal="center"/>
      <protection locked="0"/>
    </xf>
    <xf xxid="1895" numFmtId="0" fontId="2" fillId="17" borderId="72" xfId="4" applyAlignment="1" applyBorder="1" applyFont="1" applyNumberFormat="1" applyFill="1" applyProtection="1">
      <alignment horizontal="center"/>
      <protection locked="0"/>
    </xf>
    <xf xxid="1896" numFmtId="0" fontId="5" fillId="17" borderId="38" xfId="4" applyAlignment="1" applyBorder="1" applyFont="1" applyNumberFormat="1" applyFill="1" applyProtection="1">
      <alignment horizontal="center" vertical="center"/>
      <protection hidden="1"/>
    </xf>
    <xf xxid="1897" numFmtId="0" fontId="5" fillId="17" borderId="39" xfId="4" applyAlignment="1" applyBorder="1" applyFont="1" applyNumberFormat="1" applyFill="1" applyProtection="1">
      <alignment horizontal="center" vertical="center"/>
      <protection hidden="1"/>
    </xf>
    <xf xxid="1898" numFmtId="0" fontId="2" fillId="24" borderId="10" xfId="4" applyAlignment="1" applyBorder="1" applyFont="1" applyNumberFormat="1" applyFill="1" applyProtection="1">
      <alignment horizontal="left"/>
      <protection hidden="1"/>
    </xf>
    <xf xxid="1899" numFmtId="0" fontId="2" fillId="24" borderId="18" xfId="4" applyAlignment="1" applyBorder="1" applyFont="1" applyNumberFormat="1" applyFill="1" applyProtection="1">
      <alignment horizontal="left"/>
      <protection hidden="1"/>
    </xf>
    <xf xxid="1900" numFmtId="0" fontId="2" fillId="17" borderId="8" xfId="4" applyAlignment="1" applyBorder="1" applyFont="1" applyNumberFormat="1" applyFill="1" applyProtection="1">
      <alignment horizontal="left"/>
      <protection hidden="1"/>
    </xf>
    <xf xxid="1901" numFmtId="0" fontId="2" fillId="17" borderId="19" xfId="4" applyAlignment="1" applyBorder="1" applyFont="1" applyNumberFormat="1" applyFill="1" applyProtection="1">
      <alignment horizontal="left"/>
      <protection hidden="1"/>
    </xf>
    <xf xxid="1902" numFmtId="0" fontId="2" fillId="25" borderId="10" xfId="4" applyAlignment="1" applyBorder="1" applyFont="1" applyNumberFormat="1" applyFill="1" applyProtection="1">
      <alignment horizontal="left"/>
      <protection hidden="1"/>
    </xf>
    <xf xxid="1903" numFmtId="0" fontId="5" fillId="25" borderId="24" xfId="4" applyAlignment="1" applyBorder="1" applyFont="1" applyNumberFormat="1" applyFill="1" applyProtection="1">
      <alignment horizontal="left"/>
      <protection hidden="1"/>
    </xf>
    <xf xxid="1904" numFmtId="0" fontId="5" fillId="17" borderId="24" xfId="4" applyAlignment="1" applyBorder="1" applyFont="1" applyNumberFormat="1" applyFill="1" applyProtection="1">
      <alignment horizontal="left"/>
      <protection hidden="1"/>
    </xf>
    <xf xxid="1905" numFmtId="0" fontId="2" fillId="23" borderId="10" xfId="4" applyAlignment="1" applyBorder="1" applyFont="1" applyNumberFormat="1" applyFill="1" applyProtection="1">
      <alignment horizontal="left"/>
      <protection hidden="1"/>
    </xf>
    <xf xxid="1906" numFmtId="0" fontId="5" fillId="23" borderId="24" xfId="4" applyAlignment="1" applyBorder="1" applyFont="1" applyNumberFormat="1" applyFill="1" applyProtection="1">
      <alignment horizontal="left"/>
      <protection hidden="1"/>
    </xf>
    <xf xxid="1907" numFmtId="167" fontId="2" fillId="5" borderId="125" xfId="1" applyAlignment="1" applyBorder="1" applyFont="1" applyNumberFormat="1" applyFill="1" applyProtection="1">
      <alignment horizontal="center"/>
      <protection locked="0"/>
    </xf>
    <xf xxid="1908" numFmtId="167" fontId="2" fillId="5" borderId="115" xfId="1" applyAlignment="1" applyBorder="1" applyFont="1" applyNumberFormat="1" applyFill="1" applyProtection="1">
      <alignment horizontal="center"/>
      <protection locked="0"/>
    </xf>
    <xf xxid="1909" numFmtId="169" fontId="2" fillId="0" borderId="115" xfId="1" applyAlignment="1" applyBorder="1" applyFont="1" applyNumberFormat="1" applyFill="1" applyProtection="1">
      <alignment horizontal="center"/>
      <protection hidden="1"/>
    </xf>
    <xf xxid="1910" numFmtId="169" fontId="2" fillId="0" borderId="118" xfId="1" applyAlignment="1" applyBorder="1" applyFont="1" applyNumberFormat="1" applyFill="1" applyProtection="1">
      <alignment horizontal="center"/>
      <protection hidden="1"/>
    </xf>
    <xf xxid="1911" numFmtId="167" fontId="2" fillId="6" borderId="114" xfId="1" applyAlignment="1" applyBorder="1" applyFont="1" applyNumberFormat="1" applyFill="1" applyProtection="1">
      <alignment horizontal="center"/>
      <protection hidden="1"/>
    </xf>
    <xf xxid="1912" numFmtId="167" fontId="2" fillId="6" borderId="60" xfId="1" applyAlignment="1" applyBorder="1" applyFont="1" applyNumberFormat="1" applyFill="1" applyProtection="1">
      <alignment horizontal="center"/>
      <protection hidden="1"/>
    </xf>
    <xf xxid="1913" numFmtId="167" fontId="2" fillId="6" borderId="61" xfId="1" applyAlignment="1" applyBorder="1" applyFont="1" applyNumberFormat="1" applyFill="1" applyProtection="1">
      <alignment horizontal="center"/>
      <protection hidden="1"/>
    </xf>
    <xf xxid="1914" numFmtId="167" fontId="2" fillId="5" borderId="108" xfId="1" applyAlignment="1" applyBorder="1" applyFont="1" applyNumberFormat="1" applyFill="1" applyProtection="1">
      <alignment horizontal="center"/>
      <protection locked="0"/>
    </xf>
    <xf xxid="1915" numFmtId="167" fontId="2" fillId="5" borderId="34" xfId="1" applyAlignment="1" applyBorder="1" applyFont="1" applyNumberFormat="1" applyFill="1" applyProtection="1">
      <alignment horizontal="center"/>
      <protection locked="0"/>
    </xf>
    <xf xxid="1916" numFmtId="167" fontId="2" fillId="5" borderId="107" xfId="1" applyAlignment="1" applyBorder="1" applyFont="1" applyNumberFormat="1" applyFill="1" applyProtection="1">
      <alignment horizontal="center"/>
      <protection locked="0"/>
    </xf>
    <xf xxid="1917" numFmtId="167" fontId="2" fillId="0" borderId="108" xfId="4" applyAlignment="1" applyBorder="1" applyFont="1" applyNumberFormat="1" applyFill="1" applyProtection="1">
      <alignment horizontal="center"/>
      <protection hidden="1"/>
    </xf>
    <xf xxid="1918" numFmtId="169" fontId="2" fillId="6" borderId="105" xfId="1" applyAlignment="1" applyBorder="1" applyFont="1" applyNumberFormat="1" applyFill="1" applyProtection="1">
      <alignment horizontal="center"/>
      <protection hidden="1"/>
    </xf>
    <xf xxid="1919" numFmtId="169" fontId="2" fillId="6" borderId="34" xfId="1" applyAlignment="1" applyBorder="1" applyFont="1" applyNumberFormat="1" applyFill="1" applyProtection="1">
      <alignment horizontal="center"/>
      <protection hidden="1"/>
    </xf>
    <xf xxid="1920" numFmtId="169" fontId="2" fillId="6" borderId="106" xfId="1" applyAlignment="1" applyBorder="1" applyFont="1" applyNumberFormat="1" applyFill="1" applyProtection="1">
      <alignment horizontal="center"/>
      <protection hidden="1"/>
    </xf>
    <xf xxid="1921" numFmtId="169" fontId="2" fillId="0" borderId="84" xfId="4" applyAlignment="1" applyBorder="1" applyFont="1" applyNumberFormat="1" applyFill="1" applyProtection="1">
      <alignment horizontal="center"/>
      <protection hidden="1"/>
    </xf>
    <xf xxid="1922" numFmtId="169" fontId="2" fillId="0" borderId="85" xfId="4" applyAlignment="1" applyBorder="1" applyFont="1" applyNumberFormat="1" applyFill="1" applyProtection="1">
      <alignment horizontal="center"/>
      <protection hidden="1"/>
    </xf>
    <xf xxid="1923" numFmtId="169" fontId="2" fillId="0" borderId="86" xfId="4" applyAlignment="1" applyBorder="1" applyFont="1" applyNumberFormat="1" applyFill="1" applyProtection="1">
      <alignment horizontal="center"/>
      <protection hidden="1"/>
    </xf>
    <xf xxid="1924" numFmtId="0" fontId="5" fillId="17" borderId="32" xfId="4" applyAlignment="1" applyBorder="1" applyFont="1" applyNumberFormat="1" applyFill="1" applyProtection="1">
      <alignment horizontal="center"/>
      <protection locked="0"/>
    </xf>
    <xf xxid="1925" numFmtId="167" fontId="2" fillId="6" borderId="105" xfId="4" applyAlignment="1" applyBorder="1" applyFont="1" applyNumberFormat="1" applyFill="1" applyProtection="1">
      <alignment horizontal="center"/>
      <protection hidden="1"/>
    </xf>
    <xf xxid="1926" numFmtId="0" fontId="2" fillId="6" borderId="34" xfId="4" applyAlignment="1" applyBorder="1" applyFont="1" applyNumberFormat="1" applyFill="1" applyProtection="1">
      <alignment horizontal="center"/>
      <protection hidden="1"/>
    </xf>
    <xf xxid="1927" numFmtId="0" fontId="2" fillId="6" borderId="106" xfId="4" applyAlignment="1" applyBorder="1" applyFont="1" applyNumberFormat="1" applyFill="1" applyProtection="1">
      <alignment horizontal="center"/>
      <protection hidden="1"/>
    </xf>
    <xf xxid="1928" numFmtId="167" fontId="2" fillId="5" borderId="119" xfId="1" applyAlignment="1" applyBorder="1" applyFont="1" applyNumberFormat="1" applyFill="1" applyProtection="1">
      <alignment horizontal="center"/>
      <protection locked="0"/>
    </xf>
    <xf xxid="1929" numFmtId="167" fontId="2" fillId="5" borderId="57" xfId="1" applyAlignment="1" applyBorder="1" applyFont="1" applyNumberFormat="1" applyFill="1" applyProtection="1">
      <alignment horizontal="center"/>
      <protection locked="0"/>
    </xf>
    <xf xxid="1930" numFmtId="167" fontId="2" fillId="5" borderId="82" xfId="1" applyAlignment="1" applyBorder="1" applyFont="1" applyNumberFormat="1" applyFill="1" applyProtection="1">
      <alignment horizontal="center"/>
      <protection locked="0"/>
    </xf>
    <xf xxid="1931" numFmtId="0" fontId="2" fillId="5" borderId="113" xfId="4" applyAlignment="1" applyBorder="1" applyFont="1" applyNumberFormat="1" applyFill="1" applyProtection="1">
      <alignment horizontal="center"/>
      <protection locked="0"/>
    </xf>
    <xf xxid="1932" numFmtId="0" fontId="2" fillId="5" borderId="20" xfId="4" applyAlignment="1" applyBorder="1" applyFont="1" applyNumberFormat="1" applyFill="1" applyProtection="1">
      <alignment horizontal="center"/>
      <protection locked="0"/>
    </xf>
    <xf xxid="1933" numFmtId="0" fontId="2" fillId="5" borderId="120" xfId="4" applyAlignment="1" applyBorder="1" applyFont="1" applyNumberFormat="1" applyFill="1" applyProtection="1">
      <alignment horizontal="center"/>
      <protection locked="0"/>
    </xf>
    <xf xxid="1934" numFmtId="9" fontId="2" fillId="6" borderId="113" xfId="4" applyAlignment="1" applyBorder="1" applyFont="1" applyNumberFormat="1" applyFill="1" applyProtection="1">
      <alignment horizontal="center"/>
      <protection hidden="1"/>
    </xf>
    <xf xxid="1935" numFmtId="0" fontId="2" fillId="6" borderId="20" xfId="4" applyAlignment="1" applyBorder="1" applyFont="1" applyNumberFormat="1" applyFill="1" applyProtection="1">
      <alignment horizontal="center"/>
      <protection hidden="1"/>
    </xf>
    <xf xxid="1936" numFmtId="0" fontId="2" fillId="6" borderId="120" xfId="4" applyAlignment="1" applyBorder="1" applyFont="1" applyNumberFormat="1" applyFill="1" applyProtection="1">
      <alignment horizontal="center"/>
      <protection hidden="1"/>
    </xf>
    <xf xxid="1937" numFmtId="169" fontId="2" fillId="5" borderId="7" xfId="4" applyAlignment="1" applyBorder="1" applyFont="1" applyNumberFormat="1" applyFill="1" applyProtection="1">
      <alignment horizontal="center"/>
      <protection locked="0"/>
    </xf>
    <xf xxid="1938" numFmtId="167" fontId="2" fillId="5" borderId="56" xfId="1" applyAlignment="1" applyBorder="1" applyFont="1" applyNumberFormat="1" applyFill="1" applyProtection="1">
      <alignment horizontal="center"/>
      <protection locked="0"/>
    </xf>
    <xf xxid="1939" numFmtId="167" fontId="2" fillId="5" borderId="58" xfId="1" applyAlignment="1" applyBorder="1" applyFont="1" applyNumberFormat="1" applyFill="1" applyProtection="1">
      <alignment horizontal="center"/>
      <protection locked="0"/>
    </xf>
    <xf xxid="1940" numFmtId="169" fontId="2" fillId="6" borderId="56" xfId="1" applyAlignment="1" applyBorder="1" applyFont="1" applyNumberFormat="1" applyFill="1" applyProtection="1">
      <alignment horizontal="center"/>
      <protection hidden="1"/>
    </xf>
    <xf xxid="1941" numFmtId="169" fontId="2" fillId="6" borderId="57" xfId="1" applyAlignment="1" applyBorder="1" applyFont="1" applyNumberFormat="1" applyFill="1" applyProtection="1">
      <alignment horizontal="center"/>
      <protection hidden="1"/>
    </xf>
    <xf xxid="1942" numFmtId="169" fontId="2" fillId="6" borderId="82" xfId="1" applyAlignment="1" applyBorder="1" applyFont="1" applyNumberFormat="1" applyFill="1" applyProtection="1">
      <alignment horizontal="center"/>
      <protection hidden="1"/>
    </xf>
    <xf xxid="1943" numFmtId="169" fontId="2" fillId="5" borderId="31" xfId="4" applyAlignment="1" applyBorder="1" applyFont="1" applyNumberFormat="1" applyFill="1" applyProtection="1">
      <alignment horizontal="center"/>
      <protection locked="0"/>
    </xf>
    <xf xxid="1944" numFmtId="0" fontId="5" fillId="17" borderId="15" xfId="4" applyAlignment="1" applyBorder="1" applyFont="1" applyNumberFormat="1" applyFill="1" applyProtection="1">
      <alignment horizontal="center" vertical="center"/>
      <protection locked="0"/>
    </xf>
    <xf xxid="1945" numFmtId="0" fontId="5" fillId="17" borderId="110" xfId="4" applyAlignment="1" applyBorder="1" applyFont="1" applyNumberFormat="1" applyFill="1" applyProtection="1">
      <alignment horizontal="center" vertical="center"/>
      <protection locked="0"/>
    </xf>
    <xf xxid="1946" numFmtId="0" fontId="2" fillId="5" borderId="7" xfId="4" applyAlignment="1" applyBorder="1" applyFont="1" applyNumberFormat="1" applyFill="1" applyProtection="1">
      <alignment horizontal="left"/>
      <protection locked="0"/>
    </xf>
    <xf xxid="1947" numFmtId="0" fontId="2" fillId="5" borderId="59" xfId="4" applyAlignment="1" applyBorder="1" applyFont="1" applyNumberFormat="1" applyFill="1" applyProtection="1">
      <alignment horizontal="left"/>
      <protection locked="0"/>
    </xf>
    <xf xxid="1948" numFmtId="0" fontId="2" fillId="5" borderId="60" xfId="4" applyAlignment="1" applyBorder="1" applyFont="1" applyNumberFormat="1" applyFill="1" applyProtection="1">
      <alignment horizontal="left"/>
      <protection locked="0"/>
    </xf>
    <xf xxid="1949" numFmtId="0" fontId="2" fillId="5" borderId="61" xfId="4" applyAlignment="1" applyBorder="1" applyFont="1" applyNumberFormat="1" applyFill="1" applyProtection="1">
      <alignment horizontal="left"/>
      <protection locked="0"/>
    </xf>
    <xf xxid="1950" numFmtId="0" fontId="2" fillId="5" borderId="59" xfId="4" applyAlignment="1" applyBorder="1" applyFont="1" applyNumberFormat="1" applyFill="1" applyProtection="1">
      <alignment horizontal="center"/>
      <protection locked="0"/>
    </xf>
    <xf xxid="1951" numFmtId="0" fontId="2" fillId="5" borderId="61" xfId="4" applyAlignment="1" applyBorder="1" applyFont="1" applyNumberFormat="1" applyFill="1" applyProtection="1">
      <alignment horizontal="center"/>
      <protection locked="0"/>
    </xf>
    <xf xxid="1952" numFmtId="173" fontId="2" fillId="5" borderId="59" xfId="4" applyAlignment="1" applyBorder="1" applyFont="1" applyNumberFormat="1" applyFill="1" applyProtection="1">
      <alignment horizontal="center"/>
      <protection locked="0"/>
    </xf>
    <xf xxid="1953" numFmtId="173" fontId="2" fillId="5" borderId="60" xfId="4" applyAlignment="1" applyBorder="1" applyFont="1" applyNumberFormat="1" applyFill="1" applyProtection="1">
      <alignment horizontal="center"/>
      <protection locked="0"/>
    </xf>
    <xf xxid="1954" numFmtId="173" fontId="2" fillId="5" borderId="61" xfId="4" applyAlignment="1" applyBorder="1" applyFont="1" applyNumberFormat="1" applyFill="1" applyProtection="1">
      <alignment horizontal="center"/>
      <protection locked="0"/>
    </xf>
    <xf xxid="1955" numFmtId="0" fontId="2" fillId="5" borderId="56" xfId="4" applyAlignment="1" applyBorder="1" applyFont="1" applyNumberFormat="1" applyFill="1" applyProtection="1">
      <alignment horizontal="left"/>
      <protection locked="0"/>
    </xf>
    <xf xxid="1956" numFmtId="0" fontId="2" fillId="5" borderId="57" xfId="4" applyAlignment="1" applyBorder="1" applyFont="1" applyNumberFormat="1" applyFill="1" applyProtection="1">
      <alignment horizontal="left"/>
      <protection locked="0"/>
    </xf>
    <xf xxid="1957" numFmtId="0" fontId="2" fillId="5" borderId="58" xfId="4" applyAlignment="1" applyBorder="1" applyFont="1" applyNumberFormat="1" applyFill="1" applyProtection="1">
      <alignment horizontal="left"/>
      <protection locked="0"/>
    </xf>
    <xf xxid="1958" numFmtId="0" fontId="2" fillId="5" borderId="56" xfId="4" applyAlignment="1" applyBorder="1" applyFont="1" applyNumberFormat="1" applyFill="1" applyProtection="1">
      <alignment horizontal="center"/>
      <protection locked="0"/>
    </xf>
    <xf xxid="1959" numFmtId="0" fontId="2" fillId="5" borderId="58" xfId="4" applyAlignment="1" applyBorder="1" applyFont="1" applyNumberFormat="1" applyFill="1" applyProtection="1">
      <alignment horizontal="center"/>
      <protection locked="0"/>
    </xf>
    <xf xxid="1960" numFmtId="173" fontId="2" fillId="5" borderId="56" xfId="4" applyAlignment="1" applyBorder="1" applyFont="1" applyNumberFormat="1" applyFill="1" applyProtection="1">
      <alignment horizontal="center"/>
      <protection locked="0"/>
    </xf>
    <xf xxid="1961" numFmtId="173" fontId="2" fillId="5" borderId="57" xfId="4" applyAlignment="1" applyBorder="1" applyFont="1" applyNumberFormat="1" applyFill="1" applyProtection="1">
      <alignment horizontal="center"/>
      <protection locked="0"/>
    </xf>
    <xf xxid="1962" numFmtId="173" fontId="2" fillId="5" borderId="58" xfId="4" applyAlignment="1" applyBorder="1" applyFont="1" applyNumberFormat="1" applyFill="1" applyProtection="1">
      <alignment horizontal="center"/>
      <protection locked="0"/>
    </xf>
    <xf xxid="1963" numFmtId="0" fontId="2" fillId="24" borderId="59" xfId="4" applyAlignment="1" applyBorder="1" applyFont="1" applyNumberFormat="1" applyFill="1" applyProtection="1">
      <alignment horizontal="center"/>
      <protection locked="0"/>
    </xf>
    <xf xxid="1964" numFmtId="0" fontId="2" fillId="17" borderId="61" xfId="4" applyAlignment="1" applyBorder="1" applyFont="1" applyNumberFormat="1" applyFill="1" applyProtection="1">
      <alignment horizontal="center"/>
      <protection locked="0"/>
    </xf>
    <xf xxid="1965" numFmtId="0" fontId="2" fillId="17" borderId="83" xfId="4" applyAlignment="1" applyBorder="1" applyFont="1" applyNumberFormat="1" applyFill="1" applyProtection="1">
      <alignment horizontal="center"/>
      <protection locked="0"/>
    </xf>
    <xf xxid="1966" numFmtId="0" fontId="5" fillId="24" borderId="111" xfId="4" applyAlignment="1" applyBorder="1" applyFont="1" applyNumberFormat="1" applyFill="1" applyProtection="1">
      <alignment horizontal="center" vertical="center" wrapText="1"/>
      <protection locked="0"/>
    </xf>
    <xf xxid="1967" numFmtId="0" fontId="5" fillId="17" borderId="112" xfId="4" applyAlignment="1" applyBorder="1" applyFont="1" applyNumberFormat="1" applyFill="1" applyProtection="1">
      <alignment horizontal="center" vertical="center" wrapText="1"/>
      <protection locked="0"/>
    </xf>
    <xf xxid="1968" numFmtId="0" fontId="5" fillId="24" borderId="109" xfId="4" applyAlignment="1" applyBorder="1" applyFont="1" applyNumberFormat="1" applyFill="1" applyProtection="1">
      <alignment horizontal="center" vertical="center" wrapText="1"/>
      <protection locked="0"/>
    </xf>
    <xf xxid="1969" numFmtId="0" fontId="5" fillId="17" borderId="109" xfId="4" applyAlignment="1" applyBorder="1" applyFont="1" applyNumberFormat="1" applyFill="1" applyProtection="1">
      <alignment horizontal="center" vertical="center" wrapText="1"/>
      <protection locked="0"/>
    </xf>
    <xf xxid="1970" numFmtId="0" fontId="5" fillId="17" borderId="110" xfId="4" applyAlignment="1" applyBorder="1" applyFont="1" applyNumberFormat="1" applyFill="1" applyProtection="1">
      <alignment horizontal="center" vertical="center" wrapText="1"/>
      <protection locked="0"/>
    </xf>
    <xf xxid="1971" numFmtId="0" fontId="5" fillId="17" borderId="116" xfId="4" applyAlignment="1" applyBorder="1" applyFont="1" applyNumberFormat="1" applyFill="1" applyProtection="1">
      <alignment horizontal="center" vertical="center" wrapText="1"/>
      <protection locked="0"/>
    </xf>
    <xf xxid="1972" numFmtId="0" fontId="5" fillId="17" borderId="117" xfId="4" applyAlignment="1" applyBorder="1" applyFont="1" applyNumberFormat="1" applyFill="1" applyProtection="1">
      <alignment horizontal="center" vertical="center" wrapText="1"/>
      <protection locked="0"/>
    </xf>
    <xf xxid="1973" numFmtId="0" fontId="2" fillId="24" borderId="56" xfId="4" applyAlignment="1" applyBorder="1" applyFont="1" applyNumberFormat="1" applyFill="1" applyProtection="1">
      <alignment horizontal="center"/>
      <protection locked="0"/>
    </xf>
    <xf xxid="1974" numFmtId="0" fontId="5" fillId="24" borderId="38" xfId="4" applyAlignment="1" applyBorder="1" applyFont="1" applyNumberFormat="1" applyFill="1" applyProtection="1">
      <alignment horizontal="center" vertical="center" wrapText="1"/>
      <protection locked="0"/>
    </xf>
    <xf xxid="1975" numFmtId="0" fontId="5" fillId="17" borderId="39" xfId="4" applyAlignment="1" applyBorder="1" applyFont="1" applyNumberFormat="1" applyFill="1" applyProtection="1">
      <alignment horizontal="center" vertical="center" wrapText="1"/>
      <protection locked="0"/>
    </xf>
    <xf xxid="1976" numFmtId="0" fontId="5" fillId="24" borderId="103" xfId="4" applyAlignment="1" applyBorder="1" applyFont="1" applyNumberFormat="1" applyFill="1" applyProtection="1">
      <alignment horizontal="center" vertical="center" wrapText="1"/>
      <protection locked="0"/>
    </xf>
    <xf xxid="1977" numFmtId="0" fontId="5" fillId="17" borderId="103" xfId="4" applyAlignment="1" applyBorder="1" applyFont="1" applyNumberFormat="1" applyFill="1" applyProtection="1">
      <alignment horizontal="center" vertical="center" wrapText="1"/>
      <protection locked="0"/>
    </xf>
    <xf xxid="1978" numFmtId="169" fontId="2" fillId="24" borderId="105" xfId="4" applyAlignment="1" applyBorder="1" applyFont="1" applyNumberFormat="1" applyFill="1" applyProtection="1">
      <alignment horizontal="center"/>
      <protection hidden="1"/>
    </xf>
    <xf xxid="1979" numFmtId="0" fontId="2" fillId="17" borderId="34" xfId="4" applyAlignment="1" applyBorder="1" applyFont="1" applyNumberFormat="1" applyFill="1" applyProtection="1">
      <alignment horizontal="center"/>
      <protection hidden="1"/>
    </xf>
    <xf xxid="1980" numFmtId="0" fontId="2" fillId="17" borderId="106" xfId="4" applyAlignment="1" applyBorder="1" applyFont="1" applyNumberFormat="1" applyFill="1" applyProtection="1">
      <alignment horizontal="center"/>
      <protection hidden="1"/>
    </xf>
    <xf xxid="1981" numFmtId="167" fontId="2" fillId="24" borderId="105" xfId="1" applyAlignment="1" applyBorder="1" applyFont="1" applyNumberFormat="1" applyFill="1" applyProtection="1">
      <alignment horizontal="center"/>
      <protection hidden="1"/>
    </xf>
    <xf xxid="1982" numFmtId="0" fontId="5" fillId="24" borderId="32" xfId="4" applyAlignment="1" applyBorder="1" applyFont="1" applyNumberFormat="1" applyFill="1" applyProtection="1">
      <alignment horizontal="center" vertical="center" wrapText="1"/>
      <protection locked="0"/>
    </xf>
    <xf xxid="1983" numFmtId="0" fontId="5" fillId="24" borderId="59" xfId="4" applyAlignment="1" applyBorder="1" applyFont="1" applyNumberFormat="1" applyFill="1" applyProtection="1">
      <alignment horizontal="center" vertical="center" wrapText="1"/>
      <protection locked="0"/>
    </xf>
    <xf xxid="1984" numFmtId="0" fontId="5" fillId="24" borderId="108" xfId="4" applyAlignment="1" applyBorder="1" applyFont="1" applyNumberFormat="1" applyFill="1" applyProtection="1">
      <alignment horizontal="center" vertical="center" wrapText="1"/>
      <protection locked="0"/>
    </xf>
    <xf xxid="1985" numFmtId="0" fontId="5" fillId="17" borderId="34" xfId="4" applyAlignment="1" applyBorder="1" applyFont="1" applyNumberFormat="1" applyFill="1" applyProtection="1">
      <alignment horizontal="center" vertical="center" wrapText="1"/>
      <protection locked="0"/>
    </xf>
    <xf xxid="1986" numFmtId="0" fontId="5" fillId="17" borderId="107" xfId="4" applyAlignment="1" applyBorder="1" applyFont="1" applyNumberFormat="1" applyFill="1" applyProtection="1">
      <alignment horizontal="center" vertical="center" wrapText="1"/>
      <protection locked="0"/>
    </xf>
    <xf xxid="1987" numFmtId="0" fontId="2" fillId="17" borderId="112" xfId="4" applyAlignment="1" applyBorder="1" applyFont="1" applyNumberFormat="1" applyFill="1" applyProtection="1">
      <protection locked="0"/>
    </xf>
    <xf xxid="1988" numFmtId="0" fontId="2" fillId="17" borderId="85" xfId="4" applyAlignment="1" applyBorder="1" applyFont="1" applyNumberFormat="1" applyFill="1" applyProtection="1">
      <protection locked="0"/>
    </xf>
    <xf xxid="1989" numFmtId="0" fontId="2" fillId="17" borderId="86" xfId="4" applyAlignment="1" applyBorder="1" applyFont="1" applyNumberFormat="1" applyFill="1" applyProtection="1">
      <protection locked="0"/>
    </xf>
    <xf xxid="1990" numFmtId="0" fontId="2" fillId="17" borderId="121" xfId="4" applyAlignment="1" applyBorder="1" applyFont="1" applyNumberFormat="1" applyFill="1" applyProtection="1">
      <protection locked="0"/>
    </xf>
    <xf xxid="1991" numFmtId="0" fontId="2" fillId="17" borderId="72" xfId="4" applyAlignment="1" applyBorder="1" applyFont="1" applyNumberFormat="1" applyFill="1" applyProtection="1">
      <protection locked="0"/>
    </xf>
    <xf xxid="1992" numFmtId="0" fontId="2" fillId="17" borderId="122" xfId="4" applyAlignment="1" applyBorder="1" applyFont="1" applyNumberFormat="1" applyFill="1" applyProtection="1">
      <protection locked="0"/>
    </xf>
    <xf xxid="1993" numFmtId="0" fontId="2" fillId="24" borderId="72" xfId="4" applyAlignment="1" applyBorder="1" applyFont="1" applyNumberFormat="1" applyFill="1" applyProtection="1">
      <alignment horizontal="center"/>
      <protection locked="0"/>
    </xf>
    <xf xxid="1994" numFmtId="0" fontId="2" fillId="5" borderId="105" xfId="4" applyAlignment="1" applyBorder="1" applyFont="1" applyNumberFormat="1" applyFill="1" applyProtection="1">
      <alignment horizontal="center"/>
      <protection locked="0"/>
    </xf>
    <xf xxid="1995" numFmtId="0" fontId="2" fillId="5" borderId="34" xfId="4" applyAlignment="1" applyBorder="1" applyFont="1" applyNumberFormat="1" applyFill="1" applyProtection="1">
      <alignment horizontal="center"/>
      <protection locked="0"/>
    </xf>
    <xf xxid="1996" numFmtId="0" fontId="2" fillId="5" borderId="106" xfId="4" applyAlignment="1" applyBorder="1" applyFont="1" applyNumberFormat="1" applyFill="1" applyProtection="1">
      <alignment horizontal="center"/>
      <protection locked="0"/>
    </xf>
    <xf xxid="1997" numFmtId="0" fontId="5" fillId="25" borderId="109" xfId="4" applyAlignment="1" applyBorder="1" applyFont="1" applyNumberFormat="1" applyFill="1" applyProtection="1">
      <alignment horizontal="center" vertical="center" wrapText="1"/>
      <protection locked="0"/>
    </xf>
    <xf xxid="1998" numFmtId="0" fontId="2" fillId="25" borderId="59" xfId="4" applyAlignment="1" applyBorder="1" applyFont="1" applyNumberFormat="1" applyFill="1" applyProtection="1">
      <alignment horizontal="center"/>
      <protection locked="0"/>
    </xf>
    <xf xxid="1999" numFmtId="0" fontId="5" fillId="25" borderId="111" xfId="4" applyAlignment="1" applyBorder="1" applyFont="1" applyNumberFormat="1" applyFill="1" applyProtection="1">
      <alignment horizontal="center" vertical="center" wrapText="1"/>
      <protection locked="0"/>
    </xf>
    <xf xxid="2000" numFmtId="0" fontId="5" fillId="25" borderId="38" xfId="4" applyAlignment="1" applyBorder="1" applyFont="1" applyNumberFormat="1" applyFill="1" applyProtection="1">
      <alignment horizontal="center" vertical="center" wrapText="1"/>
      <protection locked="0"/>
    </xf>
    <xf xxid="2001" numFmtId="0" fontId="5" fillId="25" borderId="103" xfId="4" applyAlignment="1" applyBorder="1" applyFont="1" applyNumberFormat="1" applyFill="1" applyProtection="1">
      <alignment horizontal="center" vertical="center" wrapText="1"/>
      <protection locked="0"/>
    </xf>
    <xf xxid="2002" numFmtId="169" fontId="2" fillId="25" borderId="105" xfId="4" applyAlignment="1" applyBorder="1" applyFont="1" applyNumberFormat="1" applyFill="1" applyProtection="1">
      <alignment horizontal="center"/>
      <protection hidden="1"/>
    </xf>
    <xf xxid="2003" numFmtId="167" fontId="2" fillId="25" borderId="105" xfId="1" applyAlignment="1" applyBorder="1" applyFont="1" applyNumberFormat="1" applyFill="1" applyProtection="1">
      <alignment horizontal="center"/>
      <protection hidden="1"/>
    </xf>
    <xf xxid="2004" numFmtId="0" fontId="5" fillId="25" borderId="108" xfId="4" applyAlignment="1" applyBorder="1" applyFont="1" applyNumberFormat="1" applyFill="1" applyProtection="1">
      <alignment horizontal="center" vertical="center" wrapText="1"/>
      <protection locked="0"/>
    </xf>
    <xf xxid="2005" numFmtId="0" fontId="2" fillId="25" borderId="72" xfId="4" applyAlignment="1" applyBorder="1" applyFont="1" applyNumberFormat="1" applyFill="1" applyProtection="1">
      <alignment horizontal="center"/>
      <protection locked="0"/>
    </xf>
    <xf xxid="2006" numFmtId="0" fontId="5" fillId="23" borderId="111" xfId="4" applyAlignment="1" applyBorder="1" applyFont="1" applyNumberFormat="1" applyFill="1" applyProtection="1">
      <alignment horizontal="center" vertical="center" wrapText="1"/>
      <protection locked="0"/>
    </xf>
    <xf xxid="2007" numFmtId="0" fontId="5" fillId="23" borderId="109" xfId="4" applyAlignment="1" applyBorder="1" applyFont="1" applyNumberFormat="1" applyFill="1" applyProtection="1">
      <alignment horizontal="center" vertical="center" wrapText="1"/>
      <protection locked="0"/>
    </xf>
    <xf xxid="2008" numFmtId="0" fontId="2" fillId="23" borderId="59" xfId="4" applyAlignment="1" applyBorder="1" applyFont="1" applyNumberFormat="1" applyFill="1" applyProtection="1">
      <alignment horizontal="center"/>
      <protection locked="0"/>
    </xf>
    <xf xxid="2009" numFmtId="0" fontId="2" fillId="23" borderId="56" xfId="4" applyAlignment="1" applyBorder="1" applyFont="1" applyNumberFormat="1" applyFill="1" applyProtection="1">
      <alignment horizontal="center"/>
      <protection locked="0"/>
    </xf>
    <xf xxid="2010" numFmtId="0" fontId="5" fillId="23" borderId="38" xfId="4" applyAlignment="1" applyBorder="1" applyFont="1" applyNumberFormat="1" applyFill="1" applyProtection="1">
      <alignment horizontal="center" vertical="center" wrapText="1"/>
      <protection locked="0"/>
    </xf>
    <xf xxid="2011" numFmtId="0" fontId="5" fillId="23" borderId="103" xfId="4" applyAlignment="1" applyBorder="1" applyFont="1" applyNumberFormat="1" applyFill="1" applyProtection="1">
      <alignment horizontal="center" vertical="center" wrapText="1"/>
      <protection locked="0"/>
    </xf>
    <xf xxid="2012" numFmtId="169" fontId="2" fillId="23" borderId="105" xfId="4" applyAlignment="1" applyBorder="1" applyFont="1" applyNumberFormat="1" applyFill="1" applyProtection="1">
      <alignment horizontal="center"/>
      <protection hidden="1"/>
    </xf>
    <xf xxid="2013" numFmtId="0" fontId="5" fillId="23" borderId="59" xfId="4" applyAlignment="1" applyBorder="1" applyFont="1" applyNumberFormat="1" applyFill="1" applyProtection="1">
      <alignment horizontal="center" vertical="center" wrapText="1"/>
      <protection locked="0"/>
    </xf>
    <xf xxid="2014" numFmtId="167" fontId="2" fillId="23" borderId="105" xfId="1" applyAlignment="1" applyBorder="1" applyFont="1" applyNumberFormat="1" applyFill="1" applyProtection="1">
      <alignment horizontal="center"/>
      <protection hidden="1"/>
    </xf>
    <xf xxid="2015" numFmtId="0" fontId="5" fillId="23" borderId="108" xfId="4" applyAlignment="1" applyBorder="1" applyFont="1" applyNumberFormat="1" applyFill="1" applyProtection="1">
      <alignment horizontal="center" vertical="center" wrapText="1"/>
      <protection locked="0"/>
    </xf>
    <xf xxid="2016" numFmtId="0" fontId="2" fillId="17" borderId="59" xfId="4" applyAlignment="1" applyBorder="1" applyFont="1" applyNumberFormat="1" applyFill="1" applyProtection="1">
      <alignment horizontal="center"/>
      <protection locked="0"/>
    </xf>
    <xf xxid="2017" numFmtId="0" fontId="32" fillId="34" borderId="0" xfId="4" applyAlignment="1" applyBorder="1" applyFont="1" applyNumberFormat="1" applyFill="1" applyProtection="1">
      <alignment horizontal="center"/>
      <protection locked="0"/>
    </xf>
    <xf xxid="2018" numFmtId="0" fontId="5" fillId="17" borderId="111" xfId="4" applyAlignment="1" applyBorder="1" applyFont="1" applyNumberFormat="1" applyFill="1" applyProtection="1">
      <alignment horizontal="center" vertical="center" wrapText="1"/>
      <protection locked="0"/>
    </xf>
    <xf xxid="2019" numFmtId="0" fontId="5" fillId="17" borderId="108" xfId="4" applyAlignment="1" applyBorder="1" applyFont="1" applyNumberFormat="1" applyFill="1" applyProtection="1">
      <alignment horizontal="center" vertical="center" wrapText="1"/>
      <protection locked="0"/>
    </xf>
    <xf xxid="2020" numFmtId="0" fontId="5" fillId="17" borderId="38" xfId="4" applyAlignment="1" applyBorder="1" applyFont="1" applyNumberFormat="1" applyFill="1" applyProtection="1">
      <alignment horizontal="center" vertical="center" wrapText="1"/>
      <protection locked="0"/>
    </xf>
    <xf xxid="2021" numFmtId="169" fontId="2" fillId="17" borderId="103" xfId="4" applyAlignment="1" applyBorder="1" applyFont="1" applyNumberFormat="1" applyFill="1" applyProtection="1">
      <alignment horizontal="center"/>
      <protection locked="0"/>
    </xf>
    <xf xxid="2022" numFmtId="0" fontId="5" fillId="17" borderId="115" xfId="4" applyAlignment="1" applyBorder="1" applyFont="1" applyNumberFormat="1" applyFill="1" applyProtection="1">
      <alignment horizontal="center" vertical="center"/>
      <protection locked="0"/>
    </xf>
    <xf xxid="2023" numFmtId="0" fontId="5" fillId="17" borderId="118" xfId="4" applyAlignment="1" applyBorder="1" applyFont="1" applyNumberFormat="1" applyFill="1" applyProtection="1">
      <alignment horizontal="center" vertical="center"/>
      <protection locked="0"/>
    </xf>
    <xf xxid="2024" numFmtId="0" fontId="5" fillId="17" borderId="33" xfId="4" applyAlignment="1" applyBorder="1" applyFont="1" applyNumberFormat="1" applyFill="1" applyProtection="1">
      <alignment horizontal="center"/>
      <protection locked="0"/>
    </xf>
    <xf xxid="2025" numFmtId="0" fontId="2" fillId="5" borderId="36" xfId="4" applyAlignment="1" applyBorder="1" applyFont="1" applyNumberFormat="1" applyFill="1" applyProtection="1">
      <alignment horizontal="left"/>
      <protection locked="0"/>
    </xf>
    <xf xxid="2026" numFmtId="169" fontId="5" fillId="17" borderId="32" xfId="4" applyAlignment="1" applyBorder="1" applyFont="1" applyNumberFormat="1" applyFill="1" applyProtection="1">
      <alignment horizontal="center"/>
      <protection locked="0"/>
    </xf>
    <xf xxid="2027" numFmtId="0" fontId="5" fillId="17" borderId="39" xfId="4" applyAlignment="1" applyBorder="1" applyFont="1" applyNumberFormat="1" applyFill="1" applyProtection="1">
      <alignment horizontal="center"/>
      <protection locked="0"/>
    </xf>
    <xf xxid="2028" numFmtId="169" fontId="2" fillId="17" borderId="105" xfId="4" applyAlignment="1" applyBorder="1" applyFont="1" applyNumberFormat="1" applyFill="1" applyProtection="1">
      <alignment horizontal="center"/>
      <protection hidden="1"/>
    </xf>
    <xf xxid="2029" numFmtId="0" fontId="5" fillId="17" borderId="109" xfId="4" applyAlignment="1" applyBorder="1" applyFont="1" applyNumberFormat="1" applyFill="1" applyProtection="1">
      <alignment horizontal="center" vertical="center"/>
      <protection locked="0"/>
    </xf>
    <xf xxid="2030" numFmtId="0" fontId="5" fillId="17" borderId="42" xfId="4" applyAlignment="1" applyBorder="1" applyFont="1" applyNumberFormat="1" applyFill="1" applyProtection="1">
      <alignment horizontal="center" vertical="center"/>
      <protection locked="0"/>
    </xf>
    <xf xxid="2031" numFmtId="169" fontId="5" fillId="17" borderId="108" xfId="4" applyAlignment="1" applyBorder="1" applyFont="1" applyNumberFormat="1" applyFill="1" applyProtection="1">
      <alignment horizontal="center" vertical="center" wrapText="1"/>
      <protection locked="0"/>
    </xf>
    <xf xxid="2032" numFmtId="169" fontId="5" fillId="17" borderId="34" xfId="4" applyAlignment="1" applyBorder="1" applyFont="1" applyNumberFormat="1" applyFill="1" applyProtection="1">
      <alignment horizontal="center" vertical="center" wrapText="1"/>
      <protection locked="0"/>
    </xf>
    <xf xxid="2033" numFmtId="169" fontId="5" fillId="17" borderId="107" xfId="4" applyAlignment="1" applyBorder="1" applyFont="1" applyNumberFormat="1" applyFill="1" applyProtection="1">
      <alignment horizontal="center" vertical="center" wrapText="1"/>
      <protection locked="0"/>
    </xf>
    <xf xxid="2034" numFmtId="0" fontId="5" fillId="17" borderId="103" xfId="4" applyAlignment="1" applyBorder="1" applyFont="1" applyNumberFormat="1" applyFill="1" applyProtection="1">
      <alignment horizontal="center"/>
      <protection locked="0"/>
    </xf>
    <xf xxid="2035" numFmtId="0" fontId="5" fillId="17" borderId="104" xfId="4" applyAlignment="1" applyBorder="1" applyFont="1" applyNumberFormat="1" applyFill="1" applyProtection="1">
      <alignment horizontal="center"/>
      <protection locked="0"/>
    </xf>
    <xf xxid="2036" numFmtId="0" fontId="5" fillId="17" borderId="111" xfId="4" applyAlignment="1" applyBorder="1" applyFont="1" applyNumberFormat="1" applyFill="1" applyProtection="1">
      <alignment horizontal="center" vertical="center"/>
      <protection locked="0"/>
    </xf>
    <xf xxid="2037" numFmtId="0" fontId="5" fillId="17" borderId="126" xfId="4" applyAlignment="1" applyBorder="1" applyFont="1" applyNumberFormat="1" applyFill="1" applyProtection="1">
      <alignment horizontal="center" vertical="center"/>
      <protection locked="0"/>
    </xf>
    <xf xxid="2038" numFmtId="0" fontId="5" fillId="17" borderId="112" xfId="4" applyAlignment="1" applyBorder="1" applyFont="1" applyNumberFormat="1" applyFill="1" applyProtection="1">
      <alignment horizontal="center" vertical="center"/>
      <protection locked="0"/>
    </xf>
    <xf xxid="2039" numFmtId="0" fontId="2" fillId="17" borderId="119" xfId="4" applyAlignment="1" applyBorder="1" applyFont="1" applyNumberFormat="1" applyFill="1" applyProtection="1">
      <alignment horizontal="center"/>
      <protection locked="0"/>
    </xf>
    <xf xxid="2040" numFmtId="0" fontId="5" fillId="30" borderId="8" xfId="5" applyAlignment="1" applyBorder="1" applyFont="1" applyNumberFormat="1" applyFill="1" applyProtection="1">
      <alignment horizontal="left" vertical="center" wrapText="1"/>
    </xf>
    <xf xxid="2041" numFmtId="0" fontId="5" fillId="30" borderId="8" xfId="5" applyAlignment="1" applyBorder="1" applyFont="1" applyNumberFormat="1" applyFill="1" applyProtection="1">
      <alignment horizontal="left" vertical="top" wrapText="1"/>
    </xf>
    <xf xxid="2042" numFmtId="189" fontId="5" fillId="17" borderId="103" xfId="5" applyAlignment="1" applyBorder="1" applyFont="1" applyNumberFormat="1" applyFill="1" applyProtection="1">
      <alignment horizontal="center" vertical="center" wrapText="1"/>
    </xf>
    <xf xxid="2043" numFmtId="189" fontId="5" fillId="17" borderId="7" xfId="5" applyAlignment="1" applyBorder="1" applyFont="1" applyNumberFormat="1" applyFill="1" applyProtection="1">
      <alignment horizontal="center" vertical="center" wrapText="1"/>
    </xf>
    <xf xxid="2044" numFmtId="189" fontId="5" fillId="17" borderId="67" xfId="5" applyAlignment="1" applyBorder="1" applyFont="1" applyNumberFormat="1" applyFill="1" applyProtection="1">
      <alignment horizontal="center" vertical="center" wrapText="1"/>
    </xf>
    <xf xxid="2045" numFmtId="0" fontId="5" fillId="17" borderId="67" xfId="5" applyAlignment="1" applyBorder="1" applyFont="1" applyNumberFormat="1" applyFill="1" applyProtection="1">
      <alignment horizontal="center" vertical="center" wrapText="1"/>
    </xf>
    <xf xxid="2046" numFmtId="0" fontId="5" fillId="17" borderId="68" xfId="5" applyAlignment="1" applyBorder="1" applyFont="1" applyNumberFormat="1" applyFill="1" applyProtection="1">
      <alignment horizontal="center" vertical="center" wrapText="1"/>
    </xf>
    <xf xxid="2047" numFmtId="0" fontId="5" fillId="0" borderId="7" xfId="5" applyAlignment="1" applyBorder="1" applyFont="1" applyNumberFormat="1" applyFill="1" applyProtection="1">
      <alignment horizontal="center" vertical="center"/>
      <protection locked="0"/>
    </xf>
    <xf xxid="2048" numFmtId="0" fontId="98" fillId="0" borderId="7" xfId="5" applyAlignment="1" applyBorder="1" applyFont="1" applyNumberFormat="1" applyFill="1" applyProtection="1">
      <alignment horizontal="center" vertical="center"/>
      <protection locked="0"/>
    </xf>
    <xf xxid="2049" numFmtId="2" fontId="5" fillId="0" borderId="7" xfId="5" applyAlignment="1" applyBorder="1" applyFont="1" applyNumberFormat="1" applyFill="1" applyProtection="1">
      <alignment horizontal="center" vertical="center"/>
      <protection locked="0"/>
    </xf>
    <xf xxid="2050" numFmtId="2" fontId="98" fillId="0" borderId="15" xfId="5" applyAlignment="1" applyBorder="1" applyFont="1" applyNumberFormat="1" applyFill="1" applyProtection="1">
      <alignment horizontal="center" vertical="center"/>
      <protection locked="0"/>
    </xf>
    <xf xxid="2051" numFmtId="2" fontId="98" fillId="0" borderId="16" xfId="5" applyAlignment="1" applyBorder="1" applyFont="1" applyNumberFormat="1" applyFill="1" applyProtection="1">
      <alignment horizontal="center" vertical="center"/>
      <protection locked="0"/>
    </xf>
    <xf xxid="2052" numFmtId="0" fontId="114" fillId="0" borderId="22" xfId="5" applyAlignment="1" applyBorder="1" applyFont="1" applyNumberFormat="1" applyFill="1" applyProtection="1">
      <alignment horizontal="center" vertical="center"/>
      <protection locked="0"/>
    </xf>
    <xf xxid="2053" numFmtId="0" fontId="114" fillId="0" borderId="9" xfId="5" applyAlignment="1" applyBorder="1" applyFont="1" applyNumberFormat="1" applyFill="1" applyProtection="1">
      <alignment horizontal="center" vertical="center"/>
      <protection locked="0"/>
    </xf>
    <xf xxid="2054" numFmtId="0" fontId="98" fillId="0" borderId="24" xfId="5" applyAlignment="1" applyBorder="1" applyFont="1" applyNumberFormat="1" applyFill="1" applyProtection="1">
      <alignment horizontal="center"/>
      <protection locked="0"/>
    </xf>
    <xf xxid="2055" numFmtId="0" fontId="98" fillId="0" borderId="20" xfId="5" applyAlignment="1" applyBorder="1" applyFont="1" applyNumberFormat="1" applyFill="1" applyProtection="1">
      <alignment horizontal="center"/>
      <protection locked="0"/>
    </xf>
    <xf xxid="2056" numFmtId="0" fontId="98" fillId="0" borderId="29" xfId="5" applyAlignment="1" applyBorder="1" applyFont="1" applyNumberFormat="1" applyFill="1" applyProtection="1">
      <alignment horizontal="center"/>
      <protection locked="0"/>
    </xf>
    <xf xxid="2057" numFmtId="0" fontId="114" fillId="0" borderId="7" xfId="5" applyAlignment="1" applyBorder="1" applyFont="1" applyNumberFormat="1" applyFill="1" applyProtection="1">
      <alignment horizontal="center" vertical="center" wrapText="1"/>
      <protection locked="0"/>
    </xf>
    <xf xxid="2058" numFmtId="0" fontId="118" fillId="0" borderId="7" xfId="5" applyAlignment="1" applyBorder="1" applyFont="1" applyNumberFormat="1" applyFill="1" applyProtection="1">
      <alignment horizontal="center" vertical="center"/>
      <protection locked="0"/>
    </xf>
    <xf xxid="2059" numFmtId="0" fontId="5" fillId="17" borderId="67" xfId="5" applyAlignment="1" applyBorder="1" applyFont="1" applyNumberFormat="1" applyFill="1" applyProtection="1">
      <alignment horizontal="center" vertical="center"/>
    </xf>
    <xf xxid="2060" numFmtId="49" fontId="5" fillId="17" borderId="67" xfId="5" applyAlignment="1" applyBorder="1" applyFont="1" applyNumberFormat="1" applyFill="1" applyProtection="1">
      <alignment horizontal="center" vertical="center" wrapText="1"/>
    </xf>
    <xf xxid="2061" numFmtId="49" fontId="5" fillId="17" borderId="7" xfId="5" applyAlignment="1" applyBorder="1" applyFont="1" applyNumberFormat="1" applyFill="1" applyProtection="1">
      <alignment horizontal="center" vertical="center" wrapText="1"/>
    </xf>
    <xf xxid="2062" numFmtId="0" fontId="5" fillId="17" borderId="64" xfId="5" applyAlignment="1" applyBorder="1" applyFont="1" applyNumberFormat="1" applyFill="1" applyProtection="1">
      <alignment horizontal="center" vertical="center"/>
    </xf>
    <xf xxid="2063" numFmtId="0" fontId="5" fillId="17" borderId="71" xfId="5" applyAlignment="1" applyBorder="1" applyFont="1" applyNumberFormat="1" applyFill="1" applyProtection="1">
      <alignment horizontal="center" vertical="center"/>
    </xf>
    <xf xxid="2064" numFmtId="0" fontId="5" fillId="17" borderId="127" xfId="5" applyAlignment="1" applyBorder="1" applyFont="1" applyNumberFormat="1" applyFill="1" applyProtection="1">
      <alignment horizontal="center" vertical="center" wrapText="1"/>
    </xf>
    <xf xxid="2065" numFmtId="0" fontId="5" fillId="17" borderId="16" xfId="5" applyAlignment="1" applyBorder="1" applyFont="1" applyNumberFormat="1" applyFill="1" applyProtection="1">
      <alignment horizontal="center" vertical="center" wrapText="1"/>
    </xf>
    <xf xxid="2066" numFmtId="0" fontId="5" fillId="17" borderId="109" xfId="5" applyAlignment="1" applyBorder="1" applyFont="1" applyNumberFormat="1" applyFill="1" applyProtection="1">
      <alignment horizontal="center" vertical="center" wrapText="1"/>
    </xf>
    <xf xxid="2067" numFmtId="0" fontId="5" fillId="17" borderId="38" xfId="5" applyAlignment="1" applyBorder="1" applyFont="1" applyNumberFormat="1" applyFill="1" applyProtection="1">
      <alignment horizontal="center" vertical="center"/>
    </xf>
    <xf xxid="2068" numFmtId="0" fontId="5" fillId="17" borderId="36" xfId="5" applyAlignment="1" applyBorder="1" applyFont="1" applyNumberFormat="1" applyFill="1" applyProtection="1">
      <alignment horizontal="center" vertical="center"/>
    </xf>
    <xf xxid="2069" numFmtId="49" fontId="5" fillId="17" borderId="103" xfId="5" applyAlignment="1" applyBorder="1" applyFont="1" applyNumberFormat="1" applyFill="1" applyProtection="1">
      <alignment horizontal="center" vertical="center" wrapText="1"/>
    </xf>
    <xf xxid="2070" numFmtId="0" fontId="5" fillId="17" borderId="103" xfId="5" applyAlignment="1" applyBorder="1" applyFont="1" applyNumberFormat="1" applyFill="1" applyProtection="1">
      <alignment horizontal="center" vertical="center"/>
    </xf>
    <xf xxid="2071" numFmtId="0" fontId="5" fillId="17" borderId="103" xfId="5" applyAlignment="1" applyBorder="1" applyFont="1" applyNumberFormat="1" applyFill="1" applyProtection="1">
      <alignment horizontal="center" vertical="center" wrapText="1"/>
    </xf>
    <xf xxid="2072" numFmtId="0" fontId="5" fillId="17" borderId="104" xfId="5" applyAlignment="1" applyBorder="1" applyFont="1" applyNumberFormat="1" applyFill="1" applyProtection="1">
      <alignment horizontal="center" vertical="center" wrapText="1"/>
    </xf>
    <xf xxid="2073" numFmtId="0" fontId="100" fillId="18" borderId="0" xfId="5" applyAlignment="1" applyBorder="1" applyFont="1" applyNumberFormat="1" applyFill="1" applyProtection="1">
      <alignment horizontal="center"/>
    </xf>
    <xf xxid="2074" numFmtId="0" fontId="32" fillId="32" borderId="0" xfId="5" applyAlignment="1" applyBorder="1" applyFont="1" applyNumberFormat="1" applyFill="1" applyProtection="1">
      <alignment horizontal="center"/>
    </xf>
    <xf xxid="2075" numFmtId="0" fontId="2" fillId="0" borderId="8" xfId="5" applyAlignment="1" applyBorder="1" applyFont="1" applyNumberFormat="1" applyFill="1" applyProtection="1">
      <alignment horizontal="left"/>
      <protection locked="0"/>
    </xf>
    <xf xxid="2076" numFmtId="0" fontId="2" fillId="0" borderId="20" xfId="5" applyAlignment="1" applyBorder="1" applyFont="1" applyNumberFormat="1" applyFill="1" applyProtection="1">
      <alignment horizontal="left" vertical="top" wrapText="1"/>
      <protection locked="0"/>
    </xf>
    <xf xxid="2077" numFmtId="0" fontId="2" fillId="0" borderId="51" xfId="5" applyAlignment="1" applyBorder="1" applyFont="1" applyNumberFormat="1" applyFill="1" applyProtection="1">
      <alignment horizontal="left" vertical="top" wrapText="1"/>
      <protection locked="0"/>
    </xf>
    <xf xxid="2078" numFmtId="0" fontId="17" fillId="0" borderId="1" xfId="21" applyAlignment="1" applyBorder="1" applyFont="1" applyNumberFormat="1" applyFill="1" applyProtection="1">
      <alignment horizontal="center" vertical="top" wrapText="1"/>
    </xf>
    <xf xxid="2079" numFmtId="0" fontId="2" fillId="0" borderId="6" xfId="5" applyAlignment="1" applyBorder="1" applyFont="1" applyNumberFormat="1" applyFill="1" applyProtection="1">
      <alignment horizontal="left" vertical="top" wrapText="1"/>
      <protection locked="0"/>
    </xf>
    <xf xxid="2080" numFmtId="0" fontId="2" fillId="0" borderId="0" xfId="5" applyAlignment="1" applyBorder="1" applyFont="1" applyNumberFormat="1" applyFill="1" applyProtection="1">
      <alignment horizontal="left" vertical="top" wrapText="1"/>
      <protection locked="0"/>
    </xf>
    <xf xxid="2081" numFmtId="0" fontId="2" fillId="0" borderId="1" xfId="5" applyAlignment="1" applyBorder="1" applyFont="1" applyNumberFormat="1" applyFill="1" applyProtection="1">
      <alignment horizontal="left" vertical="top" wrapText="1"/>
      <protection locked="0"/>
    </xf>
    <xf xxid="2082" numFmtId="0" fontId="17" fillId="0" borderId="1" xfId="21" applyAlignment="1" applyBorder="1" applyFont="1" applyNumberFormat="1" applyFill="1" applyProtection="1">
      <alignment horizontal="center" vertical="top"/>
      <protection hidden="1"/>
    </xf>
    <xf xxid="2083" numFmtId="0" fontId="2" fillId="0" borderId="87" xfId="5" applyAlignment="1" applyBorder="1" applyFont="1" applyNumberFormat="1" applyFill="1" applyProtection="1">
      <alignment horizontal="left" vertical="top" wrapText="1"/>
      <protection locked="0"/>
    </xf>
    <xf xxid="2084" numFmtId="0" fontId="112" fillId="0" borderId="20" xfId="5" applyAlignment="1" applyBorder="1" applyFont="1" applyNumberFormat="1" applyFill="1" applyProtection="1">
      <alignment horizontal="center" vertical="center"/>
      <protection locked="0"/>
    </xf>
    <xf xxid="2085" numFmtId="0" fontId="85" fillId="6" borderId="89" xfId="0" applyAlignment="1" applyBorder="1" applyFont="1" applyNumberFormat="1" applyFill="1" applyProtection="1">
      <alignment horizontal="center" vertical="center"/>
      <protection hidden="1"/>
    </xf>
    <xf xxid="2086" numFmtId="0" fontId="85" fillId="6" borderId="128" xfId="0" applyAlignment="1" applyBorder="1" applyFont="1" applyNumberFormat="1" applyFill="1" applyProtection="1">
      <alignment horizontal="center" vertical="center"/>
      <protection hidden="1"/>
    </xf>
    <xf xxid="2087" numFmtId="0" fontId="85" fillId="6" borderId="93" xfId="0" applyAlignment="1" applyBorder="1" applyFont="1" applyNumberFormat="1" applyFill="1" applyProtection="1">
      <alignment horizontal="center" vertical="center"/>
      <protection hidden="1"/>
    </xf>
    <xf xxid="2088" numFmtId="0" fontId="85" fillId="6" borderId="129" xfId="0" applyAlignment="1" applyBorder="1" applyFont="1" applyNumberFormat="1" applyFill="1" applyProtection="1">
      <alignment horizontal="center" vertical="center"/>
      <protection hidden="1"/>
    </xf>
    <xf xxid="2089" numFmtId="0" fontId="104" fillId="22" borderId="29" xfId="0" applyAlignment="1" applyBorder="1" applyFont="1" applyNumberFormat="1" applyFill="1" applyProtection="1">
      <alignment horizontal="center" vertical="center"/>
      <protection hidden="1"/>
    </xf>
    <xf xxid="2090" numFmtId="0" fontId="106" fillId="22" borderId="55" xfId="0" applyAlignment="1" applyBorder="1" applyFont="1" applyNumberFormat="1" applyFill="1" applyProtection="1">
      <alignment horizontal="center" vertical="center"/>
      <protection hidden="1"/>
    </xf>
    <xf xxid="2091" numFmtId="0" fontId="85" fillId="6" borderId="96" xfId="0" applyAlignment="1" applyBorder="1" applyFont="1" applyNumberFormat="1" applyFill="1" applyProtection="1">
      <alignment horizontal="center" vertical="center"/>
      <protection hidden="1"/>
    </xf>
    <xf xxid="2092" numFmtId="0" fontId="85" fillId="6" borderId="130" xfId="0" applyAlignment="1" applyBorder="1" applyFont="1" applyNumberFormat="1" applyFill="1" applyProtection="1">
      <alignment horizontal="center" vertical="center"/>
      <protection hidden="1"/>
    </xf>
    <xf xxid="2093" numFmtId="0" fontId="2" fillId="6" borderId="45" xfId="21" applyAlignment="1" applyBorder="1" applyFont="1" applyNumberFormat="1" applyFill="1" applyProtection="1">
      <alignment horizontal="left"/>
      <protection locked="0"/>
    </xf>
    <xf xxid="2094" numFmtId="0" fontId="45" fillId="6" borderId="0" xfId="21" applyAlignment="1" applyBorder="1" applyFont="1" applyNumberFormat="1" applyFill="1" applyProtection="1">
      <alignment horizontal="center"/>
    </xf>
    <xf xxid="2095" numFmtId="0" fontId="2" fillId="6" borderId="131" xfId="21" applyAlignment="1" applyBorder="1" applyFont="1" applyNumberFormat="1" applyFill="1" applyProtection="1">
      <alignment horizontal="left"/>
    </xf>
    <xf xxid="2096" numFmtId="0" fontId="2" fillId="11" borderId="0" xfId="21" applyAlignment="1" applyBorder="1" applyFont="1" applyNumberFormat="1" applyFill="1" applyProtection="1">
      <alignment horizontal="left"/>
    </xf>
    <xf xxid="2097" numFmtId="0" fontId="121" fillId="6" borderId="0" xfId="21" applyAlignment="1" applyBorder="1" applyFont="1" applyNumberFormat="1" applyFill="1" applyProtection="1">
      <alignment horizontal="center"/>
    </xf>
    <xf xxid="2098" numFmtId="0" fontId="2" fillId="6" borderId="0" xfId="21" applyAlignment="1" applyBorder="1" applyFont="1" applyNumberFormat="1" applyFill="1" applyProtection="1">
      <alignment horizontal="left" vertical="top" wrapText="1"/>
      <protection locked="0"/>
    </xf>
    <xf xxid="2099" numFmtId="0" fontId="54" fillId="6" borderId="0" xfId="21" applyAlignment="1" applyBorder="1" applyFont="1" applyNumberFormat="1" applyFill="1" applyProtection="1">
      <alignment horizontal="left" vertical="top" wrapText="1"/>
      <protection locked="0"/>
    </xf>
    <xf xxid="2100" numFmtId="0" fontId="109" fillId="5" borderId="97" xfId="5" applyAlignment="1" applyBorder="1" applyFont="1" applyNumberFormat="1" applyFill="1" applyProtection="1">
      <alignment horizontal="center" vertical="center"/>
    </xf>
    <xf xxid="2101" numFmtId="0" fontId="109" fillId="5" borderId="98" xfId="5" applyAlignment="1" applyBorder="1" applyFont="1" applyNumberFormat="1" applyFill="1" applyProtection="1">
      <alignment horizontal="center" vertical="center"/>
    </xf>
    <xf xxid="2102" numFmtId="0" fontId="108" fillId="5" borderId="97" xfId="5" applyAlignment="1" applyBorder="1" applyFont="1" applyNumberFormat="1" applyFill="1" applyProtection="1">
      <alignment horizontal="center" vertical="center"/>
    </xf>
    <xf xxid="2103" numFmtId="0" fontId="108" fillId="5" borderId="98" xfId="5" applyAlignment="1" applyBorder="1" applyFont="1" applyNumberFormat="1" applyFill="1" applyProtection="1">
      <alignment horizontal="center" vertical="center"/>
    </xf>
    <xf xxid="2104" numFmtId="0" fontId="2" fillId="5" borderId="97" xfId="5" applyAlignment="1" applyBorder="1" applyFont="1" applyNumberFormat="1" applyFill="1" applyProtection="1">
      <alignment horizontal="center"/>
    </xf>
    <xf xxid="2105" numFmtId="0" fontId="2" fillId="5" borderId="98" xfId="5" applyAlignment="1" applyBorder="1" applyFont="1" applyNumberFormat="1" applyFill="1" applyProtection="1">
      <alignment horizontal="center"/>
    </xf>
    <xf xxid="2106" numFmtId="0" fontId="107" fillId="5" borderId="97" xfId="5" applyAlignment="1" applyBorder="1" applyFont="1" applyNumberFormat="1" applyFill="1" applyProtection="1">
      <alignment horizontal="center"/>
      <protection locked="0"/>
    </xf>
    <xf xxid="2107" numFmtId="0" fontId="107" fillId="5" borderId="98" xfId="5" applyAlignment="1" applyBorder="1" applyFont="1" applyNumberFormat="1" applyFill="1" applyProtection="1">
      <alignment horizontal="center"/>
      <protection locked="0"/>
    </xf>
    <xf xxid="2108" numFmtId="0" fontId="2" fillId="5" borderId="97" xfId="5" applyAlignment="1" applyBorder="1" applyFont="1" applyNumberFormat="1" applyFill="1" applyProtection="1">
      <alignment horizontal="center"/>
      <protection locked="0"/>
    </xf>
    <xf xxid="2109" numFmtId="0" fontId="2" fillId="5" borderId="98" xfId="5" applyAlignment="1" applyBorder="1" applyFont="1" applyNumberFormat="1" applyFill="1" applyProtection="1">
      <alignment horizontal="center"/>
      <protection locked="0"/>
    </xf>
    <xf xxid="2110" numFmtId="49" fontId="16" fillId="0" borderId="7" xfId="0" applyAlignment="1" applyBorder="1" applyFont="1" applyNumberFormat="1" applyFill="1" applyProtection="1">
      <alignment horizontal="center" vertical="center"/>
    </xf>
    <xf xxid="2111" numFmtId="169" fontId="13" fillId="0" borderId="22" xfId="0" applyAlignment="1" applyBorder="1" applyFont="1" applyNumberFormat="1" applyFill="1" applyProtection="1">
      <alignment horizontal="right" vertical="center"/>
    </xf>
    <xf xxid="2112" numFmtId="169" fontId="13" fillId="0" borderId="9" xfId="0" applyAlignment="1" applyBorder="1" applyFont="1" applyNumberFormat="1" applyFill="1" applyProtection="1">
      <alignment horizontal="right" vertical="center"/>
    </xf>
    <xf xxid="2113" numFmtId="169" fontId="13" fillId="0" borderId="18" xfId="0" applyAlignment="1" applyBorder="1" applyFont="1" applyNumberFormat="1" applyFill="1" applyProtection="1">
      <alignment horizontal="right" vertical="center"/>
    </xf>
    <xf xxid="2114" numFmtId="169" fontId="13" fillId="0" borderId="8" xfId="0" applyAlignment="1" applyBorder="1" applyFont="1" applyNumberFormat="1" applyFill="1" applyProtection="1">
      <alignment horizontal="right" vertical="center"/>
    </xf>
    <xf xxid="2115" numFmtId="0" fontId="5" fillId="0" borderId="6" xfId="0" applyAlignment="1" applyBorder="1" applyFont="1" applyNumberFormat="1" applyFill="1" applyProtection="1">
      <alignment horizontal="center" vertical="center" textRotation="90"/>
    </xf>
    <xf xxid="2116" numFmtId="0" fontId="5" fillId="0" borderId="13" xfId="0" applyAlignment="1" applyBorder="1" applyFont="1" applyNumberFormat="1" applyFill="1" applyProtection="1">
      <alignment horizontal="center" vertical="center" textRotation="90"/>
    </xf>
    <xf xxid="2117" numFmtId="0" fontId="5" fillId="0" borderId="2" xfId="0" applyAlignment="1" applyBorder="1" applyFont="1" applyNumberFormat="1" applyFill="1" applyProtection="1">
      <alignment horizontal="center" vertical="center" textRotation="90"/>
    </xf>
    <xf xxid="2118" numFmtId="0" fontId="5" fillId="0" borderId="4" xfId="0" applyAlignment="1" applyBorder="1" applyFont="1" applyNumberFormat="1" applyFill="1" applyProtection="1">
      <alignment horizontal="center" vertical="center" textRotation="90"/>
    </xf>
    <xf xxid="2119" numFmtId="0" fontId="5" fillId="0" borderId="5" xfId="0" applyAlignment="1" applyBorder="1" applyFont="1" applyNumberFormat="1" applyFill="1" applyProtection="1">
      <alignment horizontal="center" vertical="center" textRotation="90"/>
    </xf>
    <xf xxid="2120" numFmtId="0" fontId="5" fillId="0" borderId="14" xfId="0" applyAlignment="1" applyBorder="1" applyFont="1" applyNumberFormat="1" applyFill="1" applyProtection="1">
      <alignment horizontal="center" vertical="center" textRotation="90"/>
    </xf>
    <xf xxid="2121" numFmtId="0" fontId="5" fillId="0" borderId="3" xfId="0" applyAlignment="1" applyBorder="1" applyFont="1" applyNumberFormat="1" applyFill="1" applyProtection="1">
      <alignment horizontal="center" vertical="center" textRotation="90"/>
    </xf>
    <xf xxid="2122" numFmtId="0" fontId="13" fillId="0" borderId="4" xfId="0" applyAlignment="1" applyBorder="1" applyFont="1" applyNumberFormat="1" applyFill="1" applyProtection="1">
      <alignment horizontal="center" vertical="center" textRotation="90"/>
    </xf>
    <xf xxid="2123" numFmtId="0" fontId="13" fillId="0" borderId="14" xfId="0" applyAlignment="1" applyBorder="1" applyFont="1" applyNumberFormat="1" applyFill="1" applyProtection="1">
      <alignment horizontal="center" vertical="center" textRotation="90"/>
    </xf>
    <xf xxid="2124" numFmtId="0" fontId="13" fillId="0" borderId="0" xfId="0" applyAlignment="1" applyBorder="1" applyFont="1" applyNumberFormat="1" applyFill="1" applyProtection="1">
      <alignment horizontal="center" vertical="center" textRotation="90"/>
    </xf>
    <xf xxid="2125" numFmtId="0" fontId="13" fillId="0" borderId="1" xfId="0" applyAlignment="1" applyBorder="1" applyFont="1" applyNumberFormat="1" applyFill="1" applyProtection="1">
      <alignment horizontal="center" vertical="center" textRotation="90"/>
    </xf>
    <xf xxid="2126" numFmtId="0" fontId="5" fillId="0" borderId="0" xfId="0" applyAlignment="1" applyBorder="1" applyFont="1" applyNumberFormat="1" applyFill="1" applyProtection="1">
      <alignment horizontal="center" vertical="distributed"/>
    </xf>
    <xf xxid="2127" numFmtId="0" fontId="15" fillId="0" borderId="24" xfId="0" applyAlignment="1" applyBorder="1" applyFont="1" applyNumberFormat="1" applyFill="1" applyProtection="1">
      <alignment horizontal="center"/>
    </xf>
    <xf xxid="2128" numFmtId="0" fontId="15" fillId="0" borderId="29" xfId="0" applyAlignment="1" applyBorder="1" applyFont="1" applyNumberFormat="1" applyFill="1" applyProtection="1">
      <alignment horizontal="center"/>
    </xf>
    <xf xxid="2129" numFmtId="0" fontId="12" fillId="0" borderId="22" xfId="0" applyAlignment="1" applyBorder="1" applyFont="1" applyNumberFormat="1" applyFill="1" applyProtection="1">
      <alignment horizontal="center" vertical="center" textRotation="90" wrapText="1"/>
    </xf>
    <xf xxid="2130" numFmtId="0" fontId="12" fillId="0" borderId="9" xfId="0" applyAlignment="1" applyBorder="1" applyFont="1" applyNumberFormat="1" applyFill="1" applyProtection="1">
      <alignment horizontal="center" vertical="center" textRotation="90" wrapText="1"/>
    </xf>
    <xf xxid="2131" numFmtId="0" fontId="12" fillId="0" borderId="21" xfId="0" applyAlignment="1" applyBorder="1" applyFont="1" applyNumberFormat="1" applyFill="1" applyProtection="1">
      <alignment horizontal="center" vertical="center" textRotation="90" wrapText="1"/>
    </xf>
    <xf xxid="2132" numFmtId="0" fontId="12" fillId="0" borderId="10" xfId="0" applyAlignment="1" applyBorder="1" applyFont="1" applyNumberFormat="1" applyFill="1" applyProtection="1">
      <alignment horizontal="center" vertical="center" textRotation="90" wrapText="1"/>
    </xf>
    <xf xxid="2133" numFmtId="0" fontId="12" fillId="0" borderId="0" xfId="0" applyAlignment="1" applyBorder="1" applyFont="1" applyNumberFormat="1" applyFill="1" applyProtection="1">
      <alignment horizontal="center" vertical="center" textRotation="90" wrapText="1"/>
    </xf>
    <xf xxid="2134" numFmtId="0" fontId="12" fillId="0" borderId="12" xfId="0" applyAlignment="1" applyBorder="1" applyFont="1" applyNumberFormat="1" applyFill="1" applyProtection="1">
      <alignment horizontal="center" vertical="center" textRotation="90" wrapText="1"/>
    </xf>
    <xf xxid="2135" numFmtId="0" fontId="12" fillId="0" borderId="18" xfId="0" applyAlignment="1" applyBorder="1" applyFont="1" applyNumberFormat="1" applyFill="1" applyProtection="1">
      <alignment horizontal="center" vertical="center" textRotation="90" wrapText="1"/>
    </xf>
    <xf xxid="2136" numFmtId="0" fontId="12" fillId="0" borderId="8" xfId="0" applyAlignment="1" applyBorder="1" applyFont="1" applyNumberFormat="1" applyFill="1" applyProtection="1">
      <alignment horizontal="center" vertical="center" textRotation="90" wrapText="1"/>
    </xf>
    <xf xxid="2137" numFmtId="0" fontId="12" fillId="0" borderId="19" xfId="0" applyAlignment="1" applyBorder="1" applyFont="1" applyNumberFormat="1" applyFill="1" applyProtection="1">
      <alignment horizontal="center" vertical="center" textRotation="90" wrapText="1"/>
    </xf>
    <xf xxid="2138" numFmtId="0" fontId="11" fillId="0" borderId="0" xfId="0" applyAlignment="1" applyBorder="1" applyFont="1" applyNumberFormat="1" applyFill="1" applyProtection="1">
      <alignment horizontal="center" vertical="center"/>
    </xf>
    <xf xxid="2139" numFmtId="0" fontId="6" fillId="0" borderId="16" xfId="0" applyAlignment="1" applyBorder="1" applyFont="1" applyNumberFormat="1" applyFill="1" applyProtection="1">
      <alignment horizontal="center" vertical="center"/>
    </xf>
    <xf xxid="2140" numFmtId="0" fontId="15" fillId="8" borderId="10" xfId="0" applyAlignment="1" applyBorder="1" applyFont="1" applyNumberFormat="1" applyFill="1" applyProtection="1">
      <alignment horizontal="center"/>
    </xf>
    <xf xxid="2141" numFmtId="0" fontId="15" fillId="8" borderId="0" xfId="0" applyAlignment="1" applyBorder="1" applyFont="1" applyNumberFormat="1" applyFill="1" applyProtection="1">
      <alignment horizontal="center"/>
    </xf>
    <xf xxid="2142" numFmtId="0" fontId="15" fillId="8" borderId="12" xfId="0" applyAlignment="1" applyBorder="1" applyFont="1" applyNumberFormat="1" applyFill="1" applyProtection="1">
      <alignment horizontal="center"/>
    </xf>
    <xf xxid="2143" numFmtId="0" fontId="23" fillId="0" borderId="22" xfId="0" applyAlignment="1" applyBorder="1" applyFont="1" applyNumberFormat="1" applyFill="1" applyProtection="1">
      <alignment horizontal="center" textRotation="90"/>
    </xf>
    <xf xxid="2144" numFmtId="0" fontId="23" fillId="0" borderId="9" xfId="0" applyAlignment="1" applyBorder="1" applyFont="1" applyNumberFormat="1" applyFill="1" applyProtection="1">
      <alignment horizontal="center" textRotation="90"/>
    </xf>
    <xf xxid="2145" numFmtId="0" fontId="23" fillId="0" borderId="21" xfId="0" applyAlignment="1" applyBorder="1" applyFont="1" applyNumberFormat="1" applyFill="1" applyProtection="1">
      <alignment horizontal="center" textRotation="90"/>
    </xf>
    <xf xxid="2146" numFmtId="0" fontId="23" fillId="0" borderId="10" xfId="0" applyAlignment="1" applyBorder="1" applyFont="1" applyNumberFormat="1" applyFill="1" applyProtection="1">
      <alignment horizontal="center" textRotation="90"/>
    </xf>
    <xf xxid="2147" numFmtId="0" fontId="23" fillId="0" borderId="0" xfId="0" applyAlignment="1" applyBorder="1" applyFont="1" applyNumberFormat="1" applyFill="1" applyProtection="1">
      <alignment horizontal="center" textRotation="90"/>
    </xf>
    <xf xxid="2148" numFmtId="0" fontId="23" fillId="0" borderId="12" xfId="0" applyAlignment="1" applyBorder="1" applyFont="1" applyNumberFormat="1" applyFill="1" applyProtection="1">
      <alignment horizontal="center" textRotation="90"/>
    </xf>
    <xf xxid="2149" numFmtId="0" fontId="23" fillId="0" borderId="18" xfId="0" applyAlignment="1" applyBorder="1" applyFont="1" applyNumberFormat="1" applyFill="1" applyProtection="1">
      <alignment horizontal="center" textRotation="90"/>
    </xf>
    <xf xxid="2150" numFmtId="0" fontId="23" fillId="0" borderId="8" xfId="0" applyAlignment="1" applyBorder="1" applyFont="1" applyNumberFormat="1" applyFill="1" applyProtection="1">
      <alignment horizontal="center" textRotation="90"/>
    </xf>
    <xf xxid="2151" numFmtId="0" fontId="23" fillId="0" borderId="19" xfId="0" applyAlignment="1" applyBorder="1" applyFont="1" applyNumberFormat="1" applyFill="1" applyProtection="1">
      <alignment horizontal="center" textRotation="90"/>
    </xf>
    <xf xxid="2152" numFmtId="0" fontId="6" fillId="0" borderId="12" xfId="0" applyAlignment="1" applyBorder="1" applyFont="1" applyNumberFormat="1" applyFill="1" applyProtection="1">
      <alignment horizontal="left" vertical="center" wrapText="1"/>
    </xf>
    <xf xxid="2153" numFmtId="188" fontId="10" fillId="0" borderId="0" xfId="0" applyAlignment="1" applyBorder="1" applyFont="1" applyNumberFormat="1" applyFill="1" applyProtection="1">
      <alignment horizontal="left"/>
    </xf>
    <xf xxid="2154" numFmtId="0" fontId="6" fillId="0" borderId="8" xfId="0" applyAlignment="1" applyBorder="1" applyFont="1" applyNumberFormat="1" applyFill="1" applyProtection="1">
      <alignment horizontal="left" vertical="center" wrapText="1"/>
    </xf>
    <xf xxid="2155" numFmtId="0" fontId="6" fillId="0" borderId="19" xfId="0" applyAlignment="1" applyBorder="1" applyFont="1" applyNumberFormat="1" applyFill="1" applyProtection="1">
      <alignment horizontal="left" vertical="center" wrapText="1"/>
    </xf>
    <xf xxid="2156" numFmtId="0" fontId="10" fillId="0" borderId="10" xfId="0" applyAlignment="1" applyBorder="1" applyFont="1" applyNumberFormat="1" applyFill="1" applyProtection="1">
      <alignment horizontal="center" vertical="center" textRotation="90"/>
    </xf>
    <xf xxid="2157" numFmtId="0" fontId="10" fillId="0" borderId="0" xfId="0" applyAlignment="1" applyBorder="1" applyFont="1" applyNumberFormat="1" applyFill="1" applyProtection="1">
      <alignment horizontal="center" vertical="center" textRotation="90"/>
    </xf>
    <xf xxid="2158" numFmtId="0" fontId="10" fillId="0" borderId="12" xfId="0" applyAlignment="1" applyBorder="1" applyFont="1" applyNumberFormat="1" applyFill="1" applyProtection="1">
      <alignment horizontal="center" vertical="center" textRotation="90"/>
    </xf>
    <xf xxid="2159" numFmtId="0" fontId="10" fillId="0" borderId="18" xfId="0" applyAlignment="1" applyBorder="1" applyFont="1" applyNumberFormat="1" applyFill="1" applyProtection="1">
      <alignment horizontal="center" vertical="center" textRotation="90"/>
    </xf>
    <xf xxid="2160" numFmtId="0" fontId="10" fillId="0" borderId="8" xfId="0" applyAlignment="1" applyBorder="1" applyFont="1" applyNumberFormat="1" applyFill="1" applyProtection="1">
      <alignment horizontal="center" vertical="center" textRotation="90"/>
    </xf>
    <xf xxid="2161" numFmtId="0" fontId="10" fillId="0" borderId="19" xfId="0" applyAlignment="1" applyBorder="1" applyFont="1" applyNumberFormat="1" applyFill="1" applyProtection="1">
      <alignment horizontal="center" vertical="center" textRotation="90"/>
    </xf>
    <xf xxid="2162" numFmtId="0" fontId="10" fillId="0" borderId="22" xfId="0" applyAlignment="1" applyBorder="1" applyFont="1" applyNumberFormat="1" applyFill="1" applyProtection="1">
      <alignment horizontal="center" vertical="center" textRotation="90"/>
    </xf>
    <xf xxid="2163" numFmtId="0" fontId="10" fillId="0" borderId="9" xfId="0" applyAlignment="1" applyBorder="1" applyFont="1" applyNumberFormat="1" applyFill="1" applyProtection="1">
      <alignment horizontal="center" vertical="center" textRotation="90"/>
    </xf>
    <xf xxid="2164" numFmtId="0" fontId="10" fillId="0" borderId="21" xfId="0" applyAlignment="1" applyBorder="1" applyFont="1" applyNumberFormat="1" applyFill="1" applyProtection="1">
      <alignment horizontal="center" vertical="center" textRotation="90"/>
    </xf>
    <xf xxid="2165" numFmtId="0" fontId="6" fillId="0" borderId="0" xfId="0" applyAlignment="1" applyBorder="1" applyFont="1" applyNumberFormat="1" applyFill="1" applyProtection="1">
      <alignment horizontal="left" wrapText="1"/>
    </xf>
    <xf xxid="2166" numFmtId="0" fontId="21" fillId="0" borderId="4" xfId="0" applyAlignment="1" applyBorder="1" applyFont="1" applyNumberFormat="1" applyFill="1" applyProtection="1">
      <alignment horizontal="center" vertical="center"/>
    </xf>
    <xf xxid="2167" numFmtId="0" fontId="21" fillId="0" borderId="0" xfId="0" applyAlignment="1" applyBorder="1" applyFont="1" applyNumberFormat="1" applyFill="1" applyProtection="1">
      <alignment horizontal="center" vertical="center"/>
    </xf>
    <xf xxid="2168" numFmtId="0" fontId="21" fillId="0" borderId="5" xfId="0" applyAlignment="1" applyBorder="1" applyFont="1" applyNumberFormat="1" applyFill="1" applyProtection="1">
      <alignment horizontal="center" vertical="center"/>
    </xf>
    <xf xxid="2169" numFmtId="0" fontId="25" fillId="0" borderId="0" xfId="0" applyAlignment="1" applyBorder="1" applyFont="1" applyNumberFormat="1" applyFill="1" applyProtection="1">
      <alignment horizontal="center" vertical="center"/>
    </xf>
    <xf xxid="2170" numFmtId="0" fontId="17" fillId="0" borderId="14" xfId="0" applyAlignment="1" applyBorder="1" applyFont="1" applyNumberFormat="1" applyFill="1" applyProtection="1">
      <alignment horizontal="center"/>
    </xf>
    <xf xxid="2171" numFmtId="0" fontId="17" fillId="0" borderId="1" xfId="0" applyAlignment="1" applyBorder="1" applyFont="1" applyNumberFormat="1" applyFill="1" applyProtection="1">
      <alignment horizontal="center"/>
    </xf>
    <xf xxid="2172" numFmtId="0" fontId="17" fillId="0" borderId="3" xfId="0" applyAlignment="1" applyBorder="1" applyFont="1" applyNumberFormat="1" applyFill="1" applyProtection="1">
      <alignment horizontal="center"/>
    </xf>
    <xf xxid="2173" numFmtId="0" fontId="5" fillId="0" borderId="1" xfId="0" applyAlignment="1" applyBorder="1" applyFont="1" applyNumberFormat="1" applyFill="1" applyProtection="1">
      <alignment horizontal="center" vertical="center" readingOrder="1"/>
    </xf>
    <xf xxid="2174" numFmtId="0" fontId="5" fillId="0" borderId="5" xfId="0" applyAlignment="1" applyBorder="1" applyFont="1" applyNumberFormat="1" applyFill="1" applyProtection="1">
      <alignment horizontal="center"/>
    </xf>
    <xf xxid="2175" numFmtId="169" fontId="13" fillId="0" borderId="10" xfId="0" applyAlignment="1" applyBorder="1" applyFont="1" applyNumberFormat="1" applyFill="1" applyProtection="1">
      <alignment horizontal="right" vertical="center"/>
    </xf>
    <xf xxid="2176" numFmtId="169" fontId="13" fillId="0" borderId="0" xfId="0" applyAlignment="1" applyBorder="1" applyFont="1" applyNumberFormat="1" applyFill="1" applyProtection="1">
      <alignment horizontal="right" vertical="center"/>
    </xf>
    <xf xxid="2177" numFmtId="0" fontId="6" fillId="0" borderId="42" xfId="0" applyAlignment="1" applyBorder="1" applyFont="1" applyNumberFormat="1" applyFill="1" applyProtection="1">
      <alignment horizontal="center" vertical="center"/>
    </xf>
    <xf xxid="2178" numFmtId="0" fontId="12" fillId="0" borderId="13" xfId="0" applyAlignment="1" applyBorder="1" applyFont="1" applyNumberFormat="1" applyFill="1" applyProtection="1">
      <alignment horizontal="center" vertical="center" wrapText="1"/>
    </xf>
    <xf xxid="2179" numFmtId="0" fontId="12" fillId="0" borderId="6" xfId="0" applyAlignment="1" applyBorder="1" applyFont="1" applyNumberFormat="1" applyFill="1" applyProtection="1">
      <alignment horizontal="center" vertical="center" wrapText="1"/>
    </xf>
    <xf xxid="2180" numFmtId="0" fontId="12" fillId="0" borderId="2" xfId="0" applyAlignment="1" applyBorder="1" applyFont="1" applyNumberFormat="1" applyFill="1" applyProtection="1">
      <alignment horizontal="center" vertical="center" wrapText="1"/>
    </xf>
    <xf xxid="2181" numFmtId="0" fontId="12" fillId="0" borderId="4" xfId="0" applyAlignment="1" applyBorder="1" applyFont="1" applyNumberFormat="1" applyFill="1" applyProtection="1">
      <alignment horizontal="center" vertical="center" wrapText="1"/>
    </xf>
    <xf xxid="2182" numFmtId="0" fontId="12" fillId="0" borderId="0" xfId="0" applyAlignment="1" applyBorder="1" applyFont="1" applyNumberFormat="1" applyFill="1" applyProtection="1">
      <alignment horizontal="center" vertical="center" wrapText="1"/>
    </xf>
    <xf xxid="2183" numFmtId="0" fontId="12" fillId="0" borderId="5" xfId="0" applyAlignment="1" applyBorder="1" applyFont="1" applyNumberFormat="1" applyFill="1" applyProtection="1">
      <alignment horizontal="center" vertical="center" wrapText="1"/>
    </xf>
    <xf xxid="2184" numFmtId="0" fontId="6" fillId="0" borderId="0" xfId="0" applyAlignment="1" applyBorder="1" applyFont="1" applyNumberFormat="1" applyFill="1" applyProtection="1">
      <alignment horizontal="left" vertical="top" wrapText="1"/>
    </xf>
    <xf xxid="2185" numFmtId="169" fontId="17" fillId="0" borderId="22" xfId="0" applyAlignment="1" applyBorder="1" applyFont="1" applyNumberFormat="1" applyFill="1" applyProtection="1">
      <alignment horizontal="center" vertical="center"/>
    </xf>
    <xf xxid="2186" numFmtId="169" fontId="17" fillId="0" borderId="9" xfId="0" applyAlignment="1" applyBorder="1" applyFont="1" applyNumberFormat="1" applyFill="1" applyProtection="1">
      <alignment horizontal="center" vertical="center"/>
    </xf>
    <xf xxid="2187" numFmtId="169" fontId="17" fillId="0" borderId="8" xfId="0" applyAlignment="1" applyBorder="1" applyFont="1" applyNumberFormat="1" applyFill="1" applyProtection="1">
      <alignment horizontal="center" vertical="center"/>
    </xf>
    <xf xxid="2188" numFmtId="0" fontId="25" fillId="0" borderId="7" xfId="0" applyAlignment="1" applyBorder="1" applyFont="1" applyNumberFormat="1" applyFill="1" applyProtection="1">
      <alignment horizontal="center" vertical="distributed"/>
    </xf>
    <xf xxid="2189" numFmtId="169" fontId="17" fillId="0" borderId="23" xfId="0" applyAlignment="1" applyBorder="1" applyFont="1" applyNumberFormat="1" applyFill="1" applyProtection="1">
      <alignment horizontal="center" vertical="center"/>
    </xf>
    <xf xxid="2190" numFmtId="169" fontId="17" fillId="0" borderId="40" xfId="0" applyAlignment="1" applyBorder="1" applyFont="1" applyNumberFormat="1" applyFill="1" applyProtection="1">
      <alignment horizontal="center" vertical="center"/>
    </xf>
    <xf xxid="2191" numFmtId="0" fontId="3" fillId="0" borderId="21" xfId="0" applyAlignment="1" applyBorder="1" applyFont="1" applyNumberFormat="1" applyFill="1" applyProtection="1">
      <alignment horizontal="center" vertical="center"/>
    </xf>
    <xf xxid="2192" numFmtId="0" fontId="3" fillId="0" borderId="21" xfId="0" applyAlignment="1" applyBorder="1" applyFont="1" applyNumberFormat="1" applyFill="1" applyProtection="1">
      <alignment horizontal="center"/>
    </xf>
    <xf xxid="2193" numFmtId="0" fontId="17" fillId="0" borderId="23" xfId="0" applyAlignment="1" applyBorder="1" applyFont="1" applyNumberFormat="1" applyFill="1" applyProtection="1">
      <alignment horizontal="center" vertical="center"/>
    </xf>
    <xf xxid="2194" numFmtId="0" fontId="17" fillId="0" borderId="40" xfId="0" applyAlignment="1" applyBorder="1" applyFont="1" applyNumberFormat="1" applyFill="1" applyProtection="1">
      <alignment horizontal="center" vertical="center"/>
    </xf>
    <xf xxid="2195" numFmtId="0" fontId="17" fillId="0" borderId="41" xfId="0" applyAlignment="1" applyBorder="1" applyFont="1" applyNumberFormat="1" applyFill="1" applyProtection="1">
      <alignment horizontal="center" vertical="center"/>
    </xf>
    <xf xxid="2196" numFmtId="0" fontId="17" fillId="0" borderId="18" xfId="0" applyAlignment="1" applyBorder="1" applyFont="1" applyNumberFormat="1" applyFill="1" applyProtection="1">
      <alignment horizontal="center" vertical="center"/>
    </xf>
    <xf xxid="2197" numFmtId="0" fontId="17" fillId="0" borderId="8" xfId="0" applyAlignment="1" applyBorder="1" applyFont="1" applyNumberFormat="1" applyFill="1" applyProtection="1">
      <alignment horizontal="center" vertical="center"/>
    </xf>
    <xf xxid="2198" numFmtId="0" fontId="17" fillId="0" borderId="19" xfId="0" applyAlignment="1" applyBorder="1" applyFont="1" applyNumberFormat="1" applyFill="1" applyProtection="1">
      <alignment horizontal="center" vertical="center"/>
    </xf>
    <xf xxid="2199" numFmtId="169" fontId="17" fillId="0" borderId="21" xfId="0" applyAlignment="1" applyBorder="1" applyFont="1" applyNumberFormat="1" applyFill="1" applyProtection="1">
      <alignment horizontal="center" vertical="center"/>
    </xf>
    <xf xxid="2200" numFmtId="169" fontId="17" fillId="0" borderId="19" xfId="0" applyAlignment="1" applyBorder="1" applyFont="1" applyNumberFormat="1" applyFill="1" applyProtection="1">
      <alignment horizontal="center" vertical="center"/>
    </xf>
    <xf xxid="2201" numFmtId="169" fontId="17" fillId="0" borderId="12" xfId="0" applyAlignment="1" applyBorder="1" applyFont="1" applyNumberFormat="1" applyFill="1" applyProtection="1">
      <alignment horizontal="center" vertical="center"/>
    </xf>
    <xf xxid="2202" numFmtId="0" fontId="5" fillId="0" borderId="0" xfId="0" applyAlignment="1" applyBorder="1" applyFont="1" applyNumberFormat="1" applyFill="1" applyProtection="1">
      <alignment horizontal="center" vertical="center"/>
    </xf>
    <xf xxid="2203" numFmtId="0" fontId="5" fillId="0" borderId="5" xfId="0" applyAlignment="1" applyBorder="1" applyFont="1" applyNumberFormat="1" applyFill="1" applyProtection="1">
      <alignment horizontal="center" vertical="center"/>
    </xf>
    <xf xxid="2204" numFmtId="0" fontId="13" fillId="0" borderId="14" xfId="0" applyAlignment="1" applyBorder="1" applyFont="1" applyNumberFormat="1" applyFill="1" applyProtection="1">
      <alignment horizontal="center" vertical="center"/>
    </xf>
    <xf xxid="2205" numFmtId="0" fontId="13" fillId="0" borderId="1" xfId="0" applyAlignment="1" applyBorder="1" applyFont="1" applyNumberFormat="1" applyFill="1" applyProtection="1">
      <alignment horizontal="center" vertical="center"/>
    </xf>
    <xf xxid="2206" numFmtId="0" fontId="13" fillId="0" borderId="3" xfId="0" applyAlignment="1" applyBorder="1" applyFont="1" applyNumberFormat="1" applyFill="1" applyProtection="1">
      <alignment horizontal="center" vertical="center"/>
    </xf>
    <xf xxid="2207" numFmtId="0" fontId="13" fillId="0" borderId="4" xfId="0" applyAlignment="1" applyBorder="1" applyFont="1" applyNumberFormat="1" applyFill="1" applyProtection="1">
      <alignment horizontal="center"/>
    </xf>
    <xf xxid="2208" numFmtId="0" fontId="13" fillId="0" borderId="5" xfId="0" applyAlignment="1" applyBorder="1" applyFont="1" applyNumberFormat="1" applyFill="1" applyProtection="1">
      <alignment horizontal="center"/>
    </xf>
    <xf xxid="2209" numFmtId="0" fontId="5" fillId="0" borderId="1" xfId="0" applyAlignment="1" applyBorder="1" applyFont="1" applyNumberFormat="1" applyFill="1" applyProtection="1">
      <alignment horizontal="center" vertical="distributed"/>
    </xf>
    <xf xxid="2210" numFmtId="0" fontId="3" fillId="0" borderId="19" xfId="0" applyAlignment="1" applyBorder="1" applyFont="1" applyNumberFormat="1" applyFill="1" applyProtection="1">
      <alignment horizontal="center" vertical="center"/>
    </xf>
    <xf xxid="2211" numFmtId="0" fontId="3" fillId="0" borderId="12" xfId="0" applyAlignment="1" applyBorder="1" applyFont="1" applyNumberFormat="1" applyFill="1" applyProtection="1">
      <alignment horizontal="center"/>
    </xf>
    <xf xxid="2212" numFmtId="0" fontId="2" fillId="0" borderId="20" xfId="0" applyAlignment="1" applyBorder="1" applyFont="1" applyNumberFormat="1" applyFill="1" applyProtection="1">
      <alignment horizontal="center" vertical="center"/>
    </xf>
    <xf xxid="2213" numFmtId="0" fontId="2" fillId="0" borderId="29" xfId="0" applyAlignment="1" applyBorder="1" applyFont="1" applyNumberFormat="1" applyFill="1" applyProtection="1">
      <alignment horizontal="center" vertical="center"/>
    </xf>
    <xf xxid="2214" numFmtId="0" fontId="3" fillId="0" borderId="10" xfId="0" applyAlignment="1" applyBorder="1" applyFont="1" applyNumberFormat="1" applyFill="1" applyProtection="1">
      <alignment horizontal="left" vertical="center"/>
    </xf>
    <xf xxid="2215" numFmtId="0" fontId="3" fillId="0" borderId="18" xfId="0" applyAlignment="1" applyBorder="1" applyFont="1" applyNumberFormat="1" applyFill="1" applyProtection="1">
      <alignment horizontal="left" vertical="center"/>
    </xf>
    <xf xxid="2216" numFmtId="0" fontId="3" fillId="0" borderId="8" xfId="0" applyAlignment="1" applyBorder="1" applyFont="1" applyNumberFormat="1" applyFill="1" applyProtection="1">
      <alignment horizontal="left" vertical="center"/>
    </xf>
    <xf xxid="2217" numFmtId="0" fontId="3" fillId="0" borderId="8" xfId="0" applyAlignment="1" applyBorder="1" applyFont="1" applyNumberFormat="1" applyFill="1" applyProtection="1">
      <alignment horizontal="center" vertical="center"/>
    </xf>
    <xf xxid="2218" numFmtId="0" fontId="3" fillId="0" borderId="19" xfId="0" applyAlignment="1" applyBorder="1" applyFont="1" applyNumberFormat="1" applyFill="1" applyProtection="1">
      <alignment horizontal="left" vertical="center"/>
    </xf>
    <xf xxid="2219" numFmtId="0" fontId="2" fillId="0" borderId="8" xfId="0" applyAlignment="1" applyBorder="1" applyFont="1" applyNumberFormat="1" applyFill="1" applyProtection="1">
      <alignment horizontal="center" vertical="center"/>
    </xf>
    <xf xxid="2220" numFmtId="0" fontId="2" fillId="0" borderId="19" xfId="0" applyAlignment="1" applyBorder="1" applyFont="1" applyNumberFormat="1" applyFill="1" applyProtection="1">
      <alignment horizontal="center" vertical="center"/>
    </xf>
    <xf xxid="2221" numFmtId="0" fontId="2" fillId="0" borderId="22" xfId="0" applyAlignment="1" applyBorder="1" applyFont="1" applyNumberFormat="1" applyFill="1" applyProtection="1">
      <alignment horizontal="center" vertical="center"/>
    </xf>
    <xf xxid="2222" numFmtId="0" fontId="2" fillId="0" borderId="9" xfId="0" applyAlignment="1" applyBorder="1" applyFont="1" applyNumberFormat="1" applyFill="1" applyProtection="1">
      <alignment horizontal="center" vertical="center"/>
    </xf>
    <xf xxid="2223" numFmtId="0" fontId="2" fillId="0" borderId="21" xfId="0" applyAlignment="1" applyBorder="1" applyFont="1" applyNumberFormat="1" applyFill="1" applyProtection="1">
      <alignment horizontal="center" vertical="center"/>
    </xf>
    <xf xxid="2224" numFmtId="167" fontId="17" fillId="0" borderId="18" xfId="0" applyAlignment="1" applyBorder="1" applyFont="1" applyNumberFormat="1" applyFill="1" applyProtection="1">
      <alignment horizontal="center" vertical="center" wrapText="1"/>
    </xf>
    <xf xxid="2225" numFmtId="167" fontId="17" fillId="0" borderId="8" xfId="0" applyAlignment="1" applyBorder="1" applyFont="1" applyNumberFormat="1" applyFill="1" applyProtection="1">
      <alignment horizontal="center" vertical="center" wrapText="1"/>
    </xf>
    <xf xxid="2226" numFmtId="167" fontId="17" fillId="0" borderId="19" xfId="0" applyAlignment="1" applyBorder="1" applyFont="1" applyNumberFormat="1" applyFill="1" applyProtection="1">
      <alignment horizontal="center" vertical="center" wrapText="1"/>
    </xf>
    <xf xxid="2227" numFmtId="173" fontId="17" fillId="0" borderId="22" xfId="0" applyAlignment="1" applyBorder="1" applyFont="1" applyNumberFormat="1" applyFill="1" applyProtection="1">
      <alignment horizontal="center" vertical="center" wrapText="1"/>
    </xf>
    <xf xxid="2228" numFmtId="173" fontId="17" fillId="0" borderId="9" xfId="0" applyAlignment="1" applyBorder="1" applyFont="1" applyNumberFormat="1" applyFill="1" applyProtection="1">
      <alignment horizontal="center" vertical="center" wrapText="1"/>
    </xf>
    <xf xxid="2229" numFmtId="173" fontId="17" fillId="0" borderId="21" xfId="0" applyAlignment="1" applyBorder="1" applyFont="1" applyNumberFormat="1" applyFill="1" applyProtection="1">
      <alignment horizontal="center" vertical="center" wrapText="1"/>
    </xf>
    <xf xxid="2230" numFmtId="173" fontId="17" fillId="0" borderId="18" xfId="0" applyAlignment="1" applyBorder="1" applyFont="1" applyNumberFormat="1" applyFill="1" applyProtection="1">
      <alignment horizontal="center" vertical="center" wrapText="1"/>
    </xf>
    <xf xxid="2231" numFmtId="173" fontId="17" fillId="0" borderId="8" xfId="0" applyAlignment="1" applyBorder="1" applyFont="1" applyNumberFormat="1" applyFill="1" applyProtection="1">
      <alignment horizontal="center" vertical="center" wrapText="1"/>
    </xf>
    <xf xxid="2232" numFmtId="173" fontId="17" fillId="0" borderId="19" xfId="0" applyAlignment="1" applyBorder="1" applyFont="1" applyNumberFormat="1" applyFill="1" applyProtection="1">
      <alignment horizontal="center" vertical="center" wrapText="1"/>
    </xf>
    <xf xxid="2233" numFmtId="0" fontId="3" fillId="0" borderId="22" xfId="0" applyAlignment="1" applyBorder="1" applyFont="1" applyNumberFormat="1" applyFill="1" applyProtection="1">
      <alignment horizontal="left" vertical="center"/>
    </xf>
    <xf xxid="2234" numFmtId="0" fontId="3" fillId="0" borderId="9" xfId="0" applyAlignment="1" applyBorder="1" applyFont="1" applyNumberFormat="1" applyFill="1" applyProtection="1">
      <alignment horizontal="left"/>
    </xf>
    <xf xxid="2235" numFmtId="0" fontId="3" fillId="0" borderId="18" xfId="0" applyAlignment="1" applyBorder="1" applyFont="1" applyNumberFormat="1" applyFill="1" applyProtection="1">
      <alignment horizontal="left"/>
    </xf>
    <xf xxid="2236" numFmtId="0" fontId="3" fillId="0" borderId="8" xfId="0" applyAlignment="1" applyBorder="1" applyFont="1" applyNumberFormat="1" applyFill="1" applyProtection="1">
      <alignment horizontal="left"/>
    </xf>
    <xf xxid="2237" numFmtId="0" fontId="3" fillId="0" borderId="10" xfId="0" applyAlignment="1" applyBorder="1" applyFont="1" applyNumberFormat="1" applyFill="1" applyProtection="1">
      <alignment horizontal="left" vertical="center" wrapText="1"/>
    </xf>
    <xf xxid="2238" numFmtId="0" fontId="3" fillId="0" borderId="0" xfId="0" applyAlignment="1" applyBorder="1" applyFont="1" applyNumberFormat="1" applyFill="1" applyProtection="1">
      <alignment horizontal="left" vertical="center" wrapText="1"/>
    </xf>
    <xf xxid="2239" numFmtId="0" fontId="3" fillId="0" borderId="18" xfId="0" applyAlignment="1" applyBorder="1" applyFont="1" applyNumberFormat="1" applyFill="1" applyProtection="1">
      <alignment horizontal="left" vertical="center" wrapText="1"/>
    </xf>
    <xf xxid="2240" numFmtId="0" fontId="3" fillId="0" borderId="8" xfId="0" applyAlignment="1" applyBorder="1" applyFont="1" applyNumberFormat="1" applyFill="1" applyProtection="1">
      <alignment horizontal="left" vertical="center" wrapText="1"/>
    </xf>
    <xf xxid="2241" numFmtId="0" fontId="3" fillId="0" borderId="16" xfId="0" applyAlignment="1" applyBorder="1" applyFont="1" applyNumberFormat="1" applyFill="1" applyProtection="1">
      <alignment horizontal="center" vertical="center"/>
    </xf>
    <xf xxid="2242" numFmtId="0" fontId="3" fillId="0" borderId="12" xfId="0" applyAlignment="1" applyBorder="1" applyFont="1" applyNumberFormat="1" applyFill="1" applyProtection="1">
      <alignment horizontal="left" vertical="center" wrapText="1"/>
    </xf>
    <xf xxid="2243" numFmtId="0" fontId="3" fillId="0" borderId="19" xfId="0" applyAlignment="1" applyBorder="1" applyFont="1" applyNumberFormat="1" applyFill="1" applyProtection="1">
      <alignment horizontal="left" vertical="center" wrapText="1"/>
    </xf>
    <xf xxid="2244" numFmtId="0" fontId="3" fillId="0" borderId="24" xfId="0" applyAlignment="1" applyBorder="1" applyFont="1" applyNumberFormat="1" applyFill="1" applyProtection="1">
      <alignment horizontal="center"/>
    </xf>
    <xf xxid="2245" numFmtId="0" fontId="3" fillId="0" borderId="20" xfId="0" applyAlignment="1" applyBorder="1" applyFont="1" applyNumberFormat="1" applyFill="1" applyProtection="1">
      <alignment horizontal="center"/>
    </xf>
    <xf xxid="2246" numFmtId="0" fontId="3" fillId="0" borderId="29" xfId="0" applyAlignment="1" applyBorder="1" applyFont="1" applyNumberFormat="1" applyFill="1" applyProtection="1">
      <alignment horizontal="center"/>
    </xf>
    <xf xxid="2247" numFmtId="173" fontId="17" fillId="0" borderId="10" xfId="0" applyAlignment="1" applyBorder="1" applyFont="1" applyNumberFormat="1" applyFill="1" applyProtection="1">
      <alignment horizontal="center" vertical="center" wrapText="1"/>
    </xf>
    <xf xxid="2248" numFmtId="173" fontId="17" fillId="0" borderId="0" xfId="0" applyAlignment="1" applyBorder="1" applyFont="1" applyNumberFormat="1" applyFill="1" applyProtection="1">
      <alignment horizontal="center" vertical="center" wrapText="1"/>
    </xf>
    <xf xxid="2249" numFmtId="167" fontId="17" fillId="0" borderId="18" xfId="0" applyAlignment="1" applyBorder="1" applyFont="1" applyNumberFormat="1" applyFill="1" applyProtection="1">
      <alignment horizontal="center" vertical="center" wrapText="1"/>
      <protection hidden="1"/>
    </xf>
    <xf xxid="2250" numFmtId="167" fontId="17" fillId="0" borderId="8" xfId="0" applyAlignment="1" applyBorder="1" applyFont="1" applyNumberFormat="1" applyFill="1" applyProtection="1">
      <alignment horizontal="center" vertical="center" wrapText="1"/>
      <protection hidden="1"/>
    </xf>
    <xf xxid="2251" numFmtId="167" fontId="17" fillId="0" borderId="19" xfId="0" applyAlignment="1" applyBorder="1" applyFont="1" applyNumberFormat="1" applyFill="1" applyProtection="1">
      <alignment horizontal="center" vertical="center" wrapText="1"/>
      <protection hidden="1"/>
    </xf>
    <xf xxid="2252" numFmtId="167" fontId="17" fillId="0" borderId="23" xfId="0" applyAlignment="1" applyBorder="1" applyFont="1" applyNumberFormat="1" applyFill="1" applyProtection="1">
      <alignment horizontal="center" vertical="center" wrapText="1"/>
    </xf>
    <xf xxid="2253" numFmtId="167" fontId="17" fillId="0" borderId="40" xfId="0" applyAlignment="1" applyBorder="1" applyFont="1" applyNumberFormat="1" applyFill="1" applyProtection="1">
      <alignment horizontal="center" vertical="center" wrapText="1"/>
    </xf>
    <xf xxid="2254" numFmtId="167" fontId="17" fillId="0" borderId="41" xfId="0" applyAlignment="1" applyBorder="1" applyFont="1" applyNumberFormat="1" applyFill="1" applyProtection="1">
      <alignment horizontal="center" vertical="center" wrapText="1"/>
    </xf>
    <xf xxid="2255" numFmtId="167" fontId="38" fillId="0" borderId="22" xfId="0" applyAlignment="1" applyBorder="1" applyFont="1" applyNumberFormat="1" applyFill="1" applyProtection="1">
      <alignment horizontal="center" vertical="center" wrapText="1"/>
      <protection hidden="1"/>
    </xf>
    <xf xxid="2256" numFmtId="167" fontId="38" fillId="0" borderId="21" xfId="0" applyAlignment="1" applyBorder="1" applyFont="1" applyNumberFormat="1" applyFill="1" applyProtection="1">
      <alignment horizontal="center" vertical="center" wrapText="1"/>
      <protection hidden="1"/>
    </xf>
    <xf xxid="2257" numFmtId="167" fontId="38" fillId="0" borderId="18" xfId="0" applyAlignment="1" applyBorder="1" applyFont="1" applyNumberFormat="1" applyFill="1" applyProtection="1">
      <alignment horizontal="center" vertical="center" wrapText="1"/>
      <protection hidden="1"/>
    </xf>
    <xf xxid="2258" numFmtId="167" fontId="38" fillId="0" borderId="8" xfId="0" applyAlignment="1" applyBorder="1" applyFont="1" applyNumberFormat="1" applyFill="1" applyProtection="1">
      <alignment horizontal="center" vertical="center" wrapText="1"/>
      <protection hidden="1"/>
    </xf>
    <xf xxid="2259" numFmtId="167" fontId="38" fillId="0" borderId="19" xfId="0" applyAlignment="1" applyBorder="1" applyFont="1" applyNumberFormat="1" applyFill="1" applyProtection="1">
      <alignment horizontal="center" vertical="center" wrapText="1"/>
      <protection hidden="1"/>
    </xf>
    <xf xxid="2260" numFmtId="167" fontId="38" fillId="0" borderId="10" xfId="0" applyAlignment="1" applyBorder="1" applyFont="1" applyNumberFormat="1" applyFill="1" applyProtection="1">
      <alignment horizontal="center" vertical="center" wrapText="1"/>
      <protection hidden="1"/>
    </xf>
    <xf xxid="2261" numFmtId="167" fontId="38" fillId="0" borderId="12" xfId="0" applyAlignment="1" applyBorder="1" applyFont="1" applyNumberFormat="1" applyFill="1" applyProtection="1">
      <alignment horizontal="center" vertical="center" wrapText="1"/>
      <protection hidden="1"/>
    </xf>
    <xf xxid="2262" numFmtId="167" fontId="38" fillId="0" borderId="23" xfId="0" applyAlignment="1" applyBorder="1" applyFont="1" applyNumberFormat="1" applyFill="1" applyProtection="1">
      <alignment horizontal="center" vertical="center" wrapText="1"/>
      <protection hidden="1"/>
    </xf>
    <xf xxid="2263" numFmtId="167" fontId="38" fillId="0" borderId="40" xfId="0" applyAlignment="1" applyBorder="1" applyFont="1" applyNumberFormat="1" applyFill="1" applyProtection="1">
      <alignment horizontal="center" vertical="center" wrapText="1"/>
      <protection hidden="1"/>
    </xf>
    <xf xxid="2264" numFmtId="167" fontId="38" fillId="0" borderId="41" xfId="0" applyAlignment="1" applyBorder="1" applyFont="1" applyNumberFormat="1" applyFill="1" applyProtection="1">
      <alignment horizontal="center" vertical="center" wrapText="1"/>
      <protection hidden="1"/>
    </xf>
    <xf xxid="2265" numFmtId="167" fontId="17" fillId="0" borderId="23" xfId="0" applyAlignment="1" applyBorder="1" applyFont="1" applyNumberFormat="1" applyFill="1" applyProtection="1">
      <alignment horizontal="center" vertical="center" wrapText="1"/>
      <protection hidden="1"/>
    </xf>
    <xf xxid="2266" numFmtId="167" fontId="17" fillId="0" borderId="40" xfId="0" applyAlignment="1" applyBorder="1" applyFont="1" applyNumberFormat="1" applyFill="1" applyProtection="1">
      <alignment horizontal="center" vertical="center" wrapText="1"/>
      <protection hidden="1"/>
    </xf>
    <xf xxid="2267" numFmtId="167" fontId="17" fillId="0" borderId="41" xfId="0" applyAlignment="1" applyBorder="1" applyFont="1" applyNumberFormat="1" applyFill="1" applyProtection="1">
      <alignment horizontal="center" vertical="center" wrapText="1"/>
      <protection hidden="1"/>
    </xf>
    <xf xxid="2268" numFmtId="0" fontId="20" fillId="0" borderId="10" xfId="0" applyAlignment="1" applyBorder="1" applyFont="1" applyNumberFormat="1" applyFill="1" applyProtection="1">
      <alignment horizontal="center" vertical="center"/>
    </xf>
    <xf xxid="2269" numFmtId="0" fontId="20" fillId="0" borderId="18" xfId="0" applyAlignment="1" applyBorder="1" applyFont="1" applyNumberFormat="1" applyFill="1" applyProtection="1">
      <alignment horizontal="center" vertical="center"/>
    </xf>
    <xf xxid="2270" numFmtId="0" fontId="3" fillId="0" borderId="10" xfId="0" applyAlignment="1" applyBorder="1" applyFont="1" applyNumberFormat="1" applyFill="1" applyProtection="1">
      <alignment vertical="center" wrapText="1"/>
    </xf>
    <xf xxid="2271" numFmtId="0" fontId="3" fillId="0" borderId="12" xfId="0" applyAlignment="1" applyBorder="1" applyFont="1" applyNumberFormat="1" applyFill="1" applyProtection="1">
      <alignment vertical="center" wrapText="1"/>
    </xf>
    <xf xxid="2272" numFmtId="0" fontId="17" fillId="0" borderId="22" xfId="0" applyAlignment="1" applyBorder="1" applyFont="1" applyNumberFormat="1" applyFill="1" applyProtection="1">
      <alignment horizontal="left" vertical="center"/>
    </xf>
    <xf xxid="2273" numFmtId="0" fontId="17" fillId="0" borderId="9" xfId="0" applyAlignment="1" applyBorder="1" applyFont="1" applyNumberFormat="1" applyFill="1" applyProtection="1">
      <alignment horizontal="left" vertical="center"/>
    </xf>
    <xf xxid="2274" numFmtId="0" fontId="17" fillId="0" borderId="21" xfId="0" applyAlignment="1" applyBorder="1" applyFont="1" applyNumberFormat="1" applyFill="1" applyProtection="1">
      <alignment horizontal="left" vertical="center"/>
    </xf>
    <xf xxid="2275" numFmtId="0" fontId="17" fillId="0" borderId="12" xfId="0" applyAlignment="1" applyBorder="1" applyFont="1" applyNumberFormat="1" applyFill="1" applyProtection="1">
      <alignment horizontal="left" vertical="center"/>
    </xf>
    <xf xxid="2276" numFmtId="177" fontId="17" fillId="0" borderId="22" xfId="0" applyAlignment="1" applyBorder="1" applyFont="1" applyNumberFormat="1" applyFill="1" applyProtection="1">
      <alignment horizontal="right" vertical="center"/>
    </xf>
    <xf xxid="2277" numFmtId="181" fontId="17" fillId="0" borderId="22" xfId="0" applyAlignment="1" applyBorder="1" applyFont="1" applyNumberFormat="1" applyFill="1" applyProtection="1">
      <alignment horizontal="left" vertical="center"/>
    </xf>
    <xf xxid="2278" numFmtId="181" fontId="17" fillId="0" borderId="9" xfId="0" applyAlignment="1" applyBorder="1" applyFont="1" applyNumberFormat="1" applyFill="1" applyProtection="1">
      <alignment horizontal="left" vertical="center"/>
    </xf>
    <xf xxid="2279" numFmtId="181" fontId="17" fillId="0" borderId="21" xfId="0" applyAlignment="1" applyBorder="1" applyFont="1" applyNumberFormat="1" applyFill="1" applyProtection="1">
      <alignment horizontal="left" vertical="center"/>
    </xf>
    <xf xxid="2280" numFmtId="181" fontId="17" fillId="0" borderId="10" xfId="0" applyAlignment="1" applyBorder="1" applyFont="1" applyNumberFormat="1" applyFill="1" applyProtection="1">
      <alignment horizontal="left" vertical="center"/>
    </xf>
    <xf xxid="2281" numFmtId="181" fontId="17" fillId="0" borderId="0" xfId="0" applyAlignment="1" applyBorder="1" applyFont="1" applyNumberFormat="1" applyFill="1" applyProtection="1">
      <alignment horizontal="left" vertical="center"/>
    </xf>
    <xf xxid="2282" numFmtId="181" fontId="17" fillId="0" borderId="12" xfId="0" applyAlignment="1" applyBorder="1" applyFont="1" applyNumberFormat="1" applyFill="1" applyProtection="1">
      <alignment horizontal="left" vertical="center"/>
    </xf>
    <xf xxid="2283" numFmtId="0" fontId="17" fillId="0" borderId="22" xfId="0" applyAlignment="1" applyBorder="1" applyFont="1" applyNumberFormat="1" applyFill="1" applyProtection="1">
      <alignment horizontal="left" vertical="center" wrapText="1"/>
    </xf>
    <xf xxid="2284" numFmtId="0" fontId="17" fillId="0" borderId="9" xfId="0" applyAlignment="1" applyBorder="1" applyFont="1" applyNumberFormat="1" applyFill="1" applyProtection="1">
      <alignment horizontal="left" vertical="center" wrapText="1"/>
    </xf>
    <xf xxid="2285" numFmtId="0" fontId="17" fillId="0" borderId="21" xfId="0" applyAlignment="1" applyBorder="1" applyFont="1" applyNumberFormat="1" applyFill="1" applyProtection="1">
      <alignment horizontal="left" vertical="center" wrapText="1"/>
    </xf>
    <xf xxid="2286" numFmtId="0" fontId="17" fillId="0" borderId="10" xfId="0" applyAlignment="1" applyBorder="1" applyFont="1" applyNumberFormat="1" applyFill="1" applyProtection="1">
      <alignment horizontal="left" vertical="center" wrapText="1"/>
    </xf>
    <xf xxid="2287" numFmtId="0" fontId="3" fillId="0" borderId="22" xfId="0" applyAlignment="1" applyBorder="1" applyFont="1" applyNumberFormat="1" applyFill="1" applyProtection="1">
      <alignment horizontal="center" vertical="center" wrapText="1"/>
    </xf>
    <xf xxid="2288" numFmtId="0" fontId="3" fillId="0" borderId="9" xfId="0" applyAlignment="1" applyBorder="1" applyFont="1" applyNumberFormat="1" applyFill="1" applyProtection="1">
      <alignment horizontal="center" vertical="center" wrapText="1"/>
    </xf>
    <xf xxid="2289" numFmtId="0" fontId="3" fillId="0" borderId="21" xfId="0" applyAlignment="1" applyBorder="1" applyFont="1" applyNumberFormat="1" applyFill="1" applyProtection="1">
      <alignment horizontal="center" vertical="center" wrapText="1"/>
    </xf>
    <xf xxid="2290" numFmtId="0" fontId="3" fillId="0" borderId="10" xfId="0" applyAlignment="1" applyBorder="1" applyFont="1" applyNumberFormat="1" applyFill="1" applyProtection="1">
      <alignment horizontal="center" vertical="center" wrapText="1"/>
    </xf>
    <xf xxid="2291" numFmtId="0" fontId="3" fillId="0" borderId="0" xfId="0" applyAlignment="1" applyBorder="1" applyFont="1" applyNumberFormat="1" applyFill="1" applyProtection="1">
      <alignment horizontal="center" vertical="center" wrapText="1"/>
    </xf>
    <xf xxid="2292" numFmtId="0" fontId="3" fillId="0" borderId="12" xfId="0" applyAlignment="1" applyBorder="1" applyFont="1" applyNumberFormat="1" applyFill="1" applyProtection="1">
      <alignment horizontal="center" vertical="center" wrapText="1"/>
    </xf>
    <xf xxid="2293" numFmtId="169" fontId="17" fillId="0" borderId="22" xfId="0" applyAlignment="1" applyBorder="1" applyFont="1" applyNumberFormat="1" applyFill="1" applyProtection="1">
      <alignment horizontal="left" vertical="center" wrapText="1"/>
    </xf>
    <xf xxid="2294" numFmtId="169" fontId="17" fillId="0" borderId="9" xfId="0" applyAlignment="1" applyBorder="1" applyFont="1" applyNumberFormat="1" applyFill="1" applyProtection="1">
      <alignment horizontal="left" vertical="center" wrapText="1"/>
    </xf>
    <xf xxid="2295" numFmtId="169" fontId="17" fillId="0" borderId="21" xfId="0" applyAlignment="1" applyBorder="1" applyFont="1" applyNumberFormat="1" applyFill="1" applyProtection="1">
      <alignment horizontal="left" vertical="center" wrapText="1"/>
    </xf>
    <xf xxid="2296" numFmtId="169" fontId="17" fillId="0" borderId="10" xfId="0" applyAlignment="1" applyBorder="1" applyFont="1" applyNumberFormat="1" applyFill="1" applyProtection="1">
      <alignment horizontal="left" vertical="center" wrapText="1"/>
    </xf>
    <xf xxid="2297" numFmtId="177" fontId="17" fillId="0" borderId="18" xfId="0" applyAlignment="1" applyBorder="1" applyFont="1" applyNumberFormat="1" applyFill="1" applyProtection="1">
      <alignment horizontal="right" vertical="center"/>
    </xf>
    <xf xxid="2298" numFmtId="177" fontId="17" fillId="0" borderId="8" xfId="0" applyAlignment="1" applyBorder="1" applyFont="1" applyNumberFormat="1" applyFill="1" applyProtection="1">
      <alignment horizontal="right" vertical="center"/>
    </xf>
    <xf xxid="2299" numFmtId="177" fontId="17" fillId="0" borderId="19" xfId="0" applyAlignment="1" applyBorder="1" applyFont="1" applyNumberFormat="1" applyFill="1" applyProtection="1">
      <alignment horizontal="right" vertical="center"/>
    </xf>
    <xf xxid="2300" numFmtId="0" fontId="16" fillId="0" borderId="7" xfId="0" applyAlignment="1" applyBorder="1" applyFont="1" applyNumberFormat="1" applyFill="1" applyProtection="1">
      <alignment horizontal="center" vertical="center"/>
    </xf>
    <xf xxid="2301" numFmtId="0" fontId="17" fillId="0" borderId="4" xfId="0" applyAlignment="1" applyBorder="1" applyFont="1" applyNumberFormat="1" applyFill="1" applyProtection="1">
      <alignment horizontal="center" vertical="center"/>
    </xf>
    <xf xxid="2302" numFmtId="0" fontId="17" fillId="0" borderId="5" xfId="0" applyAlignment="1" applyBorder="1" applyFont="1" applyNumberFormat="1" applyFill="1" applyProtection="1">
      <alignment horizontal="center" vertical="center"/>
    </xf>
    <xf xxid="2303" numFmtId="0" fontId="15" fillId="0" borderId="0" xfId="0" applyAlignment="1" applyBorder="1" applyFont="1" applyNumberFormat="1" applyFill="1" applyProtection="1">
      <alignment horizontal="center" vertical="center"/>
    </xf>
    <xf xxid="2304" numFmtId="0" fontId="15" fillId="0" borderId="5" xfId="0" applyAlignment="1" applyBorder="1" applyFont="1" applyNumberFormat="1" applyFill="1" applyProtection="1">
      <alignment horizontal="center" vertical="center"/>
    </xf>
    <xf xxid="2305" numFmtId="0" fontId="25" fillId="0" borderId="5" xfId="0" applyAlignment="1" applyBorder="1" applyFont="1" applyNumberFormat="1" applyFill="1" applyProtection="1">
      <alignment horizontal="center" vertical="center"/>
    </xf>
    <xf xxid="2306" numFmtId="0" fontId="20" fillId="0" borderId="12" xfId="0" applyAlignment="1" applyBorder="1" applyFont="1" applyNumberFormat="1" applyFill="1" applyProtection="1">
      <alignment horizontal="center" vertical="center"/>
    </xf>
    <xf xxid="2307" numFmtId="0" fontId="20" fillId="0" borderId="8" xfId="0" applyAlignment="1" applyBorder="1" applyFont="1" applyNumberFormat="1" applyFill="1" applyProtection="1">
      <alignment horizontal="center" vertical="center"/>
    </xf>
    <xf xxid="2308" numFmtId="0" fontId="20" fillId="0" borderId="19" xfId="0" applyAlignment="1" applyBorder="1" applyFont="1" applyNumberFormat="1" applyFill="1" applyProtection="1">
      <alignment horizontal="center" vertical="center"/>
    </xf>
    <xf xxid="2309" numFmtId="176" fontId="17" fillId="0" borderId="10" xfId="0" applyAlignment="1" applyBorder="1" applyFont="1" applyNumberFormat="1" applyFill="1" applyProtection="1">
      <alignment horizontal="center" vertical="center"/>
    </xf>
    <xf xxid="2310" numFmtId="176" fontId="17" fillId="0" borderId="0" xfId="0" applyAlignment="1" applyBorder="1" applyFont="1" applyNumberFormat="1" applyFill="1" applyProtection="1">
      <alignment horizontal="center" vertical="center"/>
    </xf>
    <xf xxid="2311" numFmtId="176" fontId="17" fillId="0" borderId="18" xfId="0" applyAlignment="1" applyBorder="1" applyFont="1" applyNumberFormat="1" applyFill="1" applyProtection="1">
      <alignment horizontal="center" vertical="center"/>
    </xf>
    <xf xxid="2312" numFmtId="176" fontId="17" fillId="0" borderId="8" xfId="0" applyAlignment="1" applyBorder="1" applyFont="1" applyNumberFormat="1" applyFill="1" applyProtection="1">
      <alignment horizontal="center" vertical="center"/>
    </xf>
    <xf xxid="2313" numFmtId="169" fontId="17" fillId="19" borderId="18" xfId="0" applyAlignment="1" applyBorder="1" applyFont="1" applyNumberFormat="1" applyFill="1" applyProtection="1">
      <alignment horizontal="center" vertical="center"/>
    </xf>
    <xf xxid="2314" numFmtId="169" fontId="17" fillId="19" borderId="8" xfId="0" applyAlignment="1" applyBorder="1" applyFont="1" applyNumberFormat="1" applyFill="1" applyProtection="1">
      <alignment horizontal="center" vertical="center"/>
    </xf>
    <xf xxid="2315" numFmtId="169" fontId="17" fillId="0" borderId="18" xfId="0" applyAlignment="1" applyBorder="1" applyFont="1" applyNumberFormat="1" applyFill="1" applyProtection="1">
      <alignment horizontal="center"/>
    </xf>
    <xf xxid="2316" numFmtId="169" fontId="17" fillId="0" borderId="8" xfId="0" applyAlignment="1" applyBorder="1" applyFont="1" applyNumberFormat="1" applyFill="1" applyProtection="1">
      <alignment horizontal="center"/>
    </xf>
    <xf xxid="2317" numFmtId="0" fontId="20" fillId="0" borderId="12" xfId="0" applyAlignment="1" applyBorder="1" applyFont="1" applyNumberFormat="1" applyFill="1" applyProtection="1">
      <alignment horizontal="center" vertical="top"/>
    </xf>
    <xf xxid="2318" numFmtId="0" fontId="3" fillId="0" borderId="9" xfId="0" applyAlignment="1" applyBorder="1" applyFont="1" applyNumberFormat="1" applyFill="1" applyProtection="1">
      <alignment horizontal="left" vertical="center"/>
    </xf>
    <xf xxid="2319" numFmtId="0" fontId="3" fillId="0" borderId="21" xfId="0" applyAlignment="1" applyBorder="1" applyFont="1" applyNumberFormat="1" applyFill="1" applyProtection="1">
      <alignment horizontal="left" vertical="center"/>
    </xf>
    <xf xxid="2320" numFmtId="177" fontId="17" fillId="0" borderId="22" xfId="0" applyAlignment="1" applyBorder="1" applyFont="1" applyNumberFormat="1" applyFill="1" applyProtection="1">
      <alignment horizontal="left" vertical="center"/>
      <protection locked="0"/>
    </xf>
    <xf xxid="2321" numFmtId="177" fontId="17" fillId="0" borderId="9" xfId="0" applyAlignment="1" applyBorder="1" applyFont="1" applyNumberFormat="1" applyFill="1" applyProtection="1">
      <alignment horizontal="left" vertical="center"/>
      <protection locked="0"/>
    </xf>
    <xf xxid="2322" numFmtId="177" fontId="17" fillId="0" borderId="21" xfId="0" applyAlignment="1" applyBorder="1" applyFont="1" applyNumberFormat="1" applyFill="1" applyProtection="1">
      <alignment horizontal="left" vertical="center"/>
      <protection locked="0"/>
    </xf>
    <xf xxid="2323" numFmtId="177" fontId="17" fillId="0" borderId="10" xfId="0" applyAlignment="1" applyBorder="1" applyFont="1" applyNumberFormat="1" applyFill="1" applyProtection="1">
      <alignment horizontal="left" vertical="center"/>
      <protection locked="0"/>
    </xf>
    <xf xxid="2324" numFmtId="177" fontId="17" fillId="0" borderId="0" xfId="0" applyAlignment="1" applyBorder="1" applyFont="1" applyNumberFormat="1" applyFill="1" applyProtection="1">
      <alignment horizontal="left" vertical="center"/>
      <protection locked="0"/>
    </xf>
    <xf xxid="2325" numFmtId="177" fontId="17" fillId="0" borderId="12" xfId="0" applyAlignment="1" applyBorder="1" applyFont="1" applyNumberFormat="1" applyFill="1" applyProtection="1">
      <alignment horizontal="left" vertical="center"/>
      <protection locked="0"/>
    </xf>
    <xf xxid="2326" numFmtId="0" fontId="5" fillId="0" borderId="0" xfId="0" applyAlignment="1" applyBorder="1" applyFont="1" applyNumberFormat="1" applyFill="1" applyProtection="1">
      <alignment horizontal="center" vertical="center" textRotation="90"/>
    </xf>
    <xf xxid="2327" numFmtId="0" fontId="5" fillId="0" borderId="1" xfId="0" applyAlignment="1" applyBorder="1" applyFont="1" applyNumberFormat="1" applyFill="1" applyProtection="1">
      <alignment horizontal="center" vertical="center" textRotation="90"/>
    </xf>
    <xf xxid="2328" numFmtId="0" fontId="3" fillId="0" borderId="18" xfId="0" applyAlignment="1" applyBorder="1" applyFont="1" applyNumberFormat="1" applyFill="1" applyProtection="1">
      <alignment horizontal="center"/>
    </xf>
    <xf xxid="2329" numFmtId="0" fontId="3" fillId="0" borderId="8" xfId="0" applyAlignment="1" applyBorder="1" applyFont="1" applyNumberFormat="1" applyFill="1" applyProtection="1">
      <alignment horizontal="center"/>
    </xf>
    <xf xxid="2330" numFmtId="0" fontId="3" fillId="0" borderId="19" xfId="0" applyAlignment="1" applyBorder="1" applyFont="1" applyNumberFormat="1" applyFill="1" applyProtection="1">
      <alignment horizontal="center"/>
    </xf>
    <xf xxid="2331" numFmtId="0" fontId="3" fillId="0" borderId="18" xfId="0" applyAlignment="1" applyBorder="1" applyFont="1" applyNumberFormat="1" applyFill="1" applyProtection="1">
      <alignment horizontal="left" vertical="top"/>
    </xf>
    <xf xxid="2332" numFmtId="0" fontId="3" fillId="0" borderId="8" xfId="0" applyAlignment="1" applyBorder="1" applyFont="1" applyNumberFormat="1" applyFill="1" applyProtection="1">
      <alignment horizontal="left" vertical="top"/>
    </xf>
    <xf xxid="2333" numFmtId="0" fontId="3" fillId="0" borderId="22" xfId="0" applyAlignment="1" applyBorder="1" applyFont="1" applyNumberFormat="1" applyFill="1" applyProtection="1">
      <alignment horizontal="left" vertical="center" wrapText="1"/>
    </xf>
    <xf xxid="2334" numFmtId="0" fontId="3" fillId="0" borderId="9" xfId="0" applyAlignment="1" applyBorder="1" applyFont="1" applyNumberFormat="1" applyFill="1" applyProtection="1">
      <alignment horizontal="left" vertical="center" wrapText="1"/>
    </xf>
    <xf xxid="2335" numFmtId="0" fontId="3" fillId="0" borderId="21" xfId="0" applyAlignment="1" applyBorder="1" applyFont="1" applyNumberFormat="1" applyFill="1" applyProtection="1">
      <alignment horizontal="left" vertical="center" wrapText="1"/>
    </xf>
    <xf xxid="2336" numFmtId="0" fontId="15" fillId="0" borderId="0" xfId="0" applyAlignment="1" applyBorder="1" applyFont="1" applyNumberFormat="1" applyFill="1" applyProtection="1">
      <alignment horizontal="center" vertical="distributed"/>
    </xf>
    <xf xxid="2337" numFmtId="0" fontId="15" fillId="0" borderId="5" xfId="0" applyAlignment="1" applyBorder="1" applyFont="1" applyNumberFormat="1" applyFill="1" applyProtection="1">
      <alignment horizontal="center" vertical="distributed"/>
    </xf>
    <xf xxid="2338" numFmtId="173" fontId="17" fillId="0" borderId="22" xfId="0" applyAlignment="1" applyBorder="1" applyFont="1" applyNumberFormat="1" applyFill="1" applyProtection="1">
      <alignment horizontal="center" vertical="center" wrapText="1"/>
      <protection locked="0"/>
    </xf>
    <xf xxid="2339" numFmtId="173" fontId="17" fillId="0" borderId="9" xfId="0" applyAlignment="1" applyBorder="1" applyFont="1" applyNumberFormat="1" applyFill="1" applyProtection="1">
      <alignment horizontal="center" vertical="center" wrapText="1"/>
      <protection locked="0"/>
    </xf>
    <xf xxid="2340" numFmtId="173" fontId="17" fillId="0" borderId="21" xfId="0" applyAlignment="1" applyBorder="1" applyFont="1" applyNumberFormat="1" applyFill="1" applyProtection="1">
      <alignment horizontal="center" vertical="center" wrapText="1"/>
      <protection locked="0"/>
    </xf>
    <xf xxid="2341" numFmtId="173" fontId="17" fillId="0" borderId="10" xfId="0" applyAlignment="1" applyBorder="1" applyFont="1" applyNumberFormat="1" applyFill="1" applyProtection="1">
      <alignment horizontal="center" vertical="center" wrapText="1"/>
      <protection locked="0"/>
    </xf>
    <xf xxid="2342" numFmtId="0" fontId="3" fillId="0" borderId="18" xfId="0" applyAlignment="1" applyBorder="1" applyFont="1" applyNumberFormat="1" applyFill="1" applyProtection="1">
      <alignment horizontal="center" vertical="center" wrapText="1"/>
    </xf>
    <xf xxid="2343" numFmtId="0" fontId="3" fillId="0" borderId="8" xfId="0" applyAlignment="1" applyBorder="1" applyFont="1" applyNumberFormat="1" applyFill="1" applyProtection="1">
      <alignment horizontal="center" vertical="center" wrapText="1"/>
    </xf>
    <xf xxid="2344" numFmtId="0" fontId="3" fillId="0" borderId="19" xfId="0" applyAlignment="1" applyBorder="1" applyFont="1" applyNumberFormat="1" applyFill="1" applyProtection="1">
      <alignment horizontal="center" vertical="center" wrapText="1"/>
    </xf>
    <xf xxid="2345" numFmtId="182" fontId="17" fillId="0" borderId="22" xfId="0" applyAlignment="1" applyBorder="1" applyFont="1" applyNumberFormat="1" applyFill="1" applyProtection="1">
      <alignment horizontal="left" vertical="center"/>
    </xf>
    <xf xxid="2346" numFmtId="182" fontId="17" fillId="0" borderId="9" xfId="0" applyAlignment="1" applyBorder="1" applyFont="1" applyNumberFormat="1" applyFill="1" applyProtection="1">
      <alignment horizontal="left" vertical="center"/>
    </xf>
    <xf xxid="2347" numFmtId="182" fontId="17" fillId="0" borderId="21" xfId="0" applyAlignment="1" applyBorder="1" applyFont="1" applyNumberFormat="1" applyFill="1" applyProtection="1">
      <alignment horizontal="left" vertical="center"/>
    </xf>
    <xf xxid="2348" numFmtId="182" fontId="17" fillId="0" borderId="10" xfId="0" applyAlignment="1" applyBorder="1" applyFont="1" applyNumberFormat="1" applyFill="1" applyProtection="1">
      <alignment horizontal="left" vertical="center"/>
    </xf>
    <xf xxid="2349" numFmtId="182" fontId="17" fillId="0" borderId="0" xfId="0" applyAlignment="1" applyBorder="1" applyFont="1" applyNumberFormat="1" applyFill="1" applyProtection="1">
      <alignment horizontal="left" vertical="center"/>
    </xf>
    <xf xxid="2350" numFmtId="182" fontId="17" fillId="0" borderId="12" xfId="0" applyAlignment="1" applyBorder="1" applyFont="1" applyNumberFormat="1" applyFill="1" applyProtection="1">
      <alignment horizontal="left" vertical="center"/>
    </xf>
    <xf xxid="2351" numFmtId="169" fontId="17" fillId="0" borderId="22" xfId="0" applyAlignment="1" applyBorder="1" applyFont="1" applyNumberFormat="1" applyFill="1" applyProtection="1">
      <alignment horizontal="left" vertical="center"/>
    </xf>
    <xf xxid="2352" numFmtId="169" fontId="17" fillId="0" borderId="9" xfId="0" applyAlignment="1" applyBorder="1" applyFont="1" applyNumberFormat="1" applyFill="1" applyProtection="1">
      <alignment horizontal="left" vertical="center"/>
    </xf>
    <xf xxid="2353" numFmtId="169" fontId="17" fillId="0" borderId="21" xfId="0" applyAlignment="1" applyBorder="1" applyFont="1" applyNumberFormat="1" applyFill="1" applyProtection="1">
      <alignment horizontal="left" vertical="center"/>
    </xf>
    <xf xxid="2354" numFmtId="169" fontId="17" fillId="0" borderId="10" xfId="0" applyAlignment="1" applyBorder="1" applyFont="1" applyNumberFormat="1" applyFill="1" applyProtection="1">
      <alignment horizontal="left" vertical="center"/>
    </xf>
    <xf xxid="2355" numFmtId="169" fontId="17" fillId="0" borderId="18" xfId="0" applyAlignment="1" applyBorder="1" applyFont="1" applyNumberFormat="1" applyFill="1" applyProtection="1">
      <alignment horizontal="left" vertical="center"/>
    </xf>
    <xf xxid="2356" numFmtId="169" fontId="17" fillId="0" borderId="8" xfId="0" applyAlignment="1" applyBorder="1" applyFont="1" applyNumberFormat="1" applyFill="1" applyProtection="1">
      <alignment horizontal="left" vertical="center"/>
    </xf>
    <xf xxid="2357" numFmtId="169" fontId="17" fillId="0" borderId="19" xfId="0" applyAlignment="1" applyBorder="1" applyFont="1" applyNumberFormat="1" applyFill="1" applyProtection="1">
      <alignment horizontal="left" vertical="center"/>
    </xf>
    <xf xxid="2358" numFmtId="173" fontId="17" fillId="0" borderId="22" xfId="0" applyAlignment="1" applyBorder="1" applyFont="1" applyNumberFormat="1" applyFill="1" applyProtection="1">
      <alignment horizontal="center" vertical="center"/>
    </xf>
    <xf xxid="2359" numFmtId="173" fontId="17" fillId="0" borderId="9" xfId="0" applyAlignment="1" applyBorder="1" applyFont="1" applyNumberFormat="1" applyFill="1" applyProtection="1">
      <alignment horizontal="center" vertical="center"/>
    </xf>
    <xf xxid="2360" numFmtId="173" fontId="17" fillId="0" borderId="21" xfId="0" applyAlignment="1" applyBorder="1" applyFont="1" applyNumberFormat="1" applyFill="1" applyProtection="1">
      <alignment horizontal="center" vertical="center"/>
    </xf>
    <xf xxid="2361" numFmtId="173" fontId="17" fillId="0" borderId="10" xfId="0" applyAlignment="1" applyBorder="1" applyFont="1" applyNumberFormat="1" applyFill="1" applyProtection="1">
      <alignment horizontal="center" vertical="center"/>
    </xf>
    <xf xxid="2362" numFmtId="173" fontId="17" fillId="0" borderId="0" xfId="0" applyAlignment="1" applyBorder="1" applyFont="1" applyNumberFormat="1" applyFill="1" applyProtection="1">
      <alignment horizontal="center" vertical="center"/>
    </xf>
    <xf xxid="2363" numFmtId="173" fontId="17" fillId="0" borderId="12" xfId="0" applyAlignment="1" applyBorder="1" applyFont="1" applyNumberFormat="1" applyFill="1" applyProtection="1">
      <alignment horizontal="center" vertical="center"/>
    </xf>
    <xf xxid="2364" numFmtId="173" fontId="17" fillId="0" borderId="18" xfId="0" applyAlignment="1" applyBorder="1" applyFont="1" applyNumberFormat="1" applyFill="1" applyProtection="1">
      <alignment horizontal="center" vertical="center"/>
    </xf>
    <xf xxid="2365" numFmtId="173" fontId="17" fillId="0" borderId="8" xfId="0" applyAlignment="1" applyBorder="1" applyFont="1" applyNumberFormat="1" applyFill="1" applyProtection="1">
      <alignment horizontal="center" vertical="center"/>
    </xf>
    <xf xxid="2366" numFmtId="173" fontId="17" fillId="0" borderId="19" xfId="0" applyAlignment="1" applyBorder="1" applyFont="1" applyNumberFormat="1" applyFill="1" applyProtection="1">
      <alignment horizontal="center" vertical="center"/>
    </xf>
    <xf xxid="2367" numFmtId="169" fontId="17" fillId="0" borderId="132" xfId="0" applyAlignment="1" applyBorder="1" applyFont="1" applyNumberFormat="1" applyFill="1" applyProtection="1">
      <alignment horizontal="center" vertical="center"/>
    </xf>
    <xf xxid="2368" numFmtId="169" fontId="17" fillId="0" borderId="133" xfId="0" applyAlignment="1" applyBorder="1" applyFont="1" applyNumberFormat="1" applyFill="1" applyProtection="1">
      <alignment horizontal="center" vertical="center"/>
    </xf>
    <xf xxid="2369" numFmtId="169" fontId="17" fillId="0" borderId="134" xfId="0" applyAlignment="1" applyBorder="1" applyFont="1" applyNumberFormat="1" applyFill="1" applyProtection="1">
      <alignment horizontal="center" vertical="center"/>
    </xf>
    <xf xxid="2370" numFmtId="169" fontId="17" fillId="0" borderId="89" xfId="0" applyAlignment="1" applyBorder="1" applyFont="1" applyNumberFormat="1" applyFill="1" applyProtection="1">
      <alignment horizontal="center" vertical="center"/>
    </xf>
    <xf xxid="2371" numFmtId="169" fontId="17" fillId="0" borderId="135" xfId="0" applyAlignment="1" applyBorder="1" applyFont="1" applyNumberFormat="1" applyFill="1" applyProtection="1">
      <alignment horizontal="center" vertical="center"/>
    </xf>
    <xf xxid="2372" numFmtId="169" fontId="17" fillId="0" borderId="128" xfId="0" applyAlignment="1" applyBorder="1" applyFont="1" applyNumberFormat="1" applyFill="1" applyProtection="1">
      <alignment horizontal="center" vertical="center"/>
    </xf>
    <xf xxid="2373" numFmtId="169" fontId="17" fillId="0" borderId="136" xfId="0" applyAlignment="1" applyBorder="1" applyFont="1" applyNumberFormat="1" applyFill="1" applyProtection="1">
      <alignment horizontal="center" vertical="center"/>
    </xf>
    <xf xxid="2374" numFmtId="169" fontId="17" fillId="0" borderId="137" xfId="0" applyAlignment="1" applyBorder="1" applyFont="1" applyNumberFormat="1" applyFill="1" applyProtection="1">
      <alignment horizontal="center" vertical="center"/>
    </xf>
    <xf xxid="2375" numFmtId="169" fontId="17" fillId="0" borderId="138" xfId="0" applyAlignment="1" applyBorder="1" applyFont="1" applyNumberFormat="1" applyFill="1" applyProtection="1">
      <alignment horizontal="center" vertical="center"/>
    </xf>
    <xf xxid="2376" numFmtId="181" fontId="17" fillId="0" borderId="22" xfId="0" applyAlignment="1" applyBorder="1" applyFont="1" applyNumberFormat="1" applyFill="1" applyProtection="1">
      <alignment horizontal="center" vertical="center"/>
    </xf>
    <xf xxid="2377" numFmtId="181" fontId="17" fillId="0" borderId="9" xfId="0" applyAlignment="1" applyBorder="1" applyFont="1" applyNumberFormat="1" applyFill="1" applyProtection="1">
      <alignment horizontal="center" vertical="center"/>
    </xf>
    <xf xxid="2378" numFmtId="181" fontId="17" fillId="0" borderId="21" xfId="0" applyAlignment="1" applyBorder="1" applyFont="1" applyNumberFormat="1" applyFill="1" applyProtection="1">
      <alignment horizontal="center" vertical="center"/>
    </xf>
    <xf xxid="2379" numFmtId="181" fontId="17" fillId="0" borderId="10" xfId="0" applyAlignment="1" applyBorder="1" applyFont="1" applyNumberFormat="1" applyFill="1" applyProtection="1">
      <alignment horizontal="center" vertical="center"/>
    </xf>
    <xf xxid="2380" numFmtId="181" fontId="17" fillId="0" borderId="0" xfId="0" applyAlignment="1" applyBorder="1" applyFont="1" applyNumberFormat="1" applyFill="1" applyProtection="1">
      <alignment horizontal="center" vertical="center"/>
    </xf>
    <xf xxid="2381" numFmtId="181" fontId="17" fillId="0" borderId="12" xfId="0" applyAlignment="1" applyBorder="1" applyFont="1" applyNumberFormat="1" applyFill="1" applyProtection="1">
      <alignment horizontal="center" vertical="center"/>
    </xf>
    <xf xxid="2382" numFmtId="0" fontId="0" fillId="0" borderId="9" xfId="0" applyAlignment="1" applyBorder="1" applyFont="1" applyNumberFormat="1" applyFill="1" applyProtection="1">
      <alignment horizontal="center" vertical="center"/>
    </xf>
    <xf xxid="2383" numFmtId="0" fontId="0" fillId="0" borderId="21" xfId="0" applyAlignment="1" applyBorder="1" applyFont="1" applyNumberFormat="1" applyFill="1" applyProtection="1">
      <alignment horizontal="center" vertical="center"/>
    </xf>
    <xf xxid="2384" numFmtId="0" fontId="0" fillId="0" borderId="12" xfId="0" applyAlignment="1" applyBorder="1" applyFont="1" applyNumberFormat="1" applyFill="1" applyProtection="1">
      <alignment horizontal="center" vertical="center"/>
    </xf>
    <xf xxid="2385" numFmtId="0" fontId="0" fillId="0" borderId="18" xfId="0" applyAlignment="1" applyBorder="1" applyFont="1" applyNumberFormat="1" applyFill="1" applyProtection="1">
      <alignment horizontal="center" vertical="center"/>
    </xf>
    <xf xxid="2386" numFmtId="0" fontId="0" fillId="0" borderId="8" xfId="0" applyAlignment="1" applyBorder="1" applyFont="1" applyNumberFormat="1" applyFill="1" applyProtection="1">
      <alignment horizontal="center" vertical="center"/>
    </xf>
    <xf xxid="2387" numFmtId="0" fontId="0" fillId="0" borderId="19" xfId="0" applyAlignment="1" applyBorder="1" applyFont="1" applyNumberFormat="1" applyFill="1" applyProtection="1">
      <alignment horizontal="center" vertical="center"/>
    </xf>
    <xf xxid="2388" numFmtId="169" fontId="17" fillId="0" borderId="96" xfId="0" applyAlignment="1" applyBorder="1" applyFont="1" applyNumberFormat="1" applyFill="1" applyProtection="1">
      <alignment horizontal="center" vertical="center"/>
    </xf>
    <xf xxid="2389" numFmtId="169" fontId="17" fillId="0" borderId="139" xfId="0" applyAlignment="1" applyBorder="1" applyFont="1" applyNumberFormat="1" applyFill="1" applyProtection="1">
      <alignment horizontal="center" vertical="center"/>
    </xf>
    <xf xxid="2390" numFmtId="169" fontId="17" fillId="0" borderId="130" xfId="0" applyAlignment="1" applyBorder="1" applyFont="1" applyNumberFormat="1" applyFill="1" applyProtection="1">
      <alignment horizontal="center" vertical="center"/>
    </xf>
    <xf xxid="2391" numFmtId="177" fontId="17" fillId="0" borderId="22" xfId="0" applyAlignment="1" applyBorder="1" applyFont="1" applyNumberFormat="1" applyFill="1" applyProtection="1">
      <alignment horizontal="center" vertical="center"/>
    </xf>
    <xf xxid="2392" numFmtId="177" fontId="17" fillId="0" borderId="9" xfId="0" applyAlignment="1" applyBorder="1" applyFont="1" applyNumberFormat="1" applyFill="1" applyProtection="1">
      <alignment horizontal="center" vertical="center"/>
    </xf>
    <xf xxid="2393" numFmtId="177" fontId="17" fillId="0" borderId="10" xfId="0" applyAlignment="1" applyBorder="1" applyFont="1" applyNumberFormat="1" applyFill="1" applyProtection="1">
      <alignment horizontal="center" vertical="center"/>
    </xf>
    <xf xxid="2394" numFmtId="177" fontId="17" fillId="0" borderId="0" xfId="0" applyAlignment="1" applyBorder="1" applyFont="1" applyNumberFormat="1" applyFill="1" applyProtection="1">
      <alignment horizontal="center" vertical="center"/>
    </xf>
    <xf xxid="2395" numFmtId="173" fontId="0" fillId="0" borderId="9" xfId="0" applyAlignment="1" applyBorder="1" applyFont="1" applyNumberFormat="1" applyFill="1" applyProtection="1">
      <alignment horizontal="center" vertical="center" wrapText="1"/>
    </xf>
    <xf xxid="2396" numFmtId="173" fontId="0" fillId="0" borderId="21" xfId="0" applyAlignment="1" applyBorder="1" applyFont="1" applyNumberFormat="1" applyFill="1" applyProtection="1">
      <alignment horizontal="center" vertical="center" wrapText="1"/>
    </xf>
    <xf xxid="2397" numFmtId="173" fontId="0" fillId="0" borderId="10" xfId="0" applyAlignment="1" applyBorder="1" applyFont="1" applyNumberFormat="1" applyFill="1" applyProtection="1">
      <alignment horizontal="center" vertical="center" wrapText="1"/>
    </xf>
    <xf xxid="2398" numFmtId="173" fontId="0" fillId="0" borderId="0" xfId="0" applyAlignment="1" applyBorder="1" applyFont="1" applyNumberFormat="1" applyFill="1" applyProtection="1">
      <alignment horizontal="center" vertical="center" wrapText="1"/>
    </xf>
    <xf xxid="2399" numFmtId="173" fontId="0" fillId="0" borderId="12" xfId="0" applyAlignment="1" applyBorder="1" applyFont="1" applyNumberFormat="1" applyFill="1" applyProtection="1">
      <alignment horizontal="center" vertical="center" wrapText="1"/>
    </xf>
    <xf xxid="2400" numFmtId="0" fontId="20" fillId="0" borderId="9" xfId="0" applyAlignment="1" applyBorder="1" applyFont="1" applyNumberFormat="1" applyFill="1" applyProtection="1">
      <alignment horizontal="center" vertical="center"/>
    </xf>
    <xf xxid="2401" numFmtId="0" fontId="20" fillId="0" borderId="21" xfId="0" applyAlignment="1" applyBorder="1" applyFont="1" applyNumberFormat="1" applyFill="1" applyProtection="1">
      <alignment horizontal="center" vertical="center"/>
    </xf>
    <xf xxid="2402" numFmtId="0" fontId="17" fillId="0" borderId="22" xfId="0" applyAlignment="1" applyBorder="1" applyFont="1" applyNumberFormat="1" applyFill="1" applyProtection="1">
      <alignment horizontal="left" vertical="center" wrapText="1"/>
      <protection locked="0"/>
    </xf>
    <xf xxid="2403" numFmtId="0" fontId="17" fillId="0" borderId="9" xfId="0" applyAlignment="1" applyBorder="1" applyFont="1" applyNumberFormat="1" applyFill="1" applyProtection="1">
      <alignment horizontal="left" vertical="center" wrapText="1"/>
      <protection locked="0"/>
    </xf>
    <xf xxid="2404" numFmtId="0" fontId="17" fillId="0" borderId="21" xfId="0" applyAlignment="1" applyBorder="1" applyFont="1" applyNumberFormat="1" applyFill="1" applyProtection="1">
      <alignment horizontal="left" vertical="center" wrapText="1"/>
      <protection locked="0"/>
    </xf>
    <xf xxid="2405" numFmtId="0" fontId="17" fillId="0" borderId="10" xfId="0" applyAlignment="1" applyBorder="1" applyFont="1" applyNumberFormat="1" applyFill="1" applyProtection="1">
      <alignment horizontal="left" vertical="center" wrapText="1"/>
      <protection locked="0"/>
    </xf>
    <xf xxid="2406" numFmtId="0" fontId="17" fillId="0" borderId="22" xfId="0" applyAlignment="1" applyBorder="1" applyFont="1" applyNumberFormat="1" applyFill="1" applyProtection="1">
      <alignment horizontal="center" vertical="center"/>
      <protection locked="0"/>
    </xf>
    <xf xxid="2407" numFmtId="0" fontId="17" fillId="0" borderId="9" xfId="0" applyAlignment="1" applyBorder="1" applyFont="1" applyNumberFormat="1" applyFill="1" applyProtection="1">
      <alignment horizontal="center" vertical="center"/>
      <protection locked="0"/>
    </xf>
    <xf xxid="2408" numFmtId="0" fontId="17" fillId="0" borderId="21" xfId="0" applyAlignment="1" applyBorder="1" applyFont="1" applyNumberFormat="1" applyFill="1" applyProtection="1">
      <alignment horizontal="center" vertical="center"/>
      <protection locked="0"/>
    </xf>
    <xf xxid="2409" numFmtId="0" fontId="17" fillId="0" borderId="0" xfId="0" applyAlignment="1" applyBorder="1" applyFont="1" applyNumberFormat="1" applyFill="1" applyProtection="1">
      <alignment horizontal="center" vertical="center"/>
      <protection locked="0"/>
    </xf>
    <xf xxid="2410" numFmtId="0" fontId="17" fillId="0" borderId="12" xfId="0" applyAlignment="1" applyBorder="1" applyFont="1" applyNumberFormat="1" applyFill="1" applyProtection="1">
      <alignment horizontal="center" vertical="center"/>
      <protection locked="0"/>
    </xf>
    <xf xxid="2411" numFmtId="177" fontId="17" fillId="0" borderId="22" xfId="0" applyAlignment="1" applyBorder="1" applyFont="1" applyNumberFormat="1" applyFill="1" applyProtection="1">
      <alignment horizontal="right" vertical="center"/>
      <protection locked="0"/>
    </xf>
    <xf xxid="2412" numFmtId="177" fontId="17" fillId="0" borderId="9" xfId="0" applyAlignment="1" applyBorder="1" applyFont="1" applyNumberFormat="1" applyFill="1" applyProtection="1">
      <alignment horizontal="right" vertical="center"/>
      <protection locked="0"/>
    </xf>
    <xf xxid="2413" numFmtId="177" fontId="17" fillId="0" borderId="21" xfId="0" applyAlignment="1" applyBorder="1" applyFont="1" applyNumberFormat="1" applyFill="1" applyProtection="1">
      <alignment horizontal="right" vertical="center"/>
      <protection locked="0"/>
    </xf>
    <xf xxid="2414" numFmtId="173" fontId="17" fillId="0" borderId="22" xfId="0" applyAlignment="1" applyBorder="1" applyFont="1" applyNumberFormat="1" applyFill="1" applyProtection="1">
      <alignment vertical="center" wrapText="1"/>
      <protection locked="0"/>
    </xf>
    <xf xxid="2415" numFmtId="173" fontId="0" fillId="0" borderId="9" xfId="0" applyAlignment="1" applyBorder="1" applyFont="1" applyNumberFormat="1" applyFill="1" applyProtection="1">
      <alignment vertical="center" wrapText="1"/>
    </xf>
    <xf xxid="2416" numFmtId="173" fontId="0" fillId="0" borderId="21" xfId="0" applyAlignment="1" applyBorder="1" applyFont="1" applyNumberFormat="1" applyFill="1" applyProtection="1">
      <alignment vertical="center" wrapText="1"/>
    </xf>
    <xf xxid="2417" numFmtId="173" fontId="0" fillId="0" borderId="10" xfId="0" applyAlignment="1" applyBorder="1" applyFont="1" applyNumberFormat="1" applyFill="1" applyProtection="1">
      <alignment vertical="center" wrapText="1"/>
    </xf>
    <xf xxid="2418" numFmtId="173" fontId="0" fillId="0" borderId="0" xfId="0" applyAlignment="1" applyBorder="1" applyFont="1" applyNumberFormat="1" applyFill="1" applyProtection="1">
      <alignment vertical="center" wrapText="1"/>
    </xf>
    <xf xxid="2419" numFmtId="173" fontId="0" fillId="0" borderId="12" xfId="0" applyAlignment="1" applyBorder="1" applyFont="1" applyNumberFormat="1" applyFill="1" applyProtection="1">
      <alignment vertical="center" wrapText="1"/>
    </xf>
    <xf xxid="2420" numFmtId="169" fontId="17" fillId="0" borderId="22" xfId="0" applyAlignment="1" applyBorder="1" applyFont="1" applyNumberFormat="1" applyFill="1" applyProtection="1">
      <alignment horizontal="center" vertical="center"/>
      <protection locked="0"/>
    </xf>
    <xf xxid="2421" numFmtId="169" fontId="17" fillId="0" borderId="9" xfId="0" applyAlignment="1" applyBorder="1" applyFont="1" applyNumberFormat="1" applyFill="1" applyProtection="1">
      <alignment horizontal="center" vertical="center"/>
      <protection locked="0"/>
    </xf>
    <xf xxid="2422" numFmtId="169" fontId="17" fillId="0" borderId="21" xfId="0" applyAlignment="1" applyBorder="1" applyFont="1" applyNumberFormat="1" applyFill="1" applyProtection="1">
      <alignment horizontal="center" vertical="center"/>
      <protection locked="0"/>
    </xf>
    <xf xxid="2423" numFmtId="169" fontId="17" fillId="0" borderId="0" xfId="0" applyAlignment="1" applyBorder="1" applyFont="1" applyNumberFormat="1" applyFill="1" applyProtection="1">
      <alignment horizontal="center" vertical="center"/>
      <protection locked="0"/>
    </xf>
    <xf xxid="2424" numFmtId="169" fontId="17" fillId="0" borderId="12" xfId="0" applyAlignment="1" applyBorder="1" applyFont="1" applyNumberFormat="1" applyFill="1" applyProtection="1">
      <alignment horizontal="center" vertical="center"/>
      <protection locked="0"/>
    </xf>
    <xf xxid="2425" numFmtId="169" fontId="17" fillId="0" borderId="22" xfId="0" applyAlignment="1" applyBorder="1" applyFont="1" applyNumberFormat="1" applyFill="1" applyProtection="1">
      <alignment horizontal="left" vertical="center" wrapText="1"/>
      <protection locked="0"/>
    </xf>
    <xf xxid="2426" numFmtId="169" fontId="17" fillId="0" borderId="9" xfId="0" applyAlignment="1" applyBorder="1" applyFont="1" applyNumberFormat="1" applyFill="1" applyProtection="1">
      <alignment horizontal="left" vertical="center" wrapText="1"/>
      <protection locked="0"/>
    </xf>
    <xf xxid="2427" numFmtId="169" fontId="17" fillId="0" borderId="21" xfId="0" applyAlignment="1" applyBorder="1" applyFont="1" applyNumberFormat="1" applyFill="1" applyProtection="1">
      <alignment horizontal="left" vertical="center" wrapText="1"/>
      <protection locked="0"/>
    </xf>
    <xf xxid="2428" numFmtId="169" fontId="17" fillId="0" borderId="10" xfId="0" applyAlignment="1" applyBorder="1" applyFont="1" applyNumberFormat="1" applyFill="1" applyProtection="1">
      <alignment horizontal="left" vertical="center" wrapText="1"/>
      <protection locked="0"/>
    </xf>
    <xf xxid="2429" numFmtId="169" fontId="17" fillId="0" borderId="22" xfId="0" applyAlignment="1" applyBorder="1" applyFont="1" applyNumberFormat="1" applyFill="1" applyProtection="1">
      <alignment horizontal="right" vertical="center"/>
      <protection locked="0"/>
    </xf>
    <xf xxid="2430" numFmtId="169" fontId="17" fillId="0" borderId="9" xfId="0" applyAlignment="1" applyBorder="1" applyFont="1" applyNumberFormat="1" applyFill="1" applyProtection="1">
      <alignment horizontal="right" vertical="center"/>
      <protection locked="0"/>
    </xf>
    <xf xxid="2431" numFmtId="169" fontId="17" fillId="0" borderId="21" xfId="0" applyAlignment="1" applyBorder="1" applyFont="1" applyNumberFormat="1" applyFill="1" applyProtection="1">
      <alignment horizontal="right" vertical="center"/>
      <protection locked="0"/>
    </xf>
    <xf xxid="2432" numFmtId="169" fontId="17" fillId="0" borderId="12" xfId="0" applyAlignment="1" applyBorder="1" applyFont="1" applyNumberFormat="1" applyFill="1" applyProtection="1">
      <alignment horizontal="right" vertical="center"/>
      <protection locked="0"/>
    </xf>
    <xf xxid="2433" numFmtId="0" fontId="6" fillId="0" borderId="22" xfId="0" applyAlignment="1" applyBorder="1" applyFont="1" applyNumberFormat="1" applyFill="1" applyProtection="1">
      <alignment horizontal="center" vertical="center"/>
    </xf>
    <xf xxid="2434" numFmtId="0" fontId="6" fillId="0" borderId="21" xfId="0" applyAlignment="1" applyBorder="1" applyFont="1" applyNumberFormat="1" applyFill="1" applyProtection="1">
      <alignment horizontal="center" vertical="center"/>
    </xf>
    <xf xxid="2435" numFmtId="0" fontId="6" fillId="0" borderId="10" xfId="0" applyAlignment="1" applyBorder="1" applyFont="1" applyNumberFormat="1" applyFill="1" applyProtection="1">
      <alignment horizontal="center" vertical="center"/>
    </xf>
    <xf xxid="2436" numFmtId="0" fontId="6" fillId="0" borderId="12" xfId="0" applyAlignment="1" applyBorder="1" applyFont="1" applyNumberFormat="1" applyFill="1" applyProtection="1">
      <alignment horizontal="center" vertical="center"/>
    </xf>
    <xf xxid="2437" numFmtId="177" fontId="9" fillId="0" borderId="22" xfId="0" applyAlignment="1" applyBorder="1" applyFont="1" applyNumberFormat="1" applyFill="1" applyProtection="1">
      <alignment horizontal="right" vertical="center"/>
    </xf>
    <xf xxid="2438" numFmtId="177" fontId="9" fillId="0" borderId="10" xfId="0" applyAlignment="1" applyBorder="1" applyFont="1" applyNumberFormat="1" applyFill="1" applyProtection="1">
      <alignment horizontal="right" vertical="center"/>
    </xf>
    <xf xxid="2439" numFmtId="0" fontId="125" fillId="0" borderId="0" xfId="0" applyAlignment="1" applyBorder="1" applyFont="1" applyNumberFormat="1" applyFill="1" applyProtection="1">
      <alignment horizontal="left" wrapText="1"/>
    </xf>
    <xf xxid="2440" numFmtId="179" fontId="85" fillId="6" borderId="7" xfId="1" applyAlignment="1" applyBorder="1" applyFont="1" applyNumberFormat="1" applyFill="1" applyProtection="1">
      <alignment horizontal="center"/>
      <protection hidden="1"/>
    </xf>
    <xf xxid="2441" numFmtId="179" fontId="85" fillId="6" borderId="70" xfId="1" applyAlignment="1" applyBorder="1" applyFont="1" applyNumberFormat="1" applyFill="1" applyProtection="1">
      <alignment horizontal="center"/>
      <protection hidden="1"/>
    </xf>
    <xf xxid="2442" numFmtId="179" fontId="85" fillId="6" borderId="16" xfId="1" applyAlignment="1" applyBorder="1" applyFont="1" applyNumberFormat="1" applyFill="1" applyProtection="1">
      <alignment horizontal="center"/>
      <protection hidden="1"/>
    </xf>
    <xf xxid="2443" numFmtId="179" fontId="85" fillId="6" borderId="140" xfId="1" applyAlignment="1" applyBorder="1" applyFont="1" applyNumberFormat="1" applyFill="1" applyProtection="1">
      <alignment horizontal="center"/>
      <protection hidden="1"/>
    </xf>
    <xf xxid="2444" numFmtId="179" fontId="88" fillId="6" borderId="7" xfId="1" applyAlignment="1" applyBorder="1" applyFont="1" applyNumberFormat="1" applyFill="1" applyProtection="1">
      <alignment horizontal="center"/>
      <protection hidden="1"/>
    </xf>
    <xf xxid="2445" numFmtId="179" fontId="88" fillId="6" borderId="70" xfId="1" applyAlignment="1" applyBorder="1" applyFont="1" applyNumberFormat="1" applyFill="1" applyProtection="1">
      <alignment horizontal="center"/>
      <protection hidden="1"/>
    </xf>
    <xf xxid="2446" numFmtId="179" fontId="88" fillId="6" borderId="75" xfId="0" applyAlignment="1" applyBorder="1" applyFont="1" applyNumberFormat="1" applyFill="1" applyProtection="1">
      <alignment horizontal="center" vertical="center"/>
      <protection hidden="1"/>
    </xf>
    <xf xxid="2447" numFmtId="179" fontId="88" fillId="6" borderId="90" xfId="0" applyAlignment="1" applyBorder="1" applyFont="1" applyNumberFormat="1" applyFill="1" applyProtection="1">
      <alignment horizontal="center" vertical="center"/>
      <protection hidden="1"/>
    </xf>
    <xf xxid="2448" numFmtId="173" fontId="85" fillId="6" borderId="22" xfId="1" applyAlignment="1" applyBorder="1" applyFont="1" applyNumberFormat="1" applyFill="1" applyProtection="1">
      <alignment horizontal="center"/>
      <protection hidden="1" locked="0"/>
    </xf>
    <xf xxid="2449" numFmtId="173" fontId="85" fillId="6" borderId="9" xfId="1" applyAlignment="1" applyBorder="1" applyFont="1" applyNumberFormat="1" applyFill="1" applyProtection="1">
      <alignment horizontal="center"/>
      <protection hidden="1" locked="0"/>
    </xf>
    <xf xxid="2450" numFmtId="173" fontId="85" fillId="6" borderId="21" xfId="1" applyAlignment="1" applyBorder="1" applyFont="1" applyNumberFormat="1" applyFill="1" applyProtection="1">
      <alignment horizontal="center"/>
      <protection hidden="1" locked="0"/>
    </xf>
    <xf xxid="2451" numFmtId="173" fontId="85" fillId="6" borderId="10" xfId="1" applyAlignment="1" applyBorder="1" applyFont="1" applyNumberFormat="1" applyFill="1" applyProtection="1">
      <alignment horizontal="center"/>
      <protection hidden="1" locked="0"/>
    </xf>
    <xf xxid="2452" numFmtId="173" fontId="85" fillId="6" borderId="0" xfId="1" applyAlignment="1" applyBorder="1" applyFont="1" applyNumberFormat="1" applyFill="1" applyProtection="1">
      <alignment horizontal="center"/>
      <protection hidden="1" locked="0"/>
    </xf>
    <xf xxid="2453" numFmtId="173" fontId="85" fillId="6" borderId="12" xfId="1" applyAlignment="1" applyBorder="1" applyFont="1" applyNumberFormat="1" applyFill="1" applyProtection="1">
      <alignment horizontal="center"/>
      <protection hidden="1" locked="0"/>
    </xf>
    <xf xxid="2454" numFmtId="173" fontId="85" fillId="6" borderId="18" xfId="1" applyAlignment="1" applyBorder="1" applyFont="1" applyNumberFormat="1" applyFill="1" applyProtection="1">
      <alignment horizontal="center"/>
      <protection hidden="1" locked="0"/>
    </xf>
    <xf xxid="2455" numFmtId="173" fontId="85" fillId="6" borderId="8" xfId="1" applyAlignment="1" applyBorder="1" applyFont="1" applyNumberFormat="1" applyFill="1" applyProtection="1">
      <alignment horizontal="center"/>
      <protection hidden="1" locked="0"/>
    </xf>
    <xf xxid="2456" numFmtId="173" fontId="85" fillId="6" borderId="19" xfId="1" applyAlignment="1" applyBorder="1" applyFont="1" applyNumberFormat="1" applyFill="1" applyProtection="1">
      <alignment horizontal="center"/>
      <protection hidden="1" locked="0"/>
    </xf>
    <xf xxid="2457" numFmtId="181" fontId="85" fillId="6" borderId="18" xfId="0" applyAlignment="1" applyBorder="1" applyFont="1" applyNumberFormat="1" applyFill="1" applyProtection="1">
      <alignment horizontal="center"/>
    </xf>
    <xf xxid="2458" numFmtId="181" fontId="85" fillId="6" borderId="19" xfId="0" applyAlignment="1" applyBorder="1" applyFont="1" applyNumberFormat="1" applyFill="1" applyProtection="1">
      <alignment horizontal="center"/>
    </xf>
    <xf xxid="2459" numFmtId="181" fontId="85" fillId="6" borderId="18" xfId="0" applyAlignment="1" applyBorder="1" applyFont="1" applyNumberFormat="1" applyFill="1" applyProtection="1">
      <alignment horizontal="left" wrapText="1"/>
    </xf>
    <xf xxid="2460" numFmtId="181" fontId="85" fillId="6" borderId="8" xfId="0" applyAlignment="1" applyBorder="1" applyFont="1" applyNumberFormat="1" applyFill="1" applyProtection="1">
      <alignment horizontal="left" wrapText="1"/>
    </xf>
    <xf xxid="2461" numFmtId="181" fontId="85" fillId="6" borderId="19" xfId="0" applyAlignment="1" applyBorder="1" applyFont="1" applyNumberFormat="1" applyFill="1" applyProtection="1">
      <alignment horizontal="left" wrapText="1"/>
    </xf>
    <xf xxid="2462" numFmtId="181" fontId="85" fillId="6" borderId="8" xfId="1" applyAlignment="1" applyBorder="1" applyFont="1" applyNumberFormat="1" applyFill="1" applyProtection="1">
      <alignment horizontal="right"/>
      <protection hidden="1"/>
    </xf>
    <xf xxid="2463" numFmtId="181" fontId="85" fillId="6" borderId="47" xfId="1" applyAlignment="1" applyBorder="1" applyFont="1" applyNumberFormat="1" applyFill="1" applyProtection="1">
      <alignment horizontal="right"/>
      <protection hidden="1"/>
    </xf>
    <xf xxid="2464" numFmtId="181" fontId="88" fillId="6" borderId="54" xfId="1" applyAlignment="1" applyBorder="1" applyFont="1" applyNumberFormat="1" applyFill="1" applyProtection="1">
      <alignment horizontal="right"/>
      <protection hidden="1"/>
    </xf>
    <xf xxid="2465" numFmtId="181" fontId="88" fillId="6" borderId="51" xfId="1" applyAlignment="1" applyBorder="1" applyFont="1" applyNumberFormat="1" applyFill="1" applyProtection="1">
      <alignment horizontal="right"/>
      <protection hidden="1"/>
    </xf>
    <xf xxid="2466" numFmtId="181" fontId="88" fillId="6" borderId="53" xfId="1" applyAlignment="1" applyBorder="1" applyFont="1" applyNumberFormat="1" applyFill="1" applyProtection="1">
      <alignment horizontal="right"/>
      <protection hidden="1"/>
    </xf>
    <xf xxid="2467" numFmtId="0" fontId="104" fillId="22" borderId="14" xfId="0" applyAlignment="1" applyBorder="1" applyFont="1" applyNumberFormat="1" applyFill="1" applyProtection="1">
      <alignment horizontal="center" vertical="center" wrapText="1" shrinkToFit="1"/>
      <protection hidden="1"/>
    </xf>
    <xf xxid="2468" numFmtId="0" fontId="104" fillId="22" borderId="1" xfId="0" applyAlignment="1" applyBorder="1" applyFont="1" applyNumberFormat="1" applyFill="1" applyProtection="1">
      <alignment horizontal="center" vertical="center" wrapText="1" shrinkToFit="1"/>
      <protection hidden="1"/>
    </xf>
    <xf xxid="2469" numFmtId="0" fontId="104" fillId="22" borderId="81" xfId="0" applyAlignment="1" applyBorder="1" applyFont="1" applyNumberFormat="1" applyFill="1" applyProtection="1">
      <alignment horizontal="center" vertical="center" wrapText="1" shrinkToFit="1"/>
      <protection hidden="1"/>
    </xf>
    <xf xxid="2470" numFmtId="0" fontId="104" fillId="22" borderId="80" xfId="0" applyAlignment="1" applyBorder="1" applyFont="1" applyNumberFormat="1" applyFill="1" applyProtection="1">
      <alignment horizontal="center" vertical="center"/>
      <protection hidden="1"/>
    </xf>
    <xf xxid="2471" numFmtId="0" fontId="104" fillId="22" borderId="1" xfId="0" applyAlignment="1" applyBorder="1" applyFont="1" applyNumberFormat="1" applyFill="1" applyProtection="1">
      <alignment horizontal="center" vertical="center"/>
      <protection hidden="1"/>
    </xf>
    <xf xxid="2472" numFmtId="0" fontId="104" fillId="22" borderId="81" xfId="0" applyAlignment="1" applyBorder="1" applyFont="1" applyNumberFormat="1" applyFill="1" applyProtection="1">
      <alignment horizontal="center" vertical="center"/>
      <protection hidden="1"/>
    </xf>
    <xf xxid="2473" numFmtId="0" fontId="104" fillId="22" borderId="141" xfId="0" applyAlignment="1" applyBorder="1" applyFont="1" applyNumberFormat="1" applyFill="1" applyProtection="1">
      <alignment horizontal="center" vertical="center"/>
      <protection hidden="1"/>
    </xf>
    <xf xxid="2474" numFmtId="0" fontId="85" fillId="6" borderId="66" xfId="0" applyAlignment="1" applyBorder="1" applyFont="1" applyNumberFormat="1" applyFill="1" applyProtection="1">
      <alignment horizontal="center"/>
    </xf>
    <xf xxid="2475" numFmtId="0" fontId="85" fillId="6" borderId="142" xfId="0" applyAlignment="1" applyBorder="1" applyFont="1" applyNumberFormat="1" applyFill="1" applyProtection="1">
      <alignment horizontal="center"/>
    </xf>
    <xf xxid="2476" numFmtId="0" fontId="85" fillId="6" borderId="66" xfId="0" applyAlignment="1" applyBorder="1" applyFont="1" applyNumberFormat="1" applyFill="1" applyProtection="1">
      <alignment horizontal="left" wrapText="1"/>
    </xf>
    <xf xxid="2477" numFmtId="0" fontId="85" fillId="6" borderId="6" xfId="0" applyAlignment="1" applyBorder="1" applyFont="1" applyNumberFormat="1" applyFill="1" applyProtection="1">
      <alignment horizontal="left" wrapText="1"/>
    </xf>
    <xf xxid="2478" numFmtId="0" fontId="85" fillId="6" borderId="142" xfId="0" applyAlignment="1" applyBorder="1" applyFont="1" applyNumberFormat="1" applyFill="1" applyProtection="1">
      <alignment horizontal="left" wrapText="1"/>
    </xf>
    <xf xxid="2479" numFmtId="169" fontId="85" fillId="6" borderId="6" xfId="1" applyAlignment="1" applyBorder="1" applyFont="1" applyNumberFormat="1" applyFill="1" applyProtection="1">
      <alignment horizontal="right"/>
      <protection hidden="1"/>
    </xf>
    <xf xxid="2480" numFmtId="169" fontId="85" fillId="6" borderId="2" xfId="1" applyAlignment="1" applyBorder="1" applyFont="1" applyNumberFormat="1" applyFill="1" applyProtection="1">
      <alignment horizontal="right"/>
      <protection hidden="1"/>
    </xf>
    <xf xxid="2481" numFmtId="0" fontId="85" fillId="6" borderId="10" xfId="0" applyAlignment="1" applyBorder="1" applyFont="1" applyNumberFormat="1" applyFill="1" applyProtection="1">
      <alignment horizontal="center"/>
    </xf>
    <xf xxid="2482" numFmtId="0" fontId="85" fillId="6" borderId="12" xfId="0" applyAlignment="1" applyBorder="1" applyFont="1" applyNumberFormat="1" applyFill="1" applyProtection="1">
      <alignment horizontal="center"/>
    </xf>
    <xf xxid="2483" numFmtId="0" fontId="85" fillId="6" borderId="10" xfId="0" applyAlignment="1" applyBorder="1" applyFont="1" applyNumberFormat="1" applyFill="1" applyProtection="1">
      <alignment horizontal="left" wrapText="1"/>
    </xf>
    <xf xxid="2484" numFmtId="0" fontId="85" fillId="6" borderId="0" xfId="0" applyAlignment="1" applyBorder="1" applyFont="1" applyNumberFormat="1" applyFill="1" applyProtection="1">
      <alignment horizontal="left" wrapText="1"/>
    </xf>
    <xf xxid="2485" numFmtId="0" fontId="85" fillId="6" borderId="12" xfId="0" applyAlignment="1" applyBorder="1" applyFont="1" applyNumberFormat="1" applyFill="1" applyProtection="1">
      <alignment horizontal="left" wrapText="1"/>
    </xf>
    <xf xxid="2486" numFmtId="169" fontId="85" fillId="6" borderId="0" xfId="1" applyAlignment="1" applyBorder="1" applyFont="1" applyNumberFormat="1" applyFill="1" applyProtection="1">
      <alignment horizontal="right"/>
      <protection hidden="1"/>
    </xf>
    <xf xxid="2487" numFmtId="169" fontId="85" fillId="6" borderId="5" xfId="1" applyAlignment="1" applyBorder="1" applyFont="1" applyNumberFormat="1" applyFill="1" applyProtection="1">
      <alignment horizontal="right"/>
      <protection hidden="1"/>
    </xf>
    <xf xxid="2488" numFmtId="181" fontId="85" fillId="6" borderId="10" xfId="0" applyAlignment="1" applyBorder="1" applyFont="1" applyNumberFormat="1" applyFill="1" applyProtection="1">
      <alignment horizontal="center"/>
    </xf>
    <xf xxid="2489" numFmtId="181" fontId="85" fillId="6" borderId="12" xfId="0" applyAlignment="1" applyBorder="1" applyFont="1" applyNumberFormat="1" applyFill="1" applyProtection="1">
      <alignment horizontal="center"/>
    </xf>
    <xf xxid="2490" numFmtId="181" fontId="85" fillId="6" borderId="10" xfId="0" applyAlignment="1" applyBorder="1" applyFont="1" applyNumberFormat="1" applyFill="1" applyProtection="1">
      <alignment horizontal="left" wrapText="1"/>
    </xf>
    <xf xxid="2491" numFmtId="181" fontId="85" fillId="6" borderId="0" xfId="0" applyAlignment="1" applyBorder="1" applyFont="1" applyNumberFormat="1" applyFill="1" applyProtection="1">
      <alignment horizontal="left" wrapText="1"/>
    </xf>
    <xf xxid="2492" numFmtId="181" fontId="85" fillId="6" borderId="12" xfId="0" applyAlignment="1" applyBorder="1" applyFont="1" applyNumberFormat="1" applyFill="1" applyProtection="1">
      <alignment horizontal="left" wrapText="1"/>
    </xf>
    <xf xxid="2493" numFmtId="181" fontId="85" fillId="6" borderId="0" xfId="1" applyAlignment="1" applyBorder="1" applyFont="1" applyNumberFormat="1" applyFill="1" applyProtection="1">
      <alignment horizontal="right"/>
      <protection hidden="1"/>
    </xf>
    <xf xxid="2494" numFmtId="181" fontId="85" fillId="6" borderId="5" xfId="1" applyAlignment="1" applyBorder="1" applyFont="1" applyNumberFormat="1" applyFill="1" applyProtection="1">
      <alignment horizontal="right"/>
      <protection hidden="1"/>
    </xf>
    <xf xxid="2495" numFmtId="169" fontId="88" fillId="6" borderId="54" xfId="1" applyAlignment="1" applyBorder="1" applyFont="1" applyNumberFormat="1" applyFill="1" applyProtection="1">
      <alignment horizontal="center"/>
      <protection hidden="1"/>
    </xf>
    <xf xxid="2496" numFmtId="169" fontId="88" fillId="6" borderId="51" xfId="1" applyAlignment="1" applyBorder="1" applyFont="1" applyNumberFormat="1" applyFill="1" applyProtection="1">
      <alignment horizontal="center"/>
      <protection hidden="1"/>
    </xf>
    <xf xxid="2497" numFmtId="169" fontId="88" fillId="6" borderId="55" xfId="1" applyAlignment="1" applyBorder="1" applyFont="1" applyNumberFormat="1" applyFill="1" applyProtection="1">
      <alignment horizontal="center"/>
      <protection hidden="1"/>
    </xf>
    <xf xxid="2498" numFmtId="0" fontId="104" fillId="22" borderId="143" xfId="0" applyAlignment="1" applyBorder="1" applyFont="1" applyNumberFormat="1" applyFill="1" applyProtection="1">
      <alignment horizontal="center" vertical="center" wrapText="1"/>
      <protection hidden="1"/>
    </xf>
    <xf xxid="2499" numFmtId="0" fontId="104" fillId="22" borderId="144" xfId="0" applyAlignment="1" applyBorder="1" applyFont="1" applyNumberFormat="1" applyFill="1" applyProtection="1">
      <alignment horizontal="center" vertical="center" wrapText="1"/>
      <protection hidden="1"/>
    </xf>
    <xf xxid="2500" numFmtId="0" fontId="104" fillId="22" borderId="143" xfId="0" applyAlignment="1" applyBorder="1" applyFont="1" applyNumberFormat="1" applyFill="1" applyProtection="1">
      <alignment horizontal="center" vertical="center"/>
      <protection hidden="1"/>
    </xf>
    <xf xxid="2501" numFmtId="0" fontId="104" fillId="22" borderId="87" xfId="0" applyAlignment="1" applyBorder="1" applyFont="1" applyNumberFormat="1" applyFill="1" applyProtection="1">
      <alignment horizontal="center" vertical="center"/>
      <protection hidden="1"/>
    </xf>
    <xf xxid="2502" numFmtId="0" fontId="104" fillId="22" borderId="144" xfId="0" applyAlignment="1" applyBorder="1" applyFont="1" applyNumberFormat="1" applyFill="1" applyProtection="1">
      <alignment horizontal="center" vertical="center"/>
      <protection hidden="1"/>
    </xf>
    <xf xxid="2503" numFmtId="0" fontId="104" fillId="22" borderId="88" xfId="0" applyAlignment="1" applyBorder="1" applyFont="1" applyNumberFormat="1" applyFill="1" applyProtection="1">
      <alignment horizontal="center" vertical="center"/>
      <protection hidden="1"/>
    </xf>
    <xf xxid="2504" numFmtId="0" fontId="106" fillId="22" borderId="51" xfId="0" applyAlignment="1" applyBorder="1" applyFont="1" applyNumberFormat="1" applyFill="1" applyProtection="1">
      <alignment horizontal="center" vertical="center"/>
      <protection hidden="1"/>
    </xf>
    <xf xxid="2505" numFmtId="0" fontId="106" fillId="22" borderId="22" xfId="0" applyAlignment="1" applyBorder="1" applyFont="1" applyNumberFormat="1" applyFill="1" applyProtection="1">
      <alignment horizontal="center" vertical="center"/>
      <protection hidden="1"/>
    </xf>
    <xf xxid="2506" numFmtId="0" fontId="106" fillId="22" borderId="9" xfId="0" applyAlignment="1" applyBorder="1" applyFont="1" applyNumberFormat="1" applyFill="1" applyProtection="1">
      <alignment horizontal="center" vertical="center"/>
      <protection hidden="1"/>
    </xf>
    <xf xxid="2507" numFmtId="0" fontId="106" fillId="22" borderId="21" xfId="0" applyAlignment="1" applyBorder="1" applyFont="1" applyNumberFormat="1" applyFill="1" applyProtection="1">
      <alignment horizontal="center" vertical="center"/>
      <protection hidden="1"/>
    </xf>
    <xf xxid="2508" numFmtId="0" fontId="106" fillId="22" borderId="53" xfId="0" applyAlignment="1" applyBorder="1" applyFont="1" applyNumberFormat="1" applyFill="1" applyProtection="1">
      <alignment horizontal="center" vertical="center"/>
      <protection hidden="1"/>
    </xf>
    <xf xxid="2509" numFmtId="169" fontId="85" fillId="6" borderId="10" xfId="1" applyAlignment="1" applyBorder="1" applyFont="1" applyNumberFormat="1" applyFill="1" applyProtection="1">
      <alignment horizontal="center"/>
    </xf>
    <xf xxid="2510" numFmtId="169" fontId="85" fillId="6" borderId="0" xfId="1" applyAlignment="1" applyBorder="1" applyFont="1" applyNumberFormat="1" applyFill="1" applyProtection="1">
      <alignment horizontal="center"/>
    </xf>
    <xf xxid="2511" numFmtId="169" fontId="85" fillId="6" borderId="12" xfId="1" applyAlignment="1" applyBorder="1" applyFont="1" applyNumberFormat="1" applyFill="1" applyProtection="1">
      <alignment horizontal="center"/>
    </xf>
    <xf xxid="2512" numFmtId="0" fontId="85" fillId="6" borderId="18" xfId="0" applyAlignment="1" applyBorder="1" applyFont="1" applyNumberFormat="1" applyFill="1" applyProtection="1">
      <alignment horizontal="center"/>
    </xf>
    <xf xxid="2513" numFmtId="0" fontId="85" fillId="6" borderId="19" xfId="0" applyAlignment="1" applyBorder="1" applyFont="1" applyNumberFormat="1" applyFill="1" applyProtection="1">
      <alignment horizontal="center"/>
    </xf>
    <xf xxid="2514" numFmtId="0" fontId="85" fillId="6" borderId="18" xfId="0" applyAlignment="1" applyBorder="1" applyFont="1" applyNumberFormat="1" applyFill="1" applyProtection="1">
      <alignment horizontal="left" wrapText="1"/>
    </xf>
    <xf xxid="2515" numFmtId="0" fontId="85" fillId="6" borderId="8" xfId="0" applyAlignment="1" applyBorder="1" applyFont="1" applyNumberFormat="1" applyFill="1" applyProtection="1">
      <alignment horizontal="left" wrapText="1"/>
    </xf>
    <xf xxid="2516" numFmtId="0" fontId="85" fillId="6" borderId="19" xfId="0" applyAlignment="1" applyBorder="1" applyFont="1" applyNumberFormat="1" applyFill="1" applyProtection="1">
      <alignment horizontal="left" wrapText="1"/>
    </xf>
    <xf xxid="2517" numFmtId="169" fontId="85" fillId="6" borderId="18" xfId="1" applyAlignment="1" applyBorder="1" applyFont="1" applyNumberFormat="1" applyFill="1" applyProtection="1">
      <alignment horizontal="center"/>
    </xf>
    <xf xxid="2518" numFmtId="169" fontId="85" fillId="6" borderId="8" xfId="1" applyAlignment="1" applyBorder="1" applyFont="1" applyNumberFormat="1" applyFill="1" applyProtection="1">
      <alignment horizontal="center"/>
    </xf>
    <xf xxid="2519" numFmtId="169" fontId="85" fillId="6" borderId="19" xfId="1" applyAlignment="1" applyBorder="1" applyFont="1" applyNumberFormat="1" applyFill="1" applyProtection="1">
      <alignment horizontal="center"/>
    </xf>
    <xf xxid="2520" numFmtId="173" fontId="85" fillId="6" borderId="10" xfId="0" applyAlignment="1" applyBorder="1" applyFont="1" applyNumberFormat="1" applyFill="1" applyProtection="1">
      <alignment horizontal="center"/>
      <protection locked="0"/>
    </xf>
    <xf xxid="2521" numFmtId="173" fontId="85" fillId="6" borderId="0" xfId="0" applyAlignment="1" applyBorder="1" applyFont="1" applyNumberFormat="1" applyFill="1" applyProtection="1">
      <alignment horizontal="center"/>
      <protection locked="0"/>
    </xf>
    <xf xxid="2522" numFmtId="173" fontId="85" fillId="6" borderId="12" xfId="0" applyAlignment="1" applyBorder="1" applyFont="1" applyNumberFormat="1" applyFill="1" applyProtection="1">
      <alignment horizontal="center"/>
      <protection locked="0"/>
    </xf>
    <xf xxid="2523" numFmtId="169" fontId="85" fillId="6" borderId="66" xfId="1" applyAlignment="1" applyBorder="1" applyFont="1" applyNumberFormat="1" applyFill="1" applyProtection="1">
      <alignment horizontal="center"/>
    </xf>
    <xf xxid="2524" numFmtId="169" fontId="85" fillId="6" borderId="6" xfId="1" applyAlignment="1" applyBorder="1" applyFont="1" applyNumberFormat="1" applyFill="1" applyProtection="1">
      <alignment horizontal="center"/>
    </xf>
    <xf xxid="2525" numFmtId="169" fontId="85" fillId="6" borderId="142" xfId="1" applyAlignment="1" applyBorder="1" applyFont="1" applyNumberFormat="1" applyFill="1" applyProtection="1">
      <alignment horizontal="center"/>
    </xf>
    <xf xxid="2526" numFmtId="173" fontId="85" fillId="6" borderId="66" xfId="0" applyAlignment="1" applyBorder="1" applyFont="1" applyNumberFormat="1" applyFill="1" applyProtection="1">
      <alignment horizontal="center"/>
      <protection locked="0"/>
    </xf>
    <xf xxid="2527" numFmtId="173" fontId="85" fillId="6" borderId="6" xfId="0" applyAlignment="1" applyBorder="1" applyFont="1" applyNumberFormat="1" applyFill="1" applyProtection="1">
      <alignment horizontal="center"/>
      <protection locked="0"/>
    </xf>
    <xf xxid="2528" numFmtId="173" fontId="85" fillId="6" borderId="142" xfId="0" applyAlignment="1" applyBorder="1" applyFont="1" applyNumberFormat="1" applyFill="1" applyProtection="1">
      <alignment horizontal="center"/>
      <protection locked="0"/>
    </xf>
    <xf xxid="2529" numFmtId="0" fontId="88" fillId="6" borderId="50" xfId="0" applyAlignment="1" applyBorder="1" applyFont="1" applyNumberFormat="1" applyFill="1" applyProtection="1">
      <alignment horizontal="center" vertical="center"/>
      <protection hidden="1"/>
    </xf>
    <xf xxid="2530" numFmtId="0" fontId="88" fillId="6" borderId="51" xfId="0" applyAlignment="1" applyBorder="1" applyFont="1" applyNumberFormat="1" applyFill="1" applyProtection="1">
      <alignment horizontal="center" vertical="center"/>
      <protection hidden="1"/>
    </xf>
    <xf xxid="2531" numFmtId="0" fontId="88" fillId="6" borderId="55" xfId="0" applyAlignment="1" applyBorder="1" applyFont="1" applyNumberFormat="1" applyFill="1" applyProtection="1">
      <alignment horizontal="center" vertical="center"/>
      <protection hidden="1"/>
    </xf>
    <xf xxid="2532" numFmtId="179" fontId="88" fillId="6" borderId="54" xfId="0" applyAlignment="1" applyBorder="1" applyFont="1" applyNumberFormat="1" applyFill="1" applyProtection="1">
      <alignment horizontal="center" vertical="center"/>
      <protection hidden="1"/>
    </xf>
    <xf xxid="2533" numFmtId="179" fontId="88" fillId="6" borderId="51" xfId="0" applyAlignment="1" applyBorder="1" applyFont="1" applyNumberFormat="1" applyFill="1" applyProtection="1">
      <alignment horizontal="center" vertical="center"/>
      <protection hidden="1"/>
    </xf>
    <xf xxid="2534" numFmtId="179" fontId="88" fillId="6" borderId="53" xfId="0" applyAlignment="1" applyBorder="1" applyFont="1" applyNumberFormat="1" applyFill="1" applyProtection="1">
      <alignment horizontal="center" vertical="center"/>
      <protection hidden="1"/>
    </xf>
    <xf xxid="2535" numFmtId="0" fontId="85" fillId="6" borderId="74" xfId="0" applyAlignment="1" applyBorder="1" applyFont="1" applyNumberFormat="1" applyFill="1" applyProtection="1">
      <alignment horizontal="center"/>
      <protection hidden="1"/>
    </xf>
    <xf xxid="2536" numFmtId="0" fontId="85" fillId="6" borderId="16" xfId="0" applyAlignment="1" applyBorder="1" applyFont="1" applyNumberFormat="1" applyFill="1" applyProtection="1">
      <alignment horizontal="center"/>
      <protection hidden="1"/>
    </xf>
    <xf xxid="2537" numFmtId="179" fontId="85" fillId="6" borderId="16" xfId="0" applyAlignment="1" applyBorder="1" applyFont="1" applyNumberFormat="1" applyFill="1" applyProtection="1">
      <alignment horizontal="center"/>
      <protection hidden="1"/>
    </xf>
    <xf xxid="2538" numFmtId="179" fontId="85" fillId="6" borderId="140" xfId="0" applyAlignment="1" applyBorder="1" applyFont="1" applyNumberFormat="1" applyFill="1" applyProtection="1">
      <alignment horizontal="center"/>
      <protection hidden="1"/>
    </xf>
    <xf xxid="2539" numFmtId="0" fontId="88" fillId="6" borderId="71" xfId="0" applyAlignment="1" applyBorder="1" applyFont="1" applyNumberFormat="1" applyFill="1" applyProtection="1">
      <alignment horizontal="center" vertical="center"/>
      <protection hidden="1"/>
    </xf>
    <xf xxid="2540" numFmtId="0" fontId="88" fillId="6" borderId="7" xfId="0" applyAlignment="1" applyBorder="1" applyFont="1" applyNumberFormat="1" applyFill="1" applyProtection="1">
      <alignment horizontal="center" vertical="center"/>
      <protection hidden="1"/>
    </xf>
    <xf xxid="2541" numFmtId="179" fontId="88" fillId="6" borderId="7" xfId="0" applyAlignment="1" applyBorder="1" applyFont="1" applyNumberFormat="1" applyFill="1" applyProtection="1">
      <alignment horizontal="center" vertical="center"/>
      <protection hidden="1"/>
    </xf>
    <xf xxid="2542" numFmtId="179" fontId="88" fillId="6" borderId="70" xfId="0" applyAlignment="1" applyBorder="1" applyFont="1" applyNumberFormat="1" applyFill="1" applyProtection="1">
      <alignment horizontal="center" vertical="center"/>
      <protection hidden="1"/>
    </xf>
    <xf xxid="2543" numFmtId="0" fontId="85" fillId="6" borderId="71" xfId="0" applyAlignment="1" applyBorder="1" applyFont="1" applyNumberFormat="1" applyFill="1" applyProtection="1">
      <alignment horizontal="left"/>
      <protection hidden="1"/>
    </xf>
    <xf xxid="2544" numFmtId="0" fontId="85" fillId="6" borderId="7" xfId="0" applyAlignment="1" applyBorder="1" applyFont="1" applyNumberFormat="1" applyFill="1" applyProtection="1">
      <alignment horizontal="left"/>
      <protection hidden="1"/>
    </xf>
    <xf xxid="2545" numFmtId="179" fontId="85" fillId="6" borderId="7" xfId="0" applyAlignment="1" applyBorder="1" applyFont="1" applyNumberFormat="1" applyFill="1" applyProtection="1">
      <alignment horizontal="center"/>
      <protection hidden="1"/>
    </xf>
    <xf xxid="2546" numFmtId="179" fontId="85" fillId="6" borderId="70" xfId="0" applyAlignment="1" applyBorder="1" applyFont="1" applyNumberFormat="1" applyFill="1" applyProtection="1">
      <alignment horizontal="center"/>
      <protection hidden="1"/>
    </xf>
    <xf xxid="2547" numFmtId="0" fontId="97" fillId="6" borderId="0" xfId="0" applyAlignment="1" applyBorder="1" applyFont="1" applyNumberFormat="1" applyFill="1" applyProtection="1">
      <alignment horizontal="left"/>
      <protection hidden="1"/>
    </xf>
    <xf xxid="2548" numFmtId="0" fontId="105" fillId="22" borderId="145" xfId="0" applyAlignment="1" applyBorder="1" applyFont="1" applyNumberFormat="1" applyFill="1" applyProtection="1">
      <alignment horizontal="center" vertical="center"/>
      <protection hidden="1"/>
    </xf>
    <xf xxid="2549" numFmtId="0" fontId="105" fillId="22" borderId="146" xfId="0" applyAlignment="1" applyBorder="1" applyFont="1" applyNumberFormat="1" applyFill="1" applyProtection="1">
      <alignment horizontal="center" vertical="center"/>
      <protection hidden="1"/>
    </xf>
    <xf xxid="2550" numFmtId="0" fontId="105" fillId="22" borderId="147" xfId="0" applyAlignment="1" applyBorder="1" applyFont="1" applyNumberFormat="1" applyFill="1" applyProtection="1">
      <alignment horizontal="center" vertical="center"/>
      <protection hidden="1"/>
    </xf>
    <xf xxid="2551" numFmtId="0" fontId="85" fillId="6" borderId="92" xfId="0" applyAlignment="1" applyBorder="1" applyFont="1" applyNumberFormat="1" applyFill="1" applyProtection="1">
      <alignment horizontal="left"/>
    </xf>
    <xf xxid="2552" numFmtId="0" fontId="85" fillId="6" borderId="40" xfId="0" applyAlignment="1" applyBorder="1" applyFont="1" applyNumberFormat="1" applyFill="1" applyProtection="1">
      <alignment horizontal="left"/>
    </xf>
    <xf xxid="2553" numFmtId="0" fontId="85" fillId="6" borderId="41" xfId="0" applyAlignment="1" applyBorder="1" applyFont="1" applyNumberFormat="1" applyFill="1" applyProtection="1">
      <alignment horizontal="left"/>
    </xf>
    <xf xxid="2554" numFmtId="179" fontId="85" fillId="6" borderId="43" xfId="1" applyAlignment="1" applyBorder="1" applyFont="1" applyNumberFormat="1" applyFill="1" applyProtection="1">
      <alignment horizontal="center"/>
    </xf>
    <xf xxid="2555" numFmtId="0" fontId="88" fillId="6" borderId="50" xfId="0" applyAlignment="1" applyBorder="1" applyFont="1" applyNumberFormat="1" applyFill="1" applyProtection="1">
      <alignment horizontal="left" vertical="center"/>
    </xf>
    <xf xxid="2556" numFmtId="0" fontId="88" fillId="6" borderId="51" xfId="0" applyAlignment="1" applyBorder="1" applyFont="1" applyNumberFormat="1" applyFill="1" applyProtection="1">
      <alignment horizontal="left" vertical="center"/>
    </xf>
    <xf xxid="2557" numFmtId="0" fontId="88" fillId="6" borderId="55" xfId="0" applyAlignment="1" applyBorder="1" applyFont="1" applyNumberFormat="1" applyFill="1" applyProtection="1">
      <alignment horizontal="left" vertical="center"/>
    </xf>
    <xf xxid="2558" numFmtId="179" fontId="88" fillId="6" borderId="75" xfId="1" applyAlignment="1" applyBorder="1" applyFont="1" applyNumberFormat="1" applyFill="1" applyProtection="1">
      <alignment horizontal="center" vertical="center"/>
    </xf>
    <xf xxid="2559" numFmtId="179" fontId="85" fillId="6" borderId="24" xfId="1" applyAlignment="1" applyBorder="1" applyFont="1" applyNumberFormat="1" applyFill="1" applyProtection="1">
      <alignment horizontal="center"/>
      <protection hidden="1"/>
    </xf>
    <xf xxid="2560" numFmtId="179" fontId="85" fillId="6" borderId="20" xfId="1" applyAlignment="1" applyBorder="1" applyFont="1" applyNumberFormat="1" applyFill="1" applyProtection="1">
      <alignment horizontal="center"/>
      <protection hidden="1"/>
    </xf>
    <xf xxid="2561" numFmtId="179" fontId="85" fillId="6" borderId="29" xfId="1" applyAlignment="1" applyBorder="1" applyFont="1" applyNumberFormat="1" applyFill="1" applyProtection="1">
      <alignment horizontal="center"/>
      <protection hidden="1"/>
    </xf>
    <xf xxid="2562" numFmtId="179" fontId="85" fillId="6" borderId="18" xfId="1" applyAlignment="1" applyBorder="1" applyFont="1" applyNumberFormat="1" applyFill="1" applyProtection="1">
      <alignment horizontal="center"/>
      <protection hidden="1"/>
    </xf>
    <xf xxid="2563" numFmtId="179" fontId="85" fillId="6" borderId="8" xfId="1" applyAlignment="1" applyBorder="1" applyFont="1" applyNumberFormat="1" applyFill="1" applyProtection="1">
      <alignment horizontal="center"/>
      <protection hidden="1"/>
    </xf>
    <xf xxid="2564" numFmtId="179" fontId="85" fillId="6" borderId="19" xfId="1" applyAlignment="1" applyBorder="1" applyFont="1" applyNumberFormat="1" applyFill="1" applyProtection="1">
      <alignment horizontal="center"/>
      <protection hidden="1"/>
    </xf>
    <xf xxid="2565" numFmtId="183" fontId="88" fillId="6" borderId="26" xfId="1" applyAlignment="1" applyBorder="1" applyFont="1" applyNumberFormat="1" applyFill="1" applyProtection="1">
      <alignment horizontal="center" vertical="center"/>
      <protection hidden="1"/>
    </xf>
    <xf xxid="2566" numFmtId="183" fontId="88" fillId="6" borderId="27" xfId="1" applyAlignment="1" applyBorder="1" applyFont="1" applyNumberFormat="1" applyFill="1" applyProtection="1">
      <alignment horizontal="center" vertical="center"/>
      <protection hidden="1"/>
    </xf>
    <xf xxid="2567" numFmtId="183" fontId="88" fillId="6" borderId="28" xfId="1" applyAlignment="1" applyBorder="1" applyFont="1" applyNumberFormat="1" applyFill="1" applyProtection="1">
      <alignment horizontal="center" vertical="center"/>
      <protection hidden="1"/>
    </xf>
    <xf xxid="2568" numFmtId="179" fontId="88" fillId="6" borderId="24" xfId="1" applyAlignment="1" applyBorder="1" applyFont="1" applyNumberFormat="1" applyFill="1" applyProtection="1">
      <alignment horizontal="center"/>
      <protection hidden="1"/>
    </xf>
    <xf xxid="2569" numFmtId="179" fontId="88" fillId="6" borderId="20" xfId="1" applyAlignment="1" applyBorder="1" applyFont="1" applyNumberFormat="1" applyFill="1" applyProtection="1">
      <alignment horizontal="center"/>
      <protection hidden="1"/>
    </xf>
    <xf xxid="2570" numFmtId="179" fontId="88" fillId="6" borderId="29" xfId="1" applyAlignment="1" applyBorder="1" applyFont="1" applyNumberFormat="1" applyFill="1" applyProtection="1">
      <alignment horizontal="center"/>
      <protection hidden="1"/>
    </xf>
    <xf xxid="2571" numFmtId="167" fontId="85" fillId="6" borderId="24" xfId="1" applyAlignment="1" applyBorder="1" applyFont="1" applyNumberFormat="1" applyFill="1" applyProtection="1">
      <alignment horizontal="center"/>
      <protection hidden="1"/>
    </xf>
    <xf xxid="2572" numFmtId="167" fontId="85" fillId="6" borderId="20" xfId="1" applyAlignment="1" applyBorder="1" applyFont="1" applyNumberFormat="1" applyFill="1" applyProtection="1">
      <alignment horizontal="center"/>
      <protection hidden="1"/>
    </xf>
    <xf xxid="2573" numFmtId="167" fontId="85" fillId="6" borderId="29" xfId="1" applyAlignment="1" applyBorder="1" applyFont="1" applyNumberFormat="1" applyFill="1" applyProtection="1">
      <alignment horizontal="center"/>
      <protection hidden="1"/>
    </xf>
    <xf xxid="2574" numFmtId="0" fontId="85" fillId="6" borderId="148" xfId="0" applyAlignment="1" applyBorder="1" applyFont="1" applyNumberFormat="1" applyFill="1" applyProtection="1">
      <alignment horizontal="center"/>
      <protection hidden="1"/>
    </xf>
    <xf xxid="2575" numFmtId="0" fontId="85" fillId="6" borderId="87" xfId="0" applyAlignment="1" applyBorder="1" applyFont="1" applyNumberFormat="1" applyFill="1" applyProtection="1">
      <alignment horizontal="center"/>
      <protection hidden="1"/>
    </xf>
    <xf xxid="2576" numFmtId="0" fontId="85" fillId="6" borderId="144" xfId="0" applyAlignment="1" applyBorder="1" applyFont="1" applyNumberFormat="1" applyFill="1" applyProtection="1">
      <alignment horizontal="center"/>
      <protection hidden="1"/>
    </xf>
    <xf xxid="2577" numFmtId="0" fontId="85" fillId="6" borderId="143" xfId="0" applyAlignment="1" applyBorder="1" applyFont="1" applyNumberFormat="1" applyFill="1" applyProtection="1">
      <alignment horizontal="center"/>
      <protection hidden="1"/>
    </xf>
    <xf xxid="2578" numFmtId="0" fontId="85" fillId="6" borderId="88" xfId="0" applyAlignment="1" applyBorder="1" applyFont="1" applyNumberFormat="1" applyFill="1" applyProtection="1">
      <alignment horizontal="center"/>
      <protection hidden="1"/>
    </xf>
    <xf xxid="2579" numFmtId="179" fontId="85" fillId="6" borderId="7" xfId="1" applyAlignment="1" applyBorder="1" applyFont="1" applyNumberFormat="1" applyFill="1" applyProtection="1">
      <alignment horizontal="center"/>
    </xf>
    <xf xxid="2580" numFmtId="179" fontId="85" fillId="6" borderId="70" xfId="1" applyAlignment="1" applyBorder="1" applyFont="1" applyNumberFormat="1" applyFill="1" applyProtection="1">
      <alignment horizontal="center"/>
    </xf>
    <xf xxid="2581" numFmtId="179" fontId="85" fillId="6" borderId="149" xfId="1" applyAlignment="1" applyBorder="1" applyFont="1" applyNumberFormat="1" applyFill="1" applyProtection="1">
      <alignment horizontal="center"/>
    </xf>
    <xf xxid="2582" numFmtId="0" fontId="85" fillId="6" borderId="49" xfId="0" applyAlignment="1" applyBorder="1" applyFont="1" applyNumberFormat="1" applyFill="1" applyProtection="1">
      <alignment horizontal="left"/>
    </xf>
    <xf xxid="2583" numFmtId="0" fontId="85" fillId="6" borderId="20" xfId="0" applyAlignment="1" applyBorder="1" applyFont="1" applyNumberFormat="1" applyFill="1" applyProtection="1">
      <alignment horizontal="left"/>
    </xf>
    <xf xxid="2584" numFmtId="0" fontId="85" fillId="6" borderId="29" xfId="0" applyAlignment="1" applyBorder="1" applyFont="1" applyNumberFormat="1" applyFill="1" applyProtection="1">
      <alignment horizontal="left"/>
    </xf>
    <xf xxid="2585" numFmtId="179" fontId="88" fillId="6" borderId="54" xfId="1" applyAlignment="1" applyBorder="1" applyFont="1" applyNumberFormat="1" applyFill="1" applyProtection="1">
      <alignment horizontal="center" vertical="center"/>
    </xf>
    <xf xxid="2586" numFmtId="179" fontId="88" fillId="6" borderId="51" xfId="1" applyAlignment="1" applyBorder="1" applyFont="1" applyNumberFormat="1" applyFill="1" applyProtection="1">
      <alignment horizontal="center" vertical="center"/>
    </xf>
    <xf xxid="2587" numFmtId="179" fontId="88" fillId="6" borderId="53" xfId="1" applyAlignment="1" applyBorder="1" applyFont="1" applyNumberFormat="1" applyFill="1" applyProtection="1">
      <alignment horizontal="center" vertical="center"/>
    </xf>
    <xf xxid="2588" numFmtId="180" fontId="85" fillId="6" borderId="0" xfId="7" applyAlignment="1" applyBorder="1" applyFont="1" applyNumberFormat="1" applyFill="1" applyProtection="1">
      <alignment horizontal="center"/>
      <protection hidden="1"/>
    </xf>
    <xf xxid="2589" numFmtId="179" fontId="88" fillId="6" borderId="0" xfId="0" applyAlignment="1" applyBorder="1" applyFont="1" applyNumberFormat="1" applyFill="1" applyProtection="1">
      <alignment horizontal="center" vertical="center"/>
      <protection hidden="1"/>
    </xf>
    <xf xxid="2590" numFmtId="0" fontId="103" fillId="22" borderId="67" xfId="0" applyAlignment="1" applyBorder="1" applyFont="1" applyNumberFormat="1" applyFill="1" applyProtection="1">
      <alignment horizontal="center" vertical="center" wrapText="1" shrinkToFit="1"/>
      <protection hidden="1"/>
    </xf>
    <xf xxid="2591" numFmtId="0" fontId="103" fillId="22" borderId="68" xfId="0" applyAlignment="1" applyBorder="1" applyFont="1" applyNumberFormat="1" applyFill="1" applyProtection="1">
      <alignment horizontal="center" vertical="center" wrapText="1" shrinkToFit="1"/>
      <protection hidden="1"/>
    </xf>
    <xf xxid="2592" numFmtId="0" fontId="103" fillId="22" borderId="16" xfId="0" applyAlignment="1" applyBorder="1" applyFont="1" applyNumberFormat="1" applyFill="1" applyProtection="1">
      <alignment horizontal="center" vertical="center"/>
      <protection hidden="1"/>
    </xf>
    <xf xxid="2593" numFmtId="0" fontId="103" fillId="22" borderId="140" xfId="0" applyAlignment="1" applyBorder="1" applyFont="1" applyNumberFormat="1" applyFill="1" applyProtection="1">
      <alignment horizontal="center" vertical="center"/>
      <protection hidden="1"/>
    </xf>
    <xf xxid="2594" numFmtId="0" fontId="104" fillId="22" borderId="141" xfId="0" applyAlignment="1" applyBorder="1" applyFont="1" applyNumberFormat="1" applyFill="1" applyProtection="1">
      <alignment horizontal="center" vertical="center" wrapText="1"/>
      <protection hidden="1"/>
    </xf>
    <xf xxid="2595" numFmtId="0" fontId="104" fillId="22" borderId="150" xfId="0" applyAlignment="1" applyBorder="1" applyFont="1" applyNumberFormat="1" applyFill="1" applyProtection="1">
      <alignment horizontal="center" vertical="center" wrapText="1"/>
      <protection hidden="1"/>
    </xf>
    <xf xxid="2596" numFmtId="179" fontId="88" fillId="6" borderId="26" xfId="0" applyAlignment="1" applyBorder="1" applyFont="1" applyNumberFormat="1" applyFill="1" applyProtection="1">
      <alignment horizontal="center" vertical="center"/>
      <protection hidden="1"/>
    </xf>
    <xf xxid="2597" numFmtId="179" fontId="88" fillId="6" borderId="27" xfId="0" applyAlignment="1" applyBorder="1" applyFont="1" applyNumberFormat="1" applyFill="1" applyProtection="1">
      <alignment horizontal="center" vertical="center"/>
      <protection hidden="1"/>
    </xf>
    <xf xxid="2598" numFmtId="179" fontId="88" fillId="6" borderId="28" xfId="0" applyAlignment="1" applyBorder="1" applyFont="1" applyNumberFormat="1" applyFill="1" applyProtection="1">
      <alignment horizontal="center" vertical="center"/>
      <protection hidden="1"/>
    </xf>
    <xf xxid="2599" numFmtId="179" fontId="88" fillId="6" borderId="22" xfId="1" applyAlignment="1" applyBorder="1" applyFont="1" applyNumberFormat="1" applyFill="1" applyProtection="1">
      <alignment horizontal="center"/>
      <protection hidden="1"/>
    </xf>
    <xf xxid="2600" numFmtId="179" fontId="88" fillId="6" borderId="9" xfId="1" applyAlignment="1" applyBorder="1" applyFont="1" applyNumberFormat="1" applyFill="1" applyProtection="1">
      <alignment horizontal="center"/>
      <protection hidden="1"/>
    </xf>
    <xf xxid="2601" numFmtId="179" fontId="88" fillId="6" borderId="21" xfId="1" applyAlignment="1" applyBorder="1" applyFont="1" applyNumberFormat="1" applyFill="1" applyProtection="1">
      <alignment horizontal="center"/>
      <protection hidden="1"/>
    </xf>
    <xf xxid="2602" numFmtId="0" fontId="104" fillId="22" borderId="67" xfId="0" applyAlignment="1" applyBorder="1" applyFont="1" applyNumberFormat="1" applyFill="1" applyProtection="1">
      <alignment horizontal="center"/>
    </xf>
    <xf xxid="2603" numFmtId="0" fontId="104" fillId="22" borderId="68" xfId="0" applyAlignment="1" applyBorder="1" applyFont="1" applyNumberFormat="1" applyFill="1" applyProtection="1">
      <alignment horizontal="center"/>
    </xf>
    <xf xxid="2604" numFmtId="0" fontId="104" fillId="22" borderId="15" xfId="0" applyAlignment="1" applyBorder="1" applyFont="1" applyNumberFormat="1" applyFill="1" applyProtection="1">
      <alignment horizontal="center" vertical="center"/>
    </xf>
    <xf xxid="2605" numFmtId="0" fontId="104" fillId="22" borderId="141" xfId="0" applyAlignment="1" applyBorder="1" applyFont="1" applyNumberFormat="1" applyFill="1" applyProtection="1">
      <alignment horizontal="center" vertical="center"/>
    </xf>
    <xf xxid="2606" numFmtId="0" fontId="104" fillId="22" borderId="24" xfId="0" applyAlignment="1" applyBorder="1" applyFont="1" applyNumberFormat="1" applyFill="1" applyProtection="1">
      <alignment horizontal="center" vertical="center"/>
    </xf>
    <xf xxid="2607" numFmtId="0" fontId="104" fillId="22" borderId="20" xfId="0" applyAlignment="1" applyBorder="1" applyFont="1" applyNumberFormat="1" applyFill="1" applyProtection="1">
      <alignment horizontal="center" vertical="center"/>
    </xf>
    <xf xxid="2608" numFmtId="0" fontId="104" fillId="22" borderId="151" xfId="0" applyAlignment="1" applyBorder="1" applyFont="1" applyNumberFormat="1" applyFill="1" applyProtection="1">
      <alignment horizontal="center" vertical="center"/>
    </xf>
    <xf xxid="2609" numFmtId="175" fontId="85" fillId="6" borderId="0" xfId="1" applyAlignment="1" applyBorder="1" applyFont="1" applyNumberFormat="1" applyFill="1" applyProtection="1">
      <alignment horizontal="center"/>
      <protection hidden="1"/>
    </xf>
    <xf xxid="2610" numFmtId="183" fontId="88" fillId="6" borderId="9" xfId="0" applyAlignment="1" applyBorder="1" applyFont="1" applyNumberFormat="1" applyFill="1" applyProtection="1">
      <alignment horizontal="center"/>
      <protection hidden="1"/>
    </xf>
    <xf xxid="2611" numFmtId="183" fontId="85" fillId="6" borderId="0" xfId="1" applyAlignment="1" applyBorder="1" applyFont="1" applyNumberFormat="1" applyFill="1" applyProtection="1">
      <alignment horizontal="center"/>
      <protection hidden="1"/>
    </xf>
    <xf xxid="2612" numFmtId="169" fontId="104" fillId="22" borderId="54" xfId="0" applyAlignment="1" applyBorder="1" applyFont="1" applyNumberFormat="1" applyFill="1" applyProtection="1">
      <alignment horizontal="center" vertical="center" wrapText="1"/>
    </xf>
    <xf xxid="2613" numFmtId="169" fontId="104" fillId="22" borderId="51" xfId="0" applyAlignment="1" applyBorder="1" applyFont="1" applyNumberFormat="1" applyFill="1" applyProtection="1">
      <alignment horizontal="center" vertical="center" wrapText="1"/>
    </xf>
    <xf xxid="2614" numFmtId="169" fontId="104" fillId="22" borderId="55" xfId="0" applyAlignment="1" applyBorder="1" applyFont="1" applyNumberFormat="1" applyFill="1" applyProtection="1">
      <alignment horizontal="center" vertical="center" wrapText="1"/>
    </xf>
    <xf xxid="2615" numFmtId="0" fontId="104" fillId="22" borderId="150" xfId="0" applyAlignment="1" applyBorder="1" applyFont="1" applyNumberFormat="1" applyFill="1" applyProtection="1">
      <alignment horizontal="center" vertical="center"/>
    </xf>
    <xf xxid="2616" numFmtId="0" fontId="103" fillId="22" borderId="13" xfId="0" applyAlignment="1" applyBorder="1" applyFont="1" applyNumberFormat="1" applyFill="1" applyProtection="1">
      <alignment horizontal="center" vertical="center" wrapText="1" shrinkToFit="1"/>
      <protection hidden="1"/>
    </xf>
    <xf xxid="2617" numFmtId="0" fontId="103" fillId="22" borderId="6" xfId="0" applyAlignment="1" applyBorder="1" applyFont="1" applyNumberFormat="1" applyFill="1" applyProtection="1">
      <alignment horizontal="center" vertical="center" wrapText="1" shrinkToFit="1"/>
      <protection hidden="1"/>
    </xf>
    <xf xxid="2618" numFmtId="0" fontId="103" fillId="22" borderId="142" xfId="0" applyAlignment="1" applyBorder="1" applyFont="1" applyNumberFormat="1" applyFill="1" applyProtection="1">
      <alignment horizontal="center" vertical="center" wrapText="1" shrinkToFit="1"/>
      <protection hidden="1"/>
    </xf>
    <xf xxid="2619" numFmtId="0" fontId="103" fillId="22" borderId="46" xfId="0" applyAlignment="1" applyBorder="1" applyFont="1" applyNumberFormat="1" applyFill="1" applyProtection="1">
      <alignment horizontal="center" vertical="center" wrapText="1" shrinkToFit="1"/>
      <protection hidden="1"/>
    </xf>
    <xf xxid="2620" numFmtId="0" fontId="103" fillId="22" borderId="8" xfId="0" applyAlignment="1" applyBorder="1" applyFont="1" applyNumberFormat="1" applyFill="1" applyProtection="1">
      <alignment horizontal="center" vertical="center" wrapText="1" shrinkToFit="1"/>
      <protection hidden="1"/>
    </xf>
    <xf xxid="2621" numFmtId="0" fontId="103" fillId="22" borderId="19" xfId="0" applyAlignment="1" applyBorder="1" applyFont="1" applyNumberFormat="1" applyFill="1" applyProtection="1">
      <alignment horizontal="center" vertical="center" wrapText="1" shrinkToFit="1"/>
      <protection hidden="1"/>
    </xf>
    <xf xxid="2622" numFmtId="0" fontId="103" fillId="22" borderId="143" xfId="0" applyAlignment="1" applyBorder="1" applyFont="1" applyNumberFormat="1" applyFill="1" applyProtection="1">
      <alignment horizontal="center" vertical="center" wrapText="1" shrinkToFit="1"/>
      <protection hidden="1"/>
    </xf>
    <xf xxid="2623" numFmtId="0" fontId="103" fillId="22" borderId="87" xfId="0" applyAlignment="1" applyBorder="1" applyFont="1" applyNumberFormat="1" applyFill="1" applyProtection="1">
      <alignment horizontal="center" vertical="center" wrapText="1" shrinkToFit="1"/>
      <protection hidden="1"/>
    </xf>
    <xf xxid="2624" numFmtId="0" fontId="103" fillId="22" borderId="144" xfId="0" applyAlignment="1" applyBorder="1" applyFont="1" applyNumberFormat="1" applyFill="1" applyProtection="1">
      <alignment horizontal="center" vertical="center" wrapText="1" shrinkToFit="1"/>
      <protection hidden="1"/>
    </xf>
    <xf xxid="2625" numFmtId="167" fontId="85" fillId="6" borderId="18" xfId="1" applyAlignment="1" applyBorder="1" applyFont="1" applyNumberFormat="1" applyFill="1" applyProtection="1">
      <alignment horizontal="center"/>
      <protection hidden="1"/>
    </xf>
    <xf xxid="2626" numFmtId="167" fontId="85" fillId="6" borderId="8" xfId="1" applyAlignment="1" applyBorder="1" applyFont="1" applyNumberFormat="1" applyFill="1" applyProtection="1">
      <alignment horizontal="center"/>
      <protection hidden="1"/>
    </xf>
    <xf xxid="2627" numFmtId="167" fontId="85" fillId="6" borderId="19" xfId="1" applyAlignment="1" applyBorder="1" applyFont="1" applyNumberFormat="1" applyFill="1" applyProtection="1">
      <alignment horizontal="center"/>
      <protection hidden="1"/>
    </xf>
    <xf xxid="2628" numFmtId="0" fontId="103" fillId="22" borderId="18" xfId="0" applyAlignment="1" applyBorder="1" applyFont="1" applyNumberFormat="1" applyFill="1" applyProtection="1">
      <alignment horizontal="center" vertical="center"/>
      <protection hidden="1"/>
    </xf>
    <xf xxid="2629" numFmtId="0" fontId="103" fillId="22" borderId="8" xfId="0" applyAlignment="1" applyBorder="1" applyFont="1" applyNumberFormat="1" applyFill="1" applyProtection="1">
      <alignment horizontal="center" vertical="center"/>
      <protection hidden="1"/>
    </xf>
    <xf xxid="2630" numFmtId="0" fontId="103" fillId="22" borderId="19" xfId="0" applyAlignment="1" applyBorder="1" applyFont="1" applyNumberFormat="1" applyFill="1" applyProtection="1">
      <alignment horizontal="center" vertical="center"/>
      <protection hidden="1"/>
    </xf>
    <xf xxid="2631" numFmtId="0" fontId="85" fillId="6" borderId="49" xfId="0" applyAlignment="1" applyBorder="1" applyFont="1" applyNumberFormat="1" applyFill="1" applyProtection="1">
      <alignment horizontal="left"/>
      <protection hidden="1"/>
    </xf>
    <xf xxid="2632" numFmtId="0" fontId="85" fillId="6" borderId="20" xfId="0" applyAlignment="1" applyBorder="1" applyFont="1" applyNumberFormat="1" applyFill="1" applyProtection="1">
      <alignment horizontal="left"/>
      <protection hidden="1"/>
    </xf>
    <xf xxid="2633" numFmtId="0" fontId="85" fillId="6" borderId="29" xfId="0" applyAlignment="1" applyBorder="1" applyFont="1" applyNumberFormat="1" applyFill="1" applyProtection="1">
      <alignment horizontal="left"/>
      <protection hidden="1"/>
    </xf>
    <xf xxid="2634" numFmtId="167" fontId="88" fillId="6" borderId="24" xfId="1" applyAlignment="1" applyBorder="1" applyFont="1" applyNumberFormat="1" applyFill="1" applyProtection="1">
      <alignment horizontal="center"/>
      <protection hidden="1"/>
    </xf>
    <xf xxid="2635" numFmtId="167" fontId="88" fillId="6" borderId="20" xfId="1" applyAlignment="1" applyBorder="1" applyFont="1" applyNumberFormat="1" applyFill="1" applyProtection="1">
      <alignment horizontal="center"/>
      <protection hidden="1"/>
    </xf>
    <xf xxid="2636" numFmtId="167" fontId="88" fillId="6" borderId="29" xfId="1" applyAlignment="1" applyBorder="1" applyFont="1" applyNumberFormat="1" applyFill="1" applyProtection="1">
      <alignment horizontal="center"/>
      <protection hidden="1"/>
    </xf>
    <xf xxid="2637" numFmtId="0" fontId="85" fillId="6" borderId="148" xfId="0" applyAlignment="1" applyBorder="1" applyFont="1" applyNumberFormat="1" applyFill="1" applyProtection="1">
      <alignment horizontal="center"/>
    </xf>
    <xf xxid="2638" numFmtId="0" fontId="85" fillId="6" borderId="87" xfId="0" applyAlignment="1" applyBorder="1" applyFont="1" applyNumberFormat="1" applyFill="1" applyProtection="1">
      <alignment horizontal="center"/>
    </xf>
    <xf xxid="2639" numFmtId="0" fontId="85" fillId="6" borderId="144" xfId="0" applyAlignment="1" applyBorder="1" applyFont="1" applyNumberFormat="1" applyFill="1" applyProtection="1">
      <alignment horizontal="center"/>
    </xf>
    <xf xxid="2640" numFmtId="169" fontId="85" fillId="6" borderId="67" xfId="1" applyAlignment="1" applyBorder="1" applyFont="1" applyNumberFormat="1" applyFill="1" applyProtection="1">
      <alignment horizontal="center"/>
    </xf>
    <xf xxid="2641" numFmtId="169" fontId="85" fillId="6" borderId="143" xfId="1" applyAlignment="1" applyBorder="1" applyFont="1" applyNumberFormat="1" applyFill="1" applyProtection="1">
      <alignment horizontal="center"/>
    </xf>
    <xf xxid="2642" numFmtId="169" fontId="85" fillId="6" borderId="87" xfId="1" applyAlignment="1" applyBorder="1" applyFont="1" applyNumberFormat="1" applyFill="1" applyProtection="1">
      <alignment horizontal="center"/>
    </xf>
    <xf xxid="2643" numFmtId="169" fontId="85" fillId="6" borderId="88" xfId="1" applyAlignment="1" applyBorder="1" applyFont="1" applyNumberFormat="1" applyFill="1" applyProtection="1">
      <alignment horizontal="center"/>
    </xf>
    <xf xxid="2644" numFmtId="167" fontId="88" fillId="6" borderId="54" xfId="0" applyAlignment="1" applyBorder="1" applyFont="1" applyNumberFormat="1" applyFill="1" applyProtection="1">
      <alignment horizontal="center" vertical="center"/>
      <protection hidden="1"/>
    </xf>
    <xf xxid="2645" numFmtId="167" fontId="88" fillId="6" borderId="51" xfId="0" applyAlignment="1" applyBorder="1" applyFont="1" applyNumberFormat="1" applyFill="1" applyProtection="1">
      <alignment horizontal="center" vertical="center"/>
      <protection hidden="1"/>
    </xf>
    <xf xxid="2646" numFmtId="167" fontId="88" fillId="6" borderId="55" xfId="0" applyAlignment="1" applyBorder="1" applyFont="1" applyNumberFormat="1" applyFill="1" applyProtection="1">
      <alignment horizontal="center" vertical="center"/>
      <protection hidden="1"/>
    </xf>
    <xf xxid="2647" numFmtId="179" fontId="88" fillId="6" borderId="54" xfId="1" applyAlignment="1" applyBorder="1" applyFont="1" applyNumberFormat="1" applyFill="1" applyProtection="1">
      <alignment horizontal="center" vertical="center"/>
      <protection hidden="1"/>
    </xf>
    <xf xxid="2648" numFmtId="179" fontId="88" fillId="6" borderId="51" xfId="1" applyAlignment="1" applyBorder="1" applyFont="1" applyNumberFormat="1" applyFill="1" applyProtection="1">
      <alignment horizontal="center" vertical="center"/>
      <protection hidden="1"/>
    </xf>
    <xf xxid="2649" numFmtId="179" fontId="88" fillId="6" borderId="55" xfId="1" applyAlignment="1" applyBorder="1" applyFont="1" applyNumberFormat="1" applyFill="1" applyProtection="1">
      <alignment horizontal="center" vertical="center"/>
      <protection hidden="1"/>
    </xf>
    <xf xxid="2650" numFmtId="0" fontId="91" fillId="6" borderId="0" xfId="0" applyAlignment="1" applyBorder="1" applyFont="1" applyNumberFormat="1" applyFill="1" applyProtection="1">
      <alignment horizontal="center"/>
      <protection hidden="1"/>
    </xf>
    <xf xxid="2651" numFmtId="0" fontId="93" fillId="6" borderId="0" xfId="0" applyAlignment="1" applyBorder="1" applyFont="1" applyNumberFormat="1" applyFill="1" applyProtection="1">
      <alignment horizontal="left" vertical="top" wrapText="1"/>
      <protection hidden="1"/>
    </xf>
    <xf xxid="2652" numFmtId="0" fontId="104" fillId="22" borderId="13" xfId="0" applyAlignment="1" applyBorder="1" applyFont="1" applyNumberFormat="1" applyFill="1" applyProtection="1">
      <alignment horizontal="center" vertical="center"/>
    </xf>
    <xf xxid="2653" numFmtId="0" fontId="104" fillId="22" borderId="6" xfId="0" applyAlignment="1" applyBorder="1" applyFont="1" applyNumberFormat="1" applyFill="1" applyProtection="1">
      <alignment horizontal="center" vertical="center"/>
    </xf>
    <xf xxid="2654" numFmtId="0" fontId="104" fillId="22" borderId="142" xfId="0" applyAlignment="1" applyBorder="1" applyFont="1" applyNumberFormat="1" applyFill="1" applyProtection="1">
      <alignment horizontal="center" vertical="center"/>
    </xf>
    <xf xxid="2655" numFmtId="0" fontId="104" fillId="22" borderId="4" xfId="0" applyAlignment="1" applyBorder="1" applyFont="1" applyNumberFormat="1" applyFill="1" applyProtection="1">
      <alignment horizontal="center" vertical="center"/>
    </xf>
    <xf xxid="2656" numFmtId="0" fontId="104" fillId="22" borderId="0" xfId="0" applyAlignment="1" applyBorder="1" applyFont="1" applyNumberFormat="1" applyFill="1" applyProtection="1">
      <alignment horizontal="center" vertical="center"/>
    </xf>
    <xf xxid="2657" numFmtId="0" fontId="104" fillId="22" borderId="12" xfId="0" applyAlignment="1" applyBorder="1" applyFont="1" applyNumberFormat="1" applyFill="1" applyProtection="1">
      <alignment horizontal="center" vertical="center"/>
    </xf>
    <xf xxid="2658" numFmtId="0" fontId="104" fillId="22" borderId="14" xfId="0" applyAlignment="1" applyBorder="1" applyFont="1" applyNumberFormat="1" applyFill="1" applyProtection="1">
      <alignment horizontal="center" vertical="center"/>
    </xf>
    <xf xxid="2659" numFmtId="0" fontId="104" fillId="22" borderId="1" xfId="0" applyAlignment="1" applyBorder="1" applyFont="1" applyNumberFormat="1" applyFill="1" applyProtection="1">
      <alignment horizontal="center" vertical="center"/>
    </xf>
    <xf xxid="2660" numFmtId="0" fontId="104" fillId="22" borderId="81" xfId="0" applyAlignment="1" applyBorder="1" applyFont="1" applyNumberFormat="1" applyFill="1" applyProtection="1">
      <alignment horizontal="center" vertical="center"/>
    </xf>
    <xf xxid="2661" numFmtId="183" fontId="88" fillId="6" borderId="0" xfId="1" applyAlignment="1" applyBorder="1" applyFont="1" applyNumberFormat="1" applyFill="1" applyProtection="1">
      <alignment horizontal="center"/>
      <protection hidden="1"/>
    </xf>
    <xf xxid="2662" numFmtId="183" fontId="85" fillId="6" borderId="8" xfId="1" applyAlignment="1" applyBorder="1" applyFont="1" applyNumberFormat="1" applyFill="1" applyProtection="1">
      <alignment horizontal="center"/>
      <protection hidden="1"/>
    </xf>
    <xf xxid="2663" numFmtId="169" fontId="15" fillId="11" borderId="24" xfId="1" applyAlignment="1" applyBorder="1" applyFont="1" applyNumberFormat="1" applyFill="1" applyProtection="1">
      <alignment horizontal="center" vertical="center"/>
    </xf>
    <xf xxid="2664" numFmtId="169" fontId="15" fillId="11" borderId="20" xfId="1" applyAlignment="1" applyBorder="1" applyFont="1" applyNumberFormat="1" applyFill="1" applyProtection="1">
      <alignment horizontal="center" vertical="center"/>
    </xf>
    <xf xxid="2665" numFmtId="0" fontId="62" fillId="11" borderId="22" xfId="14" applyAlignment="1" applyBorder="1" applyFont="1" applyNumberFormat="1" applyFill="1" applyProtection="1">
      <alignment horizontal="center" vertical="center" wrapText="1"/>
    </xf>
    <xf xxid="2666" numFmtId="0" fontId="62" fillId="11" borderId="9" xfId="14" applyAlignment="1" applyBorder="1" applyFont="1" applyNumberFormat="1" applyFill="1" applyProtection="1">
      <alignment horizontal="center" vertical="center" wrapText="1"/>
    </xf>
    <xf xxid="2667" numFmtId="0" fontId="62" fillId="11" borderId="21" xfId="14" applyAlignment="1" applyBorder="1" applyFont="1" applyNumberFormat="1" applyFill="1" applyProtection="1">
      <alignment horizontal="center" vertical="center" wrapText="1"/>
    </xf>
    <xf xxid="2668" numFmtId="0" fontId="62" fillId="11" borderId="10" xfId="14" applyAlignment="1" applyBorder="1" applyFont="1" applyNumberFormat="1" applyFill="1" applyProtection="1">
      <alignment horizontal="center" vertical="center" wrapText="1"/>
    </xf>
    <xf xxid="2669" numFmtId="0" fontId="62" fillId="11" borderId="12" xfId="14" applyAlignment="1" applyBorder="1" applyFont="1" applyNumberFormat="1" applyFill="1" applyProtection="1">
      <alignment horizontal="center" vertical="center" wrapText="1"/>
    </xf>
    <xf xxid="2670" numFmtId="0" fontId="62" fillId="11" borderId="18" xfId="14" applyAlignment="1" applyBorder="1" applyFont="1" applyNumberFormat="1" applyFill="1" applyProtection="1">
      <alignment horizontal="center" vertical="center" wrapText="1"/>
    </xf>
    <xf xxid="2671" numFmtId="0" fontId="62" fillId="11" borderId="8" xfId="14" applyAlignment="1" applyBorder="1" applyFont="1" applyNumberFormat="1" applyFill="1" applyProtection="1">
      <alignment horizontal="center" vertical="center" wrapText="1"/>
    </xf>
    <xf xxid="2672" numFmtId="0" fontId="62" fillId="11" borderId="19" xfId="14" applyAlignment="1" applyBorder="1" applyFont="1" applyNumberFormat="1" applyFill="1" applyProtection="1">
      <alignment horizontal="center" vertical="center" wrapText="1"/>
    </xf>
    <xf xxid="2673" numFmtId="0" fontId="61" fillId="11" borderId="8" xfId="14" applyAlignment="1" applyBorder="1" applyFont="1" applyNumberFormat="1" applyFill="1" applyProtection="1">
      <alignment horizontal="center" wrapText="1"/>
    </xf>
    <xf xxid="2674" numFmtId="0" fontId="63" fillId="0" borderId="0" xfId="14" applyAlignment="1" applyBorder="1" applyFont="1" applyNumberFormat="1" applyFill="1" applyProtection="1">
      <alignment horizontal="center" vertical="center"/>
    </xf>
    <xf xxid="2675" numFmtId="169" fontId="57" fillId="15" borderId="24" xfId="1" applyAlignment="1" applyBorder="1" applyFont="1" applyNumberFormat="1" applyFill="1" applyProtection="1">
      <alignment horizontal="center" vertical="center" wrapText="1"/>
    </xf>
    <xf xxid="2676" numFmtId="169" fontId="57" fillId="15" borderId="20" xfId="1" applyAlignment="1" applyBorder="1" applyFont="1" applyNumberFormat="1" applyFill="1" applyProtection="1">
      <alignment horizontal="center" vertical="center" wrapText="1"/>
    </xf>
    <xf xxid="2677" numFmtId="169" fontId="57" fillId="15" borderId="29" xfId="1" applyAlignment="1" applyBorder="1" applyFont="1" applyNumberFormat="1" applyFill="1" applyProtection="1">
      <alignment horizontal="center" vertical="center" wrapText="1"/>
    </xf>
    <xf xxid="2678" numFmtId="0" fontId="62" fillId="11" borderId="0" xfId="14" applyAlignment="1" applyBorder="1" applyFont="1" applyNumberFormat="1" applyFill="1" applyProtection="1">
      <alignment horizontal="left" vertical="center" wrapText="1"/>
    </xf>
    <xf xxid="2679" numFmtId="169" fontId="57" fillId="11" borderId="24" xfId="1" applyAlignment="1" applyBorder="1" applyFont="1" applyNumberFormat="1" applyFill="1" applyProtection="1">
      <alignment horizontal="center" vertical="center" wrapText="1"/>
    </xf>
    <xf xxid="2680" numFmtId="169" fontId="57" fillId="11" borderId="20" xfId="1" applyAlignment="1" applyBorder="1" applyFont="1" applyNumberFormat="1" applyFill="1" applyProtection="1">
      <alignment horizontal="center" vertical="center" wrapText="1"/>
    </xf>
    <xf xxid="2681" numFmtId="172" fontId="48" fillId="0" borderId="8" xfId="14" applyAlignment="1" applyBorder="1" applyFont="1" applyNumberFormat="1" applyFill="1" applyProtection="1">
      <alignment horizontal="center" vertical="center"/>
    </xf>
    <xf xxid="2682" numFmtId="0" fontId="62" fillId="0" borderId="0" xfId="14" applyAlignment="1" applyBorder="1" applyFont="1" applyNumberFormat="1" applyFill="1" applyProtection="1">
      <alignment horizontal="center"/>
    </xf>
    <xf xxid="2683" numFmtId="0" fontId="10" fillId="0" borderId="4" xfId="14" applyAlignment="1" applyBorder="1" applyFont="1" applyNumberFormat="1" applyFill="1" applyProtection="1">
      <alignment horizontal="center" vertical="top"/>
    </xf>
    <xf xxid="2684" numFmtId="0" fontId="10" fillId="0" borderId="0" xfId="14" applyAlignment="1" applyBorder="1" applyFont="1" applyNumberFormat="1" applyFill="1" applyProtection="1">
      <alignment horizontal="center" vertical="top"/>
    </xf>
    <xf xxid="2685" numFmtId="0" fontId="81" fillId="0" borderId="0" xfId="14" applyAlignment="1" applyBorder="1" applyFont="1" applyNumberFormat="1" applyFill="1" applyProtection="1">
      <alignment horizontal="right"/>
    </xf>
    <xf xxid="2686" numFmtId="0" fontId="49" fillId="0" borderId="24" xfId="14" applyAlignment="1" applyBorder="1" applyFont="1" applyNumberFormat="1" applyFill="1" applyProtection="1">
      <alignment horizontal="left" vertical="center"/>
    </xf>
    <xf xxid="2687" numFmtId="0" fontId="49" fillId="0" borderId="20" xfId="14" applyAlignment="1" applyBorder="1" applyFont="1" applyNumberFormat="1" applyFill="1" applyProtection="1">
      <alignment horizontal="left" vertical="center"/>
    </xf>
    <xf xxid="2688" numFmtId="0" fontId="49" fillId="0" borderId="29" xfId="14" applyAlignment="1" applyBorder="1" applyFont="1" applyNumberFormat="1" applyFill="1" applyProtection="1">
      <alignment horizontal="left" vertical="center"/>
    </xf>
    <xf xxid="2689" numFmtId="185" fontId="62" fillId="11" borderId="24" xfId="14" applyAlignment="1" applyBorder="1" applyFont="1" applyNumberFormat="1" applyFill="1" applyProtection="1">
      <alignment horizontal="center" vertical="center" wrapText="1"/>
    </xf>
    <xf xxid="2690" numFmtId="185" fontId="62" fillId="11" borderId="20" xfId="14" applyAlignment="1" applyBorder="1" applyFont="1" applyNumberFormat="1" applyFill="1" applyProtection="1">
      <alignment horizontal="center" vertical="center" wrapText="1"/>
    </xf>
    <xf xxid="2691" numFmtId="185" fontId="62" fillId="11" borderId="29" xfId="14" applyAlignment="1" applyBorder="1" applyFont="1" applyNumberFormat="1" applyFill="1" applyProtection="1">
      <alignment horizontal="center" vertical="center" wrapText="1"/>
    </xf>
    <xf xxid="2692" numFmtId="185" fontId="62" fillId="13" borderId="10" xfId="14" applyAlignment="1" applyBorder="1" applyFont="1" applyNumberFormat="1" applyFill="1" applyProtection="1">
      <alignment horizontal="center" vertical="center" wrapText="1"/>
    </xf>
    <xf xxid="2693" numFmtId="185" fontId="62" fillId="13" borderId="0" xfId="14" applyAlignment="1" applyBorder="1" applyFont="1" applyNumberFormat="1" applyFill="1" applyProtection="1">
      <alignment horizontal="center" vertical="center" wrapText="1"/>
    </xf>
    <xf xxid="2694" numFmtId="185" fontId="62" fillId="13" borderId="12" xfId="14" applyAlignment="1" applyBorder="1" applyFont="1" applyNumberFormat="1" applyFill="1" applyProtection="1">
      <alignment horizontal="center" vertical="center" wrapText="1"/>
    </xf>
    <xf xxid="2695" numFmtId="0" fontId="73" fillId="11" borderId="0" xfId="14" applyAlignment="1" applyBorder="1" applyFont="1" applyNumberFormat="1" applyFill="1" applyProtection="1">
      <alignment horizontal="center" wrapText="1"/>
    </xf>
    <xf xxid="2696" numFmtId="0" fontId="49" fillId="11" borderId="24" xfId="14" applyAlignment="1" applyBorder="1" applyFont="1" applyNumberFormat="1" applyFill="1" applyProtection="1">
      <alignment horizontal="left" vertical="center" wrapText="1"/>
    </xf>
    <xf xxid="2697" numFmtId="0" fontId="49" fillId="11" borderId="29" xfId="14" applyAlignment="1" applyBorder="1" applyFont="1" applyNumberFormat="1" applyFill="1" applyProtection="1">
      <alignment horizontal="left" vertical="center" wrapText="1"/>
    </xf>
    <xf xxid="2698" numFmtId="0" fontId="10" fillId="11" borderId="6" xfId="14" applyAlignment="1" applyBorder="1" applyFont="1" applyNumberFormat="1" applyFill="1" applyProtection="1">
      <alignment horizontal="left" wrapText="1"/>
    </xf>
    <xf xxid="2699" numFmtId="0" fontId="57" fillId="11" borderId="0" xfId="14" applyAlignment="1" applyBorder="1" applyFont="1" applyNumberFormat="1" applyFill="1" applyProtection="1">
      <alignment horizontal="center" wrapText="1"/>
    </xf>
    <xf xxid="2700" numFmtId="0" fontId="57" fillId="11" borderId="5" xfId="14" applyAlignment="1" applyBorder="1" applyFont="1" applyNumberFormat="1" applyFill="1" applyProtection="1">
      <alignment horizontal="center" wrapText="1"/>
    </xf>
    <xf xxid="2701" numFmtId="0" fontId="72" fillId="11" borderId="0" xfId="14" applyAlignment="1" applyBorder="1" applyFont="1" applyNumberFormat="1" applyFill="1" applyProtection="1">
      <alignment horizontal="center" wrapText="1"/>
    </xf>
    <xf xxid="2702" numFmtId="0" fontId="72" fillId="11" borderId="12" xfId="14" applyAlignment="1" applyBorder="1" applyFont="1" applyNumberFormat="1" applyFill="1" applyProtection="1">
      <alignment horizontal="center" wrapText="1"/>
    </xf>
    <xf xxid="2703" numFmtId="0" fontId="49" fillId="0" borderId="4" xfId="14" applyAlignment="1" applyBorder="1" applyFont="1" applyNumberFormat="1" applyFill="1" applyProtection="1">
      <alignment horizontal="left" vertical="center" wrapText="1"/>
    </xf>
    <xf xxid="2704" numFmtId="0" fontId="49" fillId="0" borderId="0" xfId="14" applyAlignment="1" applyBorder="1" applyFont="1" applyNumberFormat="1" applyFill="1" applyProtection="1">
      <alignment horizontal="left" vertical="center" wrapText="1"/>
    </xf>
    <xf xxid="2705" numFmtId="0" fontId="73" fillId="11" borderId="8" xfId="14" applyAlignment="1" applyBorder="1" applyFont="1" applyNumberFormat="1" applyFill="1" applyProtection="1">
      <alignment horizontal="center" wrapText="1"/>
    </xf>
    <xf xxid="2706" numFmtId="0" fontId="69" fillId="0" borderId="8" xfId="14" applyAlignment="1" applyBorder="1" applyFont="1" applyNumberFormat="1" applyFill="1" applyProtection="1">
      <alignment horizontal="center" vertical="center"/>
    </xf>
    <xf xxid="2707" numFmtId="0" fontId="69" fillId="0" borderId="24" xfId="14" applyAlignment="1" applyBorder="1" applyFont="1" applyNumberFormat="1" applyFill="1" applyProtection="1">
      <alignment horizontal="center"/>
    </xf>
    <xf xxid="2708" numFmtId="0" fontId="69" fillId="0" borderId="29" xfId="14" applyAlignment="1" applyBorder="1" applyFont="1" applyNumberFormat="1" applyFill="1" applyProtection="1">
      <alignment horizontal="center"/>
    </xf>
    <xf xxid="2709" numFmtId="0" fontId="48" fillId="11" borderId="8" xfId="14" applyAlignment="1" applyBorder="1" applyFont="1" applyNumberFormat="1" applyFill="1" applyProtection="1">
      <alignment horizontal="left" vertical="center" wrapText="1"/>
    </xf>
    <xf xxid="2710" numFmtId="0" fontId="5" fillId="11" borderId="8" xfId="14" applyAlignment="1" applyBorder="1" applyFont="1" applyNumberFormat="1" applyFill="1" applyProtection="1">
      <alignment horizontal="left" vertical="center" wrapText="1"/>
    </xf>
    <xf xxid="2711" numFmtId="0" fontId="49" fillId="11" borderId="24" xfId="14" applyAlignment="1" applyBorder="1" applyFont="1" applyNumberFormat="1" applyFill="1" applyProtection="1">
      <alignment horizontal="center" vertical="center" wrapText="1"/>
    </xf>
    <xf xxid="2712" numFmtId="0" fontId="49" fillId="11" borderId="29" xfId="14" applyAlignment="1" applyBorder="1" applyFont="1" applyNumberFormat="1" applyFill="1" applyProtection="1">
      <alignment horizontal="center" vertical="center" wrapText="1"/>
    </xf>
    <xf xxid="2713" numFmtId="0" fontId="48" fillId="11" borderId="9" xfId="14" applyAlignment="1" applyBorder="1" applyFont="1" applyNumberFormat="1" applyFill="1" applyProtection="1">
      <alignment horizontal="left" wrapText="1"/>
    </xf>
    <xf xxid="2714" numFmtId="0" fontId="49" fillId="11" borderId="24" xfId="14" applyAlignment="1" applyBorder="1" applyFont="1" applyNumberFormat="1" applyFill="1" applyProtection="1">
      <alignment vertical="center" wrapText="1"/>
    </xf>
    <xf xxid="2715" numFmtId="0" fontId="67" fillId="11" borderId="20" xfId="14" applyAlignment="1" applyBorder="1" applyFont="1" applyNumberFormat="1" applyFill="1" applyProtection="1">
      <alignment vertical="center" wrapText="1"/>
    </xf>
    <xf xxid="2716" numFmtId="0" fontId="67" fillId="11" borderId="29" xfId="14" applyAlignment="1" applyBorder="1" applyFont="1" applyNumberFormat="1" applyFill="1" applyProtection="1">
      <alignment vertical="center" wrapText="1"/>
    </xf>
    <xf xxid="2717" numFmtId="0" fontId="49" fillId="11" borderId="29" xfId="14" applyAlignment="1" applyBorder="1" applyFont="1" applyNumberFormat="1" applyFill="1" applyProtection="1">
      <alignment vertical="center" wrapText="1"/>
    </xf>
    <xf xxid="2718" numFmtId="0" fontId="62" fillId="11" borderId="24" xfId="14" applyAlignment="1" applyBorder="1" applyFont="1" applyNumberFormat="1" applyFill="1" applyProtection="1">
      <alignment horizontal="left" vertical="center" wrapText="1"/>
    </xf>
    <xf xxid="2719" numFmtId="0" fontId="62" fillId="11" borderId="20" xfId="14" applyAlignment="1" applyBorder="1" applyFont="1" applyNumberFormat="1" applyFill="1" applyProtection="1">
      <alignment horizontal="left" vertical="center" wrapText="1"/>
    </xf>
    <xf xxid="2720" numFmtId="0" fontId="50" fillId="11" borderId="24" xfId="14" applyAlignment="1" applyBorder="1" applyFont="1" applyNumberFormat="1" applyFill="1" applyProtection="1">
      <alignment horizontal="center" vertical="center" wrapText="1"/>
    </xf>
    <xf xxid="2721" numFmtId="0" fontId="50" fillId="11" borderId="29" xfId="14" applyAlignment="1" applyBorder="1" applyFont="1" applyNumberFormat="1" applyFill="1" applyProtection="1">
      <alignment horizontal="center" vertical="center" wrapText="1"/>
    </xf>
    <xf xxid="2722" numFmtId="0" fontId="57" fillId="0" borderId="0" xfId="14" applyAlignment="1" applyBorder="1" applyFont="1" applyNumberFormat="1" applyFill="1" applyProtection="1">
      <alignment horizontal="right"/>
    </xf>
    <xf xxid="2723" numFmtId="0" fontId="62" fillId="0" borderId="0" xfId="14" applyAlignment="1" applyBorder="1" applyFont="1" applyNumberFormat="1" applyFill="1" applyProtection="1">
      <alignment horizontal="center" vertical="center"/>
    </xf>
    <xf xxid="2724" numFmtId="0" fontId="79" fillId="0" borderId="0" xfId="14" applyAlignment="1" applyBorder="1" applyFont="1" applyNumberFormat="1" applyFill="1" applyProtection="1">
      <alignment horizontal="center"/>
    </xf>
    <xf xxid="2725" numFmtId="0" fontId="11" fillId="11" borderId="4" xfId="14" applyAlignment="1" applyBorder="1" applyFont="1" applyNumberFormat="1" applyFill="1" applyProtection="1">
      <alignment horizontal="center" vertical="top" wrapText="1"/>
    </xf>
    <xf xxid="2726" numFmtId="0" fontId="11" fillId="11" borderId="0" xfId="14" applyAlignment="1" applyBorder="1" applyFont="1" applyNumberFormat="1" applyFill="1" applyProtection="1">
      <alignment horizontal="center" vertical="top" wrapText="1"/>
    </xf>
    <xf xxid="2727" numFmtId="0" fontId="5" fillId="0" borderId="6" xfId="14" applyAlignment="1" applyBorder="1" applyFont="1" applyNumberFormat="1" applyFill="1" applyProtection="1">
      <alignment horizontal="center" wrapText="1"/>
    </xf>
    <xf xxid="2728" numFmtId="0" fontId="5" fillId="0" borderId="8" xfId="14" applyAlignment="1" applyBorder="1" applyFont="1" applyNumberFormat="1" applyFill="1" applyProtection="1">
      <alignment horizontal="center" wrapText="1"/>
    </xf>
    <xf xxid="2729" numFmtId="0" fontId="9" fillId="11" borderId="0" xfId="14" applyAlignment="1" applyBorder="1" applyFont="1" applyNumberFormat="1" applyFill="1" applyProtection="1">
      <alignment horizontal="left" vertical="center" wrapText="1"/>
    </xf>
    <xf xxid="2730" numFmtId="0" fontId="10" fillId="11" borderId="0" xfId="14" applyAlignment="1" applyBorder="1" applyFont="1" applyNumberFormat="1" applyFill="1" applyProtection="1">
      <alignment horizontal="left" vertical="top" wrapText="1"/>
    </xf>
    <xf xxid="2731" numFmtId="0" fontId="11" fillId="11" borderId="0" xfId="14" applyAlignment="1" applyBorder="1" applyFont="1" applyNumberFormat="1" applyFill="1" applyProtection="1">
      <alignment horizontal="left" vertical="top" wrapText="1"/>
    </xf>
    <xf xxid="2732" numFmtId="0" fontId="73" fillId="0" borderId="0" xfId="14" applyAlignment="1" applyBorder="1" applyFont="1" applyNumberFormat="1" applyFill="1" applyProtection="1">
      <alignment horizontal="center"/>
    </xf>
    <xf xxid="2733" numFmtId="0" fontId="69" fillId="11" borderId="0" xfId="14" applyAlignment="1" applyBorder="1" applyFont="1" applyNumberFormat="1" applyFill="1" applyProtection="1">
      <alignment horizontal="left" vertical="center" wrapText="1"/>
    </xf>
    <xf xxid="2734" numFmtId="0" fontId="69" fillId="11" borderId="5" xfId="14" applyAlignment="1" applyBorder="1" applyFont="1" applyNumberFormat="1" applyFill="1" applyProtection="1">
      <alignment horizontal="left" vertical="center" wrapText="1"/>
    </xf>
    <xf xxid="2735" numFmtId="0" fontId="69" fillId="0" borderId="0" xfId="14" applyAlignment="1" applyBorder="1" applyFont="1" applyNumberFormat="1" applyFill="1" applyProtection="1">
      <alignment horizontal="center" vertical="center"/>
    </xf>
    <xf xxid="2736" numFmtId="0" fontId="69" fillId="11" borderId="0" xfId="14" applyAlignment="1" applyBorder="1" applyFont="1" applyNumberFormat="1" applyFill="1" applyProtection="1">
      <alignment horizontal="center" vertical="center" wrapText="1"/>
    </xf>
    <xf xxid="2737" numFmtId="0" fontId="5" fillId="0" borderId="8" xfId="14" applyAlignment="1" applyBorder="1" applyFont="1" applyNumberFormat="1" applyFill="1" applyProtection="1">
      <alignment horizontal="left" vertical="center"/>
    </xf>
    <xf xxid="2738" numFmtId="185" fontId="62" fillId="11" borderId="0" xfId="14" applyAlignment="1" applyBorder="1" applyFont="1" applyNumberFormat="1" applyFill="1" applyProtection="1">
      <alignment horizontal="center" vertical="center" wrapText="1"/>
    </xf>
    <xf xxid="2739" numFmtId="0" fontId="57" fillId="11" borderId="24" xfId="14" applyAlignment="1" applyBorder="1" applyFont="1" applyNumberFormat="1" applyFill="1" applyProtection="1">
      <alignment horizontal="center" vertical="center" wrapText="1"/>
    </xf>
    <xf xxid="2740" numFmtId="0" fontId="57" fillId="11" borderId="20" xfId="14" applyAlignment="1" applyBorder="1" applyFont="1" applyNumberFormat="1" applyFill="1" applyProtection="1">
      <alignment horizontal="center" vertical="center" wrapText="1"/>
    </xf>
    <xf xxid="2741" numFmtId="0" fontId="57" fillId="11" borderId="29" xfId="14" applyAlignment="1" applyBorder="1" applyFont="1" applyNumberFormat="1" applyFill="1" applyProtection="1">
      <alignment horizontal="center" vertical="center" wrapText="1"/>
    </xf>
    <xf xxid="2742" numFmtId="185" fontId="62" fillId="11" borderId="10" xfId="14" applyAlignment="1" applyBorder="1" applyFont="1" applyNumberFormat="1" applyFill="1" applyProtection="1">
      <alignment horizontal="center" vertical="center" wrapText="1"/>
    </xf>
    <xf xxid="2743" numFmtId="185" fontId="62" fillId="11" borderId="10" xfId="14" applyAlignment="1" applyBorder="1" applyFont="1" applyNumberFormat="1" applyFill="1" applyProtection="1">
      <alignment horizontal="left" vertical="center" wrapText="1"/>
    </xf>
    <xf xxid="2744" numFmtId="185" fontId="62" fillId="11" borderId="0" xfId="14" applyAlignment="1" applyBorder="1" applyFont="1" applyNumberFormat="1" applyFill="1" applyProtection="1">
      <alignment horizontal="left" vertical="center" wrapText="1"/>
    </xf>
    <xf xxid="2745" numFmtId="0" fontId="82" fillId="0" borderId="45" xfId="14" applyAlignment="1" applyBorder="1" applyFont="1" applyNumberFormat="1" applyFill="1" applyProtection="1">
      <alignment horizontal="left" vertical="center"/>
    </xf>
    <xf xxid="2746" numFmtId="0" fontId="48" fillId="0" borderId="4" xfId="14" applyAlignment="1" applyBorder="1" applyFont="1" applyNumberFormat="1" applyFill="1" applyProtection="1">
      <alignment horizontal="center" vertical="center" wrapText="1"/>
    </xf>
    <xf xxid="2747" numFmtId="0" fontId="48" fillId="0" borderId="5" xfId="14" applyAlignment="1" applyBorder="1" applyFont="1" applyNumberFormat="1" applyFill="1" applyProtection="1">
      <alignment horizontal="center" vertical="center" wrapText="1"/>
    </xf>
    <xf xxid="2748" numFmtId="0" fontId="48" fillId="0" borderId="14" xfId="14" applyAlignment="1" applyBorder="1" applyFont="1" applyNumberFormat="1" applyFill="1" applyProtection="1">
      <alignment horizontal="center" vertical="center" wrapText="1"/>
    </xf>
    <xf xxid="2749" numFmtId="0" fontId="48" fillId="0" borderId="3" xfId="14" applyAlignment="1" applyBorder="1" applyFont="1" applyNumberFormat="1" applyFill="1" applyProtection="1">
      <alignment horizontal="center" vertical="center" wrapText="1"/>
    </xf>
    <xf xxid="2750" numFmtId="0" fontId="48" fillId="0" borderId="0" xfId="14" applyAlignment="1" applyBorder="1" applyFont="1" applyNumberFormat="1" applyFill="1" applyProtection="1">
      <alignment horizontal="left"/>
    </xf>
    <xf xxid="2751" numFmtId="0" fontId="78" fillId="0" borderId="0" xfId="14" applyAlignment="1" applyBorder="1" applyFont="1" applyNumberFormat="1" applyFill="1" applyProtection="1">
      <alignment horizontal="center" vertical="center" wrapText="1"/>
    </xf>
    <xf xxid="2752" numFmtId="186" fontId="15" fillId="0" borderId="8" xfId="14" applyAlignment="1" applyBorder="1" applyFont="1" applyNumberFormat="1" applyFill="1" applyProtection="1">
      <alignment horizontal="center"/>
    </xf>
    <xf xxid="2753" numFmtId="0" fontId="57" fillId="11" borderId="0" xfId="14" applyAlignment="1" applyBorder="1" applyFont="1" applyNumberFormat="1" applyFill="1" applyProtection="1">
      <alignment horizontal="center" vertical="top" wrapText="1"/>
    </xf>
    <xf xxid="2754" numFmtId="0" fontId="57" fillId="11" borderId="5" xfId="14" applyAlignment="1" applyBorder="1" applyFont="1" applyNumberFormat="1" applyFill="1" applyProtection="1">
      <alignment horizontal="center" vertical="top" wrapText="1"/>
    </xf>
    <xf xxid="2755" numFmtId="0" fontId="57" fillId="11" borderId="1" xfId="14" applyAlignment="1" applyBorder="1" applyFont="1" applyNumberFormat="1" applyFill="1" applyProtection="1">
      <alignment horizontal="center" vertical="top" wrapText="1"/>
    </xf>
    <xf xxid="2756" numFmtId="0" fontId="57" fillId="11" borderId="3" xfId="14" applyAlignment="1" applyBorder="1" applyFont="1" applyNumberFormat="1" applyFill="1" applyProtection="1">
      <alignment horizontal="center" vertical="top" wrapText="1"/>
    </xf>
    <xf xxid="2757" numFmtId="0" fontId="73" fillId="11" borderId="12" xfId="14" applyAlignment="1" applyBorder="1" applyFont="1" applyNumberFormat="1" applyFill="1" applyProtection="1">
      <alignment horizontal="center" wrapText="1"/>
    </xf>
    <xf xxid="2758" numFmtId="0" fontId="60" fillId="11" borderId="0" xfId="14" applyAlignment="1" applyBorder="1" applyFont="1" applyNumberFormat="1" applyFill="1" applyProtection="1">
      <alignment horizontal="left" wrapText="1"/>
    </xf>
    <xf xxid="2759" numFmtId="0" fontId="72" fillId="11" borderId="8" xfId="14" applyAlignment="1" applyBorder="1" applyFont="1" applyNumberFormat="1" applyFill="1" applyProtection="1">
      <alignment horizontal="center" wrapText="1"/>
    </xf>
    <xf xxid="2760" numFmtId="0" fontId="64" fillId="11" borderId="0" xfId="14" applyAlignment="1" applyBorder="1" applyFont="1" applyNumberFormat="1" applyFill="1" applyProtection="1">
      <alignment horizontal="left" wrapText="1"/>
    </xf>
    <xf xxid="2761" numFmtId="169" fontId="48" fillId="0" borderId="0" xfId="1" applyAlignment="1" applyBorder="1" applyFont="1" applyNumberFormat="1" applyFill="1" applyProtection="1">
      <alignment horizontal="center" vertical="center"/>
    </xf>
    <xf xxid="2762" numFmtId="169" fontId="48" fillId="0" borderId="8" xfId="1" applyAlignment="1" applyBorder="1" applyFont="1" applyNumberFormat="1" applyFill="1" applyProtection="1">
      <alignment horizontal="center" vertical="center"/>
    </xf>
    <xf xxid="2763" numFmtId="0" fontId="5" fillId="0" borderId="0" xfId="14" applyAlignment="1" applyBorder="1" applyFont="1" applyNumberFormat="1" applyFill="1" applyProtection="1">
      <alignment horizontal="center" vertical="center"/>
    </xf>
    <xf xxid="2764" numFmtId="0" fontId="5" fillId="0" borderId="8" xfId="14" applyAlignment="1" applyBorder="1" applyFont="1" applyNumberFormat="1" applyFill="1" applyProtection="1">
      <alignment horizontal="center" vertical="center"/>
    </xf>
    <xf xxid="2765" numFmtId="0" fontId="68" fillId="13" borderId="24" xfId="14" applyAlignment="1" applyBorder="1" applyFont="1" applyNumberFormat="1" applyFill="1" applyProtection="1">
      <alignment horizontal="center" vertical="center"/>
    </xf>
    <xf xxid="2766" numFmtId="0" fontId="68" fillId="13" borderId="20" xfId="14" applyAlignment="1" applyBorder="1" applyFont="1" applyNumberFormat="1" applyFill="1" applyProtection="1">
      <alignment horizontal="center" vertical="center"/>
    </xf>
    <xf xxid="2767" numFmtId="0" fontId="68" fillId="13" borderId="29" xfId="14" applyAlignment="1" applyBorder="1" applyFont="1" applyNumberFormat="1" applyFill="1" applyProtection="1">
      <alignment horizontal="center" vertical="center"/>
    </xf>
    <xf xxid="2768" numFmtId="0" fontId="73" fillId="0" borderId="24" xfId="14" applyAlignment="1" applyBorder="1" applyFont="1" applyNumberFormat="1" applyFill="1" applyProtection="1">
      <alignment horizontal="center" vertical="center"/>
    </xf>
    <xf xxid="2769" numFmtId="0" fontId="73" fillId="0" borderId="20" xfId="14" applyAlignment="1" applyBorder="1" applyFont="1" applyNumberFormat="1" applyFill="1" applyProtection="1">
      <alignment horizontal="center" vertical="center"/>
    </xf>
    <xf xxid="2770" numFmtId="0" fontId="73" fillId="0" borderId="29" xfId="14" applyAlignment="1" applyBorder="1" applyFont="1" applyNumberFormat="1" applyFill="1" applyProtection="1">
      <alignment horizontal="center" vertical="center"/>
    </xf>
    <xf xxid="2771" numFmtId="0" fontId="69" fillId="0" borderId="24" xfId="14" applyAlignment="1" applyBorder="1" applyFont="1" applyNumberFormat="1" applyFill="1" applyProtection="1">
      <alignment horizontal="center" vertical="center"/>
    </xf>
    <xf xxid="2772" numFmtId="0" fontId="69" fillId="0" borderId="20" xfId="14" applyAlignment="1" applyBorder="1" applyFont="1" applyNumberFormat="1" applyFill="1" applyProtection="1">
      <alignment horizontal="center" vertical="center"/>
    </xf>
    <xf xxid="2773" numFmtId="0" fontId="69" fillId="0" borderId="29" xfId="14" applyAlignment="1" applyBorder="1" applyFont="1" applyNumberFormat="1" applyFill="1" applyProtection="1">
      <alignment horizontal="center" vertical="center"/>
    </xf>
    <xf xxid="2774" numFmtId="185" fontId="62" fillId="11" borderId="24" xfId="14" applyAlignment="1" applyBorder="1" applyFont="1" applyNumberFormat="1" applyFill="1" applyProtection="1">
      <alignment horizontal="left" vertical="center" wrapText="1"/>
    </xf>
    <xf xxid="2775" numFmtId="185" fontId="62" fillId="11" borderId="20" xfId="14" applyAlignment="1" applyBorder="1" applyFont="1" applyNumberFormat="1" applyFill="1" applyProtection="1">
      <alignment horizontal="left" vertical="center" wrapText="1"/>
    </xf>
    <xf xxid="2776" numFmtId="0" fontId="70" fillId="0" borderId="10" xfId="14" applyAlignment="1" applyBorder="1" applyFont="1" applyNumberFormat="1" applyFill="1" applyProtection="1">
      <alignment horizontal="center" vertical="center" wrapText="1"/>
    </xf>
    <xf xxid="2777" numFmtId="0" fontId="70" fillId="0" borderId="0" xfId="14" applyAlignment="1" applyBorder="1" applyFont="1" applyNumberFormat="1" applyFill="1" applyProtection="1">
      <alignment horizontal="center" vertical="center" wrapText="1"/>
    </xf>
    <xf xxid="2778" numFmtId="167" fontId="5" fillId="0" borderId="6" xfId="1" applyAlignment="1" applyBorder="1" applyFont="1" applyNumberFormat="1" applyFill="1" applyProtection="1">
      <alignment horizontal="center" wrapText="1"/>
    </xf>
    <xf xxid="2779" numFmtId="167" fontId="5" fillId="0" borderId="8" xfId="1" applyAlignment="1" applyBorder="1" applyFont="1" applyNumberFormat="1" applyFill="1" applyProtection="1">
      <alignment horizontal="center" wrapText="1"/>
    </xf>
    <xf xxid="2780" numFmtId="169" fontId="13" fillId="0" borderId="22" xfId="0" applyAlignment="1" applyBorder="1" applyFont="1" applyNumberFormat="1" applyFill="1" applyProtection="1">
      <alignment horizontal="center" vertical="center"/>
    </xf>
    <xf xxid="2781" numFmtId="169" fontId="13" fillId="0" borderId="9" xfId="0" applyAlignment="1" applyBorder="1" applyFont="1" applyNumberFormat="1" applyFill="1" applyProtection="1">
      <alignment horizontal="center" vertical="center"/>
    </xf>
    <xf xxid="2782" numFmtId="169" fontId="13" fillId="0" borderId="18" xfId="0" applyAlignment="1" applyBorder="1" applyFont="1" applyNumberFormat="1" applyFill="1" applyProtection="1">
      <alignment horizontal="center" vertical="center"/>
    </xf>
    <xf xxid="2783" numFmtId="169" fontId="13" fillId="0" borderId="8" xfId="0" applyAlignment="1" applyBorder="1" applyFont="1" applyNumberFormat="1" applyFill="1" applyProtection="1">
      <alignment horizontal="center" vertical="center"/>
    </xf>
    <xf xxid="2784" numFmtId="0" fontId="12" fillId="0" borderId="4" xfId="0" applyAlignment="1" applyBorder="1" applyFont="1" applyNumberFormat="1" applyFill="1" applyProtection="1">
      <alignment horizontal="center" vertical="center"/>
    </xf>
    <xf xxid="2785" numFmtId="0" fontId="12" fillId="0" borderId="0" xfId="0" applyAlignment="1" applyBorder="1" applyFont="1" applyNumberFormat="1" applyFill="1" applyProtection="1">
      <alignment horizontal="center" vertical="center"/>
    </xf>
    <xf xxid="2786" numFmtId="0" fontId="12" fillId="0" borderId="5" xfId="0" applyAlignment="1" applyBorder="1" applyFont="1" applyNumberFormat="1" applyFill="1" applyProtection="1">
      <alignment horizontal="center" vertical="center"/>
    </xf>
    <xf xxid="2787" numFmtId="0" fontId="12" fillId="0" borderId="13" xfId="0" applyAlignment="1" applyBorder="1" applyFont="1" applyNumberFormat="1" applyFill="1" applyProtection="1">
      <alignment horizontal="center" vertical="center"/>
    </xf>
    <xf xxid="2788" numFmtId="0" fontId="12" fillId="0" borderId="6" xfId="0" applyAlignment="1" applyBorder="1" applyFont="1" applyNumberFormat="1" applyFill="1" applyProtection="1">
      <alignment horizontal="center" vertical="center"/>
    </xf>
    <xf xxid="2789" numFmtId="0" fontId="12" fillId="0" borderId="2" xfId="0" applyAlignment="1" applyBorder="1" applyFont="1" applyNumberFormat="1" applyFill="1" applyProtection="1">
      <alignment horizontal="center" vertical="center"/>
    </xf>
    <xf xxid="2790" numFmtId="169" fontId="13" fillId="0" borderId="10" xfId="0" applyAlignment="1" applyBorder="1" applyFont="1" applyNumberFormat="1" applyFill="1" applyProtection="1">
      <alignment horizontal="center" vertical="center"/>
    </xf>
    <xf xxid="2791" numFmtId="169" fontId="13" fillId="0" borderId="0" xfId="0" applyAlignment="1" applyBorder="1" applyFont="1" applyNumberFormat="1" applyFill="1" applyProtection="1">
      <alignment horizontal="center" vertical="center"/>
    </xf>
    <xf xxid="2792" numFmtId="0" fontId="11" fillId="0" borderId="0" xfId="0" applyAlignment="1" applyBorder="1" applyFont="1" applyNumberFormat="1" applyFill="1" applyProtection="1">
      <alignment horizontal="left" wrapText="1"/>
    </xf>
    <xf xxid="2793" numFmtId="0" fontId="12" fillId="0" borderId="22" xfId="0" applyAlignment="1" applyBorder="1" applyFont="1" applyNumberFormat="1" applyFill="1" applyProtection="1">
      <alignment horizontal="center" textRotation="90"/>
    </xf>
    <xf xxid="2794" numFmtId="0" fontId="12" fillId="0" borderId="9" xfId="0" applyAlignment="1" applyBorder="1" applyFont="1" applyNumberFormat="1" applyFill="1" applyProtection="1">
      <alignment horizontal="center" textRotation="90"/>
    </xf>
    <xf xxid="2795" numFmtId="0" fontId="12" fillId="0" borderId="21" xfId="0" applyAlignment="1" applyBorder="1" applyFont="1" applyNumberFormat="1" applyFill="1" applyProtection="1">
      <alignment horizontal="center" textRotation="90"/>
    </xf>
    <xf xxid="2796" numFmtId="0" fontId="12" fillId="0" borderId="10" xfId="0" applyAlignment="1" applyBorder="1" applyFont="1" applyNumberFormat="1" applyFill="1" applyProtection="1">
      <alignment horizontal="center" textRotation="90"/>
    </xf>
    <xf xxid="2797" numFmtId="0" fontId="12" fillId="0" borderId="0" xfId="0" applyAlignment="1" applyBorder="1" applyFont="1" applyNumberFormat="1" applyFill="1" applyProtection="1">
      <alignment horizontal="center" textRotation="90"/>
    </xf>
    <xf xxid="2798" numFmtId="0" fontId="12" fillId="0" borderId="12" xfId="0" applyAlignment="1" applyBorder="1" applyFont="1" applyNumberFormat="1" applyFill="1" applyProtection="1">
      <alignment horizontal="center" textRotation="90"/>
    </xf>
    <xf xxid="2799" numFmtId="0" fontId="12" fillId="0" borderId="18" xfId="0" applyAlignment="1" applyBorder="1" applyFont="1" applyNumberFormat="1" applyFill="1" applyProtection="1">
      <alignment horizontal="center" textRotation="90"/>
    </xf>
    <xf xxid="2800" numFmtId="0" fontId="12" fillId="0" borderId="8" xfId="0" applyAlignment="1" applyBorder="1" applyFont="1" applyNumberFormat="1" applyFill="1" applyProtection="1">
      <alignment horizontal="center" textRotation="90"/>
    </xf>
    <xf xxid="2801" numFmtId="0" fontId="12" fillId="0" borderId="19" xfId="0" applyAlignment="1" applyBorder="1" applyFont="1" applyNumberFormat="1" applyFill="1" applyProtection="1">
      <alignment horizontal="center" textRotation="90"/>
    </xf>
    <xf xxid="2802" numFmtId="0" fontId="6" fillId="0" borderId="12" xfId="0" applyAlignment="1" applyBorder="1" applyFont="1" applyNumberFormat="1" applyFill="1" applyProtection="1">
      <alignment horizontal="left" vertical="top" wrapText="1"/>
    </xf>
    <xf xxid="2803" numFmtId="0" fontId="9" fillId="0" borderId="0" xfId="0" applyAlignment="1" applyBorder="1" applyFont="1" applyNumberFormat="1" applyFill="1" applyProtection="1">
      <alignment horizontal="left"/>
    </xf>
    <xf xxid="2804" numFmtId="0" fontId="9" fillId="0" borderId="0" xfId="0" applyAlignment="1" applyBorder="1" applyFont="1" applyNumberFormat="1" applyFill="1" applyProtection="1">
      <alignment horizontal="left" vertical="top"/>
    </xf>
    <xf xxid="2805" numFmtId="0" fontId="19" fillId="0" borderId="14" xfId="0" applyAlignment="1" applyBorder="1" applyFont="1" applyNumberFormat="1" applyFill="1" applyProtection="1">
      <alignment horizontal="center" vertical="center"/>
    </xf>
    <xf xxid="2806" numFmtId="0" fontId="19" fillId="0" borderId="1" xfId="0" applyAlignment="1" applyBorder="1" applyFont="1" applyNumberFormat="1" applyFill="1" applyProtection="1">
      <alignment horizontal="center" vertical="center"/>
    </xf>
    <xf xxid="2807" numFmtId="0" fontId="19" fillId="0" borderId="3" xfId="0" applyAlignment="1" applyBorder="1" applyFont="1" applyNumberFormat="1" applyFill="1" applyProtection="1">
      <alignment horizontal="center" vertical="center"/>
    </xf>
    <xf xxid="2808" numFmtId="49" fontId="25" fillId="0" borderId="7" xfId="0" applyAlignment="1" applyBorder="1" applyFont="1" applyNumberFormat="1" applyFill="1" applyProtection="1">
      <alignment horizontal="center" vertical="distributed"/>
    </xf>
    <xf xxid="2809" numFmtId="169" fontId="17" fillId="0" borderId="10" xfId="0" applyAlignment="1" applyBorder="1" applyFont="1" applyNumberFormat="1" applyFill="1" applyProtection="1">
      <alignment horizontal="center" vertical="center" wrapText="1"/>
    </xf>
    <xf xxid="2810" numFmtId="169" fontId="17" fillId="0" borderId="0" xfId="0" applyAlignment="1" applyBorder="1" applyFont="1" applyNumberFormat="1" applyFill="1" applyProtection="1">
      <alignment horizontal="center" vertical="center" wrapText="1"/>
    </xf>
    <xf xxid="2811" numFmtId="169" fontId="17" fillId="0" borderId="12" xfId="0" applyAlignment="1" applyBorder="1" applyFont="1" applyNumberFormat="1" applyFill="1" applyProtection="1">
      <alignment horizontal="center" vertical="center" wrapText="1"/>
    </xf>
    <xf xxid="2812" numFmtId="169" fontId="17" fillId="0" borderId="18" xfId="0" applyAlignment="1" applyBorder="1" applyFont="1" applyNumberFormat="1" applyFill="1" applyProtection="1">
      <alignment horizontal="center" vertical="center" wrapText="1"/>
    </xf>
    <xf xxid="2813" numFmtId="169" fontId="17" fillId="0" borderId="8" xfId="0" applyAlignment="1" applyBorder="1" applyFont="1" applyNumberFormat="1" applyFill="1" applyProtection="1">
      <alignment horizontal="center" vertical="center" wrapText="1"/>
    </xf>
    <xf xxid="2814" numFmtId="169" fontId="17" fillId="0" borderId="19" xfId="0" applyAlignment="1" applyBorder="1" applyFont="1" applyNumberFormat="1" applyFill="1" applyProtection="1">
      <alignment horizontal="center" vertical="center" wrapText="1"/>
    </xf>
    <xf xxid="2815" numFmtId="169" fontId="17" fillId="0" borderId="22" xfId="0" applyAlignment="1" applyBorder="1" applyFont="1" applyNumberFormat="1" applyFill="1" applyProtection="1">
      <alignment horizontal="center" vertical="center" wrapText="1"/>
    </xf>
    <xf xxid="2816" numFmtId="169" fontId="17" fillId="0" borderId="9" xfId="0" applyAlignment="1" applyBorder="1" applyFont="1" applyNumberFormat="1" applyFill="1" applyProtection="1">
      <alignment horizontal="center" vertical="center" wrapText="1"/>
    </xf>
    <xf xxid="2817" numFmtId="169" fontId="17" fillId="0" borderId="21" xfId="0" applyAlignment="1" applyBorder="1" applyFont="1" applyNumberFormat="1" applyFill="1" applyProtection="1">
      <alignment horizontal="center" vertical="center" wrapText="1"/>
    </xf>
    <xf xxid="2818" numFmtId="167" fontId="38" fillId="0" borderId="10" xfId="1" applyAlignment="1" applyBorder="1" applyFont="1" applyNumberFormat="1" applyFill="1" applyProtection="1">
      <alignment horizontal="center" vertical="center" wrapText="1"/>
    </xf>
    <xf xxid="2819" numFmtId="167" fontId="38" fillId="0" borderId="0" xfId="1" applyAlignment="1" applyBorder="1" applyFont="1" applyNumberFormat="1" applyFill="1" applyProtection="1">
      <alignment horizontal="center" vertical="center" wrapText="1"/>
    </xf>
    <xf xxid="2820" numFmtId="167" fontId="38" fillId="0" borderId="12" xfId="1" applyAlignment="1" applyBorder="1" applyFont="1" applyNumberFormat="1" applyFill="1" applyProtection="1">
      <alignment horizontal="center" vertical="center" wrapText="1"/>
    </xf>
    <xf xxid="2821" numFmtId="167" fontId="38" fillId="0" borderId="18" xfId="1" applyAlignment="1" applyBorder="1" applyFont="1" applyNumberFormat="1" applyFill="1" applyProtection="1">
      <alignment horizontal="center" vertical="center" wrapText="1"/>
    </xf>
    <xf xxid="2822" numFmtId="167" fontId="38" fillId="0" borderId="8" xfId="1" applyAlignment="1" applyBorder="1" applyFont="1" applyNumberFormat="1" applyFill="1" applyProtection="1">
      <alignment horizontal="center" vertical="center" wrapText="1"/>
    </xf>
    <xf xxid="2823" numFmtId="167" fontId="38" fillId="0" borderId="19" xfId="1" applyAlignment="1" applyBorder="1" applyFont="1" applyNumberFormat="1" applyFill="1" applyProtection="1">
      <alignment horizontal="center" vertical="center" wrapText="1"/>
    </xf>
    <xf xxid="2824" numFmtId="167" fontId="17" fillId="0" borderId="10" xfId="1" applyAlignment="1" applyBorder="1" applyFont="1" applyNumberFormat="1" applyFill="1" applyProtection="1">
      <alignment horizontal="center" vertical="center" wrapText="1"/>
    </xf>
    <xf xxid="2825" numFmtId="167" fontId="17" fillId="0" borderId="0" xfId="1" applyAlignment="1" applyBorder="1" applyFont="1" applyNumberFormat="1" applyFill="1" applyProtection="1">
      <alignment horizontal="center" vertical="center" wrapText="1"/>
    </xf>
    <xf xxid="2826" numFmtId="167" fontId="17" fillId="0" borderId="12" xfId="1" applyAlignment="1" applyBorder="1" applyFont="1" applyNumberFormat="1" applyFill="1" applyProtection="1">
      <alignment horizontal="center" vertical="center" wrapText="1"/>
    </xf>
    <xf xxid="2827" numFmtId="167" fontId="17" fillId="0" borderId="18" xfId="1" applyAlignment="1" applyBorder="1" applyFont="1" applyNumberFormat="1" applyFill="1" applyProtection="1">
      <alignment horizontal="center" vertical="center" wrapText="1"/>
    </xf>
    <xf xxid="2828" numFmtId="167" fontId="17" fillId="0" borderId="8" xfId="1" applyAlignment="1" applyBorder="1" applyFont="1" applyNumberFormat="1" applyFill="1" applyProtection="1">
      <alignment horizontal="center" vertical="center" wrapText="1"/>
    </xf>
    <xf xxid="2829" numFmtId="167" fontId="17" fillId="0" borderId="19" xfId="1" applyAlignment="1" applyBorder="1" applyFont="1" applyNumberFormat="1" applyFill="1" applyProtection="1">
      <alignment horizontal="center" vertical="center" wrapText="1"/>
    </xf>
    <xf xxid="2830" numFmtId="167" fontId="17" fillId="0" borderId="23" xfId="1" applyAlignment="1" applyBorder="1" applyFont="1" applyNumberFormat="1" applyFill="1" applyProtection="1">
      <alignment horizontal="center" vertical="center" wrapText="1"/>
    </xf>
    <xf xxid="2831" numFmtId="167" fontId="17" fillId="0" borderId="40" xfId="1" applyAlignment="1" applyBorder="1" applyFont="1" applyNumberFormat="1" applyFill="1" applyProtection="1">
      <alignment horizontal="center" vertical="center" wrapText="1"/>
    </xf>
    <xf xxid="2832" numFmtId="167" fontId="17" fillId="0" borderId="41" xfId="1" applyAlignment="1" applyBorder="1" applyFont="1" applyNumberFormat="1" applyFill="1" applyProtection="1">
      <alignment horizontal="center" vertical="center" wrapText="1"/>
    </xf>
    <xf xxid="2833" numFmtId="167" fontId="38" fillId="0" borderId="23" xfId="1" applyAlignment="1" applyBorder="1" applyFont="1" applyNumberFormat="1" applyFill="1" applyProtection="1">
      <alignment horizontal="center" vertical="center" wrapText="1"/>
    </xf>
    <xf xxid="2834" numFmtId="167" fontId="38" fillId="0" borderId="40" xfId="1" applyAlignment="1" applyBorder="1" applyFont="1" applyNumberFormat="1" applyFill="1" applyProtection="1">
      <alignment horizontal="center" vertical="center" wrapText="1"/>
    </xf>
    <xf xxid="2835" numFmtId="167" fontId="38" fillId="0" borderId="41" xfId="1" applyAlignment="1" applyBorder="1" applyFont="1" applyNumberFormat="1" applyFill="1" applyProtection="1">
      <alignment horizontal="center" vertical="center" wrapText="1"/>
    </xf>
    <xf xxid="2836" numFmtId="173" fontId="17" fillId="0" borderId="23" xfId="0" applyAlignment="1" applyBorder="1" applyFont="1" applyNumberFormat="1" applyFill="1" applyProtection="1">
      <alignment horizontal="center" vertical="center" wrapText="1"/>
    </xf>
    <xf xxid="2837" numFmtId="173" fontId="17" fillId="0" borderId="40" xfId="0" applyAlignment="1" applyBorder="1" applyFont="1" applyNumberFormat="1" applyFill="1" applyProtection="1">
      <alignment horizontal="center" vertical="center" wrapText="1"/>
    </xf>
    <xf xxid="2838" numFmtId="173" fontId="17" fillId="0" borderId="41" xfId="0" applyAlignment="1" applyBorder="1" applyFont="1" applyNumberFormat="1" applyFill="1" applyProtection="1">
      <alignment horizontal="center" vertical="center" wrapText="1"/>
    </xf>
    <xf xxid="2839" numFmtId="0" fontId="3" fillId="0" borderId="41" xfId="0" applyAlignment="1" applyBorder="1" applyFont="1" applyNumberFormat="1" applyFill="1" applyProtection="1">
      <alignment horizontal="left" vertical="center"/>
    </xf>
    <xf xxid="2840" numFmtId="169" fontId="38" fillId="0" borderId="22" xfId="0" applyAlignment="1" applyBorder="1" applyFont="1" applyNumberFormat="1" applyFill="1" applyProtection="1">
      <alignment horizontal="center" vertical="center" wrapText="1"/>
    </xf>
    <xf xxid="2841" numFmtId="169" fontId="38" fillId="0" borderId="9" xfId="0" applyAlignment="1" applyBorder="1" applyFont="1" applyNumberFormat="1" applyFill="1" applyProtection="1">
      <alignment horizontal="center" vertical="center" wrapText="1"/>
    </xf>
    <xf xxid="2842" numFmtId="169" fontId="38" fillId="0" borderId="21" xfId="0" applyAlignment="1" applyBorder="1" applyFont="1" applyNumberFormat="1" applyFill="1" applyProtection="1">
      <alignment horizontal="center" vertical="center" wrapText="1"/>
    </xf>
    <xf xxid="2843" numFmtId="169" fontId="38" fillId="0" borderId="18" xfId="0" applyAlignment="1" applyBorder="1" applyFont="1" applyNumberFormat="1" applyFill="1" applyProtection="1">
      <alignment horizontal="center" vertical="center" wrapText="1"/>
    </xf>
    <xf xxid="2844" numFmtId="169" fontId="38" fillId="0" borderId="8" xfId="0" applyAlignment="1" applyBorder="1" applyFont="1" applyNumberFormat="1" applyFill="1" applyProtection="1">
      <alignment horizontal="center" vertical="center" wrapText="1"/>
    </xf>
    <xf xxid="2845" numFmtId="169" fontId="38" fillId="0" borderId="19" xfId="0" applyAlignment="1" applyBorder="1" applyFont="1" applyNumberFormat="1" applyFill="1" applyProtection="1">
      <alignment horizontal="center" vertical="center" wrapText="1"/>
    </xf>
    <xf xxid="2846" numFmtId="169" fontId="38" fillId="0" borderId="10" xfId="0" applyAlignment="1" applyBorder="1" applyFont="1" applyNumberFormat="1" applyFill="1" applyProtection="1">
      <alignment horizontal="center" vertical="center" wrapText="1"/>
    </xf>
    <xf xxid="2847" numFmtId="169" fontId="38" fillId="0" borderId="0" xfId="0" applyAlignment="1" applyBorder="1" applyFont="1" applyNumberFormat="1" applyFill="1" applyProtection="1">
      <alignment horizontal="center" vertical="center" wrapText="1"/>
    </xf>
    <xf xxid="2848" numFmtId="169" fontId="38" fillId="0" borderId="12" xfId="0" applyAlignment="1" applyBorder="1" applyFont="1" applyNumberFormat="1" applyFill="1" applyProtection="1">
      <alignment horizontal="center" vertical="center" wrapText="1"/>
    </xf>
    <xf xxid="2849" numFmtId="169" fontId="17" fillId="0" borderId="22" xfId="0" applyAlignment="1" applyBorder="1" applyFont="1" applyNumberFormat="1" applyFill="1" applyProtection="1">
      <alignment vertical="center" wrapText="1"/>
    </xf>
    <xf xxid="2850" numFmtId="169" fontId="17" fillId="0" borderId="21" xfId="0" applyAlignment="1" applyBorder="1" applyFont="1" applyNumberFormat="1" applyFill="1" applyProtection="1">
      <alignment vertical="center" wrapText="1"/>
    </xf>
    <xf xxid="2851" numFmtId="181" fontId="17" fillId="0" borderId="22" xfId="0" applyAlignment="1" applyBorder="1" applyFont="1" applyNumberFormat="1" applyFill="1" applyProtection="1">
      <alignment vertical="center" wrapText="1"/>
    </xf>
    <xf xxid="2852" numFmtId="181" fontId="17" fillId="0" borderId="9" xfId="0" applyAlignment="1" applyBorder="1" applyFont="1" applyNumberFormat="1" applyFill="1" applyProtection="1">
      <alignment vertical="center" wrapText="1"/>
    </xf>
    <xf xxid="2853" numFmtId="181" fontId="17" fillId="0" borderId="21" xfId="0" applyAlignment="1" applyBorder="1" applyFont="1" applyNumberFormat="1" applyFill="1" applyProtection="1">
      <alignment vertical="center" wrapText="1"/>
    </xf>
    <xf xxid="2854" numFmtId="181" fontId="17" fillId="0" borderId="10" xfId="0" applyAlignment="1" applyBorder="1" applyFont="1" applyNumberFormat="1" applyFill="1" applyProtection="1">
      <alignment vertical="center" wrapText="1"/>
    </xf>
    <xf xxid="2855" numFmtId="181" fontId="17" fillId="0" borderId="0" xfId="0" applyAlignment="1" applyBorder="1" applyFont="1" applyNumberFormat="1" applyFill="1" applyProtection="1">
      <alignment vertical="center" wrapText="1"/>
    </xf>
    <xf xxid="2856" numFmtId="181" fontId="17" fillId="0" borderId="12" xfId="0" applyAlignment="1" applyBorder="1" applyFont="1" applyNumberFormat="1" applyFill="1" applyProtection="1">
      <alignment vertical="center" wrapText="1"/>
    </xf>
    <xf xxid="2857" numFmtId="173" fontId="0" fillId="0" borderId="9" xfId="0" applyAlignment="1" applyBorder="1" applyFont="1" applyNumberFormat="1" applyFill="1" applyProtection="1">
      <alignment horizontal="center" vertical="center" wrapText="1"/>
      <protection locked="0"/>
    </xf>
    <xf xxid="2858" numFmtId="173" fontId="0" fillId="0" borderId="21" xfId="0" applyAlignment="1" applyBorder="1" applyFont="1" applyNumberFormat="1" applyFill="1" applyProtection="1">
      <alignment horizontal="center" vertical="center" wrapText="1"/>
      <protection locked="0"/>
    </xf>
    <xf xxid="2859" numFmtId="173" fontId="0" fillId="0" borderId="10" xfId="0" applyAlignment="1" applyBorder="1" applyFont="1" applyNumberFormat="1" applyFill="1" applyProtection="1">
      <alignment horizontal="center" vertical="center" wrapText="1"/>
      <protection locked="0"/>
    </xf>
    <xf xxid="2860" numFmtId="173" fontId="0" fillId="0" borderId="0" xfId="0" applyAlignment="1" applyBorder="1" applyFont="1" applyNumberFormat="1" applyFill="1" applyProtection="1">
      <alignment horizontal="center" vertical="center" wrapText="1"/>
      <protection locked="0"/>
    </xf>
    <xf xxid="2861" numFmtId="173" fontId="0" fillId="0" borderId="12" xfId="0" applyAlignment="1" applyBorder="1" applyFont="1" applyNumberFormat="1" applyFill="1" applyProtection="1">
      <alignment horizontal="center" vertical="center" wrapText="1"/>
      <protection locked="0"/>
    </xf>
    <xf xxid="2862" numFmtId="169" fontId="13" fillId="0" borderId="22" xfId="0" applyAlignment="1" applyBorder="1" applyFont="1" applyNumberFormat="1" applyFill="1" applyProtection="1">
      <alignment vertical="top" wrapText="1"/>
      <protection locked="0"/>
    </xf>
    <xf xxid="2863" numFmtId="0" fontId="0" fillId="0" borderId="9" xfId="0" applyAlignment="1" applyBorder="1" applyFont="1" applyNumberFormat="1" applyFill="1" applyProtection="1">
      <alignment wrapText="1"/>
      <protection locked="0"/>
    </xf>
    <xf xxid="2864" numFmtId="0" fontId="0" fillId="0" borderId="21" xfId="0" applyAlignment="1" applyBorder="1" applyFont="1" applyNumberFormat="1" applyFill="1" applyProtection="1">
      <alignment wrapText="1"/>
      <protection locked="0"/>
    </xf>
    <xf xxid="2865" numFmtId="0" fontId="0" fillId="0" borderId="10" xfId="0" applyAlignment="1" applyBorder="1" applyFont="1" applyNumberFormat="1" applyFill="1" applyProtection="1">
      <alignment wrapText="1"/>
      <protection locked="0"/>
    </xf>
    <xf xxid="2866" numFmtId="0" fontId="0" fillId="0" borderId="0" xfId="0" applyAlignment="1" applyBorder="1" applyFont="1" applyNumberFormat="1" applyFill="1" applyProtection="1">
      <alignment wrapText="1"/>
      <protection locked="0"/>
    </xf>
    <xf xxid="2867" numFmtId="0" fontId="0" fillId="0" borderId="12" xfId="0" applyAlignment="1" applyBorder="1" applyFont="1" applyNumberFormat="1" applyFill="1" applyProtection="1">
      <alignment wrapText="1"/>
      <protection locked="0"/>
    </xf>
    <xf xxid="2868" numFmtId="166" fontId="17" fillId="0" borderId="22" xfId="0" applyAlignment="1" applyBorder="1" applyFont="1" applyNumberFormat="1" applyFill="1" applyProtection="1">
      <alignment horizontal="right" vertical="center"/>
    </xf>
    <xf xxid="2869" numFmtId="166" fontId="17" fillId="0" borderId="9" xfId="0" applyAlignment="1" applyBorder="1" applyFont="1" applyNumberFormat="1" applyFill="1" applyProtection="1">
      <alignment horizontal="right" vertical="center"/>
    </xf>
    <xf xxid="2870" numFmtId="166" fontId="17" fillId="0" borderId="21" xfId="0" applyAlignment="1" applyBorder="1" applyFont="1" applyNumberFormat="1" applyFill="1" applyProtection="1">
      <alignment horizontal="right" vertical="center"/>
    </xf>
    <xf xxid="2871" numFmtId="166" fontId="17" fillId="0" borderId="12" xfId="0" applyAlignment="1" applyBorder="1" applyFont="1" applyNumberFormat="1" applyFill="1" applyProtection="1">
      <alignment horizontal="right" vertical="center"/>
    </xf>
    <xf xxid="2872" numFmtId="0" fontId="2" fillId="0" borderId="24" xfId="0" applyAlignment="1" applyBorder="1" applyFont="1" applyNumberFormat="1" applyFill="1" applyProtection="1">
      <alignment horizontal="center"/>
    </xf>
    <xf xxid="2873" numFmtId="0" fontId="2" fillId="0" borderId="20" xfId="0" applyAlignment="1" applyBorder="1" applyFont="1" applyNumberFormat="1" applyFill="1" applyProtection="1">
      <alignment horizontal="center"/>
    </xf>
    <xf xxid="2874" numFmtId="0" fontId="2" fillId="0" borderId="29" xfId="0" applyAlignment="1" applyBorder="1" applyFont="1" applyNumberFormat="1" applyFill="1" applyProtection="1">
      <alignment horizontal="center"/>
    </xf>
    <xf xxid="2875" numFmtId="0" fontId="17" fillId="0" borderId="22" xfId="0" applyAlignment="1" applyBorder="1" applyFont="1" applyNumberFormat="1" applyFill="1" applyProtection="1">
      <alignment vertical="center" wrapText="1"/>
    </xf>
    <xf xxid="2876" numFmtId="0" fontId="17" fillId="0" borderId="21" xfId="0" applyAlignment="1" applyBorder="1" applyFont="1" applyNumberFormat="1" applyFill="1" applyProtection="1">
      <alignment vertical="center" wrapText="1"/>
    </xf>
    <xf xxid="2877" numFmtId="0" fontId="17" fillId="0" borderId="12" xfId="0" applyAlignment="1" applyBorder="1" applyFont="1" applyNumberFormat="1" applyFill="1" applyProtection="1">
      <alignment vertical="center" wrapText="1"/>
    </xf>
    <xf xxid="2878" numFmtId="169" fontId="13" fillId="0" borderId="22" xfId="0" applyAlignment="1" applyBorder="1" applyFont="1" applyNumberFormat="1" applyFill="1" applyProtection="1">
      <alignment horizontal="left" vertical="top" wrapText="1"/>
      <protection locked="0"/>
    </xf>
    <xf xxid="2879" numFmtId="169" fontId="13" fillId="0" borderId="9" xfId="0" applyAlignment="1" applyBorder="1" applyFont="1" applyNumberFormat="1" applyFill="1" applyProtection="1">
      <alignment horizontal="left" vertical="top" wrapText="1"/>
      <protection locked="0"/>
    </xf>
    <xf xxid="2880" numFmtId="169" fontId="13" fillId="0" borderId="21" xfId="0" applyAlignment="1" applyBorder="1" applyFont="1" applyNumberFormat="1" applyFill="1" applyProtection="1">
      <alignment horizontal="left" vertical="top" wrapText="1"/>
      <protection locked="0"/>
    </xf>
    <xf xxid="2881" numFmtId="169" fontId="13" fillId="0" borderId="10" xfId="0" applyAlignment="1" applyBorder="1" applyFont="1" applyNumberFormat="1" applyFill="1" applyProtection="1">
      <alignment horizontal="left" vertical="top" wrapText="1"/>
      <protection locked="0"/>
    </xf>
    <xf xxid="2882" numFmtId="169" fontId="13" fillId="0" borderId="0" xfId="0" applyAlignment="1" applyBorder="1" applyFont="1" applyNumberFormat="1" applyFill="1" applyProtection="1">
      <alignment horizontal="left" vertical="top" wrapText="1"/>
      <protection locked="0"/>
    </xf>
    <xf xxid="2883" numFmtId="169" fontId="13" fillId="0" borderId="12" xfId="0" applyAlignment="1" applyBorder="1" applyFont="1" applyNumberFormat="1" applyFill="1" applyProtection="1">
      <alignment horizontal="left" vertical="top" wrapText="1"/>
      <protection locked="0"/>
    </xf>
    <xf xxid="2884" numFmtId="0" fontId="10" fillId="0" borderId="5" xfId="0" applyAlignment="1" applyBorder="1" applyFont="1" applyNumberFormat="1" applyFill="1" applyProtection="1">
      <alignment horizontal="center" vertical="center"/>
    </xf>
    <xf xxid="2885" numFmtId="0" fontId="6" fillId="0" borderId="6" xfId="0" applyAlignment="1" applyBorder="1" applyFont="1" applyNumberFormat="1" applyFill="1" applyProtection="1">
      <alignment horizontal="left" vertical="center" wrapText="1"/>
    </xf>
    <xf xxid="2886" numFmtId="0" fontId="3" fillId="0" borderId="10" xfId="0" applyAlignment="1" applyBorder="1" applyFont="1" applyNumberFormat="1" applyFill="1" applyProtection="1">
      <alignment horizontal="left" vertical="top" wrapText="1"/>
    </xf>
    <xf xxid="2887" numFmtId="0" fontId="3" fillId="0" borderId="0" xfId="0" applyAlignment="1" applyBorder="1" applyFont="1" applyNumberFormat="1" applyFill="1" applyProtection="1">
      <alignment horizontal="left" vertical="top" wrapText="1"/>
    </xf>
    <xf xxid="2888" numFmtId="0" fontId="3" fillId="0" borderId="12" xfId="0" applyAlignment="1" applyBorder="1" applyFont="1" applyNumberFormat="1" applyFill="1" applyProtection="1">
      <alignment horizontal="left" vertical="top" wrapText="1"/>
    </xf>
    <xf xxid="2889" numFmtId="0" fontId="3" fillId="0" borderId="18" xfId="0" applyAlignment="1" applyBorder="1" applyFont="1" applyNumberFormat="1" applyFill="1" applyProtection="1">
      <alignment horizontal="left" vertical="top" wrapText="1"/>
    </xf>
    <xf xxid="2890" numFmtId="0" fontId="3" fillId="0" borderId="8" xfId="0" applyAlignment="1" applyBorder="1" applyFont="1" applyNumberFormat="1" applyFill="1" applyProtection="1">
      <alignment horizontal="left" vertical="top" wrapText="1"/>
    </xf>
    <xf xxid="2891" numFmtId="0" fontId="3" fillId="0" borderId="19" xfId="0" applyAlignment="1" applyBorder="1" applyFont="1" applyNumberFormat="1" applyFill="1" applyProtection="1">
      <alignment horizontal="left" vertical="top" wrapText="1"/>
    </xf>
    <xf xxid="2892" numFmtId="169" fontId="17" fillId="15" borderId="22" xfId="0" applyAlignment="1" applyBorder="1" applyFont="1" applyNumberFormat="1" applyFill="1" applyProtection="1">
      <alignment horizontal="center" vertical="center"/>
    </xf>
    <xf xxid="2893" numFmtId="169" fontId="17" fillId="15" borderId="9" xfId="0" applyAlignment="1" applyBorder="1" applyFont="1" applyNumberFormat="1" applyFill="1" applyProtection="1">
      <alignment horizontal="center" vertical="center"/>
    </xf>
    <xf xxid="2894" numFmtId="169" fontId="17" fillId="15" borderId="10" xfId="0" applyAlignment="1" applyBorder="1" applyFont="1" applyNumberFormat="1" applyFill="1" applyProtection="1">
      <alignment horizontal="center" vertical="center"/>
    </xf>
    <xf xxid="2895" numFmtId="169" fontId="17" fillId="15" borderId="0" xfId="0" applyAlignment="1" applyBorder="1" applyFont="1" applyNumberFormat="1" applyFill="1" applyProtection="1">
      <alignment horizontal="center" vertical="center"/>
    </xf>
    <xf xxid="2896" numFmtId="169" fontId="17" fillId="15" borderId="18" xfId="0" applyAlignment="1" applyBorder="1" applyFont="1" applyNumberFormat="1" applyFill="1" applyProtection="1">
      <alignment horizontal="center" vertical="center"/>
    </xf>
    <xf xxid="2897" numFmtId="169" fontId="17" fillId="15" borderId="8" xfId="0" applyAlignment="1" applyBorder="1" applyFont="1" applyNumberFormat="1" applyFill="1" applyProtection="1">
      <alignment horizontal="center" vertical="center"/>
    </xf>
    <xf xxid="2898" numFmtId="0" fontId="125" fillId="0" borderId="0" xfId="0" applyAlignment="1" applyBorder="1" applyFont="1" applyNumberFormat="1" applyFill="1" applyProtection="1">
      <alignment horizontal="left" vertical="center" wrapText="1"/>
    </xf>
    <xf xxid="2899" numFmtId="184" fontId="17" fillId="0" borderId="22" xfId="0" applyAlignment="1" applyBorder="1" applyFont="1" applyNumberFormat="1" applyFill="1" applyProtection="1">
      <alignment horizontal="center" vertical="center" wrapText="1"/>
      <protection locked="0"/>
    </xf>
    <xf xxid="2900" numFmtId="0" fontId="0" fillId="0" borderId="9" xfId="0" applyAlignment="1" applyBorder="1" applyFont="1" applyNumberFormat="1" applyFill="1" applyProtection="1">
      <alignment horizontal="center" vertical="center" wrapText="1"/>
    </xf>
    <xf xxid="2901" numFmtId="0" fontId="0" fillId="0" borderId="21" xfId="0" applyAlignment="1" applyBorder="1" applyFont="1" applyNumberFormat="1" applyFill="1" applyProtection="1">
      <alignment horizontal="center" vertical="center" wrapText="1"/>
    </xf>
    <xf xxid="2902" numFmtId="0" fontId="0" fillId="0" borderId="10" xfId="0" applyAlignment="1" applyBorder="1" applyFont="1" applyNumberFormat="1" applyFill="1" applyProtection="1">
      <alignment horizontal="center" vertical="center" wrapText="1"/>
    </xf>
    <xf xxid="2903" numFmtId="0" fontId="0" fillId="0" borderId="0" xfId="0" applyAlignment="1" applyBorder="1" applyFont="1" applyNumberFormat="1" applyFill="1" applyProtection="1">
      <alignment horizontal="center" vertical="center" wrapText="1"/>
    </xf>
    <xf xxid="2904" numFmtId="0" fontId="0" fillId="0" borderId="12" xfId="0" applyAlignment="1" applyBorder="1" applyFont="1" applyNumberFormat="1" applyFill="1" applyProtection="1">
      <alignment horizontal="center" vertical="center" wrapText="1"/>
    </xf>
    <xf xxid="2905" numFmtId="169" fontId="13" fillId="0" borderId="22" xfId="0" applyAlignment="1" applyBorder="1" applyFont="1" applyNumberFormat="1" applyFill="1" applyProtection="1">
      <alignment vertical="top" wrapText="1"/>
    </xf>
    <xf xxid="2906" numFmtId="0" fontId="0" fillId="0" borderId="9" xfId="0" applyAlignment="1" applyBorder="1" applyFont="1" applyNumberFormat="1" applyFill="1" applyProtection="1">
      <alignment wrapText="1"/>
    </xf>
    <xf xxid="2907" numFmtId="0" fontId="0" fillId="0" borderId="21" xfId="0" applyAlignment="1" applyBorder="1" applyFont="1" applyNumberFormat="1" applyFill="1" applyProtection="1">
      <alignment wrapText="1"/>
    </xf>
    <xf xxid="2908" numFmtId="0" fontId="0" fillId="0" borderId="10" xfId="0" applyAlignment="1" applyBorder="1" applyFont="1" applyNumberFormat="1" applyFill="1" applyProtection="1">
      <alignment wrapText="1"/>
    </xf>
    <xf xxid="2909" numFmtId="0" fontId="0" fillId="0" borderId="0" xfId="0" applyAlignment="1" applyBorder="1" applyFont="1" applyNumberFormat="1" applyFill="1" applyProtection="1">
      <alignment wrapText="1"/>
    </xf>
    <xf xxid="2910" numFmtId="0" fontId="0" fillId="0" borderId="12" xfId="0" applyAlignment="1" applyBorder="1" applyFont="1" applyNumberFormat="1" applyFill="1" applyProtection="1">
      <alignment wrapText="1"/>
    </xf>
    <xf xxid="2911" numFmtId="169" fontId="17" fillId="0" borderId="22" xfId="0" applyAlignment="1" applyBorder="1" applyFont="1" applyNumberFormat="1" applyFill="1" applyProtection="1">
      <alignment vertical="center" wrapText="1"/>
      <protection locked="0"/>
    </xf>
    <xf xxid="2912" numFmtId="169" fontId="17" fillId="0" borderId="9" xfId="0" applyAlignment="1" applyBorder="1" applyFont="1" applyNumberFormat="1" applyFill="1" applyProtection="1">
      <alignment vertical="center" wrapText="1"/>
      <protection locked="0"/>
    </xf>
    <xf xxid="2913" numFmtId="169" fontId="17" fillId="0" borderId="21" xfId="0" applyAlignment="1" applyBorder="1" applyFont="1" applyNumberFormat="1" applyFill="1" applyProtection="1">
      <alignment vertical="center" wrapText="1"/>
      <protection locked="0"/>
    </xf>
    <xf xxid="2914" numFmtId="166" fontId="17" fillId="0" borderId="22" xfId="0" applyAlignment="1" applyBorder="1" applyFont="1" applyNumberFormat="1" applyFill="1" applyProtection="1">
      <alignment horizontal="right" vertical="center"/>
      <protection locked="0"/>
    </xf>
    <xf xxid="2915" numFmtId="166" fontId="17" fillId="0" borderId="9" xfId="0" applyAlignment="1" applyBorder="1" applyFont="1" applyNumberFormat="1" applyFill="1" applyProtection="1">
      <alignment horizontal="right" vertical="center"/>
      <protection locked="0"/>
    </xf>
    <xf xxid="2916" numFmtId="166" fontId="17" fillId="0" borderId="21" xfId="0" applyAlignment="1" applyBorder="1" applyFont="1" applyNumberFormat="1" applyFill="1" applyProtection="1">
      <alignment horizontal="right" vertical="center"/>
      <protection locked="0"/>
    </xf>
    <xf xxid="2917" numFmtId="166" fontId="17" fillId="0" borderId="12" xfId="0" applyAlignment="1" applyBorder="1" applyFont="1" applyNumberFormat="1" applyFill="1" applyProtection="1">
      <alignment horizontal="right" vertical="center"/>
      <protection locked="0"/>
    </xf>
    <xf xxid="2918" numFmtId="169" fontId="3" fillId="0" borderId="22" xfId="0" applyAlignment="1" applyBorder="1" applyFont="1" applyNumberFormat="1" applyFill="1" applyProtection="1">
      <alignment horizontal="center" vertical="center"/>
    </xf>
    <xf xxid="2919" numFmtId="169" fontId="3" fillId="0" borderId="21" xfId="0" applyAlignment="1" applyBorder="1" applyFont="1" applyNumberFormat="1" applyFill="1" applyProtection="1">
      <alignment horizontal="center" vertical="center"/>
    </xf>
    <xf xxid="2920" numFmtId="169" fontId="3" fillId="0" borderId="10" xfId="0" applyAlignment="1" applyBorder="1" applyFont="1" applyNumberFormat="1" applyFill="1" applyProtection="1">
      <alignment horizontal="center" vertical="center"/>
    </xf>
    <xf xxid="2921" numFmtId="169" fontId="3" fillId="0" borderId="12" xfId="0" applyAlignment="1" applyBorder="1" applyFont="1" applyNumberFormat="1" applyFill="1" applyProtection="1">
      <alignment horizontal="center" vertical="center"/>
    </xf>
    <xf xxid="2922" numFmtId="169" fontId="3" fillId="0" borderId="22" xfId="0" applyAlignment="1" applyBorder="1" applyFont="1" applyNumberFormat="1" applyFill="1" applyProtection="1">
      <alignment horizontal="center" vertical="center" wrapText="1"/>
    </xf>
    <xf xxid="2923" numFmtId="169" fontId="3" fillId="0" borderId="9" xfId="0" applyAlignment="1" applyBorder="1" applyFont="1" applyNumberFormat="1" applyFill="1" applyProtection="1">
      <alignment horizontal="center" vertical="center" wrapText="1"/>
    </xf>
    <xf xxid="2924" numFmtId="169" fontId="3" fillId="0" borderId="21" xfId="0" applyAlignment="1" applyBorder="1" applyFont="1" applyNumberFormat="1" applyFill="1" applyProtection="1">
      <alignment horizontal="center" vertical="center" wrapText="1"/>
    </xf>
    <xf xxid="2925" numFmtId="169" fontId="3" fillId="0" borderId="10" xfId="0" applyAlignment="1" applyBorder="1" applyFont="1" applyNumberFormat="1" applyFill="1" applyProtection="1">
      <alignment horizontal="center" vertical="center" wrapText="1"/>
    </xf>
    <xf xxid="2926" numFmtId="169" fontId="3" fillId="0" borderId="0" xfId="0" applyAlignment="1" applyBorder="1" applyFont="1" applyNumberFormat="1" applyFill="1" applyProtection="1">
      <alignment horizontal="center" vertical="center" wrapText="1"/>
    </xf>
    <xf xxid="2927" numFmtId="169" fontId="3" fillId="0" borderId="12" xfId="0" applyAlignment="1" applyBorder="1" applyFont="1" applyNumberFormat="1" applyFill="1" applyProtection="1">
      <alignment horizontal="center" vertical="center" wrapText="1"/>
    </xf>
    <xf xxid="2928" numFmtId="169" fontId="13" fillId="0" borderId="22" xfId="0" applyAlignment="1" applyBorder="1" applyFont="1" applyNumberFormat="1" applyFill="1" applyProtection="1">
      <alignment horizontal="left" vertical="top" wrapText="1"/>
    </xf>
    <xf xxid="2929" numFmtId="169" fontId="13" fillId="0" borderId="9" xfId="0" applyAlignment="1" applyBorder="1" applyFont="1" applyNumberFormat="1" applyFill="1" applyProtection="1">
      <alignment horizontal="left" vertical="top" wrapText="1"/>
    </xf>
    <xf xxid="2930" numFmtId="169" fontId="13" fillId="0" borderId="21" xfId="0" applyAlignment="1" applyBorder="1" applyFont="1" applyNumberFormat="1" applyFill="1" applyProtection="1">
      <alignment horizontal="left" vertical="top" wrapText="1"/>
    </xf>
    <xf xxid="2931" numFmtId="169" fontId="13" fillId="0" borderId="10" xfId="0" applyAlignment="1" applyBorder="1" applyFont="1" applyNumberFormat="1" applyFill="1" applyProtection="1">
      <alignment horizontal="left" vertical="top" wrapText="1"/>
    </xf>
    <xf xxid="2932" numFmtId="169" fontId="13" fillId="0" borderId="0" xfId="0" applyAlignment="1" applyBorder="1" applyFont="1" applyNumberFormat="1" applyFill="1" applyProtection="1">
      <alignment horizontal="left" vertical="top" wrapText="1"/>
    </xf>
    <xf xxid="2933" numFmtId="169" fontId="13" fillId="0" borderId="12" xfId="0" applyAlignment="1" applyBorder="1" applyFont="1" applyNumberFormat="1" applyFill="1" applyProtection="1">
      <alignment horizontal="left" vertical="top" wrapText="1"/>
    </xf>
    <xf xxid="2934" numFmtId="0" fontId="103" fillId="22" borderId="10" xfId="0" applyAlignment="1" applyBorder="1" applyFont="1" applyNumberFormat="1" applyFill="1" applyProtection="1">
      <alignment horizontal="center" vertical="center" wrapText="1"/>
      <protection hidden="1"/>
    </xf>
    <xf xxid="2935" numFmtId="0" fontId="103" fillId="22" borderId="0" xfId="0" applyAlignment="1" applyBorder="1" applyFont="1" applyNumberFormat="1" applyFill="1" applyProtection="1">
      <alignment horizontal="center" vertical="center" wrapText="1"/>
      <protection hidden="1"/>
    </xf>
    <xf xxid="2936" numFmtId="0" fontId="103" fillId="22" borderId="5" xfId="0" applyAlignment="1" applyBorder="1" applyFont="1" applyNumberFormat="1" applyFill="1" applyProtection="1">
      <alignment horizontal="center" vertical="center" wrapText="1"/>
      <protection hidden="1"/>
    </xf>
    <xf xxid="2937" numFmtId="0" fontId="104" fillId="22" borderId="51" xfId="0" applyAlignment="1" applyBorder="1" applyFont="1" applyNumberFormat="1" applyFill="1" applyProtection="1">
      <alignment horizontal="center" vertical="center" wrapText="1"/>
      <protection hidden="1"/>
    </xf>
    <xf xxid="2938" numFmtId="0" fontId="104" fillId="22" borderId="53" xfId="0" applyAlignment="1" applyBorder="1" applyFont="1" applyNumberFormat="1" applyFill="1" applyProtection="1">
      <alignment horizontal="center" vertical="center" wrapText="1"/>
      <protection hidden="1"/>
    </xf>
    <xf xxid="2939" numFmtId="169" fontId="85" fillId="6" borderId="10" xfId="1" applyAlignment="1" applyBorder="1" applyFont="1" applyNumberFormat="1" applyFill="1" applyProtection="1">
      <alignment horizontal="center"/>
      <protection hidden="1" locked="0"/>
    </xf>
    <xf xxid="2940" numFmtId="169" fontId="85" fillId="6" borderId="0" xfId="1" applyAlignment="1" applyBorder="1" applyFont="1" applyNumberFormat="1" applyFill="1" applyProtection="1">
      <alignment horizontal="center"/>
      <protection hidden="1" locked="0"/>
    </xf>
    <xf xxid="2941" numFmtId="169" fontId="85" fillId="6" borderId="12" xfId="1" applyAlignment="1" applyBorder="1" applyFont="1" applyNumberFormat="1" applyFill="1" applyProtection="1">
      <alignment horizontal="center"/>
      <protection hidden="1" locked="0"/>
    </xf>
    <xf xxid="2942" numFmtId="169" fontId="85" fillId="6" borderId="18" xfId="1" applyAlignment="1" applyBorder="1" applyFont="1" applyNumberFormat="1" applyFill="1" applyProtection="1">
      <alignment horizontal="center"/>
      <protection hidden="1" locked="0"/>
    </xf>
    <xf xxid="2943" numFmtId="169" fontId="85" fillId="6" borderId="8" xfId="1" applyAlignment="1" applyBorder="1" applyFont="1" applyNumberFormat="1" applyFill="1" applyProtection="1">
      <alignment horizontal="center"/>
      <protection hidden="1" locked="0"/>
    </xf>
    <xf xxid="2944" numFmtId="169" fontId="85" fillId="6" borderId="19" xfId="1" applyAlignment="1" applyBorder="1" applyFont="1" applyNumberFormat="1" applyFill="1" applyProtection="1">
      <alignment horizontal="center"/>
      <protection hidden="1" locked="0"/>
    </xf>
    <xf xxid="2945" numFmtId="0" fontId="85" fillId="6" borderId="10" xfId="0" applyAlignment="1" applyBorder="1" applyFont="1" applyNumberFormat="1" applyFill="1" applyProtection="1">
      <alignment horizontal="center"/>
      <protection hidden="1" locked="0"/>
    </xf>
    <xf xxid="2946" numFmtId="0" fontId="85" fillId="6" borderId="0" xfId="0" applyAlignment="1" applyBorder="1" applyFont="1" applyNumberFormat="1" applyFill="1" applyProtection="1">
      <alignment horizontal="center"/>
      <protection hidden="1" locked="0"/>
    </xf>
    <xf xxid="2947" numFmtId="0" fontId="85" fillId="6" borderId="12" xfId="0" applyAlignment="1" applyBorder="1" applyFont="1" applyNumberFormat="1" applyFill="1" applyProtection="1">
      <alignment horizontal="center"/>
      <protection hidden="1" locked="0"/>
    </xf>
    <xf xxid="2948" numFmtId="169" fontId="85" fillId="6" borderId="10" xfId="1" applyAlignment="1" applyBorder="1" applyFont="1" applyNumberFormat="1" applyFill="1" applyProtection="1">
      <alignment horizontal="center"/>
      <protection hidden="1"/>
    </xf>
    <xf xxid="2949" numFmtId="169" fontId="85" fillId="6" borderId="12" xfId="1" applyAlignment="1" applyBorder="1" applyFont="1" applyNumberFormat="1" applyFill="1" applyProtection="1">
      <alignment horizontal="center"/>
      <protection hidden="1"/>
    </xf>
    <xf xxid="2950" numFmtId="0" fontId="85" fillId="6" borderId="18" xfId="0" applyAlignment="1" applyBorder="1" applyFont="1" applyNumberFormat="1" applyFill="1" applyProtection="1">
      <alignment horizontal="center" wrapText="1"/>
      <protection hidden="1"/>
    </xf>
    <xf xxid="2951" numFmtId="0" fontId="85" fillId="6" borderId="8" xfId="0" applyAlignment="1" applyBorder="1" applyFont="1" applyNumberFormat="1" applyFill="1" applyProtection="1">
      <alignment horizontal="center" wrapText="1"/>
      <protection hidden="1"/>
    </xf>
    <xf xxid="2952" numFmtId="0" fontId="85" fillId="6" borderId="66" xfId="0" applyAlignment="1" applyBorder="1" applyFont="1" applyNumberFormat="1" applyFill="1" applyProtection="1">
      <alignment horizontal="center"/>
      <protection hidden="1" locked="0"/>
    </xf>
    <xf xxid="2953" numFmtId="0" fontId="85" fillId="6" borderId="6" xfId="0" applyAlignment="1" applyBorder="1" applyFont="1" applyNumberFormat="1" applyFill="1" applyProtection="1">
      <alignment horizontal="center"/>
      <protection hidden="1" locked="0"/>
    </xf>
    <xf xxid="2954" numFmtId="0" fontId="85" fillId="6" borderId="142" xfId="0" applyAlignment="1" applyBorder="1" applyFont="1" applyNumberFormat="1" applyFill="1" applyProtection="1">
      <alignment horizontal="center"/>
      <protection hidden="1" locked="0"/>
    </xf>
    <xf xxid="2955" numFmtId="181" fontId="88" fillId="6" borderId="80" xfId="1" applyAlignment="1" applyBorder="1" applyFont="1" applyNumberFormat="1" applyFill="1" applyProtection="1">
      <alignment horizontal="right"/>
      <protection hidden="1"/>
    </xf>
    <xf xxid="2956" numFmtId="181" fontId="88" fillId="6" borderId="1" xfId="1" applyAlignment="1" applyBorder="1" applyFont="1" applyNumberFormat="1" applyFill="1" applyProtection="1">
      <alignment horizontal="right"/>
      <protection hidden="1"/>
    </xf>
    <xf xxid="2957" numFmtId="181" fontId="88" fillId="6" borderId="3" xfId="1" applyAlignment="1" applyBorder="1" applyFont="1" applyNumberFormat="1" applyFill="1" applyProtection="1">
      <alignment horizontal="right"/>
      <protection hidden="1"/>
    </xf>
    <xf xxid="2958" numFmtId="0" fontId="104" fillId="22" borderId="50" xfId="0" applyAlignment="1" applyBorder="1" applyFont="1" applyNumberFormat="1" applyFill="1" applyProtection="1">
      <alignment horizontal="center" vertical="center" wrapText="1" shrinkToFit="1"/>
      <protection hidden="1"/>
    </xf>
    <xf xxid="2959" numFmtId="0" fontId="104" fillId="22" borderId="51" xfId="0" applyAlignment="1" applyBorder="1" applyFont="1" applyNumberFormat="1" applyFill="1" applyProtection="1">
      <alignment horizontal="center" vertical="center" wrapText="1" shrinkToFit="1"/>
      <protection hidden="1"/>
    </xf>
    <xf xxid="2960" numFmtId="0" fontId="104" fillId="22" borderId="55" xfId="0" applyAlignment="1" applyBorder="1" applyFont="1" applyNumberFormat="1" applyFill="1" applyProtection="1">
      <alignment horizontal="center" vertical="center" wrapText="1" shrinkToFit="1"/>
      <protection hidden="1"/>
    </xf>
    <xf xxid="2961" numFmtId="0" fontId="104" fillId="22" borderId="54" xfId="0" applyAlignment="1" applyBorder="1" applyFont="1" applyNumberFormat="1" applyFill="1" applyProtection="1">
      <alignment horizontal="center" vertical="center"/>
      <protection hidden="1"/>
    </xf>
    <xf xxid="2962" numFmtId="0" fontId="104" fillId="22" borderId="51" xfId="0" applyAlignment="1" applyBorder="1" applyFont="1" applyNumberFormat="1" applyFill="1" applyProtection="1">
      <alignment horizontal="center" vertical="center"/>
      <protection hidden="1"/>
    </xf>
    <xf xxid="2963" numFmtId="0" fontId="104" fillId="22" borderId="55" xfId="0" applyAlignment="1" applyBorder="1" applyFont="1" applyNumberFormat="1" applyFill="1" applyProtection="1">
      <alignment horizontal="center" vertical="center"/>
      <protection hidden="1"/>
    </xf>
    <xf xxid="2964" numFmtId="0" fontId="104" fillId="22" borderId="54" xfId="0" applyAlignment="1" applyBorder="1" applyFont="1" applyNumberFormat="1" applyFill="1" applyProtection="1">
      <alignment horizontal="center" vertical="center" wrapText="1"/>
      <protection hidden="1"/>
    </xf>
    <xf xxid="2965" numFmtId="0" fontId="104" fillId="22" borderId="55" xfId="0" applyAlignment="1" applyBorder="1" applyFont="1" applyNumberFormat="1" applyFill="1" applyProtection="1">
      <alignment horizontal="center" vertical="center" wrapText="1"/>
      <protection hidden="1"/>
    </xf>
    <xf xxid="2966" numFmtId="0" fontId="91" fillId="6" borderId="0" xfId="0" applyAlignment="1" applyBorder="1" applyFont="1" applyNumberFormat="1" applyFill="1" applyProtection="1">
      <alignment horizontal="left"/>
      <protection hidden="1"/>
    </xf>
    <xf xxid="2967" numFmtId="0" fontId="85" fillId="6" borderId="10" xfId="0" applyAlignment="1" applyBorder="1" applyFont="1" applyNumberFormat="1" applyFill="1" applyProtection="1">
      <alignment horizontal="left" wrapText="1"/>
      <protection hidden="1"/>
    </xf>
    <xf xxid="2968" numFmtId="0" fontId="85" fillId="6" borderId="0" xfId="0" applyAlignment="1" applyBorder="1" applyFont="1" applyNumberFormat="1" applyFill="1" applyProtection="1">
      <alignment horizontal="left" wrapText="1"/>
      <protection hidden="1"/>
    </xf>
    <xf xxid="2969" numFmtId="181" fontId="85" fillId="6" borderId="10" xfId="0" applyAlignment="1" applyBorder="1" applyFont="1" applyNumberFormat="1" applyFill="1" applyProtection="1">
      <alignment horizontal="left" wrapText="1"/>
      <protection hidden="1"/>
    </xf>
    <xf xxid="2970" numFmtId="181" fontId="85" fillId="6" borderId="0" xfId="0" applyAlignment="1" applyBorder="1" applyFont="1" applyNumberFormat="1" applyFill="1" applyProtection="1">
      <alignment horizontal="left" wrapText="1"/>
      <protection hidden="1"/>
    </xf>
    <xf xxid="2971" numFmtId="181" fontId="85" fillId="6" borderId="18" xfId="0" applyAlignment="1" applyBorder="1" applyFont="1" applyNumberFormat="1" applyFill="1" applyProtection="1">
      <alignment horizontal="left" wrapText="1"/>
      <protection hidden="1"/>
    </xf>
    <xf xxid="2972" numFmtId="181" fontId="85" fillId="6" borderId="8" xfId="0" applyAlignment="1" applyBorder="1" applyFont="1" applyNumberFormat="1" applyFill="1" applyProtection="1">
      <alignment horizontal="left" wrapText="1"/>
      <protection hidden="1"/>
    </xf>
    <xf xxid="2973" numFmtId="181" fontId="85" fillId="6" borderId="18" xfId="0" applyAlignment="1" applyBorder="1" applyFont="1" applyNumberFormat="1" applyFill="1" applyProtection="1">
      <alignment horizontal="center"/>
      <protection hidden="1"/>
    </xf>
    <xf xxid="2974" numFmtId="181" fontId="85" fillId="6" borderId="19" xfId="0" applyAlignment="1" applyBorder="1" applyFont="1" applyNumberFormat="1" applyFill="1" applyProtection="1">
      <alignment horizontal="center"/>
      <protection hidden="1"/>
    </xf>
    <xf xxid="2975" numFmtId="0" fontId="85" fillId="6" borderId="10" xfId="0" applyAlignment="1" applyBorder="1" applyFont="1" applyNumberFormat="1" applyFill="1" applyProtection="1">
      <alignment horizontal="center"/>
      <protection hidden="1"/>
    </xf>
    <xf xxid="2976" numFmtId="0" fontId="85" fillId="6" borderId="12" xfId="0" applyAlignment="1" applyBorder="1" applyFont="1" applyNumberFormat="1" applyFill="1" applyProtection="1">
      <alignment horizontal="center"/>
      <protection hidden="1"/>
    </xf>
    <xf xxid="2977" numFmtId="181" fontId="85" fillId="6" borderId="10" xfId="0" applyAlignment="1" applyBorder="1" applyFont="1" applyNumberFormat="1" applyFill="1" applyProtection="1">
      <alignment horizontal="center"/>
      <protection hidden="1"/>
    </xf>
    <xf xxid="2978" numFmtId="181" fontId="85" fillId="6" borderId="12" xfId="0" applyAlignment="1" applyBorder="1" applyFont="1" applyNumberFormat="1" applyFill="1" applyProtection="1">
      <alignment horizontal="center"/>
      <protection hidden="1"/>
    </xf>
    <xf xxid="2979" numFmtId="0" fontId="85" fillId="6" borderId="12" xfId="0" applyAlignment="1" applyBorder="1" applyFont="1" applyNumberFormat="1" applyFill="1" applyProtection="1">
      <alignment horizontal="left" wrapText="1"/>
      <protection hidden="1"/>
    </xf>
    <xf xxid="2980" numFmtId="0" fontId="85" fillId="6" borderId="18" xfId="0" applyAlignment="1" applyBorder="1" applyFont="1" applyNumberFormat="1" applyFill="1" applyProtection="1">
      <alignment horizontal="left" wrapText="1"/>
      <protection hidden="1"/>
    </xf>
    <xf xxid="2981" numFmtId="0" fontId="85" fillId="6" borderId="8" xfId="0" applyAlignment="1" applyBorder="1" applyFont="1" applyNumberFormat="1" applyFill="1" applyProtection="1">
      <alignment horizontal="left" wrapText="1"/>
      <protection hidden="1"/>
    </xf>
    <xf xxid="2982" numFmtId="0" fontId="85" fillId="6" borderId="19" xfId="0" applyAlignment="1" applyBorder="1" applyFont="1" applyNumberFormat="1" applyFill="1" applyProtection="1">
      <alignment horizontal="left" wrapText="1"/>
      <protection hidden="1"/>
    </xf>
    <xf xxid="2983" numFmtId="0" fontId="85" fillId="6" borderId="10" xfId="0" applyAlignment="1" applyBorder="1" applyFont="1" applyNumberFormat="1" applyFill="1" applyProtection="1">
      <alignment horizontal="center" wrapText="1"/>
      <protection hidden="1"/>
    </xf>
    <xf xxid="2984" numFmtId="0" fontId="85" fillId="6" borderId="0" xfId="0" applyAlignment="1" applyBorder="1" applyFont="1" applyNumberFormat="1" applyFill="1" applyProtection="1">
      <alignment horizontal="center" wrapText="1"/>
      <protection hidden="1"/>
    </xf>
    <xf xxid="2985" numFmtId="169" fontId="85" fillId="6" borderId="18" xfId="1" applyAlignment="1" applyBorder="1" applyFont="1" applyNumberFormat="1" applyFill="1" applyProtection="1">
      <alignment horizontal="center"/>
      <protection hidden="1"/>
    </xf>
    <xf xxid="2986" numFmtId="169" fontId="85" fillId="6" borderId="19" xfId="1" applyAlignment="1" applyBorder="1" applyFont="1" applyNumberFormat="1" applyFill="1" applyProtection="1">
      <alignment horizontal="center"/>
      <protection hidden="1"/>
    </xf>
    <xf xxid="2987" numFmtId="0" fontId="85" fillId="6" borderId="18" xfId="0" applyAlignment="1" applyBorder="1" applyFont="1" applyNumberFormat="1" applyFill="1" applyProtection="1">
      <alignment horizontal="center"/>
      <protection hidden="1"/>
    </xf>
    <xf xxid="2988" numFmtId="0" fontId="85" fillId="6" borderId="19" xfId="0" applyAlignment="1" applyBorder="1" applyFont="1" applyNumberFormat="1" applyFill="1" applyProtection="1">
      <alignment horizontal="center"/>
      <protection hidden="1"/>
    </xf>
    <xf xxid="2989" numFmtId="169" fontId="85" fillId="6" borderId="66" xfId="1" applyAlignment="1" applyBorder="1" applyFont="1" applyNumberFormat="1" applyFill="1" applyProtection="1">
      <alignment horizontal="center"/>
      <protection hidden="1"/>
    </xf>
    <xf xxid="2990" numFmtId="169" fontId="85" fillId="6" borderId="6" xfId="1" applyAlignment="1" applyBorder="1" applyFont="1" applyNumberFormat="1" applyFill="1" applyProtection="1">
      <alignment horizontal="center"/>
      <protection hidden="1"/>
    </xf>
    <xf xxid="2991" numFmtId="169" fontId="85" fillId="6" borderId="142" xfId="1" applyAlignment="1" applyBorder="1" applyFont="1" applyNumberFormat="1" applyFill="1" applyProtection="1">
      <alignment horizontal="center"/>
      <protection hidden="1"/>
    </xf>
    <xf xxid="2992" numFmtId="0" fontId="85" fillId="6" borderId="66" xfId="0" applyAlignment="1" applyBorder="1" applyFont="1" applyNumberFormat="1" applyFill="1" applyProtection="1">
      <alignment horizontal="left" wrapText="1"/>
      <protection hidden="1"/>
    </xf>
    <xf xxid="2993" numFmtId="0" fontId="85" fillId="6" borderId="6" xfId="0" applyAlignment="1" applyBorder="1" applyFont="1" applyNumberFormat="1" applyFill="1" applyProtection="1">
      <alignment horizontal="left" wrapText="1"/>
      <protection hidden="1"/>
    </xf>
    <xf xxid="2994" numFmtId="0" fontId="85" fillId="6" borderId="142" xfId="0" applyAlignment="1" applyBorder="1" applyFont="1" applyNumberFormat="1" applyFill="1" applyProtection="1">
      <alignment horizontal="left" wrapText="1"/>
      <protection hidden="1"/>
    </xf>
    <xf xxid="2995" numFmtId="0" fontId="85" fillId="6" borderId="66" xfId="0" applyAlignment="1" applyBorder="1" applyFont="1" applyNumberFormat="1" applyFill="1" applyProtection="1">
      <alignment horizontal="center"/>
      <protection hidden="1"/>
    </xf>
    <xf xxid="2996" numFmtId="0" fontId="85" fillId="6" borderId="142" xfId="0" applyAlignment="1" applyBorder="1" applyFont="1" applyNumberFormat="1" applyFill="1" applyProtection="1">
      <alignment horizontal="center"/>
      <protection hidden="1"/>
    </xf>
    <xf xxid="2997" numFmtId="0" fontId="87" fillId="6" borderId="0" xfId="0" applyAlignment="1" applyBorder="1" applyFont="1" applyNumberFormat="1" applyFill="1" applyProtection="1">
      <alignment horizontal="left"/>
      <protection hidden="1"/>
    </xf>
    <xf xxid="2998" numFmtId="0" fontId="103" fillId="22" borderId="10" xfId="0" applyAlignment="1" applyBorder="1" applyFont="1" applyNumberFormat="1" applyFill="1" applyProtection="1">
      <alignment horizontal="center" vertical="center"/>
      <protection hidden="1"/>
    </xf>
    <xf xxid="2999" numFmtId="0" fontId="103" fillId="22" borderId="0" xfId="0" applyAlignment="1" applyBorder="1" applyFont="1" applyNumberFormat="1" applyFill="1" applyProtection="1">
      <alignment horizontal="center" vertical="center"/>
      <protection hidden="1"/>
    </xf>
    <xf xxid="3000" numFmtId="0" fontId="103" fillId="22" borderId="12" xfId="0" applyAlignment="1" applyBorder="1" applyFont="1" applyNumberFormat="1" applyFill="1" applyProtection="1">
      <alignment horizontal="center" vertical="center"/>
      <protection hidden="1"/>
    </xf>
    <xf xxid="3001" numFmtId="0" fontId="103" fillId="22" borderId="88" xfId="0" applyAlignment="1" applyBorder="1" applyFont="1" applyNumberFormat="1" applyFill="1" applyProtection="1">
      <alignment horizontal="center" vertical="center" wrapText="1" shrinkToFit="1"/>
      <protection hidden="1"/>
    </xf>
    <xf xxid="3002" numFmtId="0" fontId="103" fillId="22" borderId="12" xfId="0" applyAlignment="1" applyBorder="1" applyFont="1" applyNumberFormat="1" applyFill="1" applyProtection="1">
      <alignment horizontal="center" vertical="center" wrapText="1"/>
      <protection hidden="1"/>
    </xf>
    <xf xxid="3003" numFmtId="179" fontId="88" fillId="6" borderId="26" xfId="1" applyAlignment="1" applyBorder="1" applyFont="1" applyNumberFormat="1" applyFill="1" applyProtection="1">
      <alignment horizontal="center"/>
      <protection hidden="1"/>
    </xf>
    <xf xxid="3004" numFmtId="179" fontId="88" fillId="6" borderId="27" xfId="1" applyAlignment="1" applyBorder="1" applyFont="1" applyNumberFormat="1" applyFill="1" applyProtection="1">
      <alignment horizontal="center"/>
      <protection hidden="1"/>
    </xf>
    <xf xxid="3005" numFmtId="179" fontId="88" fillId="6" borderId="28" xfId="1" applyAlignment="1" applyBorder="1" applyFont="1" applyNumberFormat="1" applyFill="1" applyProtection="1">
      <alignment horizontal="center"/>
      <protection hidden="1"/>
    </xf>
    <xf xxid="3006" numFmtId="0" fontId="104" fillId="22" borderId="152" xfId="0" applyAlignment="1" applyBorder="1" applyFont="1" applyNumberFormat="1" applyFill="1" applyProtection="1">
      <alignment horizontal="center" vertical="center"/>
    </xf>
    <xf xxid="3007" numFmtId="0" fontId="104" fillId="22" borderId="72" xfId="0" applyAlignment="1" applyBorder="1" applyFont="1" applyNumberFormat="1" applyFill="1" applyProtection="1">
      <alignment horizontal="center" vertical="center"/>
    </xf>
    <xf xxid="3008" numFmtId="0" fontId="104" fillId="22" borderId="122" xfId="0" applyAlignment="1" applyBorder="1" applyFont="1" applyNumberFormat="1" applyFill="1" applyProtection="1">
      <alignment horizontal="center" vertical="center"/>
    </xf>
    <xf xxid="3009" numFmtId="0" fontId="103" fillId="22" borderId="4" xfId="0" applyAlignment="1" applyBorder="1" applyFont="1" applyNumberFormat="1" applyFill="1" applyProtection="1">
      <alignment horizontal="center" vertical="center" wrapText="1" shrinkToFit="1"/>
      <protection hidden="1"/>
    </xf>
    <xf xxid="3010" numFmtId="0" fontId="103" fillId="22" borderId="0" xfId="0" applyAlignment="1" applyBorder="1" applyFont="1" applyNumberFormat="1" applyFill="1" applyProtection="1">
      <alignment horizontal="center" vertical="center" wrapText="1" shrinkToFit="1"/>
      <protection hidden="1"/>
    </xf>
    <xf xxid="3011" numFmtId="0" fontId="103" fillId="22" borderId="12" xfId="0" applyAlignment="1" applyBorder="1" applyFont="1" applyNumberFormat="1" applyFill="1" applyProtection="1">
      <alignment horizontal="center" vertical="center" wrapText="1" shrinkToFit="1"/>
      <protection hidden="1"/>
    </xf>
    <xf xxid="3012" numFmtId="0" fontId="85" fillId="6" borderId="153" xfId="0" applyAlignment="1" applyBorder="1" applyFont="1" applyNumberFormat="1" applyFill="1" applyProtection="1">
      <alignment horizontal="center"/>
    </xf>
    <xf xxid="3013" numFmtId="0" fontId="85" fillId="6" borderId="57" xfId="0" applyAlignment="1" applyBorder="1" applyFont="1" applyNumberFormat="1" applyFill="1" applyProtection="1">
      <alignment horizontal="center"/>
    </xf>
    <xf xxid="3014" numFmtId="0" fontId="85" fillId="6" borderId="58" xfId="0" applyAlignment="1" applyBorder="1" applyFont="1" applyNumberFormat="1" applyFill="1" applyProtection="1">
      <alignment horizontal="center"/>
    </xf>
    <xf xxid="3015" numFmtId="169" fontId="85" fillId="6" borderId="103" xfId="1" applyAlignment="1" applyBorder="1" applyFont="1" applyNumberFormat="1" applyFill="1" applyProtection="1">
      <alignment horizontal="center"/>
    </xf>
    <xf xxid="3016" numFmtId="169" fontId="85" fillId="6" borderId="56" xfId="1" applyAlignment="1" applyBorder="1" applyFont="1" applyNumberFormat="1" applyFill="1" applyProtection="1">
      <alignment horizontal="center"/>
    </xf>
    <xf xxid="3017" numFmtId="169" fontId="85" fillId="6" borderId="57" xfId="1" applyAlignment="1" applyBorder="1" applyFont="1" applyNumberFormat="1" applyFill="1" applyProtection="1">
      <alignment horizontal="center"/>
    </xf>
    <xf xxid="3018" numFmtId="169" fontId="85" fillId="6" borderId="154" xfId="1" applyAlignment="1" applyBorder="1" applyFont="1" applyNumberFormat="1" applyFill="1" applyProtection="1">
      <alignment horizontal="center"/>
    </xf>
    <xf xxid="3019" numFmtId="0" fontId="104" fillId="22" borderId="127" xfId="0" applyAlignment="1" applyBorder="1" applyFont="1" applyNumberFormat="1" applyFill="1" applyProtection="1">
      <alignment horizontal="center" vertical="center"/>
    </xf>
    <xf xxid="3020" numFmtId="0" fontId="104" fillId="22" borderId="110" xfId="0" applyAlignment="1" applyBorder="1" applyFont="1" applyNumberFormat="1" applyFill="1" applyProtection="1">
      <alignment horizontal="center" vertical="center"/>
    </xf>
    <xf xxid="3021" numFmtId="0" fontId="104" fillId="22" borderId="143" xfId="0" applyAlignment="1" applyBorder="1" applyFont="1" applyNumberFormat="1" applyFill="1" applyProtection="1">
      <alignment horizontal="center" vertical="center"/>
    </xf>
    <xf xxid="3022" numFmtId="0" fontId="104" fillId="22" borderId="87" xfId="0" applyAlignment="1" applyBorder="1" applyFont="1" applyNumberFormat="1" applyFill="1" applyProtection="1">
      <alignment horizontal="center" vertical="center"/>
    </xf>
    <xf xxid="3023" numFmtId="0" fontId="104" fillId="22" borderId="88" xfId="0" applyAlignment="1" applyBorder="1" applyFont="1" applyNumberFormat="1" applyFill="1" applyProtection="1">
      <alignment horizontal="center" vertical="center"/>
    </xf>
    <xf xxid="3024" numFmtId="169" fontId="104" fillId="22" borderId="59" xfId="0" applyAlignment="1" applyBorder="1" applyFont="1" applyNumberFormat="1" applyFill="1" applyProtection="1">
      <alignment horizontal="center" vertical="center" wrapText="1"/>
    </xf>
    <xf xxid="3025" numFmtId="169" fontId="104" fillId="22" borderId="60" xfId="0" applyAlignment="1" applyBorder="1" applyFont="1" applyNumberFormat="1" applyFill="1" applyProtection="1">
      <alignment horizontal="center" vertical="center" wrapText="1"/>
    </xf>
    <xf xxid="3026" numFmtId="169" fontId="104" fillId="22" borderId="61" xfId="0" applyAlignment="1" applyBorder="1" applyFont="1" applyNumberFormat="1" applyFill="1" applyProtection="1">
      <alignment horizontal="center" vertical="center" wrapText="1"/>
    </xf>
    <xf xxid="3027" numFmtId="0" fontId="104" fillId="22" borderId="59" xfId="0" applyAlignment="1" applyBorder="1" applyFont="1" applyNumberFormat="1" applyFill="1" applyProtection="1">
      <alignment horizontal="center" vertical="center" wrapText="1"/>
    </xf>
    <xf xxid="3028" numFmtId="0" fontId="104" fillId="22" borderId="60" xfId="0" applyAlignment="1" applyBorder="1" applyFont="1" applyNumberFormat="1" applyFill="1" applyProtection="1">
      <alignment horizontal="center" vertical="center" wrapText="1"/>
    </xf>
    <xf xxid="3029" numFmtId="0" fontId="104" fillId="22" borderId="155" xfId="0" applyAlignment="1" applyBorder="1" applyFont="1" applyNumberFormat="1" applyFill="1" applyProtection="1">
      <alignment horizontal="center" vertical="center" wrapText="1"/>
    </xf>
    <xf xxid="3030" numFmtId="174" fontId="93" fillId="6" borderId="0" xfId="0" applyAlignment="1" applyBorder="1" applyFont="1" applyNumberFormat="1" applyFill="1" applyProtection="1">
      <alignment horizontal="left" vertical="top" wrapText="1"/>
      <protection hidden="1"/>
    </xf>
    <xf xxid="3031" numFmtId="0" fontId="88" fillId="6" borderId="20" xfId="0" applyAlignment="1" applyBorder="1" applyFont="1" applyNumberFormat="1" applyFill="1" applyProtection="1">
      <alignment horizontal="left"/>
      <protection hidden="1"/>
    </xf>
    <xf xxid="3032" numFmtId="0" fontId="88" fillId="6" borderId="0" xfId="0" applyAlignment="1" applyBorder="1" applyFont="1" applyNumberFormat="1" applyFill="1" applyProtection="1">
      <alignment horizontal="center" vertical="center" wrapText="1"/>
    </xf>
    <xf xxid="3033" numFmtId="169" fontId="0" fillId="0" borderId="0" xfId="1" applyAlignment="1" applyBorder="1" applyFont="1" applyNumberFormat="1" applyFill="1" applyProtection="1">
      <alignment horizontal="center"/>
      <protection hidden="1"/>
    </xf>
    <xf xxid="3034" numFmtId="175" fontId="5" fillId="7" borderId="72" xfId="1" applyAlignment="1" applyBorder="1" applyFont="1" applyNumberFormat="1" applyFill="1" applyProtection="1">
      <alignment horizontal="center"/>
      <protection hidden="1"/>
    </xf>
    <xf xxid="3035" numFmtId="175" fontId="5" fillId="10" borderId="8" xfId="1" applyAlignment="1" applyBorder="1" applyFont="1" applyNumberFormat="1" applyFill="1" applyProtection="1">
      <alignment horizontal="center"/>
      <protection hidden="1"/>
    </xf>
    <xf xxid="3036" numFmtId="175" fontId="0" fillId="10" borderId="8" xfId="1" applyAlignment="1" applyBorder="1" applyFont="1" applyNumberFormat="1" applyFill="1" applyProtection="1">
      <alignment horizontal="center"/>
      <protection hidden="1"/>
    </xf>
    <xf xxid="3037" numFmtId="166" fontId="0" fillId="0" borderId="0" xfId="2" applyAlignment="1" applyBorder="1" applyFont="1" applyNumberFormat="1" applyFill="1" applyProtection="1">
      <alignment horizontal="center"/>
      <protection hidden="1"/>
    </xf>
    <xf xxid="3038" numFmtId="169" fontId="0" fillId="10" borderId="8" xfId="1" applyAlignment="1" applyBorder="1" applyFont="1" applyNumberFormat="1" applyFill="1" applyProtection="1">
      <alignment horizontal="center"/>
      <protection hidden="1"/>
    </xf>
    <xf xxid="3039" numFmtId="169" fontId="0" fillId="10" borderId="8" xfId="0" applyAlignment="1" applyBorder="1" applyFont="1" applyNumberFormat="1" applyFill="1" applyProtection="1">
      <alignment horizontal="center"/>
      <protection hidden="1"/>
    </xf>
    <xf xxid="3040" numFmtId="0" fontId="0" fillId="10" borderId="8" xfId="0" applyAlignment="1" applyBorder="1" applyFont="1" applyNumberFormat="1" applyFill="1" applyProtection="1">
      <alignment horizontal="center"/>
      <protection hidden="1"/>
    </xf>
    <xf xxid="3041" numFmtId="175" fontId="0" fillId="10" borderId="0" xfId="1" applyAlignment="1" applyBorder="1" applyFont="1" applyNumberFormat="1" applyFill="1" applyProtection="1">
      <alignment horizontal="center"/>
      <protection hidden="1"/>
    </xf>
    <xf xxid="3042" numFmtId="169" fontId="0" fillId="0" borderId="8" xfId="1" applyAlignment="1" applyBorder="1" applyFont="1" applyNumberFormat="1" applyFill="1" applyProtection="1">
      <alignment horizontal="center"/>
      <protection hidden="1"/>
    </xf>
    <xf xxid="3043" numFmtId="167" fontId="0" fillId="10" borderId="0" xfId="0" applyAlignment="1" applyBorder="1" applyFont="1" applyNumberFormat="1" applyFill="1" applyProtection="1">
      <alignment horizontal="center"/>
      <protection hidden="1"/>
    </xf>
    <xf xxid="3044" numFmtId="175" fontId="5" fillId="10" borderId="72" xfId="1" applyAlignment="1" applyBorder="1" applyFont="1" applyNumberFormat="1" applyFill="1" applyProtection="1">
      <alignment horizontal="center"/>
      <protection hidden="1"/>
    </xf>
    <xf xxid="3045" numFmtId="175" fontId="5" fillId="10" borderId="0" xfId="1" applyAlignment="1" applyBorder="1" applyFont="1" applyNumberFormat="1" applyFill="1" applyProtection="1">
      <alignment horizontal="center"/>
      <protection hidden="1"/>
    </xf>
    <xf xxid="3046" numFmtId="166" fontId="0" fillId="10" borderId="8" xfId="2" applyAlignment="1" applyBorder="1" applyFont="1" applyNumberFormat="1" applyFill="1" applyProtection="1">
      <alignment horizontal="center"/>
      <protection hidden="1"/>
    </xf>
    <xf xxid="3047" numFmtId="175" fontId="0" fillId="10" borderId="0" xfId="0" applyAlignment="1" applyBorder="1" applyFont="1" applyNumberFormat="1" applyFill="1" applyProtection="1">
      <alignment horizontal="center"/>
      <protection hidden="1"/>
    </xf>
    <xf xxid="3048" numFmtId="175" fontId="0" fillId="10" borderId="8" xfId="0" applyAlignment="1" applyBorder="1" applyFont="1" applyNumberFormat="1" applyFill="1" applyProtection="1">
      <alignment horizontal="center"/>
      <protection hidden="1"/>
    </xf>
    <xf xxid="3049" numFmtId="166" fontId="0" fillId="10" borderId="0" xfId="2" applyAlignment="1" applyBorder="1" applyFont="1" applyNumberFormat="1" applyFill="1" applyProtection="1">
      <alignment horizontal="center"/>
      <protection hidden="1"/>
    </xf>
    <xf xxid="3050" numFmtId="169" fontId="0" fillId="10" borderId="0" xfId="0" applyAlignment="1" applyBorder="1" applyFont="1" applyNumberFormat="1" applyFill="1" applyProtection="1">
      <alignment horizontal="center"/>
      <protection hidden="1"/>
    </xf>
    <xf xxid="3051" numFmtId="175" fontId="5" fillId="7" borderId="0" xfId="1" applyAlignment="1" applyBorder="1" applyFont="1" applyNumberFormat="1" applyFill="1" applyProtection="1">
      <alignment horizontal="center"/>
      <protection hidden="1"/>
    </xf>
    <xf xxid="3052" numFmtId="175" fontId="5" fillId="7" borderId="8" xfId="1" applyAlignment="1" applyBorder="1" applyFont="1" applyNumberFormat="1" applyFill="1" applyProtection="1">
      <alignment horizontal="center"/>
      <protection hidden="1"/>
    </xf>
    <xf xxid="3053" numFmtId="169" fontId="0" fillId="7" borderId="8" xfId="1" applyAlignment="1" applyBorder="1" applyFont="1" applyNumberFormat="1" applyFill="1" applyProtection="1">
      <alignment horizontal="center"/>
      <protection hidden="1"/>
    </xf>
    <xf xxid="3054" numFmtId="175" fontId="0" fillId="7" borderId="0" xfId="0" applyAlignment="1" applyBorder="1" applyFont="1" applyNumberFormat="1" applyFill="1" applyProtection="1">
      <alignment horizontal="center"/>
      <protection hidden="1"/>
    </xf>
    <xf xxid="3055" numFmtId="175" fontId="0" fillId="7" borderId="8" xfId="0" applyAlignment="1" applyBorder="1" applyFont="1" applyNumberFormat="1" applyFill="1" applyProtection="1">
      <alignment horizontal="center"/>
      <protection hidden="1"/>
    </xf>
    <xf xxid="3056" numFmtId="175" fontId="0" fillId="7" borderId="0" xfId="1" applyAlignment="1" applyBorder="1" applyFont="1" applyNumberFormat="1" applyFill="1" applyProtection="1">
      <alignment horizontal="center"/>
      <protection hidden="1"/>
    </xf>
    <xf xxid="3057" numFmtId="175" fontId="0" fillId="7" borderId="8" xfId="1" applyAlignment="1" applyBorder="1" applyFont="1" applyNumberFormat="1" applyFill="1" applyProtection="1">
      <alignment horizontal="center"/>
      <protection hidden="1"/>
    </xf>
    <xf xxid="3058" numFmtId="167" fontId="0" fillId="7" borderId="0" xfId="0" applyAlignment="1" applyBorder="1" applyFont="1" applyNumberFormat="1" applyFill="1" applyProtection="1">
      <alignment horizontal="center"/>
      <protection hidden="1"/>
    </xf>
    <xf xxid="3059" numFmtId="169" fontId="0" fillId="7" borderId="0" xfId="0" applyAlignment="1" applyBorder="1" applyFont="1" applyNumberFormat="1" applyFill="1" applyProtection="1">
      <alignment horizontal="center"/>
      <protection hidden="1"/>
    </xf>
    <xf xxid="3060" numFmtId="166" fontId="0" fillId="7" borderId="8" xfId="0" applyAlignment="1" applyBorder="1" applyFont="1" applyNumberFormat="1" applyFill="1" applyProtection="1">
      <alignment horizontal="center"/>
      <protection hidden="1"/>
    </xf>
    <xf xxid="3061" numFmtId="169" fontId="0" fillId="35" borderId="8" xfId="0" applyAlignment="1" applyBorder="1" applyFont="1" applyNumberFormat="1" applyFill="1" applyProtection="1">
      <alignment horizontal="center"/>
      <protection hidden="1"/>
    </xf>
    <xf xxid="3062" numFmtId="0" fontId="0" fillId="35" borderId="8" xfId="0" applyAlignment="1" applyBorder="1" applyFont="1" applyNumberFormat="1" applyFill="1" applyProtection="1">
      <alignment horizontal="center"/>
      <protection hidden="1"/>
    </xf>
    <xf xxid="3063" numFmtId="166" fontId="0" fillId="7" borderId="8" xfId="2" applyAlignment="1" applyBorder="1" applyFont="1" applyNumberFormat="1" applyFill="1" applyProtection="1">
      <alignment horizontal="center"/>
      <protection hidden="1"/>
    </xf>
    <xf xxid="3064" numFmtId="0" fontId="40" fillId="0" borderId="0" xfId="0" applyAlignment="1" applyBorder="1" applyFont="1" applyNumberFormat="1" applyFill="1" applyProtection="1">
      <alignment horizontal="center"/>
      <protection hidden="1"/>
    </xf>
    <xf xxid="3065" numFmtId="166" fontId="0" fillId="7" borderId="0" xfId="1" applyAlignment="1" applyBorder="1" applyFont="1" applyNumberFormat="1" applyFill="1" applyProtection="1">
      <alignment horizontal="center"/>
      <protection hidden="1"/>
    </xf>
    <xf xxid="3066" numFmtId="0" fontId="0" fillId="0" borderId="0" xfId="0"/>
  </cellXfs>
  <cellStyles count="31">
    <cellStyle name="Comma" xfId="1" builtinId="3"/>
    <cellStyle name="Comma [0]" xfId="2" builtinId="6"/>
    <cellStyle name="Comma [0] 2" xfId="10"/>
    <cellStyle name="Comma [0] 2 2" xfId="28"/>
    <cellStyle name="Comma [0] 3" xfId="15"/>
    <cellStyle name="Comma 2" xfId="11"/>
    <cellStyle name="Comma 2 2" xfId="19"/>
    <cellStyle name="Comma 3" xfId="20"/>
    <cellStyle name="Comma 4" xfId="23"/>
    <cellStyle name="Hyperlink 2" xfId="9"/>
    <cellStyle name="Hyperlink_1770 year 2007 for Non_ US" xfId="3"/>
    <cellStyle name="Normal" xfId="0" builtinId="0"/>
    <cellStyle name="Normal 10" xfId="25"/>
    <cellStyle name="Normal 11" xfId="26"/>
    <cellStyle name="Normal 12" xfId="27"/>
    <cellStyle name="Normal 2" xfId="8"/>
    <cellStyle name="Normal 2 2" xfId="21"/>
    <cellStyle name="Normal 3" xfId="13"/>
    <cellStyle name="Normal 3 2" xfId="16"/>
    <cellStyle name="Normal 4" xfId="12"/>
    <cellStyle name="Normal 5" xfId="14"/>
    <cellStyle name="Normal 6" xfId="17"/>
    <cellStyle name="Normal 7" xfId="18"/>
    <cellStyle name="Normal 8" xfId="22"/>
    <cellStyle name="Normal 8 2" xfId="29"/>
    <cellStyle name="Normal 9" xfId="24"/>
    <cellStyle name="Normal_1770 year 2007 for Non_ US" xfId="4"/>
    <cellStyle name="Normal_CHR - 1770S- Y2005" xfId="5"/>
    <cellStyle name="Normal_Form 1770S - 2007" xfId="6"/>
    <cellStyle name="Percent" xfId="7" builtinId="5"/>
    <cellStyle name="Hyperlink" xfId="30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5" Type="http://schemas.openxmlformats.org/officeDocument/2006/relationships/worksheet" Target="worksheets/sheet5.xml" /><Relationship Id="rId20" Type="http://schemas.openxmlformats.org/officeDocument/2006/relationships/worksheet" Target="worksheets/sheet20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11" Type="http://schemas.openxmlformats.org/officeDocument/2006/relationships/worksheet" Target="worksheets/sheet11.xml" /><Relationship Id="rId6" Type="http://schemas.openxmlformats.org/officeDocument/2006/relationships/worksheet" Target="worksheets/sheet6.xml" /><Relationship Id="rId25" Type="http://schemas.openxmlformats.org/officeDocument/2006/relationships/sharedStrings" Target="sharedStrings.xml" /><Relationship Id="rId21" Type="http://schemas.openxmlformats.org/officeDocument/2006/relationships/worksheet" Target="worksheets/sheet21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29" Type="http://schemas.openxmlformats.org/officeDocument/2006/relationships/customXml" Target="../customXml/item3.xml" /><Relationship Id="rId22" Type="http://schemas.openxmlformats.org/officeDocument/2006/relationships/worksheet" Target="worksheets/sheet22.xml" /><Relationship Id="rId17" Type="http://schemas.openxmlformats.org/officeDocument/2006/relationships/worksheet" Target="worksheets/sheet17.xml" /><Relationship Id="rId12" Type="http://schemas.openxmlformats.org/officeDocument/2006/relationships/worksheet" Target="worksheets/sheet12.xml" /><Relationship Id="rId24" Type="http://schemas.openxmlformats.org/officeDocument/2006/relationships/styles" Target="styles.xml" /><Relationship Id="rId18" Type="http://schemas.openxmlformats.org/officeDocument/2006/relationships/worksheet" Target="worksheets/sheet18.xml" /><Relationship Id="rId8" Type="http://schemas.openxmlformats.org/officeDocument/2006/relationships/worksheet" Target="worksheets/sheet8.xml" /><Relationship Id="rId23" Type="http://schemas.openxmlformats.org/officeDocument/2006/relationships/theme" Target="theme/theme1.xml" /><Relationship Id="rId28" Type="http://schemas.openxmlformats.org/officeDocument/2006/relationships/customXml" Target="../customXml/item2.xml" /><Relationship Id="rId13" Type="http://schemas.openxmlformats.org/officeDocument/2006/relationships/worksheet" Target="worksheets/sheet13.xml" /><Relationship Id="rId4" Type="http://schemas.openxmlformats.org/officeDocument/2006/relationships/worksheet" Target="worksheets/sheet4.xml" /><Relationship Id="rId19" Type="http://schemas.openxmlformats.org/officeDocument/2006/relationships/worksheet" Target="worksheets/sheet19.xml" /><Relationship Id="rId14" Type="http://schemas.openxmlformats.org/officeDocument/2006/relationships/worksheet" Target="worksheets/sheet14.xml" /><Relationship Id="rId9" Type="http://schemas.openxmlformats.org/officeDocument/2006/relationships/worksheet" Target="worksheets/sheet9.xml" /><Relationship Id="rId1" Type="http://schemas.openxmlformats.org/officeDocument/2006/relationships/worksheet" Target="worksheets/sheet1.xml" /><Relationship Id="rId27" Type="http://schemas.openxmlformats.org/officeDocument/2006/relationships/customXml" Target="../customXml/item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emf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emf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sp>
      <xdr:nvSpPr>
        <xdr:cNvPr id="1025" name="Line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15782925" y="3352800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twoCell">
    <xdr:from>
      <xdr:col>37</xdr:col>
      <xdr:colOff>0</xdr:colOff>
      <xdr:row>20</xdr:row>
      <xdr:rowOff>0</xdr:rowOff>
    </xdr:from>
    <xdr:to>
      <xdr:col>37</xdr:col>
      <xdr:colOff>0</xdr:colOff>
      <xdr:row>20</xdr:row>
      <xdr:rowOff>0</xdr:rowOff>
    </xdr:to>
    <xdr:sp>
      <xdr:nvSpPr>
        <xdr:cNvPr id="1026" name="Line 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15782925" y="5324475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twoCell">
    <xdr:from>
      <xdr:col>37</xdr:col>
      <xdr:colOff>0</xdr:colOff>
      <xdr:row>21</xdr:row>
      <xdr:rowOff>190165</xdr:rowOff>
    </xdr:from>
    <xdr:to>
      <xdr:col>37</xdr:col>
      <xdr:colOff>0</xdr:colOff>
      <xdr:row>21</xdr:row>
      <xdr:rowOff>190165</xdr:rowOff>
    </xdr:to>
    <xdr:sp>
      <xdr:nvSpPr>
        <xdr:cNvPr id="1027" name="Line 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15782925" y="5686425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twoCell">
    <xdr:from>
      <xdr:col>37</xdr:col>
      <xdr:colOff>0</xdr:colOff>
      <xdr:row>22</xdr:row>
      <xdr:rowOff>0</xdr:rowOff>
    </xdr:from>
    <xdr:to>
      <xdr:col>37</xdr:col>
      <xdr:colOff>0</xdr:colOff>
      <xdr:row>22</xdr:row>
      <xdr:rowOff>0</xdr:rowOff>
    </xdr:to>
    <xdr:sp>
      <xdr:nvSpPr>
        <xdr:cNvPr id="1028" name="Line 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15782925" y="5686425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oneCell">
    <xdr:from>
      <xdr:col>6</xdr:col>
      <xdr:colOff>85669</xdr:colOff>
      <xdr:row>1</xdr:row>
      <xdr:rowOff>66303</xdr:rowOff>
    </xdr:from>
    <xdr:to>
      <xdr:col>13</xdr:col>
      <xdr:colOff>266774</xdr:colOff>
      <xdr:row>1</xdr:row>
      <xdr:rowOff>678098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6" y="495301"/>
          <a:ext cx="2247900" cy="612128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0</xdr:colOff>
      <xdr:row>3</xdr:row>
      <xdr:rowOff>0</xdr:rowOff>
    </xdr:from>
    <xdr:to>
      <xdr:col>17</xdr:col>
      <xdr:colOff>28575</xdr:colOff>
      <xdr:row>9</xdr:row>
      <xdr:rowOff>95436</xdr:rowOff>
    </xdr:to>
    <xdr:pic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71500"/>
          <a:ext cx="6124575" cy="12382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0</xdr:colOff>
      <xdr:row>3</xdr:row>
      <xdr:rowOff>0</xdr:rowOff>
    </xdr:from>
    <xdr:to>
      <xdr:col>17</xdr:col>
      <xdr:colOff>28575</xdr:colOff>
      <xdr:row>9</xdr:row>
      <xdr:rowOff>95436</xdr:rowOff>
    </xdr:to>
    <xdr:pic>
      <xdr:nvPicPr>
        <xdr:cNvPr id="3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95300"/>
          <a:ext cx="1047750" cy="838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0</xdr:colOff>
      <xdr:row>3</xdr:row>
      <xdr:rowOff>0</xdr:rowOff>
    </xdr:from>
    <xdr:to>
      <xdr:col>17</xdr:col>
      <xdr:colOff>28575</xdr:colOff>
      <xdr:row>9</xdr:row>
      <xdr:rowOff>95436</xdr:rowOff>
    </xdr:to>
    <xdr:pic>
      <xdr:nvPicPr>
        <xdr:cNvPr id="4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95300"/>
          <a:ext cx="1047750" cy="838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2.bin" /></Relationships>
</file>

<file path=xl/worksheets/_rels/sheet14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3.xml" /><Relationship Id="rId1" Type="http://schemas.openxmlformats.org/officeDocument/2006/relationships/printerSettings" Target="../printerSettings/printerSettings13.bin" /></Relationships>
</file>

<file path=xl/worksheets/_rels/sheet15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4.xml" /><Relationship Id="rId1" Type="http://schemas.openxmlformats.org/officeDocument/2006/relationships/printerSettings" Target="../printerSettings/printerSettings14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</sheetPr>
  <dimension ref="A1:BC239"/>
  <sheetViews>
    <sheetView showGridLines="0" zoomScaleSheetLayoutView="100" view="pageBreakPreview" workbookViewId="0">
      <selection pane="topLeft" activeCell="A1" sqref="A1"/>
    </sheetView>
  </sheetViews>
  <sheetFormatPr defaultColWidth="8.99609375" defaultRowHeight="12.75" baseColWidth="0"/>
  <cols>
    <col min="1" max="1" width="3.99609375" style="237" customWidth="1"/>
    <col min="2" max="2" width="4.28125" style="237" customWidth="1"/>
    <col min="3" max="3" width="29.99609375" style="237" customWidth="1"/>
    <col min="4" max="5" width="2.99609375" style="237" customWidth="1"/>
    <col min="6" max="27" width="4.28125" style="237" customWidth="1"/>
    <col min="28" max="28" width="8.99609375" style="237" customWidth="1"/>
    <col min="29" max="29" width="19.56640625" style="237" bestFit="1" customWidth="1"/>
    <col min="30" max="30" width="9.99609375" style="237" bestFit="1" customWidth="1"/>
    <col min="31" max="31" width="8.99609375" style="237" customWidth="1"/>
    <col min="32" max="32" width="2.99609375" style="237" customWidth="1"/>
    <col min="33" max="16384" width="8.99609375" style="237" customWidth="1"/>
  </cols>
  <sheetData>
    <row r="1" spans="1:29" ht="33" customHeight="1">
      <c r="A1" s="1611" t="s">
        <v>290</v>
      </c>
      <c r="B1" s="1611"/>
      <c r="C1" s="1611"/>
      <c r="D1" s="1611"/>
      <c r="E1" s="1611"/>
      <c r="F1" s="1611"/>
      <c r="G1" s="1611"/>
      <c r="H1" s="1611"/>
      <c r="I1" s="1611"/>
      <c r="J1" s="1611"/>
      <c r="K1" s="1611"/>
      <c r="L1" s="1611"/>
      <c r="M1" s="1611"/>
      <c r="N1" s="1611"/>
      <c r="O1" s="1611"/>
      <c r="P1" s="1611"/>
      <c r="Q1" s="1611"/>
      <c r="R1" s="1611"/>
      <c r="S1" s="1611"/>
      <c r="T1" s="1611"/>
      <c r="U1" s="1611"/>
      <c r="V1" s="1611"/>
      <c r="W1" s="1611"/>
      <c r="X1" s="1611"/>
      <c r="Y1" s="1611"/>
      <c r="Z1" s="1611"/>
      <c r="AB1" s="237"/>
      <c r="AC1" s="237" t="s">
        <v>1345</v>
      </c>
    </row>
    <row r="2" spans="1:28" ht="60.75" customHeight="1">
      <c r="A2" s="757"/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757"/>
      <c r="N2" s="757"/>
      <c r="O2" s="757"/>
      <c r="P2" s="757"/>
      <c r="Q2" s="757"/>
      <c r="R2" s="757"/>
      <c r="S2" s="757"/>
      <c r="T2" s="757"/>
      <c r="U2" s="757"/>
      <c r="V2" s="757"/>
      <c r="W2" s="757"/>
      <c r="X2" s="757"/>
      <c r="Y2" s="757"/>
      <c r="Z2" s="757"/>
      <c r="AB2" s="237"/>
    </row>
    <row r="3" spans="1:27" s="423" customFormat="1" ht="18" customHeight="1">
      <c r="A3" s="754" t="s">
        <v>705</v>
      </c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423"/>
    </row>
    <row r="4" spans="1:28" customHeight="1">
      <c r="A4" s="756"/>
      <c r="B4" s="757"/>
      <c r="C4" s="757"/>
      <c r="D4" s="757"/>
      <c r="E4" s="757"/>
      <c r="F4" s="757"/>
      <c r="G4" s="757"/>
      <c r="H4" s="757"/>
      <c r="I4" s="757"/>
      <c r="J4" s="757"/>
      <c r="K4" s="758"/>
      <c r="L4" s="757"/>
      <c r="M4" s="757"/>
      <c r="N4" s="757"/>
      <c r="O4" s="757"/>
      <c r="P4" s="757"/>
      <c r="Q4" s="757"/>
      <c r="R4" s="757"/>
      <c r="S4" s="757"/>
      <c r="T4" s="757"/>
      <c r="U4" s="757"/>
      <c r="V4" s="757"/>
      <c r="W4" s="757"/>
      <c r="X4" s="757"/>
      <c r="Y4" s="757"/>
      <c r="Z4" s="757"/>
      <c r="AB4" s="237"/>
    </row>
    <row r="5" spans="1:29" ht="13.5" customHeight="1" thickBot="1">
      <c r="A5" s="759">
        <v>1</v>
      </c>
      <c r="B5" s="759" t="s">
        <v>707</v>
      </c>
      <c r="C5" s="759"/>
      <c r="D5" s="759"/>
      <c r="E5" s="759"/>
      <c r="F5" s="759"/>
      <c r="G5" s="759"/>
      <c r="H5" s="759"/>
      <c r="I5" s="759"/>
      <c r="J5" s="760" t="s">
        <v>26</v>
      </c>
      <c r="K5" s="761"/>
      <c r="L5" s="760"/>
      <c r="M5" s="757"/>
      <c r="N5" s="759"/>
      <c r="O5" s="1634"/>
      <c r="P5" s="1634"/>
      <c r="Q5" s="1634"/>
      <c r="R5" s="1634"/>
      <c r="S5" s="1634"/>
      <c r="T5" s="762"/>
      <c r="U5" s="762"/>
      <c r="V5" s="762"/>
      <c r="W5" s="762"/>
      <c r="X5" s="762"/>
      <c r="Y5" s="762"/>
      <c r="Z5" s="762"/>
      <c r="AA5" s="431"/>
      <c r="AB5" s="431"/>
      <c r="AC5" s="431"/>
    </row>
    <row r="6" spans="1:31" ht="13.5" customHeight="1" thickTop="1" thickBot="1">
      <c r="A6" s="759"/>
      <c r="B6" s="759" t="s">
        <v>308</v>
      </c>
      <c r="C6" s="759" t="s">
        <v>706</v>
      </c>
      <c r="D6" s="759"/>
      <c r="E6" s="759"/>
      <c r="F6" s="759"/>
      <c r="G6" s="759"/>
      <c r="H6" s="759"/>
      <c r="I6" s="759"/>
      <c r="J6" s="760" t="s">
        <v>26</v>
      </c>
      <c r="K6" s="422" t="s">
        <v>296</v>
      </c>
      <c r="L6" s="760" t="str">
        <f>IF(K6="X","YES","NO")</f>
        <v>YES</v>
      </c>
      <c r="M6" s="757"/>
      <c r="N6" s="757"/>
      <c r="O6" s="757"/>
      <c r="P6" s="757"/>
      <c r="Q6" s="757"/>
      <c r="R6" s="757"/>
      <c r="S6" s="757"/>
      <c r="T6" s="757"/>
      <c r="U6" s="757"/>
      <c r="V6" s="757"/>
      <c r="W6" s="757"/>
      <c r="X6" s="757"/>
      <c r="Y6" s="757"/>
      <c r="Z6" s="757"/>
      <c r="AB6" s="237"/>
      <c r="AE6" s="237" t="s">
        <v>295</v>
      </c>
    </row>
    <row r="7" spans="1:28" ht="15" customHeight="1" thickTop="1">
      <c r="A7" s="759"/>
      <c r="B7" s="759"/>
      <c r="C7" s="759" t="s">
        <v>991</v>
      </c>
      <c r="D7" s="759"/>
      <c r="E7" s="759"/>
      <c r="F7" s="759"/>
      <c r="G7" s="759"/>
      <c r="H7" s="759"/>
      <c r="I7" s="759"/>
      <c r="J7" s="759"/>
      <c r="K7" s="759"/>
      <c r="L7" s="759"/>
      <c r="M7" s="759"/>
      <c r="N7" s="759"/>
      <c r="O7" s="757"/>
      <c r="P7" s="757"/>
      <c r="Q7" s="757"/>
      <c r="R7" s="757"/>
      <c r="S7" s="757"/>
      <c r="T7" s="757"/>
      <c r="U7" s="757"/>
      <c r="V7" s="757"/>
      <c r="W7" s="757"/>
      <c r="X7" s="757"/>
      <c r="Y7" s="757"/>
      <c r="Z7" s="757"/>
      <c r="AB7" s="237"/>
    </row>
    <row r="8" spans="1:28" ht="5.25" customHeight="1">
      <c r="A8" s="757"/>
      <c r="B8" s="757"/>
      <c r="C8" s="1017"/>
      <c r="D8" s="757"/>
      <c r="E8" s="757"/>
      <c r="F8" s="763"/>
      <c r="G8" s="763"/>
      <c r="H8" s="763"/>
      <c r="I8" s="757"/>
      <c r="J8" s="757"/>
      <c r="K8" s="764"/>
      <c r="L8" s="757"/>
      <c r="M8" s="757"/>
      <c r="N8" s="757"/>
      <c r="O8" s="757"/>
      <c r="P8" s="757"/>
      <c r="Q8" s="757"/>
      <c r="R8" s="757"/>
      <c r="S8" s="757"/>
      <c r="T8" s="757"/>
      <c r="U8" s="757"/>
      <c r="V8" s="757"/>
      <c r="W8" s="757"/>
      <c r="X8" s="757"/>
      <c r="Y8" s="757"/>
      <c r="Z8" s="757"/>
      <c r="AB8" s="237"/>
    </row>
    <row r="9" spans="1:28" customHeight="1" thickBot="1">
      <c r="A9" s="759"/>
      <c r="B9" s="759"/>
      <c r="C9" s="759"/>
      <c r="D9" s="759"/>
      <c r="E9" s="759"/>
      <c r="F9" s="759"/>
      <c r="G9" s="759"/>
      <c r="H9" s="759"/>
      <c r="I9" s="759"/>
      <c r="J9" s="759"/>
      <c r="K9" s="759"/>
      <c r="L9" s="759"/>
      <c r="M9" s="757"/>
      <c r="N9" s="757"/>
      <c r="O9" s="757"/>
      <c r="P9" s="757"/>
      <c r="Q9" s="757"/>
      <c r="R9" s="757"/>
      <c r="S9" s="757"/>
      <c r="T9" s="757"/>
      <c r="U9" s="757"/>
      <c r="V9" s="757"/>
      <c r="W9" s="757"/>
      <c r="X9" s="757"/>
      <c r="Y9" s="757"/>
      <c r="Z9" s="757"/>
      <c r="AB9" s="237"/>
    </row>
    <row r="10" spans="1:28" ht="15" customHeight="1" thickTop="1" thickBot="1">
      <c r="A10" s="759">
        <v>2</v>
      </c>
      <c r="B10" s="759" t="s">
        <v>708</v>
      </c>
      <c r="C10" s="759"/>
      <c r="D10" s="759"/>
      <c r="E10" s="759"/>
      <c r="F10" s="759"/>
      <c r="G10" s="759"/>
      <c r="H10" s="759"/>
      <c r="I10" s="759"/>
      <c r="J10" s="759" t="s">
        <v>26</v>
      </c>
      <c r="K10" s="422"/>
      <c r="L10" s="759" t="str">
        <f>IF(K10="X","YES","NO")</f>
        <v>NO</v>
      </c>
      <c r="M10" s="757"/>
      <c r="N10" s="757"/>
      <c r="O10" s="757"/>
      <c r="P10" s="757"/>
      <c r="Q10" s="757"/>
      <c r="R10" s="757"/>
      <c r="S10" s="757"/>
      <c r="T10" s="757"/>
      <c r="U10" s="757"/>
      <c r="V10" s="757"/>
      <c r="W10" s="757"/>
      <c r="X10" s="757"/>
      <c r="Y10" s="757"/>
      <c r="Z10" s="757"/>
      <c r="AB10" s="237"/>
    </row>
    <row r="11" spans="1:28" ht="15" customHeight="1" thickTop="1">
      <c r="A11" s="759"/>
      <c r="B11" s="759"/>
      <c r="C11" s="759"/>
      <c r="D11" s="759"/>
      <c r="E11" s="759"/>
      <c r="F11" s="759"/>
      <c r="G11" s="759"/>
      <c r="H11" s="759"/>
      <c r="I11" s="759"/>
      <c r="J11" s="759"/>
      <c r="K11" s="759"/>
      <c r="L11" s="759"/>
      <c r="M11" s="759"/>
      <c r="N11" s="757"/>
      <c r="O11" s="757"/>
      <c r="P11" s="757"/>
      <c r="Q11" s="757"/>
      <c r="R11" s="757"/>
      <c r="S11" s="757"/>
      <c r="T11" s="757"/>
      <c r="U11" s="757"/>
      <c r="V11" s="757"/>
      <c r="W11" s="757"/>
      <c r="X11" s="757"/>
      <c r="Y11" s="757"/>
      <c r="Z11" s="757"/>
      <c r="AB11" s="237"/>
    </row>
    <row r="12" spans="1:27" s="423" customFormat="1" ht="18" customHeight="1">
      <c r="A12" s="754" t="s">
        <v>291</v>
      </c>
      <c r="B12" s="755"/>
      <c r="C12" s="755"/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423"/>
    </row>
    <row r="13" spans="1:28" ht="13.5" customHeight="1" thickBot="1">
      <c r="A13" s="765"/>
      <c r="B13" s="765"/>
      <c r="C13" s="765"/>
      <c r="D13" s="765"/>
      <c r="E13" s="765"/>
      <c r="F13" s="765"/>
      <c r="G13" s="765"/>
      <c r="H13" s="765"/>
      <c r="I13" s="765"/>
      <c r="J13" s="765"/>
      <c r="K13" s="765"/>
      <c r="L13" s="765"/>
      <c r="M13" s="765"/>
      <c r="N13" s="765"/>
      <c r="O13" s="765"/>
      <c r="P13" s="765"/>
      <c r="Q13" s="765"/>
      <c r="R13" s="765"/>
      <c r="S13" s="765"/>
      <c r="T13" s="765"/>
      <c r="U13" s="765"/>
      <c r="V13" s="765"/>
      <c r="W13" s="765"/>
      <c r="X13" s="765"/>
      <c r="Y13" s="765"/>
      <c r="Z13" s="765"/>
      <c r="AA13" s="238"/>
      <c r="AB13" s="238"/>
    </row>
    <row r="14" spans="1:34" ht="14.25" customHeight="1" thickTop="1" thickBot="1">
      <c r="A14" s="766"/>
      <c r="B14" s="767" t="s">
        <v>181</v>
      </c>
      <c r="C14" s="768"/>
      <c r="D14" s="769"/>
      <c r="E14" s="768"/>
      <c r="F14" s="766" t="s">
        <v>26</v>
      </c>
      <c r="G14" s="1554" t="s">
        <v>1361</v>
      </c>
      <c r="H14" s="1555"/>
      <c r="I14" s="1555"/>
      <c r="J14" s="1555"/>
      <c r="K14" s="1555"/>
      <c r="L14" s="1555"/>
      <c r="M14" s="1555"/>
      <c r="N14" s="1555"/>
      <c r="O14" s="1555"/>
      <c r="P14" s="1555"/>
      <c r="Q14" s="1555"/>
      <c r="R14" s="1555"/>
      <c r="S14" s="1555"/>
      <c r="T14" s="1555"/>
      <c r="U14" s="1555"/>
      <c r="V14" s="1556"/>
      <c r="W14" s="1000"/>
      <c r="X14" s="769" t="s">
        <v>295</v>
      </c>
      <c r="Y14" s="769" t="s">
        <v>295</v>
      </c>
      <c r="Z14" s="769" t="s">
        <v>295</v>
      </c>
      <c r="AA14" s="238"/>
      <c r="AB14" s="238"/>
      <c r="AC14" s="239" t="s">
        <v>25</v>
      </c>
      <c r="AD14" s="239" t="str">
        <f>CONCATENATE(MID(npwp01,1,2),".",MID(npwp01,3,3),".",MID(npwp01,6,3),".",MID(npwp01,9,1),"-",MID(npwp01,10,3),".",MID(npwp01,13,3))</f>
        <v>...-.</v>
      </c>
      <c r="AE14" s="239"/>
      <c r="AG14" s="237" t="s">
        <v>292</v>
      </c>
      <c r="AH14" s="237">
        <f>npwp01</f>
        <v>0</v>
      </c>
    </row>
    <row r="15" spans="1:31" ht="14.25" customHeight="1" thickTop="1" thickBot="1">
      <c r="A15" s="766"/>
      <c r="B15" s="767"/>
      <c r="C15" s="768"/>
      <c r="D15" s="769"/>
      <c r="E15" s="768"/>
      <c r="F15" s="766"/>
      <c r="G15" s="769"/>
      <c r="H15" s="769"/>
      <c r="I15" s="769"/>
      <c r="J15" s="769"/>
      <c r="K15" s="769"/>
      <c r="L15" s="769"/>
      <c r="M15" s="769"/>
      <c r="N15" s="769"/>
      <c r="O15" s="769"/>
      <c r="P15" s="769"/>
      <c r="Q15" s="769"/>
      <c r="R15" s="769"/>
      <c r="S15" s="769"/>
      <c r="T15" s="769"/>
      <c r="U15" s="769"/>
      <c r="V15" s="769"/>
      <c r="W15" s="769"/>
      <c r="X15" s="769"/>
      <c r="Y15" s="769"/>
      <c r="Z15" s="769"/>
      <c r="AA15" s="238"/>
      <c r="AB15" s="238"/>
      <c r="AC15" s="239" t="s">
        <v>316</v>
      </c>
      <c r="AD15" s="240">
        <f>name01</f>
        <v>0</v>
      </c>
      <c r="AE15" s="239"/>
    </row>
    <row r="16" spans="1:31" ht="14.25" customHeight="1" thickTop="1" thickBot="1">
      <c r="A16" s="766">
        <v>2</v>
      </c>
      <c r="B16" s="767" t="s">
        <v>293</v>
      </c>
      <c r="C16" s="768"/>
      <c r="D16" s="769"/>
      <c r="E16" s="768" t="s">
        <v>294</v>
      </c>
      <c r="F16" s="766" t="s">
        <v>26</v>
      </c>
      <c r="G16" s="1557" t="s">
        <v>1362</v>
      </c>
      <c r="H16" s="1558"/>
      <c r="I16" s="1558"/>
      <c r="J16" s="1558"/>
      <c r="K16" s="1558"/>
      <c r="L16" s="1558"/>
      <c r="M16" s="1558"/>
      <c r="N16" s="1558"/>
      <c r="O16" s="1558"/>
      <c r="P16" s="1558"/>
      <c r="Q16" s="1558"/>
      <c r="R16" s="1558"/>
      <c r="S16" s="1558"/>
      <c r="T16" s="1558"/>
      <c r="U16" s="1558"/>
      <c r="V16" s="1559"/>
      <c r="W16" s="1000"/>
      <c r="X16" s="769"/>
      <c r="Y16" s="769"/>
      <c r="Z16" s="769"/>
      <c r="AA16" s="238"/>
      <c r="AB16" s="238"/>
      <c r="AC16" s="239"/>
      <c r="AD16" s="239"/>
      <c r="AE16" s="239"/>
    </row>
    <row r="17" spans="1:31" ht="14.25" customHeight="1" thickTop="1" thickBot="1">
      <c r="A17" s="766"/>
      <c r="B17" s="767"/>
      <c r="C17" s="768"/>
      <c r="D17" s="769"/>
      <c r="E17" s="768" t="s">
        <v>295</v>
      </c>
      <c r="F17" s="766"/>
      <c r="G17" s="766"/>
      <c r="H17" s="766"/>
      <c r="I17" s="766"/>
      <c r="J17" s="766"/>
      <c r="K17" s="766"/>
      <c r="L17" s="766"/>
      <c r="M17" s="766"/>
      <c r="N17" s="766"/>
      <c r="O17" s="766"/>
      <c r="P17" s="766"/>
      <c r="Q17" s="766"/>
      <c r="R17" s="766"/>
      <c r="S17" s="766"/>
      <c r="T17" s="766" t="s">
        <v>295</v>
      </c>
      <c r="U17" s="766"/>
      <c r="V17" s="766"/>
      <c r="W17" s="766"/>
      <c r="X17" s="766"/>
      <c r="Y17" s="766"/>
      <c r="Z17" s="766"/>
      <c r="AA17" s="238"/>
      <c r="AB17" s="238"/>
      <c r="AC17" s="239"/>
      <c r="AD17" s="239"/>
      <c r="AE17" s="239"/>
    </row>
    <row r="18" spans="1:31" ht="14.25" customHeight="1" thickTop="1" thickBot="1">
      <c r="A18" s="766">
        <v>3</v>
      </c>
      <c r="B18" s="767" t="s">
        <v>183</v>
      </c>
      <c r="C18" s="768"/>
      <c r="D18" s="768"/>
      <c r="E18" s="768"/>
      <c r="F18" s="766" t="s">
        <v>26</v>
      </c>
      <c r="G18" s="1557" t="s">
        <v>1363</v>
      </c>
      <c r="H18" s="1558"/>
      <c r="I18" s="1558"/>
      <c r="J18" s="1558"/>
      <c r="K18" s="1558"/>
      <c r="L18" s="1558"/>
      <c r="M18" s="1558"/>
      <c r="N18" s="1558"/>
      <c r="O18" s="1558"/>
      <c r="P18" s="1558"/>
      <c r="Q18" s="1558"/>
      <c r="R18" s="1558"/>
      <c r="S18" s="1558"/>
      <c r="T18" s="1558"/>
      <c r="U18" s="1558"/>
      <c r="V18" s="1559"/>
      <c r="W18" s="1000" t="s">
        <v>295</v>
      </c>
      <c r="X18" s="769" t="s">
        <v>295</v>
      </c>
      <c r="Y18" s="769" t="s">
        <v>295</v>
      </c>
      <c r="Z18" s="769" t="s">
        <v>295</v>
      </c>
      <c r="AA18" s="238" t="s">
        <v>294</v>
      </c>
      <c r="AB18" s="238"/>
      <c r="AC18" s="239"/>
      <c r="AD18" s="239"/>
      <c r="AE18" s="239"/>
    </row>
    <row r="19" spans="1:31" ht="14.25" customHeight="1" thickTop="1" thickBot="1">
      <c r="A19" s="766"/>
      <c r="B19" s="767"/>
      <c r="C19" s="768"/>
      <c r="D19" s="768"/>
      <c r="E19" s="768"/>
      <c r="F19" s="766"/>
      <c r="G19" s="769"/>
      <c r="H19" s="769"/>
      <c r="I19" s="769"/>
      <c r="J19" s="769"/>
      <c r="K19" s="769"/>
      <c r="L19" s="769"/>
      <c r="M19" s="769"/>
      <c r="N19" s="769"/>
      <c r="O19" s="769"/>
      <c r="P19" s="769"/>
      <c r="Q19" s="769"/>
      <c r="R19" s="769"/>
      <c r="S19" s="769"/>
      <c r="T19" s="769"/>
      <c r="U19" s="769"/>
      <c r="V19" s="769"/>
      <c r="W19" s="769"/>
      <c r="X19" s="769"/>
      <c r="Y19" s="769"/>
      <c r="Z19" s="769"/>
      <c r="AA19" s="238"/>
      <c r="AB19" s="238"/>
      <c r="AC19" s="239"/>
      <c r="AD19" s="239"/>
      <c r="AE19" s="239"/>
    </row>
    <row r="20" spans="1:31" ht="14.25" customHeight="1" thickTop="1" thickBot="1">
      <c r="A20" s="766">
        <v>4</v>
      </c>
      <c r="B20" s="767" t="s">
        <v>353</v>
      </c>
      <c r="C20" s="768"/>
      <c r="D20" s="768"/>
      <c r="E20" s="768"/>
      <c r="F20" s="766" t="s">
        <v>26</v>
      </c>
      <c r="G20" s="1554" t="s">
        <v>1008</v>
      </c>
      <c r="H20" s="1555"/>
      <c r="I20" s="1556"/>
      <c r="J20" s="990"/>
      <c r="K20" s="1554" t="s">
        <v>1364</v>
      </c>
      <c r="L20" s="1555"/>
      <c r="M20" s="1555"/>
      <c r="N20" s="1555"/>
      <c r="O20" s="1555"/>
      <c r="P20" s="1555"/>
      <c r="Q20" s="1555"/>
      <c r="R20" s="1555"/>
      <c r="S20" s="1556"/>
      <c r="T20" s="769"/>
      <c r="U20" s="769"/>
      <c r="V20" s="769"/>
      <c r="W20" s="769"/>
      <c r="X20" s="769"/>
      <c r="Y20" s="769"/>
      <c r="Z20" s="769"/>
      <c r="AA20" s="238"/>
      <c r="AB20" s="238"/>
      <c r="AC20" s="239" t="s">
        <v>353</v>
      </c>
      <c r="AD20" s="239">
        <f>phone01&amp;phone02</f>
        <v>0</v>
      </c>
      <c r="AE20" s="239"/>
    </row>
    <row r="21" spans="1:31" ht="14.25" customHeight="1" thickTop="1" thickBot="1">
      <c r="A21" s="766"/>
      <c r="B21" s="767"/>
      <c r="C21" s="768"/>
      <c r="D21" s="768"/>
      <c r="E21" s="768"/>
      <c r="F21" s="768"/>
      <c r="G21" s="769"/>
      <c r="H21" s="769"/>
      <c r="I21" s="769"/>
      <c r="J21" s="769"/>
      <c r="K21" s="769"/>
      <c r="L21" s="769"/>
      <c r="M21" s="769"/>
      <c r="N21" s="769"/>
      <c r="O21" s="769"/>
      <c r="P21" s="769"/>
      <c r="Q21" s="769"/>
      <c r="R21" s="769"/>
      <c r="S21" s="769"/>
      <c r="T21" s="769"/>
      <c r="U21" s="769"/>
      <c r="V21" s="769"/>
      <c r="W21" s="769"/>
      <c r="X21" s="769"/>
      <c r="Y21" s="769"/>
      <c r="Z21" s="769"/>
      <c r="AA21" s="238"/>
      <c r="AB21" s="238"/>
      <c r="AC21" s="239"/>
      <c r="AD21" s="239"/>
      <c r="AE21" s="239"/>
    </row>
    <row r="22" spans="1:31" ht="14.25" customHeight="1" thickTop="1" thickBot="1">
      <c r="A22" s="766">
        <v>5</v>
      </c>
      <c r="B22" s="767" t="s">
        <v>240</v>
      </c>
      <c r="C22" s="768"/>
      <c r="D22" s="768"/>
      <c r="E22" s="768"/>
      <c r="F22" s="766" t="s">
        <v>26</v>
      </c>
      <c r="G22" s="1554"/>
      <c r="H22" s="1555"/>
      <c r="I22" s="1556"/>
      <c r="J22" s="990"/>
      <c r="K22" s="1554"/>
      <c r="L22" s="1555"/>
      <c r="M22" s="1555"/>
      <c r="N22" s="1555"/>
      <c r="O22" s="1555"/>
      <c r="P22" s="1555"/>
      <c r="Q22" s="1555"/>
      <c r="R22" s="1555"/>
      <c r="S22" s="1556"/>
      <c r="T22" s="769"/>
      <c r="U22" s="769"/>
      <c r="V22" s="766"/>
      <c r="W22" s="766"/>
      <c r="X22" s="766"/>
      <c r="Y22" s="766"/>
      <c r="Z22" s="766"/>
      <c r="AA22" s="238"/>
      <c r="AB22" s="238"/>
      <c r="AC22" s="239" t="s">
        <v>240</v>
      </c>
      <c r="AD22" s="239">
        <f>faxNo01&amp;faxNo02</f>
        <v>0</v>
      </c>
      <c r="AE22" s="239"/>
    </row>
    <row r="23" spans="1:31" ht="14.25" customHeight="1" thickTop="1" thickBot="1">
      <c r="A23" s="766"/>
      <c r="B23" s="767"/>
      <c r="C23" s="768"/>
      <c r="D23" s="769"/>
      <c r="E23" s="768"/>
      <c r="F23" s="768"/>
      <c r="G23" s="768"/>
      <c r="H23" s="768"/>
      <c r="I23" s="768"/>
      <c r="J23" s="768"/>
      <c r="K23" s="768"/>
      <c r="L23" s="768"/>
      <c r="M23" s="768"/>
      <c r="N23" s="768"/>
      <c r="O23" s="768"/>
      <c r="P23" s="768"/>
      <c r="Q23" s="767"/>
      <c r="R23" s="767"/>
      <c r="S23" s="767"/>
      <c r="T23" s="767"/>
      <c r="U23" s="767"/>
      <c r="V23" s="767"/>
      <c r="W23" s="769"/>
      <c r="X23" s="767"/>
      <c r="Y23" s="767"/>
      <c r="Z23" s="767"/>
      <c r="AA23" s="238"/>
      <c r="AB23" s="238"/>
      <c r="AC23" s="239"/>
      <c r="AD23" s="239"/>
      <c r="AE23" s="239"/>
    </row>
    <row r="24" spans="1:31" ht="14.25" customHeight="1" thickTop="1" thickBot="1">
      <c r="A24" s="766">
        <v>6</v>
      </c>
      <c r="B24" s="767" t="s">
        <v>824</v>
      </c>
      <c r="C24" s="768"/>
      <c r="D24" s="769"/>
      <c r="E24" s="768"/>
      <c r="F24" s="766" t="s">
        <v>26</v>
      </c>
      <c r="G24" s="240" t="s">
        <v>808</v>
      </c>
      <c r="H24" s="768"/>
      <c r="I24" s="768"/>
      <c r="J24" s="768"/>
      <c r="K24" s="768"/>
      <c r="L24" s="768"/>
      <c r="M24" s="768"/>
      <c r="N24" s="768"/>
      <c r="O24" s="768"/>
      <c r="P24" s="768"/>
      <c r="Q24" s="767"/>
      <c r="R24" s="767"/>
      <c r="S24" s="767"/>
      <c r="T24" s="767"/>
      <c r="U24" s="767"/>
      <c r="V24" s="767"/>
      <c r="W24" s="769"/>
      <c r="X24" s="767"/>
      <c r="Y24" s="767"/>
      <c r="Z24" s="767"/>
      <c r="AA24" s="238"/>
      <c r="AB24" s="238"/>
      <c r="AC24" s="239"/>
      <c r="AD24" s="239"/>
      <c r="AE24" s="239"/>
    </row>
    <row r="25" spans="1:31" ht="14.25" customHeight="1" thickTop="1" thickBot="1">
      <c r="A25" s="766"/>
      <c r="B25" s="767"/>
      <c r="C25" s="768"/>
      <c r="D25" s="769"/>
      <c r="E25" s="768"/>
      <c r="F25" s="768"/>
      <c r="G25" s="768"/>
      <c r="H25" s="768"/>
      <c r="I25" s="768"/>
      <c r="J25" s="768"/>
      <c r="K25" s="768"/>
      <c r="L25" s="768"/>
      <c r="M25" s="768"/>
      <c r="N25" s="768"/>
      <c r="O25" s="768"/>
      <c r="P25" s="768"/>
      <c r="Q25" s="767"/>
      <c r="R25" s="767"/>
      <c r="S25" s="767"/>
      <c r="T25" s="767"/>
      <c r="U25" s="767"/>
      <c r="V25" s="767"/>
      <c r="W25" s="769"/>
      <c r="X25" s="767"/>
      <c r="Y25" s="767"/>
      <c r="Z25" s="767"/>
      <c r="AA25" s="238"/>
      <c r="AB25" s="238"/>
      <c r="AC25" s="239"/>
      <c r="AD25" s="239"/>
      <c r="AE25" s="239"/>
    </row>
    <row r="26" spans="1:31" ht="14.25" customHeight="1" thickTop="1" thickBot="1">
      <c r="A26" s="766">
        <v>7</v>
      </c>
      <c r="B26" s="772" t="s">
        <v>825</v>
      </c>
      <c r="C26" s="772"/>
      <c r="D26" s="772"/>
      <c r="E26" s="772"/>
      <c r="F26" s="766" t="s">
        <v>26</v>
      </c>
      <c r="G26" s="1554"/>
      <c r="H26" s="1555"/>
      <c r="I26" s="1555"/>
      <c r="J26" s="1555"/>
      <c r="K26" s="1555"/>
      <c r="L26" s="1555"/>
      <c r="M26" s="1555"/>
      <c r="N26" s="1555"/>
      <c r="O26" s="1555"/>
      <c r="P26" s="1555"/>
      <c r="Q26" s="1555"/>
      <c r="R26" s="1555"/>
      <c r="S26" s="1555"/>
      <c r="T26" s="1555"/>
      <c r="U26" s="1555"/>
      <c r="V26" s="1556"/>
      <c r="W26" s="769"/>
      <c r="X26" s="767" t="s">
        <v>295</v>
      </c>
      <c r="Y26" s="767" t="s">
        <v>295</v>
      </c>
      <c r="Z26" s="767" t="s">
        <v>295</v>
      </c>
      <c r="AA26" s="238"/>
      <c r="AB26" s="238"/>
      <c r="AC26" s="239"/>
      <c r="AD26" s="239"/>
      <c r="AE26" s="239"/>
    </row>
    <row r="27" spans="1:31" ht="13.5" customHeight="1" thickTop="1">
      <c r="A27" s="765"/>
      <c r="B27" s="772"/>
      <c r="C27" s="772"/>
      <c r="D27" s="772"/>
      <c r="E27" s="772"/>
      <c r="F27" s="768"/>
      <c r="G27" s="768"/>
      <c r="H27" s="767"/>
      <c r="I27" s="768"/>
      <c r="J27" s="768"/>
      <c r="K27" s="768"/>
      <c r="L27" s="768"/>
      <c r="M27" s="768"/>
      <c r="N27" s="768"/>
      <c r="O27" s="768"/>
      <c r="P27" s="768"/>
      <c r="Q27" s="765"/>
      <c r="R27" s="765"/>
      <c r="S27" s="765"/>
      <c r="T27" s="765"/>
      <c r="U27" s="765"/>
      <c r="V27" s="765"/>
      <c r="W27" s="765"/>
      <c r="X27" s="765"/>
      <c r="Y27" s="765"/>
      <c r="Z27" s="765"/>
      <c r="AA27" s="238"/>
      <c r="AB27" s="238"/>
      <c r="AC27" s="239"/>
      <c r="AD27" s="239"/>
      <c r="AE27" s="239"/>
    </row>
    <row r="28" spans="1:31" ht="13.5" customHeight="1">
      <c r="A28" s="765"/>
      <c r="B28" s="772"/>
      <c r="C28" s="772"/>
      <c r="D28" s="772"/>
      <c r="E28" s="772"/>
      <c r="F28" s="768"/>
      <c r="G28" s="768"/>
      <c r="H28" s="767"/>
      <c r="I28" s="768"/>
      <c r="J28" s="768"/>
      <c r="K28" s="768"/>
      <c r="L28" s="768"/>
      <c r="M28" s="768"/>
      <c r="N28" s="768"/>
      <c r="O28" s="768"/>
      <c r="P28" s="768"/>
      <c r="Q28" s="765"/>
      <c r="R28" s="765"/>
      <c r="S28" s="765"/>
      <c r="T28" s="765"/>
      <c r="U28" s="765"/>
      <c r="V28" s="765"/>
      <c r="W28" s="765"/>
      <c r="X28" s="765"/>
      <c r="Y28" s="765"/>
      <c r="Z28" s="765"/>
      <c r="AA28" s="238"/>
      <c r="AB28" s="238"/>
      <c r="AC28" s="239"/>
      <c r="AD28" s="239"/>
      <c r="AE28" s="239"/>
    </row>
    <row r="29" spans="1:27" s="423" customFormat="1" ht="18" customHeight="1">
      <c r="A29" s="754" t="s">
        <v>297</v>
      </c>
      <c r="B29" s="755"/>
      <c r="C29" s="755"/>
      <c r="D29" s="755"/>
      <c r="E29" s="755"/>
      <c r="F29" s="755"/>
      <c r="G29" s="755"/>
      <c r="H29" s="755"/>
      <c r="I29" s="755"/>
      <c r="J29" s="755"/>
      <c r="K29" s="755" t="s">
        <v>295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423"/>
    </row>
    <row r="30" spans="1:31" ht="13.5" customHeight="1" thickBot="1">
      <c r="A30" s="765"/>
      <c r="B30" s="765"/>
      <c r="C30" s="765"/>
      <c r="D30" s="765"/>
      <c r="E30" s="765"/>
      <c r="F30" s="765"/>
      <c r="G30" s="765"/>
      <c r="H30" s="765"/>
      <c r="I30" s="765"/>
      <c r="J30" s="765"/>
      <c r="K30" s="765"/>
      <c r="L30" s="765"/>
      <c r="M30" s="765"/>
      <c r="N30" s="765"/>
      <c r="O30" s="765"/>
      <c r="P30" s="765"/>
      <c r="Q30" s="765"/>
      <c r="R30" s="765"/>
      <c r="S30" s="765"/>
      <c r="T30" s="765"/>
      <c r="U30" s="765"/>
      <c r="V30" s="765"/>
      <c r="W30" s="765"/>
      <c r="X30" s="765"/>
      <c r="Y30" s="765"/>
      <c r="Z30" s="765"/>
      <c r="AA30" s="238"/>
      <c r="AB30" s="238"/>
      <c r="AC30" s="239"/>
      <c r="AD30" s="239"/>
      <c r="AE30" s="239"/>
    </row>
    <row r="31" spans="1:34" ht="14.25" customHeight="1" thickTop="1" thickBot="1">
      <c r="A31" s="766" t="s">
        <v>609</v>
      </c>
      <c r="B31" s="767" t="s">
        <v>298</v>
      </c>
      <c r="C31" s="767"/>
      <c r="D31" s="767"/>
      <c r="E31" s="767"/>
      <c r="F31" s="242" t="s">
        <v>299</v>
      </c>
      <c r="G31" s="242" t="s">
        <v>300</v>
      </c>
      <c r="H31" s="242" t="s">
        <v>1365</v>
      </c>
      <c r="I31" s="433" t="s">
        <v>1366</v>
      </c>
      <c r="J31" s="767"/>
      <c r="K31" s="767"/>
      <c r="L31" s="767"/>
      <c r="M31" s="767"/>
      <c r="N31" s="767"/>
      <c r="O31" s="767"/>
      <c r="P31" s="767"/>
      <c r="Q31" s="767"/>
      <c r="R31" s="768"/>
      <c r="S31" s="768"/>
      <c r="T31" s="769"/>
      <c r="U31" s="767"/>
      <c r="V31" s="768"/>
      <c r="W31" s="768"/>
      <c r="X31" s="768"/>
      <c r="Y31" s="768"/>
      <c r="Z31" s="768"/>
      <c r="AA31" s="238"/>
      <c r="AB31" s="238"/>
      <c r="AC31" s="239" t="s">
        <v>301</v>
      </c>
      <c r="AD31" s="239">
        <f>CONCATENATE(year01,year02,year03,year04)</f>
        <v>0</v>
      </c>
      <c r="AE31" s="239"/>
      <c r="AG31" s="243"/>
      <c r="AH31" s="243"/>
    </row>
    <row r="32" spans="1:31" ht="14.25" customHeight="1" thickTop="1" thickBot="1">
      <c r="A32" s="766"/>
      <c r="B32" s="767"/>
      <c r="C32" s="767"/>
      <c r="D32" s="767"/>
      <c r="E32" s="767"/>
      <c r="F32" s="765"/>
      <c r="G32" s="765" t="s">
        <v>295</v>
      </c>
      <c r="H32" s="765"/>
      <c r="I32" s="765"/>
      <c r="J32" s="767"/>
      <c r="K32" s="767"/>
      <c r="L32" s="767"/>
      <c r="M32" s="767"/>
      <c r="N32" s="767"/>
      <c r="O32" s="767"/>
      <c r="P32" s="767"/>
      <c r="Q32" s="773"/>
      <c r="R32" s="767"/>
      <c r="S32" s="767"/>
      <c r="T32" s="767"/>
      <c r="U32" s="767"/>
      <c r="V32" s="767"/>
      <c r="W32" s="767"/>
      <c r="X32" s="767"/>
      <c r="Y32" s="767"/>
      <c r="Z32" s="767"/>
      <c r="AA32" s="238"/>
      <c r="AB32" s="238"/>
      <c r="AC32" s="239" t="s">
        <v>302</v>
      </c>
      <c r="AD32" s="244" t="e">
        <f>DATE(taxyear,12,31)</f>
        <v>#VALUE!</v>
      </c>
      <c r="AE32" s="239"/>
    </row>
    <row r="33" spans="1:31" ht="14.25" customHeight="1" thickTop="1" thickBot="1">
      <c r="A33" s="766">
        <v>2</v>
      </c>
      <c r="B33" s="767" t="s">
        <v>303</v>
      </c>
      <c r="C33" s="767"/>
      <c r="D33" s="767"/>
      <c r="E33" s="767"/>
      <c r="F33" s="1627">
        <v>43547</v>
      </c>
      <c r="G33" s="1628"/>
      <c r="H33" s="1628"/>
      <c r="I33" s="1629"/>
      <c r="J33" s="767"/>
      <c r="K33" s="767"/>
      <c r="L33" s="767"/>
      <c r="M33" s="773" t="s">
        <v>675</v>
      </c>
      <c r="N33" s="773"/>
      <c r="O33" s="773"/>
      <c r="P33" s="773"/>
      <c r="Q33" s="767"/>
      <c r="R33" s="773"/>
      <c r="S33" s="767"/>
      <c r="T33" s="403">
        <v>0</v>
      </c>
      <c r="U33" s="767" t="s">
        <v>295</v>
      </c>
      <c r="V33" s="767"/>
      <c r="W33" s="767"/>
      <c r="X33" s="767"/>
      <c r="Y33" s="767"/>
      <c r="Z33" s="767"/>
      <c r="AA33" s="238"/>
      <c r="AB33" s="238"/>
      <c r="AC33" s="239" t="s">
        <v>992</v>
      </c>
      <c r="AD33" s="244" t="e">
        <f>DATE(taxyear,1,1)</f>
        <v>#VALUE!</v>
      </c>
      <c r="AE33" s="239"/>
    </row>
    <row r="34" spans="1:31" ht="13.5" customHeight="1" thickTop="1">
      <c r="A34" s="766"/>
      <c r="B34" s="767" t="s">
        <v>304</v>
      </c>
      <c r="C34" s="767"/>
      <c r="D34" s="767"/>
      <c r="E34" s="767"/>
      <c r="F34" s="765"/>
      <c r="G34" s="765"/>
      <c r="H34" s="765"/>
      <c r="I34" s="765"/>
      <c r="J34" s="765"/>
      <c r="K34" s="765"/>
      <c r="L34" s="765"/>
      <c r="M34" s="765"/>
      <c r="N34" s="765"/>
      <c r="O34" s="765"/>
      <c r="P34" s="765"/>
      <c r="Q34" s="777"/>
      <c r="R34" s="765"/>
      <c r="S34" s="765"/>
      <c r="T34" s="765"/>
      <c r="U34" s="765"/>
      <c r="V34" s="765"/>
      <c r="W34" s="765"/>
      <c r="X34" s="765"/>
      <c r="Y34" s="765"/>
      <c r="Z34" s="765"/>
      <c r="AA34" s="238"/>
      <c r="AB34" s="238"/>
      <c r="AC34" s="239" t="s">
        <v>993</v>
      </c>
      <c r="AD34" s="244" t="e">
        <f>DATE(taxyear,12,1)</f>
        <v>#VALUE!</v>
      </c>
      <c r="AE34" s="239"/>
    </row>
    <row r="35" spans="1:31" ht="13.5" customHeight="1" thickBot="1">
      <c r="A35" s="766"/>
      <c r="B35" s="767"/>
      <c r="C35" s="767"/>
      <c r="D35" s="767"/>
      <c r="E35" s="767"/>
      <c r="F35" s="765"/>
      <c r="G35" s="765"/>
      <c r="H35" s="765"/>
      <c r="I35" s="765"/>
      <c r="J35" s="765"/>
      <c r="K35" s="765"/>
      <c r="L35" s="765"/>
      <c r="M35" s="765"/>
      <c r="N35" s="765"/>
      <c r="O35" s="765"/>
      <c r="P35" s="765"/>
      <c r="Q35" s="765"/>
      <c r="R35" s="765"/>
      <c r="S35" s="765"/>
      <c r="T35" s="765"/>
      <c r="U35" s="765"/>
      <c r="V35" s="765"/>
      <c r="W35" s="765"/>
      <c r="X35" s="765"/>
      <c r="Y35" s="765"/>
      <c r="Z35" s="765"/>
      <c r="AA35" s="238"/>
      <c r="AB35" s="238"/>
      <c r="AC35" s="239"/>
      <c r="AD35" s="239"/>
      <c r="AE35" s="239"/>
    </row>
    <row r="36" spans="1:31" ht="14.25" customHeight="1" thickTop="1" thickBot="1">
      <c r="A36" s="766">
        <v>3</v>
      </c>
      <c r="B36" s="767" t="s">
        <v>588</v>
      </c>
      <c r="C36" s="767"/>
      <c r="D36" s="767"/>
      <c r="E36" s="767"/>
      <c r="F36" s="240" t="s">
        <v>295</v>
      </c>
      <c r="G36" s="240" t="s">
        <v>295</v>
      </c>
      <c r="H36" s="240" t="s">
        <v>295</v>
      </c>
      <c r="I36" s="240" t="s">
        <v>295</v>
      </c>
      <c r="J36" s="240" t="s">
        <v>295</v>
      </c>
      <c r="K36" s="240" t="s">
        <v>295</v>
      </c>
      <c r="L36" s="767"/>
      <c r="M36" s="774" t="s">
        <v>599</v>
      </c>
      <c r="N36" s="774"/>
      <c r="O36" s="774"/>
      <c r="P36" s="774"/>
      <c r="Q36" s="774"/>
      <c r="R36" s="774"/>
      <c r="S36" s="765"/>
      <c r="T36" s="1614">
        <v>0</v>
      </c>
      <c r="U36" s="1615"/>
      <c r="V36" s="1615"/>
      <c r="W36" s="1616"/>
      <c r="X36" s="767"/>
      <c r="Y36" s="767"/>
      <c r="Z36" s="767"/>
      <c r="AA36" s="238"/>
      <c r="AB36" s="238"/>
      <c r="AC36" s="239"/>
      <c r="AD36" s="239"/>
      <c r="AE36" s="239"/>
    </row>
    <row r="37" spans="1:31" ht="14.25" customHeight="1" thickTop="1" thickBot="1">
      <c r="A37" s="766"/>
      <c r="B37" s="767"/>
      <c r="C37" s="767"/>
      <c r="D37" s="767"/>
      <c r="E37" s="767"/>
      <c r="F37" s="765"/>
      <c r="G37" s="765"/>
      <c r="H37" s="765"/>
      <c r="I37" s="765"/>
      <c r="J37" s="765"/>
      <c r="K37" s="765"/>
      <c r="L37" s="765"/>
      <c r="M37" s="765"/>
      <c r="N37" s="765"/>
      <c r="O37" s="765"/>
      <c r="P37" s="765"/>
      <c r="Q37" s="765"/>
      <c r="R37" s="765"/>
      <c r="S37" s="765"/>
      <c r="T37" s="765"/>
      <c r="U37" s="765"/>
      <c r="V37" s="765"/>
      <c r="W37" s="765"/>
      <c r="X37" s="765"/>
      <c r="Y37" s="765"/>
      <c r="Z37" s="765"/>
      <c r="AA37" s="238"/>
      <c r="AB37" s="238"/>
      <c r="AC37" s="239"/>
      <c r="AD37" s="239"/>
      <c r="AE37" s="239"/>
    </row>
    <row r="38" spans="1:31" ht="14.25" customHeight="1" thickTop="1" thickBot="1">
      <c r="A38" s="766">
        <v>4</v>
      </c>
      <c r="B38" s="767" t="s">
        <v>305</v>
      </c>
      <c r="C38" s="767"/>
      <c r="D38" s="767"/>
      <c r="E38" s="767" t="s">
        <v>308</v>
      </c>
      <c r="F38" s="240" t="s">
        <v>295</v>
      </c>
      <c r="G38" s="767" t="s">
        <v>209</v>
      </c>
      <c r="H38" s="767"/>
      <c r="I38" s="767"/>
      <c r="J38" s="767"/>
      <c r="K38" s="767"/>
      <c r="L38" s="767"/>
      <c r="M38" s="767"/>
      <c r="N38" s="767" t="s">
        <v>311</v>
      </c>
      <c r="O38" s="403" t="s">
        <v>295</v>
      </c>
      <c r="P38" s="1635" t="s">
        <v>642</v>
      </c>
      <c r="Q38" s="1635"/>
      <c r="R38" s="1635"/>
      <c r="S38" s="1635"/>
      <c r="T38" s="1635"/>
      <c r="U38" s="1635"/>
      <c r="V38" s="1635"/>
      <c r="W38" s="1635"/>
      <c r="X38" s="1635"/>
      <c r="Y38" s="1635"/>
      <c r="Z38" s="767"/>
      <c r="AA38" s="238"/>
      <c r="AB38" s="238"/>
      <c r="AC38" s="239"/>
      <c r="AD38" s="239"/>
      <c r="AE38" s="239"/>
    </row>
    <row r="39" spans="1:31" ht="14.25" customHeight="1" thickTop="1" thickBot="1">
      <c r="A39" s="766"/>
      <c r="B39" s="767"/>
      <c r="C39" s="767"/>
      <c r="D39" s="767"/>
      <c r="E39" s="767"/>
      <c r="F39" s="765"/>
      <c r="G39" s="765"/>
      <c r="H39" s="765"/>
      <c r="I39" s="765"/>
      <c r="J39" s="765"/>
      <c r="K39" s="765"/>
      <c r="L39" s="765"/>
      <c r="M39" s="765"/>
      <c r="N39" s="765"/>
      <c r="O39" s="765"/>
      <c r="P39" s="1635"/>
      <c r="Q39" s="1635"/>
      <c r="R39" s="1635"/>
      <c r="S39" s="1635"/>
      <c r="T39" s="1635"/>
      <c r="U39" s="1635"/>
      <c r="V39" s="1635"/>
      <c r="W39" s="1635"/>
      <c r="X39" s="1635"/>
      <c r="Y39" s="1635"/>
      <c r="Z39" s="765"/>
      <c r="AA39" s="238"/>
      <c r="AB39" s="238"/>
      <c r="AC39" s="239"/>
      <c r="AD39" s="239"/>
      <c r="AE39" s="239"/>
    </row>
    <row r="40" spans="1:31" ht="15" customHeight="1" thickTop="1" thickBot="1">
      <c r="A40" s="766"/>
      <c r="B40" s="767"/>
      <c r="C40" s="767"/>
      <c r="D40" s="767"/>
      <c r="E40" s="767" t="s">
        <v>310</v>
      </c>
      <c r="F40" s="240" t="s">
        <v>295</v>
      </c>
      <c r="G40" s="767" t="s">
        <v>684</v>
      </c>
      <c r="H40" s="767"/>
      <c r="I40" s="767"/>
      <c r="J40" s="767"/>
      <c r="K40" s="767"/>
      <c r="L40" s="767"/>
      <c r="M40" s="767"/>
      <c r="N40" s="767" t="s">
        <v>313</v>
      </c>
      <c r="O40" s="403" t="s">
        <v>295</v>
      </c>
      <c r="P40" s="767" t="s">
        <v>643</v>
      </c>
      <c r="Q40" s="767"/>
      <c r="R40" s="767"/>
      <c r="S40" s="767"/>
      <c r="T40" s="767"/>
      <c r="U40" s="767"/>
      <c r="V40" s="767"/>
      <c r="W40" s="767"/>
      <c r="X40" s="767"/>
      <c r="Y40" s="767"/>
      <c r="Z40" s="767"/>
      <c r="AA40" s="238"/>
      <c r="AB40" s="238"/>
      <c r="AC40" s="239"/>
      <c r="AD40" s="239"/>
      <c r="AE40" s="239"/>
    </row>
    <row r="41" spans="1:31" ht="13.5" customHeight="1" thickTop="1">
      <c r="A41" s="766"/>
      <c r="B41" s="767"/>
      <c r="C41" s="767"/>
      <c r="D41" s="767"/>
      <c r="E41" s="767"/>
      <c r="F41" s="767"/>
      <c r="G41" s="767" t="s">
        <v>306</v>
      </c>
      <c r="H41" s="767"/>
      <c r="I41" s="767"/>
      <c r="J41" s="767"/>
      <c r="K41" s="767"/>
      <c r="L41" s="767"/>
      <c r="M41" s="767"/>
      <c r="N41" s="767"/>
      <c r="O41" s="767"/>
      <c r="P41" s="767"/>
      <c r="Q41" s="767"/>
      <c r="R41" s="767"/>
      <c r="S41" s="767"/>
      <c r="T41" s="767"/>
      <c r="U41" s="767"/>
      <c r="V41" s="767"/>
      <c r="W41" s="767"/>
      <c r="X41" s="767"/>
      <c r="Y41" s="767"/>
      <c r="Z41" s="767"/>
      <c r="AA41" s="238"/>
      <c r="AB41" s="238"/>
      <c r="AD41" s="239"/>
      <c r="AE41" s="239"/>
    </row>
    <row r="42" spans="1:31" ht="13.5" customHeight="1" thickBot="1">
      <c r="A42" s="766"/>
      <c r="B42" s="767"/>
      <c r="C42" s="767"/>
      <c r="D42" s="767"/>
      <c r="E42" s="767"/>
      <c r="F42" s="767"/>
      <c r="G42" s="767"/>
      <c r="H42" s="767"/>
      <c r="I42" s="767"/>
      <c r="J42" s="767"/>
      <c r="K42" s="767"/>
      <c r="L42" s="767"/>
      <c r="M42" s="767"/>
      <c r="N42" s="767"/>
      <c r="O42" s="767"/>
      <c r="P42" s="767"/>
      <c r="Q42" s="767"/>
      <c r="R42" s="767"/>
      <c r="S42" s="767"/>
      <c r="T42" s="767"/>
      <c r="U42" s="767"/>
      <c r="V42" s="767"/>
      <c r="W42" s="767"/>
      <c r="X42" s="767"/>
      <c r="Y42" s="767"/>
      <c r="Z42" s="767"/>
      <c r="AA42" s="238"/>
      <c r="AB42" s="238"/>
      <c r="AD42" s="239"/>
      <c r="AE42" s="239"/>
    </row>
    <row r="43" spans="1:55" ht="18" customHeight="1" thickTop="1" thickBot="1">
      <c r="A43" s="766">
        <v>5</v>
      </c>
      <c r="B43" s="767" t="s">
        <v>307</v>
      </c>
      <c r="C43" s="767"/>
      <c r="D43" s="767"/>
      <c r="E43" s="767" t="s">
        <v>308</v>
      </c>
      <c r="F43" s="240" t="s">
        <v>296</v>
      </c>
      <c r="G43" s="767" t="s">
        <v>309</v>
      </c>
      <c r="H43" s="767"/>
      <c r="I43" s="767"/>
      <c r="J43" s="767"/>
      <c r="K43" s="766"/>
      <c r="L43" s="767"/>
      <c r="M43" s="767"/>
      <c r="N43" s="767"/>
      <c r="O43" s="767"/>
      <c r="P43" s="767"/>
      <c r="Q43" s="767"/>
      <c r="R43" s="767"/>
      <c r="S43" s="767"/>
      <c r="T43" s="767"/>
      <c r="U43" s="767"/>
      <c r="V43" s="767"/>
      <c r="W43" s="774"/>
      <c r="X43" s="767"/>
      <c r="Y43" s="767"/>
      <c r="Z43" s="767"/>
      <c r="AA43" s="238"/>
      <c r="AB43" s="238"/>
      <c r="AD43" s="237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</row>
    <row r="44" spans="1:55" ht="9.75" customHeight="1" thickTop="1" thickBot="1">
      <c r="A44" s="766"/>
      <c r="B44" s="767"/>
      <c r="C44" s="767"/>
      <c r="D44" s="767"/>
      <c r="E44" s="767"/>
      <c r="F44" s="766"/>
      <c r="G44" s="767"/>
      <c r="H44" s="767"/>
      <c r="I44" s="767"/>
      <c r="J44" s="767"/>
      <c r="K44" s="766"/>
      <c r="L44" s="767"/>
      <c r="M44" s="767"/>
      <c r="N44" s="767"/>
      <c r="O44" s="767"/>
      <c r="P44" s="767"/>
      <c r="Q44" s="766"/>
      <c r="R44" s="767"/>
      <c r="S44" s="766"/>
      <c r="T44" s="767"/>
      <c r="U44" s="767"/>
      <c r="V44" s="767"/>
      <c r="W44" s="774"/>
      <c r="X44" s="767"/>
      <c r="Y44" s="767"/>
      <c r="Z44" s="767"/>
      <c r="AA44" s="238"/>
      <c r="AB44" s="238"/>
      <c r="AD44" s="237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  <c r="AZ44" s="245"/>
      <c r="BA44" s="245"/>
      <c r="BB44" s="245"/>
      <c r="BC44" s="245"/>
    </row>
    <row r="45" spans="1:55" ht="18" customHeight="1" thickTop="1" thickBot="1">
      <c r="A45" s="766"/>
      <c r="B45" s="767"/>
      <c r="C45" s="767"/>
      <c r="D45" s="767"/>
      <c r="E45" s="767" t="s">
        <v>310</v>
      </c>
      <c r="F45" s="240" t="s">
        <v>296</v>
      </c>
      <c r="G45" s="767" t="s">
        <v>312</v>
      </c>
      <c r="H45" s="766"/>
      <c r="I45" s="767"/>
      <c r="J45" s="767"/>
      <c r="K45" s="766"/>
      <c r="L45" s="767"/>
      <c r="M45" s="767"/>
      <c r="N45" s="766"/>
      <c r="O45" s="767"/>
      <c r="P45" s="767"/>
      <c r="Q45" s="766"/>
      <c r="R45" s="767"/>
      <c r="S45" s="766"/>
      <c r="T45" s="767"/>
      <c r="U45" s="767"/>
      <c r="V45" s="767"/>
      <c r="W45" s="774"/>
      <c r="X45" s="767"/>
      <c r="Y45" s="767"/>
      <c r="Z45" s="767"/>
      <c r="AA45" s="238"/>
      <c r="AB45" s="238"/>
      <c r="AD45" s="237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</row>
    <row r="46" spans="1:55" ht="9.75" customHeight="1" thickTop="1" thickBot="1">
      <c r="A46" s="766"/>
      <c r="B46" s="767"/>
      <c r="C46" s="767"/>
      <c r="D46" s="767"/>
      <c r="E46" s="767"/>
      <c r="F46" s="766"/>
      <c r="G46" s="767"/>
      <c r="H46" s="767"/>
      <c r="I46" s="767"/>
      <c r="J46" s="767"/>
      <c r="K46" s="766"/>
      <c r="L46" s="767"/>
      <c r="M46" s="767"/>
      <c r="N46" s="767"/>
      <c r="O46" s="767"/>
      <c r="P46" s="767"/>
      <c r="Q46" s="766"/>
      <c r="R46" s="767"/>
      <c r="S46" s="766"/>
      <c r="T46" s="767"/>
      <c r="U46" s="767"/>
      <c r="V46" s="767"/>
      <c r="W46" s="774"/>
      <c r="X46" s="767"/>
      <c r="Y46" s="767"/>
      <c r="Z46" s="767"/>
      <c r="AA46" s="238"/>
      <c r="AB46" s="238"/>
      <c r="AD46" s="237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  <c r="BC46" s="245"/>
    </row>
    <row r="47" spans="1:55" ht="18" customHeight="1" thickTop="1" thickBot="1">
      <c r="A47" s="766"/>
      <c r="B47" s="767"/>
      <c r="C47" s="767"/>
      <c r="D47" s="767"/>
      <c r="E47" s="767" t="s">
        <v>311</v>
      </c>
      <c r="F47" s="240" t="s">
        <v>295</v>
      </c>
      <c r="G47" s="767" t="s">
        <v>649</v>
      </c>
      <c r="H47" s="767"/>
      <c r="I47" s="767"/>
      <c r="J47" s="767"/>
      <c r="K47" s="766"/>
      <c r="L47" s="767"/>
      <c r="M47" s="767"/>
      <c r="N47" s="766"/>
      <c r="O47" s="767"/>
      <c r="P47" s="767"/>
      <c r="Q47" s="766"/>
      <c r="R47" s="766"/>
      <c r="S47" s="766"/>
      <c r="T47" s="767"/>
      <c r="U47" s="767"/>
      <c r="V47" s="767"/>
      <c r="W47" s="767"/>
      <c r="X47" s="767"/>
      <c r="Y47" s="767"/>
      <c r="Z47" s="767"/>
      <c r="AA47" s="238"/>
      <c r="AB47" s="238"/>
      <c r="AD47" s="237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</row>
    <row r="48" spans="1:55" ht="10.5" customHeight="1" thickTop="1" thickBot="1">
      <c r="A48" s="766"/>
      <c r="B48" s="767"/>
      <c r="C48" s="767"/>
      <c r="D48" s="767"/>
      <c r="E48" s="767"/>
      <c r="F48" s="766"/>
      <c r="G48" s="767"/>
      <c r="H48" s="767"/>
      <c r="I48" s="767"/>
      <c r="J48" s="767"/>
      <c r="K48" s="766"/>
      <c r="L48" s="767"/>
      <c r="M48" s="767"/>
      <c r="N48" s="766"/>
      <c r="O48" s="767"/>
      <c r="P48" s="767"/>
      <c r="Q48" s="766"/>
      <c r="R48" s="767"/>
      <c r="S48" s="766"/>
      <c r="T48" s="767"/>
      <c r="U48" s="767"/>
      <c r="V48" s="767"/>
      <c r="W48" s="767"/>
      <c r="X48" s="767"/>
      <c r="Y48" s="767"/>
      <c r="Z48" s="767"/>
      <c r="AA48" s="238"/>
      <c r="AB48" s="238"/>
      <c r="AD48" s="237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</row>
    <row r="49" spans="1:55" ht="21.75" customHeight="1" thickTop="1" thickBot="1">
      <c r="A49" s="766"/>
      <c r="B49" s="767"/>
      <c r="C49" s="767"/>
      <c r="D49" s="767"/>
      <c r="E49" s="767" t="s">
        <v>313</v>
      </c>
      <c r="F49" s="240" t="s">
        <v>295</v>
      </c>
      <c r="G49" s="772" t="s">
        <v>650</v>
      </c>
      <c r="H49" s="772"/>
      <c r="I49" s="772"/>
      <c r="J49" s="772"/>
      <c r="K49" s="772"/>
      <c r="L49" s="772"/>
      <c r="M49" s="772"/>
      <c r="N49" s="772"/>
      <c r="O49" s="772"/>
      <c r="P49" s="772"/>
      <c r="Q49" s="772"/>
      <c r="R49" s="772"/>
      <c r="S49" s="772"/>
      <c r="T49" s="772"/>
      <c r="U49" s="772"/>
      <c r="V49" s="772"/>
      <c r="W49" s="772"/>
      <c r="X49" s="772"/>
      <c r="Y49" s="772"/>
      <c r="Z49" s="767"/>
      <c r="AA49" s="238"/>
      <c r="AB49" s="238"/>
      <c r="AC49" s="245"/>
      <c r="AD49" s="237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</row>
    <row r="50" spans="1:55" ht="9" customHeight="1" thickTop="1">
      <c r="A50" s="766"/>
      <c r="B50" s="767"/>
      <c r="C50" s="767"/>
      <c r="D50" s="767"/>
      <c r="E50" s="767"/>
      <c r="F50" s="767"/>
      <c r="G50" s="772"/>
      <c r="H50" s="772"/>
      <c r="I50" s="772"/>
      <c r="J50" s="772"/>
      <c r="K50" s="772"/>
      <c r="L50" s="772"/>
      <c r="M50" s="772"/>
      <c r="N50" s="772"/>
      <c r="O50" s="772"/>
      <c r="P50" s="772"/>
      <c r="Q50" s="772"/>
      <c r="R50" s="772"/>
      <c r="S50" s="772"/>
      <c r="T50" s="772"/>
      <c r="U50" s="772"/>
      <c r="V50" s="772"/>
      <c r="W50" s="772"/>
      <c r="X50" s="772"/>
      <c r="Y50" s="772"/>
      <c r="Z50" s="767"/>
      <c r="AA50" s="238"/>
      <c r="AB50" s="238"/>
      <c r="AC50" s="245"/>
      <c r="AD50" s="237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</row>
    <row r="51" spans="1:55" s="237" customFormat="1" ht="16.5" customHeight="1" thickBot="1">
      <c r="A51" s="766"/>
      <c r="B51" s="767"/>
      <c r="C51" s="767"/>
      <c r="D51" s="767"/>
      <c r="E51" s="767"/>
      <c r="F51" s="767"/>
      <c r="G51" s="772"/>
      <c r="H51" s="1687" t="s">
        <v>731</v>
      </c>
      <c r="I51" s="1687"/>
      <c r="J51" s="1687"/>
      <c r="K51" s="1687"/>
      <c r="L51" s="1687"/>
      <c r="M51" s="1687"/>
      <c r="N51" s="1687"/>
      <c r="O51" s="1687"/>
      <c r="P51" s="772"/>
      <c r="Q51" s="772"/>
      <c r="R51" s="1332"/>
      <c r="S51" s="1687" t="s">
        <v>732</v>
      </c>
      <c r="T51" s="1687"/>
      <c r="U51" s="1687"/>
      <c r="V51" s="1687"/>
      <c r="W51" s="1687"/>
      <c r="X51" s="1687"/>
      <c r="Y51" s="1687"/>
      <c r="Z51" s="1687"/>
      <c r="AA51" s="238"/>
      <c r="AB51" s="238"/>
      <c r="AC51" s="245" t="s">
        <v>1341</v>
      </c>
      <c r="AD51" s="237" t="s">
        <v>1342</v>
      </c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  <c r="AZ51" s="245"/>
      <c r="BA51" s="245"/>
      <c r="BB51" s="245"/>
      <c r="BC51" s="245"/>
    </row>
    <row r="52" spans="1:55" s="237" customFormat="1" ht="39.75" customHeight="1" thickTop="1" thickBot="1">
      <c r="A52" s="766"/>
      <c r="B52" s="767"/>
      <c r="C52" s="767"/>
      <c r="D52" s="767"/>
      <c r="E52" s="776" t="s">
        <v>314</v>
      </c>
      <c r="F52" s="422" t="s">
        <v>296</v>
      </c>
      <c r="G52" s="766"/>
      <c r="H52" s="1691" t="s">
        <v>1367</v>
      </c>
      <c r="I52" s="1692"/>
      <c r="J52" s="1692"/>
      <c r="K52" s="1692"/>
      <c r="L52" s="1692"/>
      <c r="M52" s="1692"/>
      <c r="N52" s="1692"/>
      <c r="O52" s="1693"/>
      <c r="P52" s="775"/>
      <c r="Q52" s="422" t="s">
        <v>296</v>
      </c>
      <c r="R52" s="1333"/>
      <c r="S52" s="1688" t="s">
        <v>1368</v>
      </c>
      <c r="T52" s="1689"/>
      <c r="U52" s="1689"/>
      <c r="V52" s="1689"/>
      <c r="W52" s="1689"/>
      <c r="X52" s="1689"/>
      <c r="Y52" s="1689"/>
      <c r="Z52" s="1690"/>
      <c r="AA52" s="238"/>
      <c r="AB52" s="238"/>
      <c r="AC52" s="245">
        <f>IF(COUNTIF('GENERAL INFO'!H52,"*;*"),LEFT('GENERAL INFO'!H52,FIND(";",'GENERAL INFO'!H52,1)-1),H52)</f>
        <v>0</v>
      </c>
      <c r="AD52" s="245">
        <f>IF(COUNTIF('GENERAL INFO'!S52,"*;*"),LEFT('GENERAL INFO'!S52,FIND(";",'GENERAL INFO'!S52,1)-1),S52)</f>
        <v>0</v>
      </c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5"/>
      <c r="BA52" s="245"/>
      <c r="BB52" s="245"/>
      <c r="BC52" s="245"/>
    </row>
    <row r="53" spans="1:55" s="237" customFormat="1" ht="7.5" customHeight="1" thickTop="1" thickBot="1">
      <c r="A53" s="766"/>
      <c r="B53" s="767"/>
      <c r="C53" s="767"/>
      <c r="D53" s="767"/>
      <c r="E53" s="767"/>
      <c r="F53" s="767"/>
      <c r="G53" s="767"/>
      <c r="H53" s="775"/>
      <c r="I53" s="775"/>
      <c r="J53" s="775"/>
      <c r="K53" s="775"/>
      <c r="L53" s="775"/>
      <c r="M53" s="775"/>
      <c r="N53" s="775"/>
      <c r="O53" s="775"/>
      <c r="P53" s="775"/>
      <c r="Q53" s="775"/>
      <c r="R53" s="775"/>
      <c r="S53" s="775"/>
      <c r="T53" s="775"/>
      <c r="U53" s="775"/>
      <c r="V53" s="775"/>
      <c r="W53" s="775"/>
      <c r="X53" s="775"/>
      <c r="Y53" s="775"/>
      <c r="Z53" s="775"/>
      <c r="AA53" s="238"/>
      <c r="AB53" s="238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</row>
    <row r="54" spans="1:55" s="237" customFormat="1" ht="42.75" customHeight="1" thickTop="1" thickBot="1">
      <c r="A54" s="766"/>
      <c r="B54" s="767"/>
      <c r="C54" s="767"/>
      <c r="D54" s="767"/>
      <c r="E54" s="767"/>
      <c r="F54" s="422"/>
      <c r="G54" s="767"/>
      <c r="H54" s="1691" t="s">
        <v>295</v>
      </c>
      <c r="I54" s="1692"/>
      <c r="J54" s="1692"/>
      <c r="K54" s="1692"/>
      <c r="L54" s="1692"/>
      <c r="M54" s="1692"/>
      <c r="N54" s="1692"/>
      <c r="O54" s="1693"/>
      <c r="P54" s="775"/>
      <c r="Q54" s="422" t="s">
        <v>295</v>
      </c>
      <c r="R54" s="1333" t="s">
        <v>295</v>
      </c>
      <c r="S54" s="1688"/>
      <c r="T54" s="1689"/>
      <c r="U54" s="1689"/>
      <c r="V54" s="1689"/>
      <c r="W54" s="1689"/>
      <c r="X54" s="1689"/>
      <c r="Y54" s="1689"/>
      <c r="Z54" s="1690"/>
      <c r="AA54" s="238"/>
      <c r="AB54" s="238"/>
      <c r="AC54" s="245">
        <f>IF(COUNTIF('GENERAL INFO'!H52,"*;*"),RIGHT('GENERAL INFO'!H52,LEN('GENERAL INFO'!H52)-FIND(";", 'GENERAL INFO'!H52,1)), "")</f>
        <v>0</v>
      </c>
      <c r="AD54" s="245">
        <f>IF(COUNTIF('GENERAL INFO'!S52,"*;*"),RIGHT('GENERAL INFO'!S52,LEN('GENERAL INFO'!S52)-FIND(";", 'GENERAL INFO'!S52,1)), "")</f>
        <v>0</v>
      </c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</row>
    <row r="55" spans="1:55" ht="18" customHeight="1" thickTop="1" thickBot="1">
      <c r="A55" s="771">
        <v>6</v>
      </c>
      <c r="B55" s="770" t="s">
        <v>485</v>
      </c>
      <c r="C55" s="770"/>
      <c r="D55" s="770"/>
      <c r="E55" s="770"/>
      <c r="F55" s="770"/>
      <c r="G55" s="770"/>
      <c r="H55" s="770"/>
      <c r="I55" s="770"/>
      <c r="J55" s="770"/>
      <c r="K55" s="770"/>
      <c r="L55" s="770"/>
      <c r="M55" s="770"/>
      <c r="N55" s="770"/>
      <c r="O55" s="770"/>
      <c r="P55" s="770"/>
      <c r="Q55" s="770"/>
      <c r="R55" s="770"/>
      <c r="S55" s="770"/>
      <c r="T55" s="770"/>
      <c r="U55" s="770"/>
      <c r="V55" s="770"/>
      <c r="W55" s="297" t="s">
        <v>295</v>
      </c>
      <c r="X55" s="767"/>
      <c r="Y55" s="767"/>
      <c r="Z55" s="767"/>
      <c r="AA55" s="238"/>
      <c r="AB55" s="238"/>
      <c r="AC55" s="245"/>
      <c r="AD55" s="237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</row>
    <row r="56" spans="1:55" ht="17.25" customHeight="1" thickTop="1">
      <c r="A56" s="771"/>
      <c r="B56" s="778"/>
      <c r="C56" s="770"/>
      <c r="D56" s="770"/>
      <c r="E56" s="770"/>
      <c r="F56" s="770"/>
      <c r="G56" s="770"/>
      <c r="H56" s="770"/>
      <c r="I56" s="770"/>
      <c r="J56" s="770"/>
      <c r="K56" s="770"/>
      <c r="L56" s="770"/>
      <c r="M56" s="770"/>
      <c r="N56" s="770"/>
      <c r="O56" s="770"/>
      <c r="P56" s="770"/>
      <c r="Q56" s="770"/>
      <c r="R56" s="770"/>
      <c r="S56" s="770"/>
      <c r="T56" s="770"/>
      <c r="U56" s="770"/>
      <c r="V56" s="770"/>
      <c r="W56" s="767"/>
      <c r="X56" s="767"/>
      <c r="Y56" s="767"/>
      <c r="Z56" s="767"/>
      <c r="AA56" s="238"/>
      <c r="AB56" s="238"/>
      <c r="AC56" s="245"/>
      <c r="AD56" s="237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  <c r="BC56" s="245"/>
    </row>
    <row r="57" spans="1:55" ht="17.25" customHeight="1" thickBot="1">
      <c r="A57" s="766">
        <v>7</v>
      </c>
      <c r="B57" s="767" t="s">
        <v>315</v>
      </c>
      <c r="C57" s="767"/>
      <c r="D57" s="767"/>
      <c r="E57" s="767"/>
      <c r="F57" s="767"/>
      <c r="G57" s="767"/>
      <c r="H57" s="767"/>
      <c r="I57" s="767"/>
      <c r="J57" s="767"/>
      <c r="K57" s="767"/>
      <c r="L57" s="767"/>
      <c r="M57" s="767"/>
      <c r="N57" s="767"/>
      <c r="O57" s="767"/>
      <c r="P57" s="767"/>
      <c r="Q57" s="767"/>
      <c r="R57" s="767"/>
      <c r="S57" s="767"/>
      <c r="T57" s="767"/>
      <c r="U57" s="767"/>
      <c r="V57" s="767"/>
      <c r="W57" s="767"/>
      <c r="X57" s="767"/>
      <c r="Y57" s="767"/>
      <c r="Z57" s="767"/>
      <c r="AA57" s="238"/>
      <c r="AB57" s="238"/>
      <c r="AC57" s="245"/>
      <c r="AD57" s="237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  <c r="AZ57" s="245"/>
      <c r="BA57" s="245"/>
      <c r="BB57" s="245"/>
      <c r="BC57" s="245"/>
    </row>
    <row r="58" spans="1:55" ht="18" customHeight="1" thickTop="1" thickBot="1">
      <c r="A58" s="766"/>
      <c r="B58" s="240" t="s">
        <v>296</v>
      </c>
      <c r="C58" s="767" t="s">
        <v>316</v>
      </c>
      <c r="D58" s="767"/>
      <c r="E58" s="767"/>
      <c r="F58" s="767"/>
      <c r="G58" s="767"/>
      <c r="H58" s="767"/>
      <c r="I58" s="767"/>
      <c r="J58" s="767"/>
      <c r="K58" s="767"/>
      <c r="L58" s="767"/>
      <c r="M58" s="767"/>
      <c r="N58" s="767"/>
      <c r="O58" s="767"/>
      <c r="P58" s="767"/>
      <c r="Q58" s="767"/>
      <c r="R58" s="767"/>
      <c r="S58" s="767"/>
      <c r="T58" s="767"/>
      <c r="U58" s="767"/>
      <c r="V58" s="767"/>
      <c r="W58" s="767"/>
      <c r="X58" s="767"/>
      <c r="Y58" s="767"/>
      <c r="Z58" s="767"/>
      <c r="AA58" s="238"/>
      <c r="AB58" s="238"/>
      <c r="AC58" s="245"/>
      <c r="AD58" s="237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  <c r="AZ58" s="245"/>
      <c r="BA58" s="245"/>
      <c r="BB58" s="245"/>
      <c r="BC58" s="245"/>
    </row>
    <row r="59" spans="1:55" ht="18" customHeight="1" thickTop="1" thickBot="1">
      <c r="A59" s="766"/>
      <c r="B59" s="246"/>
      <c r="C59" s="767" t="s">
        <v>487</v>
      </c>
      <c r="D59" s="1554"/>
      <c r="E59" s="1555"/>
      <c r="F59" s="1555"/>
      <c r="G59" s="1555"/>
      <c r="H59" s="1555"/>
      <c r="I59" s="1555"/>
      <c r="J59" s="1555"/>
      <c r="K59" s="1555"/>
      <c r="L59" s="1555"/>
      <c r="M59" s="1555"/>
      <c r="N59" s="1555"/>
      <c r="O59" s="1555"/>
      <c r="P59" s="1555"/>
      <c r="Q59" s="1555"/>
      <c r="R59" s="1556"/>
      <c r="S59" s="767" t="s">
        <v>295</v>
      </c>
      <c r="T59" s="767" t="s">
        <v>295</v>
      </c>
      <c r="U59" s="767" t="s">
        <v>295</v>
      </c>
      <c r="V59" s="767" t="s">
        <v>295</v>
      </c>
      <c r="W59" s="767" t="s">
        <v>295</v>
      </c>
      <c r="X59" s="767"/>
      <c r="Y59" s="767"/>
      <c r="Z59" s="767"/>
      <c r="AA59" s="238"/>
      <c r="AB59" s="238"/>
      <c r="AC59" s="237"/>
      <c r="AD59" s="237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  <c r="AZ59" s="245"/>
      <c r="BA59" s="245"/>
      <c r="BB59" s="245"/>
      <c r="BC59" s="245"/>
    </row>
    <row r="60" spans="1:55" ht="18" customHeight="1" thickTop="1" thickBot="1">
      <c r="A60" s="766"/>
      <c r="B60" s="766"/>
      <c r="C60" s="766" t="s">
        <v>486</v>
      </c>
      <c r="D60" s="1554"/>
      <c r="E60" s="1555"/>
      <c r="F60" s="1555"/>
      <c r="G60" s="1555"/>
      <c r="H60" s="1555"/>
      <c r="I60" s="1555"/>
      <c r="J60" s="1555"/>
      <c r="K60" s="1555"/>
      <c r="L60" s="1555"/>
      <c r="M60" s="1555"/>
      <c r="N60" s="1555"/>
      <c r="O60" s="1555"/>
      <c r="P60" s="1555"/>
      <c r="Q60" s="1555"/>
      <c r="R60" s="1556"/>
      <c r="S60" s="767" t="s">
        <v>295</v>
      </c>
      <c r="T60" s="767" t="s">
        <v>295</v>
      </c>
      <c r="U60" s="767" t="s">
        <v>295</v>
      </c>
      <c r="V60" s="767" t="s">
        <v>295</v>
      </c>
      <c r="W60" s="767" t="s">
        <v>295</v>
      </c>
      <c r="X60" s="767" t="s">
        <v>295</v>
      </c>
      <c r="Y60" s="767"/>
      <c r="Z60" s="767"/>
      <c r="AA60" s="238"/>
      <c r="AB60" s="238"/>
      <c r="AC60" s="237"/>
      <c r="AD60" s="237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  <c r="AZ60" s="245"/>
      <c r="BA60" s="245"/>
      <c r="BB60" s="245"/>
      <c r="BC60" s="245"/>
    </row>
    <row r="61" spans="1:28" ht="13.5" customHeight="1" thickTop="1">
      <c r="A61" s="765"/>
      <c r="B61" s="765"/>
      <c r="C61" s="765"/>
      <c r="D61" s="765"/>
      <c r="E61" s="765"/>
      <c r="F61" s="765"/>
      <c r="G61" s="765"/>
      <c r="H61" s="765"/>
      <c r="I61" s="765"/>
      <c r="J61" s="765"/>
      <c r="K61" s="765"/>
      <c r="L61" s="765"/>
      <c r="M61" s="765"/>
      <c r="N61" s="765" t="s">
        <v>295</v>
      </c>
      <c r="O61" s="765"/>
      <c r="P61" s="765"/>
      <c r="Q61" s="765"/>
      <c r="R61" s="765"/>
      <c r="S61" s="765"/>
      <c r="T61" s="765"/>
      <c r="U61" s="765"/>
      <c r="V61" s="765"/>
      <c r="W61" s="765"/>
      <c r="X61" s="765"/>
      <c r="Y61" s="765"/>
      <c r="Z61" s="765"/>
      <c r="AA61" s="238"/>
      <c r="AB61" s="238"/>
    </row>
    <row r="62" spans="1:27" s="423" customFormat="1" ht="18" customHeight="1">
      <c r="A62" s="754" t="s">
        <v>317</v>
      </c>
      <c r="B62" s="755"/>
      <c r="C62" s="755"/>
      <c r="D62" s="755"/>
      <c r="E62" s="755"/>
      <c r="F62" s="755"/>
      <c r="G62" s="755"/>
      <c r="H62" s="755"/>
      <c r="I62" s="755"/>
      <c r="J62" s="755"/>
      <c r="K62" s="755"/>
      <c r="L62" s="755"/>
      <c r="M62" s="755" t="s">
        <v>295</v>
      </c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423"/>
    </row>
    <row r="63" spans="1:30" ht="13.5" customHeight="1">
      <c r="A63" s="779"/>
      <c r="B63" s="765"/>
      <c r="C63" s="765"/>
      <c r="D63" s="765"/>
      <c r="E63" s="765"/>
      <c r="F63" s="765"/>
      <c r="G63" s="765"/>
      <c r="H63" s="765"/>
      <c r="I63" s="765"/>
      <c r="J63" s="765"/>
      <c r="K63" s="765"/>
      <c r="L63" s="765"/>
      <c r="M63" s="765"/>
      <c r="N63" s="765"/>
      <c r="O63" s="765"/>
      <c r="P63" s="765"/>
      <c r="Q63" s="765"/>
      <c r="R63" s="765"/>
      <c r="S63" s="765"/>
      <c r="T63" s="765"/>
      <c r="U63" s="765"/>
      <c r="V63" s="765"/>
      <c r="W63" s="765"/>
      <c r="X63" s="765"/>
      <c r="Y63" s="765"/>
      <c r="Z63" s="765"/>
      <c r="AA63" s="241"/>
      <c r="AB63" s="241"/>
      <c r="AC63" s="241"/>
      <c r="AD63" s="241"/>
    </row>
    <row r="64" spans="1:30" ht="13.5" customHeight="1">
      <c r="A64" s="766">
        <v>1</v>
      </c>
      <c r="B64" s="767" t="s">
        <v>318</v>
      </c>
      <c r="C64" s="767"/>
      <c r="D64" s="767"/>
      <c r="E64" s="767"/>
      <c r="F64" s="1700" t="s">
        <v>1369</v>
      </c>
      <c r="G64" s="1701"/>
      <c r="H64" s="1701"/>
      <c r="I64" s="1701"/>
      <c r="J64" s="1702"/>
      <c r="K64" s="767"/>
      <c r="L64" s="767"/>
      <c r="M64" s="767"/>
      <c r="N64" s="767"/>
      <c r="O64" s="767"/>
      <c r="P64" s="767" t="s">
        <v>295</v>
      </c>
      <c r="Q64" s="767"/>
      <c r="R64" s="767"/>
      <c r="S64" s="767"/>
      <c r="T64" s="767"/>
      <c r="U64" s="767"/>
      <c r="V64" s="768"/>
      <c r="W64" s="767"/>
      <c r="X64" s="767"/>
      <c r="Y64" s="767"/>
      <c r="Z64" s="767"/>
      <c r="AA64" s="241"/>
      <c r="AB64" s="239"/>
      <c r="AC64" s="241"/>
      <c r="AD64" s="241"/>
    </row>
    <row r="65" spans="1:30" ht="13.5" customHeight="1">
      <c r="A65" s="766">
        <v>2</v>
      </c>
      <c r="B65" s="767" t="s">
        <v>319</v>
      </c>
      <c r="C65" s="767"/>
      <c r="D65" s="767"/>
      <c r="E65" s="767"/>
      <c r="F65" s="1700">
        <v>0</v>
      </c>
      <c r="G65" s="1701"/>
      <c r="H65" s="1701"/>
      <c r="I65" s="1701"/>
      <c r="J65" s="1702"/>
      <c r="K65" s="767"/>
      <c r="L65" s="767"/>
      <c r="M65" s="767"/>
      <c r="N65" s="767"/>
      <c r="O65" s="767"/>
      <c r="P65" s="767"/>
      <c r="Q65" s="767"/>
      <c r="R65" s="767"/>
      <c r="S65" s="767"/>
      <c r="T65" s="767"/>
      <c r="U65" s="767"/>
      <c r="V65" s="767"/>
      <c r="W65" s="767"/>
      <c r="X65" s="767"/>
      <c r="Y65" s="767"/>
      <c r="Z65" s="767"/>
      <c r="AA65" s="241"/>
      <c r="AB65" s="239"/>
      <c r="AC65" s="241"/>
      <c r="AD65" s="241"/>
    </row>
    <row r="66" spans="1:30" ht="16.5" customHeight="1">
      <c r="A66" s="766">
        <v>3</v>
      </c>
      <c r="B66" s="767" t="s">
        <v>320</v>
      </c>
      <c r="C66" s="767"/>
      <c r="D66" s="767"/>
      <c r="E66" s="767"/>
      <c r="F66" s="1622">
        <v>58500000</v>
      </c>
      <c r="G66" s="1623"/>
      <c r="H66" s="1623"/>
      <c r="I66" s="1623"/>
      <c r="J66" s="1624"/>
      <c r="K66" s="767"/>
      <c r="L66" s="767"/>
      <c r="M66" s="767"/>
      <c r="N66" s="767"/>
      <c r="O66" s="767"/>
      <c r="P66" s="767"/>
      <c r="Q66" s="767"/>
      <c r="R66" s="767"/>
      <c r="S66" s="767"/>
      <c r="T66" s="767"/>
      <c r="U66" s="767"/>
      <c r="V66" s="767"/>
      <c r="W66" s="767"/>
      <c r="X66" s="767"/>
      <c r="Y66" s="767"/>
      <c r="Z66" s="767"/>
      <c r="AA66" s="241"/>
      <c r="AB66" s="245"/>
      <c r="AC66" s="241"/>
      <c r="AD66" s="241"/>
    </row>
    <row r="67" spans="1:30" ht="17.25" customHeight="1" thickBot="1">
      <c r="A67" s="766"/>
      <c r="B67" s="767"/>
      <c r="C67" s="767"/>
      <c r="D67" s="767"/>
      <c r="E67" s="767"/>
      <c r="F67" s="767"/>
      <c r="G67" s="767"/>
      <c r="H67" s="767"/>
      <c r="I67" s="767"/>
      <c r="J67" s="767"/>
      <c r="K67" s="767"/>
      <c r="L67" s="767"/>
      <c r="M67" s="767"/>
      <c r="N67" s="767"/>
      <c r="O67" s="767"/>
      <c r="P67" s="767"/>
      <c r="Q67" s="767"/>
      <c r="R67" s="767"/>
      <c r="S67" s="767"/>
      <c r="T67" s="767"/>
      <c r="U67" s="767"/>
      <c r="V67" s="767"/>
      <c r="W67" s="767"/>
      <c r="X67" s="767"/>
      <c r="Y67" s="767"/>
      <c r="Z67" s="767"/>
      <c r="AA67" s="241"/>
      <c r="AB67" s="245"/>
      <c r="AC67" s="241"/>
      <c r="AD67" s="241"/>
    </row>
    <row r="68" spans="1:30" ht="14.25" customHeight="1" thickTop="1">
      <c r="A68" s="766"/>
      <c r="B68" s="1632" t="s">
        <v>321</v>
      </c>
      <c r="C68" s="1630" t="s">
        <v>322</v>
      </c>
      <c r="D68" s="1630"/>
      <c r="E68" s="1630" t="s">
        <v>323</v>
      </c>
      <c r="F68" s="1630"/>
      <c r="G68" s="1630"/>
      <c r="H68" s="1630"/>
      <c r="I68" s="1630"/>
      <c r="J68" s="1630" t="s">
        <v>822</v>
      </c>
      <c r="K68" s="1630"/>
      <c r="L68" s="1630"/>
      <c r="M68" s="1630"/>
      <c r="N68" s="1630" t="s">
        <v>324</v>
      </c>
      <c r="O68" s="1630"/>
      <c r="P68" s="1630"/>
      <c r="Q68" s="1630"/>
      <c r="R68" s="1685"/>
      <c r="S68" s="767"/>
      <c r="T68" s="767"/>
      <c r="U68" s="767"/>
      <c r="V68" s="767"/>
      <c r="W68" s="767"/>
      <c r="X68" s="767"/>
      <c r="Y68" s="767"/>
      <c r="Z68" s="767"/>
      <c r="AA68" s="241"/>
      <c r="AB68" s="241"/>
      <c r="AC68" s="241"/>
      <c r="AD68" s="241"/>
    </row>
    <row r="69" spans="1:30" ht="14.25" customHeight="1" thickBot="1">
      <c r="A69" s="766"/>
      <c r="B69" s="1633"/>
      <c r="C69" s="1631"/>
      <c r="D69" s="1631"/>
      <c r="E69" s="1631"/>
      <c r="F69" s="1631"/>
      <c r="G69" s="1631"/>
      <c r="H69" s="1631"/>
      <c r="I69" s="1631"/>
      <c r="J69" s="1631"/>
      <c r="K69" s="1631"/>
      <c r="L69" s="1631"/>
      <c r="M69" s="1631"/>
      <c r="N69" s="1631"/>
      <c r="O69" s="1631"/>
      <c r="P69" s="1631"/>
      <c r="Q69" s="1631"/>
      <c r="R69" s="1686"/>
      <c r="S69" s="767"/>
      <c r="T69" s="767"/>
      <c r="U69" s="767"/>
      <c r="V69" s="767"/>
      <c r="W69" s="767"/>
      <c r="X69" s="767"/>
      <c r="Y69" s="767"/>
      <c r="Z69" s="767"/>
      <c r="AA69" s="241"/>
      <c r="AB69" s="241"/>
      <c r="AC69" s="241"/>
      <c r="AD69" s="241"/>
    </row>
    <row r="70" spans="1:30" ht="14.25" customHeight="1" thickTop="1">
      <c r="A70" s="766"/>
      <c r="B70" s="780"/>
      <c r="C70" s="1619"/>
      <c r="D70" s="1621"/>
      <c r="E70" s="1619"/>
      <c r="F70" s="1620"/>
      <c r="G70" s="1620"/>
      <c r="H70" s="1620"/>
      <c r="I70" s="1621"/>
      <c r="J70" s="1619"/>
      <c r="K70" s="1620"/>
      <c r="L70" s="1620"/>
      <c r="M70" s="1621"/>
      <c r="N70" s="1619"/>
      <c r="O70" s="1620"/>
      <c r="P70" s="1620"/>
      <c r="Q70" s="1620"/>
      <c r="R70" s="1684"/>
      <c r="S70" s="767"/>
      <c r="T70" s="767"/>
      <c r="U70" s="767"/>
      <c r="V70" s="767"/>
      <c r="W70" s="767"/>
      <c r="X70" s="767"/>
      <c r="Y70" s="767"/>
      <c r="Z70" s="767"/>
      <c r="AA70" s="241"/>
      <c r="AB70" s="241"/>
      <c r="AC70" s="241"/>
      <c r="AD70" s="241"/>
    </row>
    <row r="71" spans="1:30" ht="14.25" customHeight="1">
      <c r="A71" s="766"/>
      <c r="B71" s="781">
        <v>1</v>
      </c>
      <c r="C71" s="1626" t="s">
        <v>1370</v>
      </c>
      <c r="D71" s="1626"/>
      <c r="E71" s="1020" t="s">
        <v>1371</v>
      </c>
      <c r="F71" s="1020"/>
      <c r="G71" s="1020"/>
      <c r="H71" s="1020"/>
      <c r="I71" s="1020"/>
      <c r="J71" s="1625" t="s">
        <v>1372</v>
      </c>
      <c r="K71" s="1625"/>
      <c r="L71" s="1625"/>
      <c r="M71" s="1625"/>
      <c r="N71" s="1020" t="s">
        <v>1373</v>
      </c>
      <c r="O71" s="1020"/>
      <c r="P71" s="1020"/>
      <c r="Q71" s="1020"/>
      <c r="R71" s="1683"/>
      <c r="S71" s="767"/>
      <c r="T71" s="767"/>
      <c r="U71" s="767"/>
      <c r="V71" s="767"/>
      <c r="W71" s="767"/>
      <c r="X71" s="767"/>
      <c r="Y71" s="767"/>
      <c r="Z71" s="767"/>
      <c r="AA71" s="241"/>
      <c r="AB71" s="241"/>
      <c r="AC71" s="241"/>
      <c r="AD71" s="241"/>
    </row>
    <row r="72" spans="1:30" ht="14.25" customHeight="1">
      <c r="A72" s="766"/>
      <c r="B72" s="781">
        <v>2</v>
      </c>
      <c r="C72" s="1626"/>
      <c r="D72" s="1626"/>
      <c r="E72" s="1020"/>
      <c r="F72" s="1020"/>
      <c r="G72" s="1020"/>
      <c r="H72" s="1020"/>
      <c r="I72" s="1020"/>
      <c r="J72" s="1625"/>
      <c r="K72" s="1625"/>
      <c r="L72" s="1625"/>
      <c r="M72" s="1625"/>
      <c r="N72" s="1020"/>
      <c r="O72" s="1020"/>
      <c r="P72" s="1020"/>
      <c r="Q72" s="1020"/>
      <c r="R72" s="1683"/>
      <c r="S72" s="767"/>
      <c r="T72" s="767"/>
      <c r="U72" s="767"/>
      <c r="V72" s="767"/>
      <c r="W72" s="767"/>
      <c r="X72" s="767"/>
      <c r="Y72" s="767"/>
      <c r="Z72" s="767"/>
      <c r="AA72" s="241"/>
      <c r="AB72" s="241"/>
      <c r="AC72" s="241"/>
      <c r="AD72" s="241"/>
    </row>
    <row r="73" spans="1:30" ht="14.25" customHeight="1">
      <c r="A73" s="766"/>
      <c r="B73" s="781">
        <v>3</v>
      </c>
      <c r="C73" s="1626"/>
      <c r="D73" s="1626"/>
      <c r="E73" s="1020"/>
      <c r="F73" s="1020"/>
      <c r="G73" s="1020"/>
      <c r="H73" s="1020"/>
      <c r="I73" s="1020"/>
      <c r="J73" s="1625"/>
      <c r="K73" s="1625"/>
      <c r="L73" s="1625"/>
      <c r="M73" s="1625"/>
      <c r="N73" s="1020"/>
      <c r="O73" s="1020"/>
      <c r="P73" s="1020"/>
      <c r="Q73" s="1020"/>
      <c r="R73" s="1683"/>
      <c r="S73" s="767"/>
      <c r="T73" s="767"/>
      <c r="U73" s="767"/>
      <c r="V73" s="767"/>
      <c r="W73" s="767"/>
      <c r="X73" s="767"/>
      <c r="Y73" s="767"/>
      <c r="Z73" s="767"/>
      <c r="AA73" s="241"/>
      <c r="AB73" s="241"/>
      <c r="AC73" s="241"/>
      <c r="AD73" s="241"/>
    </row>
    <row r="74" spans="1:30" ht="14.25" customHeight="1">
      <c r="A74" s="766"/>
      <c r="B74" s="781">
        <v>4</v>
      </c>
      <c r="C74" s="1626"/>
      <c r="D74" s="1626"/>
      <c r="E74" s="1020"/>
      <c r="F74" s="1020"/>
      <c r="G74" s="1020"/>
      <c r="H74" s="1020"/>
      <c r="I74" s="1020"/>
      <c r="J74" s="1625"/>
      <c r="K74" s="1625"/>
      <c r="L74" s="1625"/>
      <c r="M74" s="1625"/>
      <c r="N74" s="1020"/>
      <c r="O74" s="1020"/>
      <c r="P74" s="1020"/>
      <c r="Q74" s="1020"/>
      <c r="R74" s="1683"/>
      <c r="S74" s="767"/>
      <c r="T74" s="767"/>
      <c r="U74" s="767"/>
      <c r="V74" s="767"/>
      <c r="W74" s="767"/>
      <c r="X74" s="767"/>
      <c r="Y74" s="767"/>
      <c r="Z74" s="767"/>
      <c r="AA74" s="241"/>
      <c r="AB74" s="241"/>
      <c r="AC74" s="241"/>
      <c r="AD74" s="241"/>
    </row>
    <row r="75" spans="1:30" ht="14.25" customHeight="1">
      <c r="A75" s="766"/>
      <c r="B75" s="781">
        <v>5</v>
      </c>
      <c r="C75" s="1626"/>
      <c r="D75" s="1626"/>
      <c r="E75" s="1020"/>
      <c r="F75" s="1020"/>
      <c r="G75" s="1020"/>
      <c r="H75" s="1020"/>
      <c r="I75" s="1020"/>
      <c r="J75" s="1625"/>
      <c r="K75" s="1625"/>
      <c r="L75" s="1625"/>
      <c r="M75" s="1625"/>
      <c r="N75" s="1020"/>
      <c r="O75" s="1020"/>
      <c r="P75" s="1020"/>
      <c r="Q75" s="1020"/>
      <c r="R75" s="1683"/>
      <c r="S75" s="767"/>
      <c r="T75" s="767"/>
      <c r="U75" s="767"/>
      <c r="V75" s="767"/>
      <c r="W75" s="767"/>
      <c r="X75" s="767"/>
      <c r="Y75" s="767"/>
      <c r="Z75" s="767"/>
      <c r="AA75" s="241"/>
      <c r="AB75" s="241"/>
      <c r="AC75" s="241"/>
      <c r="AD75" s="241"/>
    </row>
    <row r="76" spans="1:30" ht="14.25" customHeight="1" thickBot="1">
      <c r="A76" s="766"/>
      <c r="B76" s="782"/>
      <c r="C76" s="1698"/>
      <c r="D76" s="1699"/>
      <c r="E76" s="1612"/>
      <c r="F76" s="1612"/>
      <c r="G76" s="1612"/>
      <c r="H76" s="1612"/>
      <c r="I76" s="1612"/>
      <c r="J76" s="1612"/>
      <c r="K76" s="1612"/>
      <c r="L76" s="1612"/>
      <c r="M76" s="1612"/>
      <c r="N76" s="1612"/>
      <c r="O76" s="1612"/>
      <c r="P76" s="1612"/>
      <c r="Q76" s="1612"/>
      <c r="R76" s="1613"/>
      <c r="S76" s="767"/>
      <c r="T76" s="767"/>
      <c r="U76" s="767"/>
      <c r="V76" s="767"/>
      <c r="W76" s="767"/>
      <c r="X76" s="767"/>
      <c r="Y76" s="767"/>
      <c r="Z76" s="767"/>
      <c r="AA76" s="241"/>
      <c r="AB76" s="241"/>
      <c r="AC76" s="241"/>
      <c r="AD76" s="241"/>
    </row>
    <row r="77" spans="1:35" ht="13.5" customHeight="1" thickTop="1">
      <c r="A77" s="766"/>
      <c r="B77" s="767"/>
      <c r="C77" s="767"/>
      <c r="D77" s="767"/>
      <c r="E77" s="767"/>
      <c r="F77" s="767"/>
      <c r="G77" s="767"/>
      <c r="H77" s="767"/>
      <c r="I77" s="767"/>
      <c r="J77" s="767"/>
      <c r="K77" s="767"/>
      <c r="L77" s="767"/>
      <c r="M77" s="767"/>
      <c r="N77" s="767"/>
      <c r="O77" s="767"/>
      <c r="P77" s="767"/>
      <c r="Q77" s="767"/>
      <c r="R77" s="767"/>
      <c r="S77" s="767"/>
      <c r="T77" s="767"/>
      <c r="U77" s="767"/>
      <c r="V77" s="767"/>
      <c r="W77" s="767"/>
      <c r="X77" s="767"/>
      <c r="Y77" s="767"/>
      <c r="Z77" s="767"/>
      <c r="AA77" s="241"/>
      <c r="AB77" s="241"/>
      <c r="AC77" s="241"/>
      <c r="AD77" s="241"/>
      <c r="AE77" s="237"/>
      <c r="AF77" s="237"/>
      <c r="AG77" s="237"/>
      <c r="AH77" s="237"/>
      <c r="AI77" s="237"/>
    </row>
    <row r="78" spans="1:27" s="423" customFormat="1" ht="18" customHeight="1">
      <c r="A78" s="754" t="s">
        <v>394</v>
      </c>
      <c r="B78" s="755"/>
      <c r="C78" s="755"/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423"/>
    </row>
    <row r="79" spans="1:35" s="237" customFormat="1" ht="13.5" customHeight="1">
      <c r="A79" s="783"/>
      <c r="B79" s="784"/>
      <c r="C79" s="784"/>
      <c r="D79" s="784"/>
      <c r="E79" s="784"/>
      <c r="F79" s="784"/>
      <c r="G79" s="784"/>
      <c r="H79" s="784"/>
      <c r="I79" s="784"/>
      <c r="J79" s="784"/>
      <c r="K79" s="784"/>
      <c r="L79" s="784"/>
      <c r="M79" s="784"/>
      <c r="N79" s="784"/>
      <c r="O79" s="784"/>
      <c r="P79" s="784"/>
      <c r="Q79" s="784"/>
      <c r="R79" s="784"/>
      <c r="S79" s="784"/>
      <c r="T79" s="784"/>
      <c r="U79" s="784"/>
      <c r="V79" s="784"/>
      <c r="W79" s="784"/>
      <c r="X79" s="784"/>
      <c r="Y79" s="784"/>
      <c r="Z79" s="784"/>
      <c r="AA79" s="238"/>
      <c r="AB79" s="238"/>
      <c r="AC79" s="237"/>
      <c r="AD79" s="237"/>
      <c r="AE79" s="237"/>
      <c r="AF79" s="237"/>
      <c r="AG79" s="237"/>
      <c r="AH79" s="237"/>
      <c r="AI79" s="237"/>
    </row>
    <row r="80" spans="1:35" ht="13.5" customHeight="1">
      <c r="A80" s="771">
        <v>1</v>
      </c>
      <c r="B80" s="770" t="s">
        <v>395</v>
      </c>
      <c r="C80" s="770"/>
      <c r="D80" s="770"/>
      <c r="E80" s="770"/>
      <c r="F80" s="770"/>
      <c r="G80" s="770"/>
      <c r="H80" s="770"/>
      <c r="I80" s="770"/>
      <c r="J80" s="770"/>
      <c r="K80" s="770"/>
      <c r="L80" s="770"/>
      <c r="M80" s="770"/>
      <c r="N80" s="770"/>
      <c r="O80" s="770"/>
      <c r="P80" s="770"/>
      <c r="Q80" s="770"/>
      <c r="R80" s="770"/>
      <c r="S80" s="770"/>
      <c r="T80" s="770"/>
      <c r="U80" s="770"/>
      <c r="V80" s="770"/>
      <c r="W80" s="770"/>
      <c r="X80" s="770"/>
      <c r="Y80" s="770"/>
      <c r="Z80" s="770"/>
      <c r="AA80" s="237"/>
      <c r="AB80" s="237"/>
      <c r="AC80" s="237"/>
      <c r="AD80" s="237"/>
      <c r="AE80" s="237"/>
      <c r="AF80" s="237"/>
      <c r="AG80" s="237"/>
      <c r="AH80" s="237"/>
      <c r="AI80" s="237"/>
    </row>
    <row r="81" spans="1:35" s="237" customFormat="1" ht="13.5" customHeight="1" thickBot="1">
      <c r="A81" s="771"/>
      <c r="B81" s="770"/>
      <c r="C81" s="770"/>
      <c r="D81" s="770"/>
      <c r="E81" s="770"/>
      <c r="F81" s="770"/>
      <c r="G81" s="770"/>
      <c r="H81" s="770"/>
      <c r="I81" s="770"/>
      <c r="J81" s="770"/>
      <c r="K81" s="770"/>
      <c r="L81" s="770"/>
      <c r="M81" s="770"/>
      <c r="N81" s="770"/>
      <c r="O81" s="770"/>
      <c r="P81" s="770"/>
      <c r="Q81" s="770"/>
      <c r="R81" s="770"/>
      <c r="S81" s="770"/>
      <c r="T81" s="770"/>
      <c r="U81" s="770"/>
      <c r="V81" s="770"/>
      <c r="W81" s="770"/>
      <c r="X81" s="770"/>
      <c r="Y81" s="770"/>
      <c r="Z81" s="770"/>
      <c r="AC81" s="1582"/>
      <c r="AD81" s="1582"/>
      <c r="AE81" s="1582"/>
      <c r="AF81" s="1582"/>
      <c r="AG81" s="237"/>
      <c r="AH81" s="237"/>
      <c r="AI81" s="237"/>
    </row>
    <row r="82" spans="1:28" ht="33.75" customHeight="1" thickTop="1" thickBot="1">
      <c r="A82" s="785"/>
      <c r="B82" s="1596" t="s">
        <v>396</v>
      </c>
      <c r="C82" s="1617"/>
      <c r="D82" s="1618" t="s">
        <v>397</v>
      </c>
      <c r="E82" s="1597"/>
      <c r="F82" s="1597"/>
      <c r="G82" s="1617"/>
      <c r="H82" s="1681" t="s">
        <v>398</v>
      </c>
      <c r="I82" s="1681"/>
      <c r="J82" s="1681"/>
      <c r="K82" s="1681"/>
      <c r="L82" s="1681" t="s">
        <v>399</v>
      </c>
      <c r="M82" s="1681"/>
      <c r="N82" s="1681"/>
      <c r="O82" s="1694"/>
      <c r="P82" s="770"/>
      <c r="Q82" s="770"/>
      <c r="R82" s="770"/>
      <c r="S82" s="770"/>
      <c r="T82" s="770"/>
      <c r="U82" s="770"/>
      <c r="V82" s="770"/>
      <c r="W82" s="770"/>
      <c r="X82" s="770"/>
      <c r="Y82" s="770"/>
      <c r="Z82" s="770"/>
      <c r="AA82" s="237"/>
      <c r="AB82" s="237"/>
    </row>
    <row r="83" spans="1:28" ht="13.5" customHeight="1" thickTop="1">
      <c r="A83" s="771"/>
      <c r="B83" s="1695"/>
      <c r="C83" s="1696"/>
      <c r="D83" s="786"/>
      <c r="E83" s="787"/>
      <c r="F83" s="787"/>
      <c r="G83" s="788"/>
      <c r="H83" s="1682"/>
      <c r="I83" s="1682"/>
      <c r="J83" s="1682"/>
      <c r="K83" s="1682"/>
      <c r="L83" s="1682"/>
      <c r="M83" s="1682"/>
      <c r="N83" s="1682"/>
      <c r="O83" s="1697"/>
      <c r="P83" s="770"/>
      <c r="Q83" s="770"/>
      <c r="R83" s="770"/>
      <c r="S83" s="770"/>
      <c r="T83" s="770"/>
      <c r="U83" s="770"/>
      <c r="V83" s="770"/>
      <c r="W83" s="770"/>
      <c r="X83" s="770"/>
      <c r="Y83" s="770"/>
      <c r="Z83" s="770"/>
      <c r="AA83" s="237"/>
      <c r="AB83" s="237"/>
    </row>
    <row r="84" spans="1:26" s="237" customFormat="1" customHeight="1">
      <c r="A84" s="771"/>
      <c r="B84" s="1675" t="s">
        <v>400</v>
      </c>
      <c r="C84" s="1676"/>
      <c r="D84" s="1568"/>
      <c r="E84" s="1569"/>
      <c r="F84" s="1569"/>
      <c r="G84" s="1570"/>
      <c r="H84" s="1571"/>
      <c r="I84" s="1572"/>
      <c r="J84" s="1572"/>
      <c r="K84" s="1573"/>
      <c r="L84" s="1575">
        <f t="shared" si="0" ref="L84:L95">+D84-H84</f>
        <v>0</v>
      </c>
      <c r="M84" s="1575"/>
      <c r="N84" s="1575"/>
      <c r="O84" s="1576"/>
      <c r="P84" s="770"/>
      <c r="Q84" s="770"/>
      <c r="R84" s="770"/>
      <c r="S84" s="770"/>
      <c r="T84" s="770"/>
      <c r="U84" s="770"/>
      <c r="V84" s="770"/>
      <c r="W84" s="770"/>
      <c r="X84" s="770"/>
      <c r="Y84" s="770"/>
      <c r="Z84" s="770"/>
    </row>
    <row r="85" spans="1:28" customHeight="1">
      <c r="A85" s="771"/>
      <c r="B85" s="1675" t="s">
        <v>401</v>
      </c>
      <c r="C85" s="1676"/>
      <c r="D85" s="1568"/>
      <c r="E85" s="1569"/>
      <c r="F85" s="1569"/>
      <c r="G85" s="1570"/>
      <c r="H85" s="1571"/>
      <c r="I85" s="1572"/>
      <c r="J85" s="1572"/>
      <c r="K85" s="1573"/>
      <c r="L85" s="1575">
        <f t="shared" si="0">+D85-H85</f>
        <v>0</v>
      </c>
      <c r="M85" s="1575"/>
      <c r="N85" s="1575"/>
      <c r="O85" s="1576"/>
      <c r="P85" s="770"/>
      <c r="Q85" s="770"/>
      <c r="R85" s="770"/>
      <c r="S85" s="770"/>
      <c r="T85" s="770"/>
      <c r="U85" s="770"/>
      <c r="V85" s="770"/>
      <c r="W85" s="770"/>
      <c r="X85" s="770"/>
      <c r="Y85" s="770"/>
      <c r="Z85" s="770"/>
      <c r="AA85" s="237"/>
      <c r="AB85" s="237"/>
    </row>
    <row r="86" spans="1:26" s="237" customFormat="1" customHeight="1">
      <c r="A86" s="771"/>
      <c r="B86" s="1675" t="s">
        <v>402</v>
      </c>
      <c r="C86" s="1676"/>
      <c r="D86" s="1568"/>
      <c r="E86" s="1569"/>
      <c r="F86" s="1569"/>
      <c r="G86" s="1570"/>
      <c r="H86" s="1571"/>
      <c r="I86" s="1572"/>
      <c r="J86" s="1572"/>
      <c r="K86" s="1573"/>
      <c r="L86" s="1575">
        <f t="shared" si="0">+D86-H86</f>
        <v>0</v>
      </c>
      <c r="M86" s="1575"/>
      <c r="N86" s="1575"/>
      <c r="O86" s="1576"/>
      <c r="P86" s="770"/>
      <c r="Q86" s="770"/>
      <c r="R86" s="770"/>
      <c r="S86" s="770"/>
      <c r="T86" s="770"/>
      <c r="U86" s="770"/>
      <c r="V86" s="770"/>
      <c r="W86" s="770"/>
      <c r="X86" s="770"/>
      <c r="Y86" s="770"/>
      <c r="Z86" s="770"/>
    </row>
    <row r="87" spans="1:26" s="237" customFormat="1" customHeight="1">
      <c r="A87" s="771"/>
      <c r="B87" s="1675" t="s">
        <v>403</v>
      </c>
      <c r="C87" s="1676"/>
      <c r="D87" s="1568"/>
      <c r="E87" s="1569"/>
      <c r="F87" s="1569"/>
      <c r="G87" s="1570"/>
      <c r="H87" s="1571"/>
      <c r="I87" s="1572"/>
      <c r="J87" s="1572"/>
      <c r="K87" s="1573"/>
      <c r="L87" s="1575">
        <f t="shared" si="0">+D87-H87</f>
        <v>0</v>
      </c>
      <c r="M87" s="1575"/>
      <c r="N87" s="1575"/>
      <c r="O87" s="1576"/>
      <c r="P87" s="770"/>
      <c r="Q87" s="770"/>
      <c r="R87" s="770"/>
      <c r="S87" s="770"/>
      <c r="T87" s="770"/>
      <c r="U87" s="770"/>
      <c r="V87" s="770"/>
      <c r="W87" s="770"/>
      <c r="X87" s="770"/>
      <c r="Y87" s="770"/>
      <c r="Z87" s="770"/>
    </row>
    <row r="88" spans="1:26" s="237" customFormat="1" customHeight="1">
      <c r="A88" s="771"/>
      <c r="B88" s="1675" t="s">
        <v>404</v>
      </c>
      <c r="C88" s="1676"/>
      <c r="D88" s="1568"/>
      <c r="E88" s="1569"/>
      <c r="F88" s="1569"/>
      <c r="G88" s="1570"/>
      <c r="H88" s="1571"/>
      <c r="I88" s="1572"/>
      <c r="J88" s="1572"/>
      <c r="K88" s="1573"/>
      <c r="L88" s="1575">
        <f t="shared" si="0">+D88-H88</f>
        <v>0</v>
      </c>
      <c r="M88" s="1575"/>
      <c r="N88" s="1575"/>
      <c r="O88" s="1576"/>
      <c r="P88" s="770"/>
      <c r="Q88" s="770"/>
      <c r="R88" s="770"/>
      <c r="S88" s="770"/>
      <c r="T88" s="770"/>
      <c r="U88" s="770"/>
      <c r="V88" s="770"/>
      <c r="W88" s="770"/>
      <c r="X88" s="770"/>
      <c r="Y88" s="770"/>
      <c r="Z88" s="770"/>
    </row>
    <row r="89" spans="1:26" s="237" customFormat="1" customHeight="1">
      <c r="A89" s="771"/>
      <c r="B89" s="1675" t="s">
        <v>405</v>
      </c>
      <c r="C89" s="1676"/>
      <c r="D89" s="1568"/>
      <c r="E89" s="1569"/>
      <c r="F89" s="1569"/>
      <c r="G89" s="1570"/>
      <c r="H89" s="1571"/>
      <c r="I89" s="1572"/>
      <c r="J89" s="1572"/>
      <c r="K89" s="1573"/>
      <c r="L89" s="1575">
        <f t="shared" si="0">+D89-H89</f>
        <v>0</v>
      </c>
      <c r="M89" s="1575"/>
      <c r="N89" s="1575"/>
      <c r="O89" s="1576"/>
      <c r="P89" s="770"/>
      <c r="Q89" s="770"/>
      <c r="R89" s="770"/>
      <c r="S89" s="770"/>
      <c r="T89" s="770"/>
      <c r="U89" s="770"/>
      <c r="V89" s="770"/>
      <c r="W89" s="770"/>
      <c r="X89" s="770"/>
      <c r="Y89" s="770"/>
      <c r="Z89" s="770"/>
    </row>
    <row r="90" spans="1:26" s="237" customFormat="1" customHeight="1">
      <c r="A90" s="771"/>
      <c r="B90" s="1675" t="s">
        <v>406</v>
      </c>
      <c r="C90" s="1676"/>
      <c r="D90" s="1568"/>
      <c r="E90" s="1569"/>
      <c r="F90" s="1569"/>
      <c r="G90" s="1570"/>
      <c r="H90" s="1571"/>
      <c r="I90" s="1572"/>
      <c r="J90" s="1572"/>
      <c r="K90" s="1573"/>
      <c r="L90" s="1575">
        <f t="shared" si="0">+D90-H90</f>
        <v>0</v>
      </c>
      <c r="M90" s="1575"/>
      <c r="N90" s="1575"/>
      <c r="O90" s="1576"/>
      <c r="P90" s="770"/>
      <c r="Q90" s="770"/>
      <c r="R90" s="770"/>
      <c r="S90" s="770"/>
      <c r="T90" s="770"/>
      <c r="U90" s="770"/>
      <c r="V90" s="770"/>
      <c r="W90" s="770"/>
      <c r="X90" s="770"/>
      <c r="Y90" s="770"/>
      <c r="Z90" s="770"/>
    </row>
    <row r="91" spans="1:26" s="237" customFormat="1" customHeight="1">
      <c r="A91" s="771"/>
      <c r="B91" s="1675" t="s">
        <v>407</v>
      </c>
      <c r="C91" s="1676"/>
      <c r="D91" s="1568"/>
      <c r="E91" s="1569"/>
      <c r="F91" s="1569"/>
      <c r="G91" s="1570"/>
      <c r="H91" s="1571"/>
      <c r="I91" s="1572"/>
      <c r="J91" s="1572"/>
      <c r="K91" s="1573"/>
      <c r="L91" s="1575">
        <f t="shared" si="0">+D91-H91</f>
        <v>0</v>
      </c>
      <c r="M91" s="1575"/>
      <c r="N91" s="1575"/>
      <c r="O91" s="1576"/>
      <c r="P91" s="770"/>
      <c r="Q91" s="770"/>
      <c r="R91" s="770"/>
      <c r="S91" s="770"/>
      <c r="T91" s="770"/>
      <c r="U91" s="770"/>
      <c r="V91" s="770"/>
      <c r="W91" s="770"/>
      <c r="X91" s="770"/>
      <c r="Y91" s="770"/>
      <c r="Z91" s="770"/>
    </row>
    <row r="92" spans="1:26" s="237" customFormat="1" customHeight="1">
      <c r="A92" s="771"/>
      <c r="B92" s="1675" t="s">
        <v>408</v>
      </c>
      <c r="C92" s="1676"/>
      <c r="D92" s="1568"/>
      <c r="E92" s="1569"/>
      <c r="F92" s="1569"/>
      <c r="G92" s="1570"/>
      <c r="H92" s="1571"/>
      <c r="I92" s="1572"/>
      <c r="J92" s="1572"/>
      <c r="K92" s="1573"/>
      <c r="L92" s="1575">
        <f t="shared" si="0">+D92-H92</f>
        <v>0</v>
      </c>
      <c r="M92" s="1575"/>
      <c r="N92" s="1575"/>
      <c r="O92" s="1576"/>
      <c r="P92" s="770"/>
      <c r="Q92" s="770"/>
      <c r="R92" s="770"/>
      <c r="S92" s="770"/>
      <c r="T92" s="770"/>
      <c r="U92" s="770"/>
      <c r="V92" s="770"/>
      <c r="W92" s="770"/>
      <c r="X92" s="770"/>
      <c r="Y92" s="770"/>
      <c r="Z92" s="770"/>
    </row>
    <row r="93" spans="1:26" s="237" customFormat="1" customHeight="1">
      <c r="A93" s="771"/>
      <c r="B93" s="1675" t="s">
        <v>409</v>
      </c>
      <c r="C93" s="1676"/>
      <c r="D93" s="1568"/>
      <c r="E93" s="1569"/>
      <c r="F93" s="1569"/>
      <c r="G93" s="1570"/>
      <c r="H93" s="1571"/>
      <c r="I93" s="1572"/>
      <c r="J93" s="1572"/>
      <c r="K93" s="1573"/>
      <c r="L93" s="1575">
        <f t="shared" si="0">+D93-H93</f>
        <v>0</v>
      </c>
      <c r="M93" s="1575"/>
      <c r="N93" s="1575"/>
      <c r="O93" s="1576"/>
      <c r="P93" s="770"/>
      <c r="Q93" s="770"/>
      <c r="R93" s="770"/>
      <c r="S93" s="770"/>
      <c r="T93" s="770"/>
      <c r="U93" s="770"/>
      <c r="V93" s="770"/>
      <c r="W93" s="770"/>
      <c r="X93" s="770"/>
      <c r="Y93" s="770"/>
      <c r="Z93" s="770"/>
    </row>
    <row r="94" spans="1:26" s="237" customFormat="1" customHeight="1">
      <c r="A94" s="771"/>
      <c r="B94" s="1675" t="s">
        <v>410</v>
      </c>
      <c r="C94" s="1676"/>
      <c r="D94" s="1568"/>
      <c r="E94" s="1569"/>
      <c r="F94" s="1569"/>
      <c r="G94" s="1570"/>
      <c r="H94" s="1571"/>
      <c r="I94" s="1572"/>
      <c r="J94" s="1572"/>
      <c r="K94" s="1573"/>
      <c r="L94" s="1575">
        <f t="shared" si="0">+D94-H94</f>
        <v>0</v>
      </c>
      <c r="M94" s="1575"/>
      <c r="N94" s="1575"/>
      <c r="O94" s="1576"/>
      <c r="P94" s="770"/>
      <c r="Q94" s="770"/>
      <c r="R94" s="770"/>
      <c r="S94" s="770"/>
      <c r="T94" s="770"/>
      <c r="U94" s="770"/>
      <c r="V94" s="770"/>
      <c r="W94" s="770"/>
      <c r="X94" s="770"/>
      <c r="Y94" s="770"/>
      <c r="Z94" s="770"/>
    </row>
    <row r="95" spans="1:26" s="237" customFormat="1" customHeight="1">
      <c r="A95" s="771"/>
      <c r="B95" s="1675" t="s">
        <v>411</v>
      </c>
      <c r="C95" s="1676"/>
      <c r="D95" s="1568"/>
      <c r="E95" s="1569"/>
      <c r="F95" s="1569"/>
      <c r="G95" s="1570"/>
      <c r="H95" s="1571"/>
      <c r="I95" s="1572"/>
      <c r="J95" s="1572"/>
      <c r="K95" s="1573"/>
      <c r="L95" s="1575">
        <f t="shared" si="0">+D95-H95</f>
        <v>0</v>
      </c>
      <c r="M95" s="1575"/>
      <c r="N95" s="1575"/>
      <c r="O95" s="1576"/>
      <c r="P95" s="770"/>
      <c r="Q95" s="770"/>
      <c r="R95" s="770"/>
      <c r="S95" s="770"/>
      <c r="T95" s="770"/>
      <c r="U95" s="770"/>
      <c r="V95" s="770"/>
      <c r="W95" s="770"/>
      <c r="X95" s="770"/>
      <c r="Y95" s="770"/>
      <c r="Z95" s="770"/>
    </row>
    <row r="96" spans="1:26" s="237" customFormat="1" customHeight="1" thickBot="1">
      <c r="A96" s="771"/>
      <c r="B96" s="1677"/>
      <c r="C96" s="1678"/>
      <c r="D96" s="790"/>
      <c r="E96" s="791"/>
      <c r="F96" s="791"/>
      <c r="G96" s="792"/>
      <c r="H96" s="1679"/>
      <c r="I96" s="1679"/>
      <c r="J96" s="1679"/>
      <c r="K96" s="1679"/>
      <c r="L96" s="1679"/>
      <c r="M96" s="1679"/>
      <c r="N96" s="1679"/>
      <c r="O96" s="1680"/>
      <c r="P96" s="770"/>
      <c r="Q96" s="770"/>
      <c r="R96" s="770"/>
      <c r="S96" s="770"/>
      <c r="T96" s="770"/>
      <c r="U96" s="770"/>
      <c r="V96" s="770"/>
      <c r="W96" s="770"/>
      <c r="X96" s="770"/>
      <c r="Y96" s="770"/>
      <c r="Z96" s="770"/>
    </row>
    <row r="97" spans="1:32" s="237" customFormat="1" ht="26.25" customHeight="1" thickTop="1" thickBot="1">
      <c r="A97" s="771"/>
      <c r="B97" s="770"/>
      <c r="C97" s="770"/>
      <c r="D97" s="770"/>
      <c r="E97" s="770"/>
      <c r="F97" s="770"/>
      <c r="G97" s="770"/>
      <c r="H97" s="770"/>
      <c r="I97" s="770"/>
      <c r="J97" s="770"/>
      <c r="K97" s="770"/>
      <c r="L97" s="770"/>
      <c r="M97" s="770"/>
      <c r="N97" s="793"/>
      <c r="O97" s="793"/>
      <c r="P97" s="793"/>
      <c r="Q97" s="793"/>
      <c r="R97" s="793"/>
      <c r="S97" s="793"/>
      <c r="T97" s="793"/>
      <c r="U97" s="793"/>
      <c r="V97" s="770"/>
      <c r="W97" s="770"/>
      <c r="X97" s="770"/>
      <c r="Y97" s="770"/>
      <c r="Z97" s="770"/>
      <c r="AE97" s="249"/>
      <c r="AF97" s="237"/>
    </row>
    <row r="98" spans="1:32" s="237" customFormat="1" ht="18" customHeight="1" thickTop="1" thickBot="1">
      <c r="A98" s="771"/>
      <c r="B98" s="789" t="s">
        <v>412</v>
      </c>
      <c r="C98" s="789"/>
      <c r="D98" s="1579">
        <f>SUM(D84:G95)</f>
        <v>0</v>
      </c>
      <c r="E98" s="1580"/>
      <c r="F98" s="1580"/>
      <c r="G98" s="1581"/>
      <c r="H98" s="1579">
        <f>SUM(H84:K95)</f>
        <v>0</v>
      </c>
      <c r="I98" s="1636"/>
      <c r="J98" s="1636"/>
      <c r="K98" s="1637"/>
      <c r="L98" s="1579">
        <f>SUM(L84:O95)</f>
        <v>0</v>
      </c>
      <c r="M98" s="1636"/>
      <c r="N98" s="1636"/>
      <c r="O98" s="1637"/>
      <c r="P98" s="770"/>
      <c r="Q98" s="770"/>
      <c r="R98" s="770"/>
      <c r="S98" s="770"/>
      <c r="T98" s="770"/>
      <c r="U98" s="770"/>
      <c r="V98" s="770"/>
      <c r="W98" s="770"/>
      <c r="X98" s="770"/>
      <c r="Y98" s="770"/>
      <c r="Z98" s="770"/>
      <c r="AE98" s="249"/>
      <c r="AF98" s="237"/>
    </row>
    <row r="99" spans="1:32" s="237" customFormat="1" ht="18" customHeight="1" thickTop="1" thickBot="1">
      <c r="A99" s="771"/>
      <c r="B99" s="789" t="s">
        <v>598</v>
      </c>
      <c r="C99" s="789"/>
      <c r="D99" s="1579">
        <f>PPH25TOTAL+PPh25exSTP</f>
        <v>0</v>
      </c>
      <c r="E99" s="1580"/>
      <c r="F99" s="1580"/>
      <c r="G99" s="1581"/>
      <c r="H99" s="1672"/>
      <c r="I99" s="1673"/>
      <c r="J99" s="1673"/>
      <c r="K99" s="1674"/>
      <c r="L99" s="1672"/>
      <c r="M99" s="1673"/>
      <c r="N99" s="1673"/>
      <c r="O99" s="1674"/>
      <c r="P99" s="770"/>
      <c r="Q99" s="770"/>
      <c r="R99" s="770"/>
      <c r="S99" s="770"/>
      <c r="T99" s="770"/>
      <c r="U99" s="770"/>
      <c r="V99" s="770"/>
      <c r="W99" s="770"/>
      <c r="X99" s="770"/>
      <c r="Y99" s="770"/>
      <c r="Z99" s="770"/>
      <c r="AE99" s="249"/>
      <c r="AF99" s="237"/>
    </row>
    <row r="100" spans="1:32" s="237" customFormat="1" ht="17.25" customHeight="1" thickTop="1">
      <c r="A100" s="771"/>
      <c r="B100" s="770" t="s">
        <v>608</v>
      </c>
      <c r="C100" s="770"/>
      <c r="D100" s="770"/>
      <c r="E100" s="770"/>
      <c r="F100" s="770"/>
      <c r="G100" s="770"/>
      <c r="H100" s="770"/>
      <c r="I100" s="770"/>
      <c r="J100" s="770"/>
      <c r="K100" s="770"/>
      <c r="L100" s="770"/>
      <c r="M100" s="770"/>
      <c r="N100" s="770"/>
      <c r="O100" s="770"/>
      <c r="P100" s="770"/>
      <c r="Q100" s="770"/>
      <c r="R100" s="770"/>
      <c r="S100" s="770"/>
      <c r="T100" s="770"/>
      <c r="U100" s="770"/>
      <c r="V100" s="770"/>
      <c r="W100" s="770"/>
      <c r="X100" s="770"/>
      <c r="Y100" s="770"/>
      <c r="Z100" s="770"/>
      <c r="AE100" s="249"/>
      <c r="AF100" s="237"/>
    </row>
    <row r="101" spans="1:32" s="237" customFormat="1" ht="17.25" customHeight="1" thickBot="1">
      <c r="A101" s="771"/>
      <c r="B101" s="770"/>
      <c r="C101" s="770"/>
      <c r="D101" s="770"/>
      <c r="E101" s="770"/>
      <c r="F101" s="770"/>
      <c r="G101" s="770"/>
      <c r="H101" s="770"/>
      <c r="I101" s="770"/>
      <c r="J101" s="770"/>
      <c r="K101" s="770"/>
      <c r="L101" s="770"/>
      <c r="M101" s="770"/>
      <c r="N101" s="770"/>
      <c r="O101" s="770"/>
      <c r="P101" s="770"/>
      <c r="Q101" s="770"/>
      <c r="R101" s="770"/>
      <c r="S101" s="770"/>
      <c r="T101" s="770"/>
      <c r="U101" s="770"/>
      <c r="V101" s="770"/>
      <c r="W101" s="770"/>
      <c r="X101" s="770"/>
      <c r="Y101" s="770"/>
      <c r="Z101" s="770"/>
      <c r="AE101" s="249"/>
      <c r="AF101" s="237"/>
    </row>
    <row r="102" spans="1:32" s="237" customFormat="1" ht="18" customHeight="1" thickTop="1" thickBot="1">
      <c r="A102" s="771" t="s">
        <v>299</v>
      </c>
      <c r="B102" s="770" t="s">
        <v>413</v>
      </c>
      <c r="C102" s="770"/>
      <c r="D102" s="770"/>
      <c r="E102" s="770"/>
      <c r="F102" s="770"/>
      <c r="G102" s="770"/>
      <c r="H102" s="770"/>
      <c r="I102" s="770"/>
      <c r="J102" s="770"/>
      <c r="K102" s="1608"/>
      <c r="L102" s="1609"/>
      <c r="M102" s="1609"/>
      <c r="N102" s="1609"/>
      <c r="O102" s="1609"/>
      <c r="P102" s="1610"/>
      <c r="Q102" s="770"/>
      <c r="R102" s="770"/>
      <c r="S102" s="770"/>
      <c r="T102" s="770"/>
      <c r="U102" s="770"/>
      <c r="V102" s="770"/>
      <c r="W102" s="770"/>
      <c r="X102" s="770"/>
      <c r="Y102" s="770"/>
      <c r="Z102" s="770"/>
      <c r="AA102" s="251"/>
      <c r="AB102" s="247"/>
      <c r="AC102" s="238"/>
      <c r="AE102" s="249"/>
      <c r="AF102" s="237"/>
    </row>
    <row r="103" spans="1:29" s="237" customFormat="1" ht="13.5" customHeight="1" thickTop="1">
      <c r="A103" s="783"/>
      <c r="B103" s="784"/>
      <c r="C103" s="784"/>
      <c r="D103" s="784"/>
      <c r="E103" s="784"/>
      <c r="F103" s="784"/>
      <c r="G103" s="784"/>
      <c r="H103" s="784"/>
      <c r="I103" s="784"/>
      <c r="J103" s="784"/>
      <c r="K103" s="784"/>
      <c r="L103" s="784"/>
      <c r="M103" s="784"/>
      <c r="N103" s="784"/>
      <c r="O103" s="784"/>
      <c r="P103" s="784"/>
      <c r="Q103" s="784"/>
      <c r="R103" s="784"/>
      <c r="S103" s="784"/>
      <c r="T103" s="784"/>
      <c r="U103" s="784"/>
      <c r="V103" s="784"/>
      <c r="W103" s="784"/>
      <c r="X103" s="784"/>
      <c r="Y103" s="784"/>
      <c r="Z103" s="784"/>
      <c r="AA103" s="247"/>
      <c r="AB103" s="247"/>
      <c r="AC103" s="238"/>
    </row>
    <row r="104" spans="1:27" s="423" customFormat="1" ht="18" customHeight="1">
      <c r="A104" s="754" t="s">
        <v>364</v>
      </c>
      <c r="B104" s="755"/>
      <c r="C104" s="755"/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423"/>
    </row>
    <row r="105" spans="1:32" s="237" customFormat="1" ht="17.25" customHeight="1" thickBot="1">
      <c r="A105" s="783"/>
      <c r="B105" s="784"/>
      <c r="C105" s="784"/>
      <c r="D105" s="784"/>
      <c r="E105" s="784"/>
      <c r="F105" s="784"/>
      <c r="G105" s="784"/>
      <c r="H105" s="784"/>
      <c r="I105" s="784"/>
      <c r="J105" s="784"/>
      <c r="K105" s="784"/>
      <c r="L105" s="784"/>
      <c r="M105" s="784"/>
      <c r="N105" s="784"/>
      <c r="O105" s="784"/>
      <c r="P105" s="784"/>
      <c r="Q105" s="784"/>
      <c r="R105" s="784"/>
      <c r="S105" s="784"/>
      <c r="T105" s="784"/>
      <c r="U105" s="784"/>
      <c r="V105" s="784"/>
      <c r="W105" s="784"/>
      <c r="X105" s="784"/>
      <c r="Y105" s="784"/>
      <c r="Z105" s="784"/>
      <c r="AA105" s="247"/>
      <c r="AB105" s="247"/>
      <c r="AC105" s="238"/>
      <c r="AE105" s="249"/>
      <c r="AF105" s="250"/>
    </row>
    <row r="106" spans="1:29" s="237" customFormat="1" ht="14.25" customHeight="1" thickTop="1" thickBot="1">
      <c r="A106" s="771"/>
      <c r="B106" s="770"/>
      <c r="C106" s="770"/>
      <c r="D106" s="770"/>
      <c r="E106" s="770"/>
      <c r="F106" s="770"/>
      <c r="G106" s="1605" t="s">
        <v>365</v>
      </c>
      <c r="H106" s="1606"/>
      <c r="I106" s="1606"/>
      <c r="J106" s="1606"/>
      <c r="K106" s="1607"/>
      <c r="L106" s="1605" t="s">
        <v>366</v>
      </c>
      <c r="M106" s="1606"/>
      <c r="N106" s="1606"/>
      <c r="O106" s="1606"/>
      <c r="P106" s="1607"/>
      <c r="Q106" s="1605" t="s">
        <v>367</v>
      </c>
      <c r="R106" s="1606"/>
      <c r="S106" s="1606"/>
      <c r="T106" s="1606"/>
      <c r="U106" s="1607"/>
      <c r="V106" s="1605" t="s">
        <v>368</v>
      </c>
      <c r="W106" s="1606"/>
      <c r="X106" s="1606"/>
      <c r="Y106" s="1606"/>
      <c r="Z106" s="1607"/>
      <c r="AA106" s="247"/>
      <c r="AB106" s="247"/>
      <c r="AC106" s="238"/>
    </row>
    <row r="107" spans="1:35" s="237" customFormat="1" ht="18" customHeight="1" thickTop="1" thickBot="1">
      <c r="A107" s="262"/>
      <c r="B107" s="263" t="s">
        <v>369</v>
      </c>
      <c r="C107" s="263"/>
      <c r="D107" s="770"/>
      <c r="E107" s="770"/>
      <c r="F107" s="770"/>
      <c r="G107" s="770"/>
      <c r="H107" s="770"/>
      <c r="I107" s="770"/>
      <c r="J107" s="770"/>
      <c r="K107" s="770"/>
      <c r="L107" s="770"/>
      <c r="M107" s="770"/>
      <c r="N107" s="770"/>
      <c r="O107" s="770"/>
      <c r="P107" s="770"/>
      <c r="Q107" s="770"/>
      <c r="R107" s="770"/>
      <c r="S107" s="770"/>
      <c r="T107" s="770"/>
      <c r="U107" s="770"/>
      <c r="V107" s="770"/>
      <c r="W107" s="770"/>
      <c r="X107" s="770"/>
      <c r="Y107" s="770"/>
      <c r="Z107" s="770"/>
      <c r="AA107" s="247"/>
      <c r="AB107" s="247"/>
      <c r="AC107" s="238"/>
      <c r="AH107" s="249"/>
      <c r="AI107" s="237"/>
    </row>
    <row r="108" spans="1:32" s="237" customFormat="1" ht="18" customHeight="1" thickTop="1" thickBot="1">
      <c r="A108" s="771">
        <v>1</v>
      </c>
      <c r="B108" s="770" t="s">
        <v>370</v>
      </c>
      <c r="C108" s="770"/>
      <c r="D108" s="770"/>
      <c r="E108" s="770"/>
      <c r="F108" s="770"/>
      <c r="G108" s="1566">
        <v>43466</v>
      </c>
      <c r="H108" s="1567"/>
      <c r="I108" s="264" t="s">
        <v>371</v>
      </c>
      <c r="J108" s="1567">
        <v>43738</v>
      </c>
      <c r="K108" s="1574"/>
      <c r="L108" s="1566"/>
      <c r="M108" s="1567"/>
      <c r="N108" s="264" t="s">
        <v>371</v>
      </c>
      <c r="O108" s="1567"/>
      <c r="P108" s="1574"/>
      <c r="Q108" s="1566"/>
      <c r="R108" s="1567"/>
      <c r="S108" s="264" t="s">
        <v>371</v>
      </c>
      <c r="T108" s="1567"/>
      <c r="U108" s="1574"/>
      <c r="V108" s="1577">
        <f>G108</f>
        <v>0</v>
      </c>
      <c r="W108" s="1578"/>
      <c r="X108" s="265" t="s">
        <v>371</v>
      </c>
      <c r="Y108" s="1578">
        <f>IF(T108&gt;0,T108,IF(O108&gt;0,O108,J108))</f>
        <v>0</v>
      </c>
      <c r="Z108" s="1638"/>
      <c r="AA108" s="251"/>
      <c r="AB108" s="247"/>
      <c r="AC108" s="238"/>
      <c r="AE108" s="249"/>
      <c r="AF108" s="237"/>
    </row>
    <row r="109" spans="1:31" s="237" customFormat="1" ht="18" customHeight="1" thickTop="1" thickBot="1">
      <c r="A109" s="771">
        <v>2</v>
      </c>
      <c r="B109" s="770" t="s">
        <v>372</v>
      </c>
      <c r="C109" s="770"/>
      <c r="D109" s="770"/>
      <c r="E109" s="770"/>
      <c r="F109" s="770"/>
      <c r="G109" s="1640">
        <f>IF(G108&gt;0,MONTH(J108)-MONTH(G108)+1,MONTH(J108)-MONTH(G108))</f>
        <v>0</v>
      </c>
      <c r="H109" s="1641"/>
      <c r="I109" s="1641"/>
      <c r="J109" s="1641"/>
      <c r="K109" s="1642"/>
      <c r="L109" s="1640">
        <f>IF(L108&gt;0,MONTH(O108)-MONTH(L108)+1,MONTH(O108)-MONTH(L108))</f>
        <v>0</v>
      </c>
      <c r="M109" s="1641"/>
      <c r="N109" s="1641"/>
      <c r="O109" s="1641"/>
      <c r="P109" s="1642"/>
      <c r="Q109" s="1640">
        <f>IF(Q108&gt;0,MONTH(T108)-MONTH(Q108)+1,MONTH(T108)-MONTH(Q108))</f>
        <v>0</v>
      </c>
      <c r="R109" s="1641"/>
      <c r="S109" s="1641"/>
      <c r="T109" s="1641"/>
      <c r="U109" s="1642"/>
      <c r="V109" s="1640">
        <f>IF(SUM(G109:U109)&gt;12,12,SUM(G109:U109))</f>
        <v>0</v>
      </c>
      <c r="W109" s="1641"/>
      <c r="X109" s="1641"/>
      <c r="Y109" s="1641"/>
      <c r="Z109" s="1642"/>
      <c r="AA109" s="238"/>
      <c r="AB109" s="247"/>
      <c r="AD109" s="249"/>
      <c r="AE109" s="237"/>
    </row>
    <row r="110" spans="1:28" s="237" customFormat="1" ht="41.25" customHeight="1" thickTop="1" thickBot="1">
      <c r="A110" s="771">
        <v>3</v>
      </c>
      <c r="B110" s="770" t="s">
        <v>373</v>
      </c>
      <c r="C110" s="770"/>
      <c r="D110" s="770"/>
      <c r="E110" s="770"/>
      <c r="F110" s="770"/>
      <c r="G110" s="1653" t="s">
        <v>1374</v>
      </c>
      <c r="H110" s="1654"/>
      <c r="I110" s="1654"/>
      <c r="J110" s="1654"/>
      <c r="K110" s="1655"/>
      <c r="L110" s="1650" t="s">
        <v>30</v>
      </c>
      <c r="M110" s="1651"/>
      <c r="N110" s="1651"/>
      <c r="O110" s="1651"/>
      <c r="P110" s="1652"/>
      <c r="Q110" s="1650" t="s">
        <v>30</v>
      </c>
      <c r="R110" s="1651"/>
      <c r="S110" s="1651"/>
      <c r="T110" s="1651"/>
      <c r="U110" s="1652"/>
      <c r="V110" s="1648"/>
      <c r="W110" s="1649"/>
      <c r="X110" s="1649"/>
      <c r="Y110" s="1649"/>
      <c r="Z110" s="1649"/>
      <c r="AA110" s="238"/>
      <c r="AB110" s="247"/>
    </row>
    <row r="111" spans="1:28" s="237" customFormat="1" ht="14.25" customHeight="1" thickTop="1" thickBot="1">
      <c r="A111" s="771">
        <v>4</v>
      </c>
      <c r="B111" s="770" t="s">
        <v>374</v>
      </c>
      <c r="C111" s="770"/>
      <c r="D111" s="770"/>
      <c r="E111" s="770"/>
      <c r="F111" s="770"/>
      <c r="G111" s="1650" t="s">
        <v>1375</v>
      </c>
      <c r="H111" s="1651"/>
      <c r="I111" s="1651"/>
      <c r="J111" s="1651"/>
      <c r="K111" s="1652"/>
      <c r="L111" s="1650" t="s">
        <v>30</v>
      </c>
      <c r="M111" s="1651"/>
      <c r="N111" s="1651"/>
      <c r="O111" s="1651"/>
      <c r="P111" s="1652"/>
      <c r="Q111" s="1650" t="s">
        <v>30</v>
      </c>
      <c r="R111" s="1651"/>
      <c r="S111" s="1651"/>
      <c r="T111" s="1651"/>
      <c r="U111" s="1652"/>
      <c r="V111" s="1639"/>
      <c r="W111" s="794"/>
      <c r="X111" s="794"/>
      <c r="Y111" s="794"/>
      <c r="Z111" s="794"/>
      <c r="AA111" s="238"/>
      <c r="AB111" s="238"/>
    </row>
    <row r="112" spans="1:28" ht="14.25" customHeight="1" thickTop="1" thickBot="1">
      <c r="A112" s="771">
        <v>5</v>
      </c>
      <c r="B112" s="770" t="s">
        <v>375</v>
      </c>
      <c r="C112" s="770"/>
      <c r="D112" s="770"/>
      <c r="E112" s="770"/>
      <c r="F112" s="770"/>
      <c r="G112" s="1650" t="s">
        <v>1376</v>
      </c>
      <c r="H112" s="1651"/>
      <c r="I112" s="1651"/>
      <c r="J112" s="1651"/>
      <c r="K112" s="1652"/>
      <c r="L112" s="1650" t="s">
        <v>30</v>
      </c>
      <c r="M112" s="1651"/>
      <c r="N112" s="1651"/>
      <c r="O112" s="1651"/>
      <c r="P112" s="1652"/>
      <c r="Q112" s="1650" t="s">
        <v>30</v>
      </c>
      <c r="R112" s="1651"/>
      <c r="S112" s="1651"/>
      <c r="T112" s="1651"/>
      <c r="U112" s="1652"/>
      <c r="V112" s="1639"/>
      <c r="W112" s="794"/>
      <c r="X112" s="794"/>
      <c r="Y112" s="794"/>
      <c r="Z112" s="794"/>
      <c r="AA112" s="241"/>
      <c r="AB112" s="241"/>
    </row>
    <row r="113" spans="1:29" ht="14.25" customHeight="1" thickTop="1" thickBot="1">
      <c r="A113" s="771">
        <v>6</v>
      </c>
      <c r="B113" s="770" t="s">
        <v>376</v>
      </c>
      <c r="C113" s="770"/>
      <c r="D113" s="770"/>
      <c r="E113" s="770"/>
      <c r="F113" s="770"/>
      <c r="G113" s="1667">
        <v>43767</v>
      </c>
      <c r="H113" s="1668"/>
      <c r="I113" s="1668"/>
      <c r="J113" s="1668"/>
      <c r="K113" s="1669"/>
      <c r="L113" s="1667" t="s">
        <v>30</v>
      </c>
      <c r="M113" s="1668"/>
      <c r="N113" s="1668"/>
      <c r="O113" s="1668"/>
      <c r="P113" s="1669"/>
      <c r="Q113" s="1667" t="s">
        <v>30</v>
      </c>
      <c r="R113" s="1668"/>
      <c r="S113" s="1668"/>
      <c r="T113" s="1668"/>
      <c r="U113" s="1669"/>
      <c r="V113" s="1639"/>
      <c r="W113" s="794"/>
      <c r="X113" s="794"/>
      <c r="Y113" s="794"/>
      <c r="Z113" s="794"/>
      <c r="AA113" s="238"/>
      <c r="AB113" s="238"/>
      <c r="AC113" s="238"/>
    </row>
    <row r="114" spans="1:31" ht="14.25" customHeight="1" thickTop="1" thickBot="1">
      <c r="A114" s="771">
        <v>7</v>
      </c>
      <c r="B114" s="770" t="s">
        <v>377</v>
      </c>
      <c r="C114" s="770"/>
      <c r="D114" s="770"/>
      <c r="E114" s="770"/>
      <c r="F114" s="770"/>
      <c r="G114" s="617" t="s">
        <v>296</v>
      </c>
      <c r="H114" s="793" t="str">
        <f>IF(G114="X","YES","NO")</f>
        <v>NO</v>
      </c>
      <c r="I114" s="770"/>
      <c r="J114" s="770"/>
      <c r="K114" s="770"/>
      <c r="L114" s="617" t="s">
        <v>587</v>
      </c>
      <c r="M114" s="793" t="str">
        <f>IF(L114="X","YES","NO")</f>
        <v>YES</v>
      </c>
      <c r="N114" s="770"/>
      <c r="O114" s="770"/>
      <c r="P114" s="770" t="s">
        <v>295</v>
      </c>
      <c r="Q114" s="617" t="s">
        <v>587</v>
      </c>
      <c r="R114" s="793" t="str">
        <f>IF(Q114="X","YES","NO")</f>
        <v>YES</v>
      </c>
      <c r="S114" s="770"/>
      <c r="T114" s="770"/>
      <c r="U114" s="770"/>
      <c r="V114" s="794"/>
      <c r="W114" s="794"/>
      <c r="X114" s="794"/>
      <c r="Y114" s="794"/>
      <c r="Z114" s="794"/>
      <c r="AA114" s="238"/>
      <c r="AB114" s="238"/>
      <c r="AC114" s="238"/>
      <c r="AD114" s="238"/>
      <c r="AE114" s="238"/>
    </row>
    <row r="115" spans="1:31" ht="13.5" customHeight="1" thickTop="1">
      <c r="A115" s="771"/>
      <c r="B115" s="770"/>
      <c r="C115" s="770"/>
      <c r="D115" s="770"/>
      <c r="E115" s="770"/>
      <c r="F115" s="770"/>
      <c r="G115" s="770"/>
      <c r="H115" s="770"/>
      <c r="I115" s="770"/>
      <c r="J115" s="770"/>
      <c r="K115" s="770"/>
      <c r="L115" s="770"/>
      <c r="M115" s="770"/>
      <c r="N115" s="770"/>
      <c r="O115" s="770"/>
      <c r="P115" s="770"/>
      <c r="Q115" s="770"/>
      <c r="R115" s="770"/>
      <c r="S115" s="770"/>
      <c r="T115" s="770"/>
      <c r="U115" s="770"/>
      <c r="V115" s="770"/>
      <c r="W115" s="770"/>
      <c r="X115" s="770"/>
      <c r="Y115" s="770"/>
      <c r="Z115" s="770"/>
      <c r="AA115" s="238"/>
      <c r="AB115" s="238"/>
      <c r="AC115" s="238"/>
      <c r="AD115" s="238"/>
      <c r="AE115" s="238"/>
    </row>
    <row r="116" spans="1:31" ht="15.75" customHeight="1">
      <c r="A116" s="262"/>
      <c r="B116" s="263" t="s">
        <v>378</v>
      </c>
      <c r="C116" s="263"/>
      <c r="D116" s="770"/>
      <c r="E116" s="770"/>
      <c r="F116" s="770"/>
      <c r="G116" s="771"/>
      <c r="H116" s="771"/>
      <c r="I116" s="771"/>
      <c r="J116" s="771"/>
      <c r="K116" s="771"/>
      <c r="L116" s="770"/>
      <c r="M116" s="770"/>
      <c r="N116" s="770"/>
      <c r="O116" s="770"/>
      <c r="P116" s="770"/>
      <c r="Q116" s="770"/>
      <c r="R116" s="770"/>
      <c r="S116" s="770"/>
      <c r="T116" s="770"/>
      <c r="U116" s="770"/>
      <c r="V116" s="770"/>
      <c r="W116" s="770"/>
      <c r="X116" s="770"/>
      <c r="Y116" s="770"/>
      <c r="Z116" s="770"/>
      <c r="AA116" s="238"/>
      <c r="AB116" s="238"/>
      <c r="AC116" s="238"/>
      <c r="AD116" s="238"/>
      <c r="AE116" s="238"/>
    </row>
    <row r="117" spans="1:29" s="237" customFormat="1" ht="13.5" customHeight="1" thickBot="1">
      <c r="A117" s="771">
        <v>1</v>
      </c>
      <c r="B117" s="770" t="s">
        <v>244</v>
      </c>
      <c r="C117" s="770"/>
      <c r="D117" s="770"/>
      <c r="E117" s="770"/>
      <c r="F117" s="770"/>
      <c r="G117" s="770"/>
      <c r="H117" s="770"/>
      <c r="I117" s="770"/>
      <c r="J117" s="770"/>
      <c r="K117" s="770"/>
      <c r="L117" s="770"/>
      <c r="M117" s="770"/>
      <c r="N117" s="770"/>
      <c r="O117" s="770"/>
      <c r="P117" s="770"/>
      <c r="Q117" s="770"/>
      <c r="R117" s="770"/>
      <c r="S117" s="770"/>
      <c r="T117" s="770"/>
      <c r="U117" s="770"/>
      <c r="V117" s="770"/>
      <c r="W117" s="770"/>
      <c r="X117" s="770"/>
      <c r="Y117" s="770"/>
      <c r="Z117" s="770"/>
      <c r="AA117" s="238"/>
      <c r="AB117" s="238"/>
      <c r="AC117" s="238"/>
    </row>
    <row r="118" spans="1:28" s="237" customFormat="1" ht="14.25" customHeight="1" thickTop="1" thickBot="1">
      <c r="A118" s="789"/>
      <c r="B118" s="1643" t="s">
        <v>379</v>
      </c>
      <c r="C118" s="1643"/>
      <c r="D118" s="1643"/>
      <c r="E118" s="1643"/>
      <c r="F118" s="1644"/>
      <c r="G118" s="1560">
        <v>856963437</v>
      </c>
      <c r="H118" s="1561"/>
      <c r="I118" s="1561"/>
      <c r="J118" s="1561"/>
      <c r="K118" s="1562"/>
      <c r="L118" s="1560"/>
      <c r="M118" s="1561"/>
      <c r="N118" s="1561"/>
      <c r="O118" s="1561"/>
      <c r="P118" s="1562"/>
      <c r="Q118" s="1560" t="s">
        <v>295</v>
      </c>
      <c r="R118" s="1561"/>
      <c r="S118" s="1561"/>
      <c r="T118" s="1561"/>
      <c r="U118" s="1562"/>
      <c r="V118" s="1563">
        <f>SUM(G118:U118)</f>
        <v>0</v>
      </c>
      <c r="W118" s="1564"/>
      <c r="X118" s="1564"/>
      <c r="Y118" s="1564"/>
      <c r="Z118" s="1565"/>
      <c r="AA118" s="247"/>
      <c r="AB118" s="247"/>
    </row>
    <row r="119" spans="1:28" s="237" customFormat="1" ht="14.25" customHeight="1" thickTop="1" thickBot="1">
      <c r="A119" s="789"/>
      <c r="B119" s="1643" t="s">
        <v>380</v>
      </c>
      <c r="C119" s="1643"/>
      <c r="D119" s="1643"/>
      <c r="E119" s="1643"/>
      <c r="F119" s="1644"/>
      <c r="G119" s="1560"/>
      <c r="H119" s="1561"/>
      <c r="I119" s="1561"/>
      <c r="J119" s="1561"/>
      <c r="K119" s="1562"/>
      <c r="L119" s="1560"/>
      <c r="M119" s="1561"/>
      <c r="N119" s="1561"/>
      <c r="O119" s="1561"/>
      <c r="P119" s="1562"/>
      <c r="Q119" s="1560"/>
      <c r="R119" s="1561"/>
      <c r="S119" s="1561"/>
      <c r="T119" s="1561"/>
      <c r="U119" s="1562"/>
      <c r="V119" s="1563">
        <f t="shared" si="1" ref="V119:V124">SUM(G119:U119)</f>
        <v>0</v>
      </c>
      <c r="W119" s="1564"/>
      <c r="X119" s="1564"/>
      <c r="Y119" s="1564"/>
      <c r="Z119" s="1565"/>
      <c r="AA119" s="247"/>
      <c r="AB119" s="247"/>
    </row>
    <row r="120" spans="1:28" s="237" customFormat="1" ht="27" customHeight="1" thickTop="1" thickBot="1">
      <c r="A120" s="795"/>
      <c r="B120" s="1643" t="s">
        <v>381</v>
      </c>
      <c r="C120" s="1643"/>
      <c r="D120" s="1643"/>
      <c r="E120" s="1643"/>
      <c r="F120" s="1644"/>
      <c r="G120" s="1560">
        <v>113567967</v>
      </c>
      <c r="H120" s="1561"/>
      <c r="I120" s="1561"/>
      <c r="J120" s="1561"/>
      <c r="K120" s="1562"/>
      <c r="L120" s="1560"/>
      <c r="M120" s="1561"/>
      <c r="N120" s="1561"/>
      <c r="O120" s="1561"/>
      <c r="P120" s="1562"/>
      <c r="Q120" s="1560"/>
      <c r="R120" s="1561"/>
      <c r="S120" s="1561"/>
      <c r="T120" s="1561"/>
      <c r="U120" s="1562"/>
      <c r="V120" s="1563">
        <f t="shared" si="1">SUM(G120:U120)</f>
        <v>0</v>
      </c>
      <c r="W120" s="1564"/>
      <c r="X120" s="1564"/>
      <c r="Y120" s="1564"/>
      <c r="Z120" s="1565"/>
      <c r="AA120" s="247"/>
      <c r="AB120" s="247"/>
    </row>
    <row r="121" spans="1:28" s="237" customFormat="1" ht="15" customHeight="1" thickTop="1" thickBot="1">
      <c r="A121" s="789"/>
      <c r="B121" s="1643" t="s">
        <v>382</v>
      </c>
      <c r="C121" s="1643"/>
      <c r="D121" s="1643"/>
      <c r="E121" s="1643"/>
      <c r="F121" s="1644"/>
      <c r="G121" s="1560"/>
      <c r="H121" s="1561"/>
      <c r="I121" s="1561"/>
      <c r="J121" s="1561"/>
      <c r="K121" s="1562"/>
      <c r="L121" s="1560"/>
      <c r="M121" s="1561"/>
      <c r="N121" s="1561"/>
      <c r="O121" s="1561"/>
      <c r="P121" s="1562"/>
      <c r="Q121" s="1560"/>
      <c r="R121" s="1561"/>
      <c r="S121" s="1561"/>
      <c r="T121" s="1561"/>
      <c r="U121" s="1562"/>
      <c r="V121" s="1563">
        <f t="shared" si="1">SUM(G121:U121)</f>
        <v>0</v>
      </c>
      <c r="W121" s="1564"/>
      <c r="X121" s="1564"/>
      <c r="Y121" s="1564"/>
      <c r="Z121" s="1565"/>
      <c r="AA121" s="247"/>
      <c r="AB121" s="247"/>
    </row>
    <row r="122" spans="1:28" s="237" customFormat="1" ht="14.25" customHeight="1" thickTop="1" thickBot="1">
      <c r="A122" s="789"/>
      <c r="B122" s="1643" t="s">
        <v>383</v>
      </c>
      <c r="C122" s="1643"/>
      <c r="D122" s="1643"/>
      <c r="E122" s="1643"/>
      <c r="F122" s="1644"/>
      <c r="G122" s="1560">
        <v>13077867</v>
      </c>
      <c r="H122" s="1561"/>
      <c r="I122" s="1561"/>
      <c r="J122" s="1561"/>
      <c r="K122" s="1562"/>
      <c r="L122" s="1560"/>
      <c r="M122" s="1561"/>
      <c r="N122" s="1561"/>
      <c r="O122" s="1561"/>
      <c r="P122" s="1562"/>
      <c r="Q122" s="1560"/>
      <c r="R122" s="1561"/>
      <c r="S122" s="1561"/>
      <c r="T122" s="1561"/>
      <c r="U122" s="1562"/>
      <c r="V122" s="1563">
        <f t="shared" si="1">SUM(G122:U122)</f>
        <v>0</v>
      </c>
      <c r="W122" s="1564"/>
      <c r="X122" s="1564"/>
      <c r="Y122" s="1564"/>
      <c r="Z122" s="1565"/>
      <c r="AA122" s="247"/>
      <c r="AB122" s="247"/>
    </row>
    <row r="123" spans="1:29" s="237" customFormat="1" ht="24" customHeight="1" thickTop="1" thickBot="1">
      <c r="A123" s="795"/>
      <c r="B123" s="1643" t="s">
        <v>713</v>
      </c>
      <c r="C123" s="1643"/>
      <c r="D123" s="1643"/>
      <c r="E123" s="1643"/>
      <c r="F123" s="1644"/>
      <c r="G123" s="1560"/>
      <c r="H123" s="1561"/>
      <c r="I123" s="1561"/>
      <c r="J123" s="1561"/>
      <c r="K123" s="1562"/>
      <c r="L123" s="1560"/>
      <c r="M123" s="1561"/>
      <c r="N123" s="1561"/>
      <c r="O123" s="1561"/>
      <c r="P123" s="1562"/>
      <c r="Q123" s="1560"/>
      <c r="R123" s="1561"/>
      <c r="S123" s="1561"/>
      <c r="T123" s="1561"/>
      <c r="U123" s="1562"/>
      <c r="V123" s="1563">
        <f t="shared" si="1">SUM(G123:U123)</f>
        <v>0</v>
      </c>
      <c r="W123" s="1564"/>
      <c r="X123" s="1564"/>
      <c r="Y123" s="1564"/>
      <c r="Z123" s="1565"/>
      <c r="AA123" s="247"/>
      <c r="AB123" s="247"/>
      <c r="AC123" s="237" t="s">
        <v>295</v>
      </c>
    </row>
    <row r="124" spans="1:28" s="237" customFormat="1" ht="24.75" customHeight="1" thickTop="1" thickBot="1">
      <c r="A124" s="795"/>
      <c r="B124" s="1645" t="s">
        <v>384</v>
      </c>
      <c r="C124" s="1645"/>
      <c r="D124" s="1645"/>
      <c r="E124" s="1645"/>
      <c r="F124" s="1646"/>
      <c r="G124" s="1560">
        <v>169587118</v>
      </c>
      <c r="H124" s="1561"/>
      <c r="I124" s="1561"/>
      <c r="J124" s="1561"/>
      <c r="K124" s="1562"/>
      <c r="L124" s="1560"/>
      <c r="M124" s="1561"/>
      <c r="N124" s="1561"/>
      <c r="O124" s="1561"/>
      <c r="P124" s="1562"/>
      <c r="Q124" s="1560"/>
      <c r="R124" s="1561"/>
      <c r="S124" s="1561"/>
      <c r="T124" s="1561"/>
      <c r="U124" s="1562"/>
      <c r="V124" s="1563">
        <f t="shared" si="1">SUM(G124:U124)</f>
        <v>0</v>
      </c>
      <c r="W124" s="1564"/>
      <c r="X124" s="1564"/>
      <c r="Y124" s="1564"/>
      <c r="Z124" s="1565"/>
      <c r="AA124" s="247"/>
      <c r="AB124" s="247"/>
    </row>
    <row r="125" spans="1:28" s="237" customFormat="1" ht="14.25" customHeight="1" thickTop="1" thickBot="1">
      <c r="A125" s="789"/>
      <c r="B125" s="795" t="s">
        <v>385</v>
      </c>
      <c r="C125" s="795"/>
      <c r="D125" s="795"/>
      <c r="E125" s="795"/>
      <c r="F125" s="1671"/>
      <c r="G125" s="1563">
        <f>SUM(G118:K124)</f>
        <v>0</v>
      </c>
      <c r="H125" s="1564"/>
      <c r="I125" s="1564"/>
      <c r="J125" s="1564"/>
      <c r="K125" s="1565"/>
      <c r="L125" s="1563">
        <f>SUM(L118:P124)</f>
        <v>0</v>
      </c>
      <c r="M125" s="1564"/>
      <c r="N125" s="1564"/>
      <c r="O125" s="1564"/>
      <c r="P125" s="1565"/>
      <c r="Q125" s="1563">
        <f>SUM(Q118:U124)</f>
        <v>0</v>
      </c>
      <c r="R125" s="1564"/>
      <c r="S125" s="1564"/>
      <c r="T125" s="1564"/>
      <c r="U125" s="1565"/>
      <c r="V125" s="1563">
        <f>SUM(V118:Z124)</f>
        <v>0</v>
      </c>
      <c r="W125" s="1564"/>
      <c r="X125" s="1564"/>
      <c r="Y125" s="1564"/>
      <c r="Z125" s="1565"/>
      <c r="AA125" s="247"/>
      <c r="AB125" s="247"/>
    </row>
    <row r="126" spans="1:28" s="237" customFormat="1" ht="13.5" customHeight="1" thickTop="1">
      <c r="A126" s="789"/>
      <c r="B126" s="795"/>
      <c r="C126" s="795"/>
      <c r="D126" s="795"/>
      <c r="E126" s="795"/>
      <c r="F126" s="795"/>
      <c r="G126" s="795"/>
      <c r="H126" s="795"/>
      <c r="I126" s="795"/>
      <c r="J126" s="795"/>
      <c r="K126" s="795"/>
      <c r="L126" s="795"/>
      <c r="M126" s="795"/>
      <c r="N126" s="795"/>
      <c r="O126" s="795"/>
      <c r="P126" s="795"/>
      <c r="Q126" s="795"/>
      <c r="R126" s="795"/>
      <c r="S126" s="795"/>
      <c r="T126" s="795"/>
      <c r="U126" s="795"/>
      <c r="V126" s="798"/>
      <c r="W126" s="798"/>
      <c r="X126" s="798"/>
      <c r="Y126" s="798"/>
      <c r="Z126" s="798"/>
      <c r="AA126" s="247"/>
      <c r="AB126" s="247"/>
    </row>
    <row r="127" spans="1:28" s="237" customFormat="1" ht="13.5" customHeight="1" thickBot="1">
      <c r="A127" s="771">
        <v>2</v>
      </c>
      <c r="B127" s="1647" t="s">
        <v>386</v>
      </c>
      <c r="C127" s="1647"/>
      <c r="D127" s="1647"/>
      <c r="E127" s="1647"/>
      <c r="F127" s="1647"/>
      <c r="G127" s="795"/>
      <c r="H127" s="795"/>
      <c r="I127" s="795"/>
      <c r="J127" s="795"/>
      <c r="K127" s="795"/>
      <c r="L127" s="795" t="s">
        <v>295</v>
      </c>
      <c r="M127" s="795"/>
      <c r="N127" s="795"/>
      <c r="O127" s="795"/>
      <c r="P127" s="795"/>
      <c r="Q127" s="795"/>
      <c r="R127" s="795"/>
      <c r="S127" s="795"/>
      <c r="T127" s="795"/>
      <c r="U127" s="795"/>
      <c r="V127" s="798"/>
      <c r="W127" s="798"/>
      <c r="X127" s="798"/>
      <c r="Y127" s="798"/>
      <c r="Z127" s="798"/>
      <c r="AA127" s="247"/>
      <c r="AB127" s="247"/>
    </row>
    <row r="128" spans="1:26" ht="14.25" customHeight="1" thickTop="1" thickBot="1">
      <c r="A128" s="789"/>
      <c r="B128" s="1643" t="s">
        <v>387</v>
      </c>
      <c r="C128" s="1643"/>
      <c r="D128" s="1643"/>
      <c r="E128" s="1643"/>
      <c r="F128" s="1644"/>
      <c r="G128" s="1560">
        <v>4500000</v>
      </c>
      <c r="H128" s="1561"/>
      <c r="I128" s="1561"/>
      <c r="J128" s="1561"/>
      <c r="K128" s="1562"/>
      <c r="L128" s="1560"/>
      <c r="M128" s="1561"/>
      <c r="N128" s="1561"/>
      <c r="O128" s="1561"/>
      <c r="P128" s="1562"/>
      <c r="Q128" s="1560"/>
      <c r="R128" s="1561"/>
      <c r="S128" s="1561"/>
      <c r="T128" s="1561"/>
      <c r="U128" s="1562"/>
      <c r="V128" s="1563">
        <f>+SUM(G128:U128)</f>
        <v>0</v>
      </c>
      <c r="W128" s="1564"/>
      <c r="X128" s="1564"/>
      <c r="Y128" s="1564"/>
      <c r="Z128" s="1565"/>
    </row>
    <row r="129" spans="1:26" ht="14.25" customHeight="1" thickTop="1" thickBot="1">
      <c r="A129" s="789"/>
      <c r="B129" s="1643" t="s">
        <v>388</v>
      </c>
      <c r="C129" s="1643"/>
      <c r="D129" s="1643"/>
      <c r="E129" s="1643"/>
      <c r="F129" s="1644"/>
      <c r="G129" s="1560"/>
      <c r="H129" s="1561"/>
      <c r="I129" s="1561"/>
      <c r="J129" s="1561"/>
      <c r="K129" s="1562"/>
      <c r="L129" s="1560"/>
      <c r="M129" s="1561"/>
      <c r="N129" s="1561"/>
      <c r="O129" s="1561"/>
      <c r="P129" s="1562"/>
      <c r="Q129" s="1560"/>
      <c r="R129" s="1561"/>
      <c r="S129" s="1561"/>
      <c r="T129" s="1561"/>
      <c r="U129" s="1562"/>
      <c r="V129" s="1563">
        <f>+SUM(G129:U129)</f>
        <v>0</v>
      </c>
      <c r="W129" s="1564"/>
      <c r="X129" s="1564"/>
      <c r="Y129" s="1564"/>
      <c r="Z129" s="1565"/>
    </row>
    <row r="130" spans="1:26" ht="14.25" customHeight="1" thickTop="1" thickBot="1">
      <c r="A130" s="789"/>
      <c r="B130" s="1643" t="s">
        <v>389</v>
      </c>
      <c r="C130" s="1643"/>
      <c r="D130" s="1643"/>
      <c r="E130" s="1643"/>
      <c r="F130" s="1644"/>
      <c r="G130" s="1560">
        <v>17139267</v>
      </c>
      <c r="H130" s="1561"/>
      <c r="I130" s="1561"/>
      <c r="J130" s="1561"/>
      <c r="K130" s="1562"/>
      <c r="L130" s="1560"/>
      <c r="M130" s="1561"/>
      <c r="N130" s="1561"/>
      <c r="O130" s="1561"/>
      <c r="P130" s="1562"/>
      <c r="Q130" s="1560"/>
      <c r="R130" s="1561"/>
      <c r="S130" s="1561"/>
      <c r="T130" s="1561"/>
      <c r="U130" s="1562"/>
      <c r="V130" s="1563">
        <f>+SUM(G130:U130)</f>
        <v>0</v>
      </c>
      <c r="W130" s="1564"/>
      <c r="X130" s="1564"/>
      <c r="Y130" s="1564"/>
      <c r="Z130" s="1565"/>
    </row>
    <row r="131" spans="1:26" ht="14.25" customHeight="1" thickTop="1" thickBot="1">
      <c r="A131" s="789"/>
      <c r="B131" s="1647" t="s">
        <v>390</v>
      </c>
      <c r="C131" s="1647"/>
      <c r="D131" s="1647"/>
      <c r="E131" s="1647"/>
      <c r="F131" s="1670"/>
      <c r="G131" s="1563">
        <f>SUM(G128:K130)</f>
        <v>0</v>
      </c>
      <c r="H131" s="1564"/>
      <c r="I131" s="1564"/>
      <c r="J131" s="1564"/>
      <c r="K131" s="1565"/>
      <c r="L131" s="1563">
        <f>SUM(L128:P130)</f>
        <v>0</v>
      </c>
      <c r="M131" s="1564"/>
      <c r="N131" s="1564"/>
      <c r="O131" s="1564"/>
      <c r="P131" s="1565"/>
      <c r="Q131" s="1563">
        <f>SUM(Q128:U130)</f>
        <v>0</v>
      </c>
      <c r="R131" s="1564"/>
      <c r="S131" s="1564"/>
      <c r="T131" s="1564"/>
      <c r="U131" s="1565"/>
      <c r="V131" s="1563">
        <f>SUM(V128:Z130)</f>
        <v>0</v>
      </c>
      <c r="W131" s="1564"/>
      <c r="X131" s="1564"/>
      <c r="Y131" s="1564"/>
      <c r="Z131" s="1565"/>
    </row>
    <row r="132" spans="1:26" ht="14.25" customHeight="1" thickTop="1" thickBot="1">
      <c r="A132" s="789"/>
      <c r="B132" s="796"/>
      <c r="C132" s="789"/>
      <c r="D132" s="789"/>
      <c r="E132" s="789"/>
      <c r="F132" s="789"/>
      <c r="G132" s="793"/>
      <c r="H132" s="793"/>
      <c r="I132" s="793"/>
      <c r="J132" s="793"/>
      <c r="K132" s="793"/>
      <c r="L132" s="793"/>
      <c r="M132" s="793"/>
      <c r="N132" s="793"/>
      <c r="O132" s="793"/>
      <c r="P132" s="793"/>
      <c r="Q132" s="793"/>
      <c r="R132" s="793"/>
      <c r="S132" s="793"/>
      <c r="T132" s="793"/>
      <c r="U132" s="793"/>
      <c r="V132" s="793"/>
      <c r="W132" s="793"/>
      <c r="X132" s="793"/>
      <c r="Y132" s="793"/>
      <c r="Z132" s="793"/>
    </row>
    <row r="133" spans="1:26" ht="14.25" customHeight="1" thickTop="1" thickBot="1">
      <c r="A133" s="771">
        <v>3</v>
      </c>
      <c r="B133" s="789" t="s">
        <v>226</v>
      </c>
      <c r="C133" s="789"/>
      <c r="D133" s="789"/>
      <c r="E133" s="789"/>
      <c r="F133" s="789"/>
      <c r="G133" s="1563">
        <f>G125-G131</f>
        <v>0</v>
      </c>
      <c r="H133" s="1564"/>
      <c r="I133" s="1564"/>
      <c r="J133" s="1564"/>
      <c r="K133" s="1565"/>
      <c r="L133" s="1563">
        <f>L125-L131</f>
        <v>0</v>
      </c>
      <c r="M133" s="1564"/>
      <c r="N133" s="1564"/>
      <c r="O133" s="1564"/>
      <c r="P133" s="1565"/>
      <c r="Q133" s="1563">
        <f>Q125-Q131</f>
        <v>0</v>
      </c>
      <c r="R133" s="1564"/>
      <c r="S133" s="1564"/>
      <c r="T133" s="1564"/>
      <c r="U133" s="1565"/>
      <c r="V133" s="1563">
        <f>V125-V131</f>
        <v>0</v>
      </c>
      <c r="W133" s="1564"/>
      <c r="X133" s="1564"/>
      <c r="Y133" s="1564"/>
      <c r="Z133" s="1565"/>
    </row>
    <row r="134" spans="1:26" ht="13.5" customHeight="1" thickTop="1">
      <c r="A134" s="771"/>
      <c r="B134" s="797"/>
      <c r="C134" s="789"/>
      <c r="D134" s="789"/>
      <c r="E134" s="789"/>
      <c r="F134" s="789"/>
      <c r="G134" s="793"/>
      <c r="H134" s="793"/>
      <c r="I134" s="793"/>
      <c r="J134" s="793"/>
      <c r="K134" s="793"/>
      <c r="L134" s="793"/>
      <c r="M134" s="793"/>
      <c r="N134" s="793"/>
      <c r="O134" s="793"/>
      <c r="P134" s="793"/>
      <c r="Q134" s="793"/>
      <c r="R134" s="793"/>
      <c r="S134" s="793"/>
      <c r="T134" s="793"/>
      <c r="U134" s="793"/>
      <c r="V134" s="793"/>
      <c r="W134" s="793"/>
      <c r="X134" s="793"/>
      <c r="Y134" s="793"/>
      <c r="Z134" s="793"/>
    </row>
    <row r="135" spans="1:28" s="237" customFormat="1" ht="13.5" customHeight="1" thickBot="1">
      <c r="A135" s="771">
        <v>4</v>
      </c>
      <c r="B135" s="789" t="s">
        <v>722</v>
      </c>
      <c r="C135" s="789"/>
      <c r="D135" s="789"/>
      <c r="E135" s="789"/>
      <c r="F135" s="789"/>
      <c r="G135" s="793"/>
      <c r="H135" s="793"/>
      <c r="I135" s="793"/>
      <c r="J135" s="793"/>
      <c r="K135" s="793"/>
      <c r="L135" s="793"/>
      <c r="M135" s="793"/>
      <c r="N135" s="793"/>
      <c r="O135" s="793"/>
      <c r="P135" s="793"/>
      <c r="Q135" s="793"/>
      <c r="R135" s="793"/>
      <c r="S135" s="793"/>
      <c r="T135" s="793"/>
      <c r="U135" s="793"/>
      <c r="V135" s="793"/>
      <c r="W135" s="793"/>
      <c r="X135" s="793"/>
      <c r="Y135" s="793"/>
      <c r="Z135" s="793"/>
      <c r="AA135" s="237"/>
      <c r="AB135" s="237"/>
    </row>
    <row r="136" spans="1:28" s="237" customFormat="1" ht="14.25" customHeight="1" thickTop="1" thickBot="1">
      <c r="A136" s="771"/>
      <c r="B136" s="789" t="s">
        <v>723</v>
      </c>
      <c r="C136" s="789"/>
      <c r="D136" s="789"/>
      <c r="E136" s="789"/>
      <c r="F136" s="789"/>
      <c r="G136" s="1560"/>
      <c r="H136" s="1561"/>
      <c r="I136" s="1561"/>
      <c r="J136" s="1561"/>
      <c r="K136" s="1562"/>
      <c r="L136" s="1560"/>
      <c r="M136" s="1561"/>
      <c r="N136" s="1561"/>
      <c r="O136" s="1561"/>
      <c r="P136" s="1562"/>
      <c r="Q136" s="1560"/>
      <c r="R136" s="1561"/>
      <c r="S136" s="1561"/>
      <c r="T136" s="1561"/>
      <c r="U136" s="1562"/>
      <c r="V136" s="1563">
        <f>SUM(G136:U136)</f>
        <v>0</v>
      </c>
      <c r="W136" s="1564"/>
      <c r="X136" s="1564"/>
      <c r="Y136" s="1564"/>
      <c r="Z136" s="1565"/>
      <c r="AA136" s="237"/>
      <c r="AB136" s="237"/>
    </row>
    <row r="137" spans="1:28" s="237" customFormat="1" ht="14.25" customHeight="1" thickTop="1" thickBot="1">
      <c r="A137" s="771"/>
      <c r="B137" s="789" t="s">
        <v>724</v>
      </c>
      <c r="C137" s="789"/>
      <c r="D137" s="789"/>
      <c r="E137" s="789"/>
      <c r="F137" s="789"/>
      <c r="G137" s="1560"/>
      <c r="H137" s="1561"/>
      <c r="I137" s="1561"/>
      <c r="J137" s="1561"/>
      <c r="K137" s="1562"/>
      <c r="L137" s="1560"/>
      <c r="M137" s="1561"/>
      <c r="N137" s="1561"/>
      <c r="O137" s="1561"/>
      <c r="P137" s="1562"/>
      <c r="Q137" s="1560"/>
      <c r="R137" s="1561"/>
      <c r="S137" s="1561"/>
      <c r="T137" s="1561"/>
      <c r="U137" s="1562"/>
      <c r="V137" s="1563">
        <f>SUM(G137:U137)</f>
        <v>0</v>
      </c>
      <c r="W137" s="1564"/>
      <c r="X137" s="1564"/>
      <c r="Y137" s="1564"/>
      <c r="Z137" s="1565"/>
      <c r="AA137" s="237"/>
      <c r="AB137" s="237"/>
    </row>
    <row r="138" spans="1:28" s="237" customFormat="1" ht="14.25" customHeight="1" thickTop="1" thickBot="1">
      <c r="A138" s="771"/>
      <c r="B138" s="797"/>
      <c r="C138" s="789"/>
      <c r="D138" s="789"/>
      <c r="E138" s="789"/>
      <c r="F138" s="789"/>
      <c r="G138" s="799"/>
      <c r="H138" s="799"/>
      <c r="I138" s="799"/>
      <c r="J138" s="799"/>
      <c r="K138" s="799"/>
      <c r="L138" s="799"/>
      <c r="M138" s="799"/>
      <c r="N138" s="799"/>
      <c r="O138" s="799"/>
      <c r="P138" s="799"/>
      <c r="Q138" s="799"/>
      <c r="R138" s="799"/>
      <c r="S138" s="799"/>
      <c r="T138" s="799"/>
      <c r="U138" s="799"/>
      <c r="V138" s="800"/>
      <c r="W138" s="800"/>
      <c r="X138" s="800"/>
      <c r="Y138" s="800"/>
      <c r="Z138" s="800"/>
      <c r="AA138" s="237"/>
      <c r="AB138" s="237"/>
    </row>
    <row r="139" spans="1:28" s="237" customFormat="1" ht="14.25" customHeight="1" thickTop="1" thickBot="1">
      <c r="A139" s="771">
        <v>5</v>
      </c>
      <c r="B139" s="789" t="s">
        <v>557</v>
      </c>
      <c r="C139" s="789"/>
      <c r="D139" s="789"/>
      <c r="E139" s="789"/>
      <c r="F139" s="789"/>
      <c r="G139" s="1560">
        <v>1131557122</v>
      </c>
      <c r="H139" s="1561"/>
      <c r="I139" s="1561"/>
      <c r="J139" s="1561"/>
      <c r="K139" s="1562"/>
      <c r="L139" s="1560"/>
      <c r="M139" s="1561"/>
      <c r="N139" s="1561"/>
      <c r="O139" s="1561"/>
      <c r="P139" s="1562"/>
      <c r="Q139" s="1560"/>
      <c r="R139" s="1561"/>
      <c r="S139" s="1561"/>
      <c r="T139" s="1561"/>
      <c r="U139" s="1562"/>
      <c r="V139" s="1563">
        <f>SUM(G139:U139)</f>
        <v>0</v>
      </c>
      <c r="W139" s="1564"/>
      <c r="X139" s="1564"/>
      <c r="Y139" s="1564"/>
      <c r="Z139" s="1565"/>
      <c r="AA139" s="237"/>
      <c r="AB139" s="237"/>
    </row>
    <row r="140" spans="1:28" s="237" customFormat="1" ht="14.25" customHeight="1" thickTop="1" thickBot="1">
      <c r="A140" s="771"/>
      <c r="B140" s="797"/>
      <c r="C140" s="789"/>
      <c r="D140" s="789"/>
      <c r="E140" s="789"/>
      <c r="F140" s="789"/>
      <c r="G140" s="799"/>
      <c r="H140" s="799"/>
      <c r="I140" s="799"/>
      <c r="J140" s="799"/>
      <c r="K140" s="799"/>
      <c r="L140" s="799"/>
      <c r="M140" s="799"/>
      <c r="N140" s="799"/>
      <c r="O140" s="799"/>
      <c r="P140" s="799"/>
      <c r="Q140" s="799"/>
      <c r="R140" s="799"/>
      <c r="S140" s="799"/>
      <c r="T140" s="799"/>
      <c r="U140" s="799"/>
      <c r="V140" s="800"/>
      <c r="W140" s="800"/>
      <c r="X140" s="800"/>
      <c r="Y140" s="800"/>
      <c r="Z140" s="800"/>
      <c r="AA140" s="237"/>
      <c r="AB140" s="237"/>
    </row>
    <row r="141" spans="1:26" ht="14.25" customHeight="1" thickTop="1" thickBot="1">
      <c r="A141" s="771">
        <v>6</v>
      </c>
      <c r="B141" s="789" t="s">
        <v>424</v>
      </c>
      <c r="C141" s="789"/>
      <c r="D141" s="789"/>
      <c r="E141" s="789"/>
      <c r="F141" s="789"/>
      <c r="G141" s="1560">
        <v>1508742829</v>
      </c>
      <c r="H141" s="1561"/>
      <c r="I141" s="1561"/>
      <c r="J141" s="1561"/>
      <c r="K141" s="1562"/>
      <c r="L141" s="1560"/>
      <c r="M141" s="1561"/>
      <c r="N141" s="1561"/>
      <c r="O141" s="1561"/>
      <c r="P141" s="1562"/>
      <c r="Q141" s="1560"/>
      <c r="R141" s="1561"/>
      <c r="S141" s="1561"/>
      <c r="T141" s="1561"/>
      <c r="U141" s="1562"/>
      <c r="V141" s="1563">
        <f>SUM(G141:U141)</f>
        <v>0</v>
      </c>
      <c r="W141" s="1564"/>
      <c r="X141" s="1564"/>
      <c r="Y141" s="1564"/>
      <c r="Z141" s="1565"/>
    </row>
    <row r="142" spans="1:26" ht="14.25" customHeight="1" thickTop="1" thickBot="1">
      <c r="A142" s="771"/>
      <c r="B142" s="797"/>
      <c r="C142" s="789"/>
      <c r="D142" s="789"/>
      <c r="E142" s="789"/>
      <c r="F142" s="789"/>
      <c r="G142" s="793"/>
      <c r="H142" s="793"/>
      <c r="I142" s="793"/>
      <c r="J142" s="793"/>
      <c r="K142" s="793"/>
      <c r="L142" s="793"/>
      <c r="M142" s="793"/>
      <c r="N142" s="793"/>
      <c r="O142" s="793"/>
      <c r="P142" s="793"/>
      <c r="Q142" s="793"/>
      <c r="R142" s="793"/>
      <c r="S142" s="793"/>
      <c r="T142" s="793"/>
      <c r="U142" s="793"/>
      <c r="V142" s="793"/>
      <c r="W142" s="793"/>
      <c r="X142" s="793"/>
      <c r="Y142" s="793"/>
      <c r="Z142" s="793"/>
    </row>
    <row r="143" spans="1:26" ht="14.25" customHeight="1" hidden="1" thickTop="1" thickBot="1">
      <c r="A143" s="771"/>
      <c r="B143" s="797" t="s">
        <v>948</v>
      </c>
      <c r="C143" s="789"/>
      <c r="D143" s="789"/>
      <c r="E143" s="789"/>
      <c r="F143" s="789"/>
      <c r="G143" s="1560"/>
      <c r="H143" s="1561"/>
      <c r="I143" s="1561"/>
      <c r="J143" s="1561"/>
      <c r="K143" s="1562"/>
      <c r="L143" s="1560"/>
      <c r="M143" s="1561"/>
      <c r="N143" s="1561"/>
      <c r="O143" s="1561"/>
      <c r="P143" s="1562"/>
      <c r="Q143" s="1560"/>
      <c r="R143" s="1561"/>
      <c r="S143" s="1561"/>
      <c r="T143" s="1561"/>
      <c r="U143" s="1562"/>
      <c r="V143" s="1563">
        <f>SUM(G143:U143)</f>
        <v>0</v>
      </c>
      <c r="W143" s="1564"/>
      <c r="X143" s="1564"/>
      <c r="Y143" s="1564"/>
      <c r="Z143" s="1565"/>
    </row>
    <row r="144" spans="1:26" ht="14.25" customHeight="1" hidden="1" thickTop="1" thickBot="1">
      <c r="A144" s="771"/>
      <c r="B144" s="797"/>
      <c r="C144" s="789"/>
      <c r="D144" s="789"/>
      <c r="E144" s="789"/>
      <c r="F144" s="789"/>
      <c r="G144" s="793"/>
      <c r="H144" s="793"/>
      <c r="I144" s="793"/>
      <c r="J144" s="793"/>
      <c r="K144" s="793"/>
      <c r="L144" s="793"/>
      <c r="M144" s="793"/>
      <c r="N144" s="793"/>
      <c r="O144" s="793"/>
      <c r="P144" s="793"/>
      <c r="Q144" s="793"/>
      <c r="R144" s="793"/>
      <c r="S144" s="793"/>
      <c r="T144" s="793"/>
      <c r="U144" s="793"/>
      <c r="V144" s="793"/>
      <c r="W144" s="793"/>
      <c r="X144" s="793"/>
      <c r="Y144" s="793"/>
      <c r="Z144" s="793"/>
    </row>
    <row r="145" spans="1:30" ht="14.25" customHeight="1" thickTop="1" thickBot="1">
      <c r="A145" s="771">
        <v>7</v>
      </c>
      <c r="B145" s="789" t="s">
        <v>947</v>
      </c>
      <c r="C145" s="789"/>
      <c r="D145" s="789"/>
      <c r="E145" s="789"/>
      <c r="F145" s="789"/>
      <c r="G145" s="1560">
        <v>380072600</v>
      </c>
      <c r="H145" s="1561"/>
      <c r="I145" s="1561"/>
      <c r="J145" s="1561"/>
      <c r="K145" s="1562"/>
      <c r="L145" s="1560"/>
      <c r="M145" s="1561"/>
      <c r="N145" s="1561"/>
      <c r="O145" s="1561"/>
      <c r="P145" s="1562"/>
      <c r="Q145" s="1560"/>
      <c r="R145" s="1561"/>
      <c r="S145" s="1561"/>
      <c r="T145" s="1561"/>
      <c r="U145" s="1562"/>
      <c r="V145" s="1563">
        <f>SUM(G145:U145)</f>
        <v>0</v>
      </c>
      <c r="W145" s="1564"/>
      <c r="X145" s="1564"/>
      <c r="Y145" s="1564"/>
      <c r="Z145" s="1565"/>
      <c r="AA145" s="239"/>
      <c r="AB145" s="239" t="str">
        <f>IF(AND((G143-personalreliefs)&lt;=0),"A",IF(AND((G143-personalreliefs)&lt;=50000000),"B",IF(AND((G143-personalreliefs)&gt;50000000,(G143-personalreliefs)&lt;=250000000),"C",IF(AND((G143-personalreliefs)&gt;250000000,(G143-personalreliefs)&lt;=500000000),"D","E"))))</f>
        <v>A</v>
      </c>
      <c r="AC145" s="239" t="str">
        <f>IF(AND((L143-personalreliefs)&lt;=0),"A",IF(AND((L143-personalreliefs)&lt;=50000000),"B",IF(AND((L143-personalreliefs)&gt;50000000,(L143-personalreliefs)&lt;=250000000),"C",IF(AND((L143-personalreliefs)&gt;250000000,(L143-personalreliefs)&lt;=500000000),"D","E"))))</f>
        <v>A</v>
      </c>
      <c r="AD145" s="239" t="str">
        <f>IF(AND((Q143-personalreliefs)&lt;=0),"A",IF(AND((Q143-personalreliefs)&lt;=50000000),"B",IF(AND((Q143-personalreliefs)&gt;50000000,(Q143-personalreliefs)&lt;=250000000),"C",IF(AND((Q143-personalreliefs)&gt;250000000,(Q143-personalreliefs)&lt;=500000000),"D","E"))))</f>
        <v>A</v>
      </c>
    </row>
    <row r="146" spans="1:26" ht="14.25" customHeight="1" thickTop="1" thickBot="1">
      <c r="A146" s="771"/>
      <c r="B146" s="789"/>
      <c r="C146" s="789"/>
      <c r="D146" s="789"/>
      <c r="E146" s="789"/>
      <c r="F146" s="789"/>
      <c r="G146" s="799"/>
      <c r="H146" s="799"/>
      <c r="I146" s="799"/>
      <c r="J146" s="799"/>
      <c r="K146" s="799"/>
      <c r="L146" s="799"/>
      <c r="M146" s="799"/>
      <c r="N146" s="799"/>
      <c r="O146" s="799"/>
      <c r="P146" s="799"/>
      <c r="Q146" s="799"/>
      <c r="R146" s="799"/>
      <c r="S146" s="799"/>
      <c r="T146" s="799"/>
      <c r="U146" s="799"/>
      <c r="V146" s="800"/>
      <c r="W146" s="800"/>
      <c r="X146" s="800"/>
      <c r="Y146" s="800"/>
      <c r="Z146" s="800"/>
    </row>
    <row r="147" spans="1:26" ht="14.25" customHeight="1" thickTop="1" thickBot="1">
      <c r="A147" s="771">
        <v>8</v>
      </c>
      <c r="B147" s="789" t="s">
        <v>325</v>
      </c>
      <c r="C147" s="789"/>
      <c r="D147" s="789"/>
      <c r="E147" s="789"/>
      <c r="F147" s="789"/>
      <c r="G147" s="1560">
        <v>285054450</v>
      </c>
      <c r="H147" s="1561"/>
      <c r="I147" s="1561"/>
      <c r="J147" s="1561"/>
      <c r="K147" s="1562"/>
      <c r="L147" s="1560"/>
      <c r="M147" s="1561"/>
      <c r="N147" s="1561"/>
      <c r="O147" s="1561"/>
      <c r="P147" s="1562"/>
      <c r="Q147" s="1560"/>
      <c r="R147" s="1561"/>
      <c r="S147" s="1561"/>
      <c r="T147" s="1561"/>
      <c r="U147" s="1562"/>
      <c r="V147" s="1563">
        <f>SUM(G147:U147)</f>
        <v>0</v>
      </c>
      <c r="W147" s="1564"/>
      <c r="X147" s="1564"/>
      <c r="Y147" s="1564"/>
      <c r="Z147" s="1565"/>
    </row>
    <row r="148" spans="1:26" ht="13.5" customHeight="1" thickTop="1">
      <c r="A148" s="771"/>
      <c r="B148" s="789"/>
      <c r="C148" s="789"/>
      <c r="D148" s="789"/>
      <c r="E148" s="789"/>
      <c r="F148" s="789"/>
      <c r="G148" s="799"/>
      <c r="H148" s="799"/>
      <c r="I148" s="799"/>
      <c r="J148" s="799"/>
      <c r="K148" s="799"/>
      <c r="L148" s="799"/>
      <c r="M148" s="799"/>
      <c r="N148" s="799"/>
      <c r="O148" s="799"/>
      <c r="P148" s="799"/>
      <c r="Q148" s="799"/>
      <c r="R148" s="799"/>
      <c r="S148" s="799"/>
      <c r="T148" s="799"/>
      <c r="U148" s="799"/>
      <c r="V148" s="800"/>
      <c r="W148" s="800"/>
      <c r="X148" s="800"/>
      <c r="Y148" s="800"/>
      <c r="Z148" s="800"/>
    </row>
    <row r="149" spans="1:28" s="237" customFormat="1" ht="13.5" customHeight="1" thickBot="1">
      <c r="A149" s="771">
        <v>9</v>
      </c>
      <c r="B149" s="789" t="s">
        <v>725</v>
      </c>
      <c r="C149" s="789"/>
      <c r="D149" s="789"/>
      <c r="E149" s="789"/>
      <c r="F149" s="789"/>
      <c r="G149" s="793"/>
      <c r="H149" s="793"/>
      <c r="I149" s="793"/>
      <c r="J149" s="793"/>
      <c r="K149" s="793"/>
      <c r="L149" s="793"/>
      <c r="M149" s="793"/>
      <c r="N149" s="793"/>
      <c r="O149" s="793"/>
      <c r="P149" s="793"/>
      <c r="Q149" s="793"/>
      <c r="R149" s="793"/>
      <c r="S149" s="793"/>
      <c r="T149" s="793"/>
      <c r="U149" s="793"/>
      <c r="V149" s="793"/>
      <c r="W149" s="793"/>
      <c r="X149" s="793"/>
      <c r="Y149" s="793"/>
      <c r="Z149" s="793"/>
      <c r="AA149" s="237"/>
      <c r="AB149" s="237"/>
    </row>
    <row r="150" spans="1:28" s="237" customFormat="1" ht="14.25" customHeight="1" thickTop="1" thickBot="1">
      <c r="A150" s="771"/>
      <c r="B150" s="789" t="s">
        <v>723</v>
      </c>
      <c r="C150" s="789"/>
      <c r="D150" s="789"/>
      <c r="E150" s="789"/>
      <c r="F150" s="789"/>
      <c r="G150" s="1560">
        <v>1131557122</v>
      </c>
      <c r="H150" s="1561"/>
      <c r="I150" s="1561"/>
      <c r="J150" s="1561"/>
      <c r="K150" s="1562"/>
      <c r="L150" s="1560"/>
      <c r="M150" s="1561"/>
      <c r="N150" s="1561"/>
      <c r="O150" s="1561"/>
      <c r="P150" s="1562"/>
      <c r="Q150" s="1560"/>
      <c r="R150" s="1561"/>
      <c r="S150" s="1561"/>
      <c r="T150" s="1561"/>
      <c r="U150" s="1562"/>
      <c r="V150" s="1563">
        <f>SUM(G150:U150)</f>
        <v>0</v>
      </c>
      <c r="W150" s="1564"/>
      <c r="X150" s="1564"/>
      <c r="Y150" s="1564"/>
      <c r="Z150" s="1565"/>
      <c r="AA150" s="237"/>
      <c r="AB150" s="237"/>
    </row>
    <row r="151" spans="1:28" s="237" customFormat="1" ht="14.25" customHeight="1" thickTop="1" thickBot="1">
      <c r="A151" s="771"/>
      <c r="B151" s="789" t="s">
        <v>724</v>
      </c>
      <c r="C151" s="789"/>
      <c r="D151" s="789"/>
      <c r="E151" s="789"/>
      <c r="F151" s="789"/>
      <c r="G151" s="1560">
        <v>285054450</v>
      </c>
      <c r="H151" s="1561"/>
      <c r="I151" s="1561"/>
      <c r="J151" s="1561"/>
      <c r="K151" s="1562"/>
      <c r="L151" s="1560"/>
      <c r="M151" s="1561"/>
      <c r="N151" s="1561"/>
      <c r="O151" s="1561"/>
      <c r="P151" s="1562"/>
      <c r="Q151" s="1560"/>
      <c r="R151" s="1561"/>
      <c r="S151" s="1561"/>
      <c r="T151" s="1561"/>
      <c r="U151" s="1562"/>
      <c r="V151" s="1563">
        <f>SUM(G151:U151)</f>
        <v>0</v>
      </c>
      <c r="W151" s="1564"/>
      <c r="X151" s="1564"/>
      <c r="Y151" s="1564"/>
      <c r="Z151" s="1565"/>
      <c r="AA151" s="237"/>
      <c r="AB151" s="237"/>
    </row>
    <row r="152" spans="1:28" s="237" customFormat="1" ht="13.5" customHeight="1" thickTop="1">
      <c r="A152" s="771"/>
      <c r="B152" s="770"/>
      <c r="C152" s="770"/>
      <c r="D152" s="770"/>
      <c r="E152" s="770"/>
      <c r="F152" s="770"/>
      <c r="G152" s="770"/>
      <c r="H152" s="770"/>
      <c r="I152" s="770"/>
      <c r="J152" s="770"/>
      <c r="K152" s="770"/>
      <c r="L152" s="770"/>
      <c r="M152" s="770"/>
      <c r="N152" s="770"/>
      <c r="O152" s="770"/>
      <c r="P152" s="770"/>
      <c r="Q152" s="770"/>
      <c r="R152" s="770"/>
      <c r="S152" s="770"/>
      <c r="T152" s="770"/>
      <c r="U152" s="770"/>
      <c r="V152" s="770"/>
      <c r="W152" s="770"/>
      <c r="X152" s="770"/>
      <c r="Y152" s="770"/>
      <c r="Z152" s="770"/>
      <c r="AA152" s="237"/>
      <c r="AB152" s="237"/>
    </row>
    <row r="153" spans="1:27" s="423" customFormat="1" ht="18" customHeight="1">
      <c r="A153" s="754" t="s">
        <v>354</v>
      </c>
      <c r="B153" s="755"/>
      <c r="C153" s="755"/>
      <c r="D153" s="755"/>
      <c r="E153" s="755"/>
      <c r="F153" s="755"/>
      <c r="G153" s="755"/>
      <c r="H153" s="755"/>
      <c r="I153" s="755" t="s">
        <v>294</v>
      </c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423"/>
    </row>
    <row r="154" spans="1:26" ht="13.5" customHeight="1" thickBot="1">
      <c r="A154" s="783"/>
      <c r="B154" s="784"/>
      <c r="C154" s="784"/>
      <c r="D154" s="784"/>
      <c r="E154" s="784"/>
      <c r="F154" s="784"/>
      <c r="G154" s="784"/>
      <c r="H154" s="784"/>
      <c r="I154" s="784"/>
      <c r="J154" s="784"/>
      <c r="K154" s="784"/>
      <c r="L154" s="784"/>
      <c r="M154" s="784"/>
      <c r="N154" s="784"/>
      <c r="O154" s="784"/>
      <c r="P154" s="784"/>
      <c r="Q154" s="784"/>
      <c r="R154" s="784"/>
      <c r="S154" s="784"/>
      <c r="T154" s="784"/>
      <c r="U154" s="784"/>
      <c r="V154" s="784"/>
      <c r="W154" s="784"/>
      <c r="X154" s="784"/>
      <c r="Y154" s="784"/>
      <c r="Z154" s="784"/>
    </row>
    <row r="155" spans="1:26" ht="14.25" customHeight="1" thickTop="1" thickBot="1">
      <c r="A155" s="771"/>
      <c r="B155" s="770"/>
      <c r="C155" s="770"/>
      <c r="D155" s="770"/>
      <c r="E155" s="770"/>
      <c r="F155" s="770"/>
      <c r="G155" s="770"/>
      <c r="H155" s="770"/>
      <c r="I155" s="770"/>
      <c r="J155" s="770"/>
      <c r="K155" s="770"/>
      <c r="L155" s="1596" t="s">
        <v>326</v>
      </c>
      <c r="M155" s="1597"/>
      <c r="N155" s="1597"/>
      <c r="O155" s="1597"/>
      <c r="P155" s="1598"/>
      <c r="Q155" s="1595" t="s">
        <v>355</v>
      </c>
      <c r="R155" s="1595"/>
      <c r="S155" s="1595"/>
      <c r="T155" s="1595"/>
      <c r="U155" s="1595"/>
      <c r="V155" s="1595" t="s">
        <v>356</v>
      </c>
      <c r="W155" s="1595"/>
      <c r="X155" s="1595"/>
      <c r="Y155" s="1595"/>
      <c r="Z155" s="1595"/>
    </row>
    <row r="156" spans="1:26" ht="14.25" customHeight="1" thickTop="1" thickBot="1">
      <c r="A156" s="771">
        <v>1</v>
      </c>
      <c r="B156" s="770" t="s">
        <v>357</v>
      </c>
      <c r="C156" s="770"/>
      <c r="D156" s="770"/>
      <c r="E156" s="770"/>
      <c r="F156" s="770"/>
      <c r="G156" s="770"/>
      <c r="H156" s="770"/>
      <c r="I156" s="770"/>
      <c r="J156" s="770"/>
      <c r="K156" s="770"/>
      <c r="L156" s="1583"/>
      <c r="M156" s="1584"/>
      <c r="N156" s="1584"/>
      <c r="O156" s="1584"/>
      <c r="P156" s="1585"/>
      <c r="Q156" s="1583"/>
      <c r="R156" s="1584"/>
      <c r="S156" s="1584"/>
      <c r="T156" s="1584"/>
      <c r="U156" s="1585"/>
      <c r="V156" s="1599">
        <f t="shared" si="2" ref="V156:V161">L156-Q156</f>
        <v>0</v>
      </c>
      <c r="W156" s="1600"/>
      <c r="X156" s="1600"/>
      <c r="Y156" s="1600"/>
      <c r="Z156" s="1601"/>
    </row>
    <row r="157" spans="1:26" ht="14.25" customHeight="1" thickTop="1" thickBot="1">
      <c r="A157" s="771">
        <v>2</v>
      </c>
      <c r="B157" s="770" t="s">
        <v>358</v>
      </c>
      <c r="C157" s="770"/>
      <c r="D157" s="770"/>
      <c r="E157" s="770"/>
      <c r="F157" s="770"/>
      <c r="G157" s="770"/>
      <c r="H157" s="770"/>
      <c r="I157" s="770"/>
      <c r="J157" s="770"/>
      <c r="K157" s="770"/>
      <c r="L157" s="1583"/>
      <c r="M157" s="1584"/>
      <c r="N157" s="1584"/>
      <c r="O157" s="1584"/>
      <c r="P157" s="1585"/>
      <c r="Q157" s="1583"/>
      <c r="R157" s="1584"/>
      <c r="S157" s="1584"/>
      <c r="T157" s="1584"/>
      <c r="U157" s="1585"/>
      <c r="V157" s="1599">
        <f t="shared" si="2">L157-Q157</f>
        <v>0</v>
      </c>
      <c r="W157" s="1600"/>
      <c r="X157" s="1600"/>
      <c r="Y157" s="1600"/>
      <c r="Z157" s="1601"/>
    </row>
    <row r="158" spans="1:26" ht="14.25" customHeight="1" thickTop="1" thickBot="1">
      <c r="A158" s="771">
        <v>3</v>
      </c>
      <c r="B158" s="770" t="s">
        <v>272</v>
      </c>
      <c r="C158" s="770"/>
      <c r="D158" s="770"/>
      <c r="E158" s="770"/>
      <c r="F158" s="770"/>
      <c r="G158" s="770"/>
      <c r="H158" s="770"/>
      <c r="I158" s="770"/>
      <c r="J158" s="770"/>
      <c r="K158" s="770"/>
      <c r="L158" s="1583"/>
      <c r="M158" s="1584"/>
      <c r="N158" s="1584"/>
      <c r="O158" s="1584"/>
      <c r="P158" s="1585"/>
      <c r="Q158" s="1583"/>
      <c r="R158" s="1584"/>
      <c r="S158" s="1584"/>
      <c r="T158" s="1584"/>
      <c r="U158" s="1585"/>
      <c r="V158" s="1599">
        <f t="shared" si="2">L158-Q158</f>
        <v>0</v>
      </c>
      <c r="W158" s="1600"/>
      <c r="X158" s="1600"/>
      <c r="Y158" s="1600"/>
      <c r="Z158" s="1601"/>
    </row>
    <row r="159" spans="1:26" ht="14.25" customHeight="1" thickTop="1" thickBot="1">
      <c r="A159" s="771">
        <v>4</v>
      </c>
      <c r="B159" s="770" t="s">
        <v>359</v>
      </c>
      <c r="C159" s="770"/>
      <c r="D159" s="770"/>
      <c r="E159" s="770"/>
      <c r="F159" s="770"/>
      <c r="G159" s="770"/>
      <c r="H159" s="770"/>
      <c r="I159" s="770"/>
      <c r="J159" s="770"/>
      <c r="K159" s="770"/>
      <c r="L159" s="1583"/>
      <c r="M159" s="1584"/>
      <c r="N159" s="1584"/>
      <c r="O159" s="1584"/>
      <c r="P159" s="1585"/>
      <c r="Q159" s="1583"/>
      <c r="R159" s="1584"/>
      <c r="S159" s="1584"/>
      <c r="T159" s="1584"/>
      <c r="U159" s="1585"/>
      <c r="V159" s="1599">
        <f t="shared" si="2">L159-Q159</f>
        <v>0</v>
      </c>
      <c r="W159" s="1600"/>
      <c r="X159" s="1600"/>
      <c r="Y159" s="1600"/>
      <c r="Z159" s="1601"/>
    </row>
    <row r="160" spans="1:26" ht="14.25" customHeight="1" thickTop="1" thickBot="1">
      <c r="A160" s="771">
        <v>5</v>
      </c>
      <c r="B160" s="770" t="s">
        <v>360</v>
      </c>
      <c r="C160" s="770"/>
      <c r="D160" s="770"/>
      <c r="E160" s="770"/>
      <c r="F160" s="770"/>
      <c r="G160" s="770"/>
      <c r="H160" s="770"/>
      <c r="I160" s="770"/>
      <c r="J160" s="770"/>
      <c r="K160" s="770"/>
      <c r="L160" s="1583"/>
      <c r="M160" s="1584"/>
      <c r="N160" s="1584"/>
      <c r="O160" s="1584"/>
      <c r="P160" s="1585"/>
      <c r="Q160" s="1583"/>
      <c r="R160" s="1584"/>
      <c r="S160" s="1584"/>
      <c r="T160" s="1584"/>
      <c r="U160" s="1585"/>
      <c r="V160" s="1599">
        <f t="shared" si="2">L160-Q160</f>
        <v>0</v>
      </c>
      <c r="W160" s="1600"/>
      <c r="X160" s="1600"/>
      <c r="Y160" s="1600"/>
      <c r="Z160" s="1601"/>
    </row>
    <row r="161" spans="1:26" ht="14.25" customHeight="1" thickTop="1" thickBot="1">
      <c r="A161" s="771">
        <v>6</v>
      </c>
      <c r="B161" s="770" t="s">
        <v>361</v>
      </c>
      <c r="C161" s="770"/>
      <c r="D161" s="770"/>
      <c r="E161" s="770"/>
      <c r="F161" s="770"/>
      <c r="G161" s="770"/>
      <c r="H161" s="770"/>
      <c r="I161" s="770"/>
      <c r="J161" s="770"/>
      <c r="K161" s="770"/>
      <c r="L161" s="1583"/>
      <c r="M161" s="1584"/>
      <c r="N161" s="1584"/>
      <c r="O161" s="1584"/>
      <c r="P161" s="1585"/>
      <c r="Q161" s="1583"/>
      <c r="R161" s="1584"/>
      <c r="S161" s="1584"/>
      <c r="T161" s="1584"/>
      <c r="U161" s="1585"/>
      <c r="V161" s="1599">
        <f t="shared" si="2">L161-Q161</f>
        <v>0</v>
      </c>
      <c r="W161" s="1600"/>
      <c r="X161" s="1600"/>
      <c r="Y161" s="1600"/>
      <c r="Z161" s="1601"/>
    </row>
    <row r="162" spans="1:26" ht="14.25" customHeight="1" thickTop="1" thickBot="1">
      <c r="A162" s="771"/>
      <c r="B162" s="770"/>
      <c r="C162" s="770"/>
      <c r="D162" s="770"/>
      <c r="E162" s="770"/>
      <c r="F162" s="770"/>
      <c r="G162" s="770"/>
      <c r="H162" s="770"/>
      <c r="I162" s="770"/>
      <c r="J162" s="770"/>
      <c r="K162" s="770"/>
      <c r="L162" s="801"/>
      <c r="M162" s="801"/>
      <c r="N162" s="801"/>
      <c r="O162" s="801"/>
      <c r="P162" s="801"/>
      <c r="Q162" s="801"/>
      <c r="R162" s="801"/>
      <c r="S162" s="801"/>
      <c r="T162" s="801"/>
      <c r="U162" s="801"/>
      <c r="V162" s="802"/>
      <c r="W162" s="802"/>
      <c r="X162" s="802"/>
      <c r="Y162" s="802"/>
      <c r="Z162" s="802"/>
    </row>
    <row r="163" spans="1:26" ht="14.25" customHeight="1" thickTop="1" thickBot="1">
      <c r="A163" s="771"/>
      <c r="B163" s="770" t="s">
        <v>332</v>
      </c>
      <c r="C163" s="770"/>
      <c r="D163" s="770"/>
      <c r="E163" s="770"/>
      <c r="F163" s="770"/>
      <c r="G163" s="770"/>
      <c r="H163" s="770"/>
      <c r="I163" s="770"/>
      <c r="J163" s="770"/>
      <c r="K163" s="770"/>
      <c r="L163" s="1657">
        <f>SUM(L156:P161)</f>
        <v>0</v>
      </c>
      <c r="M163" s="1658"/>
      <c r="N163" s="1658"/>
      <c r="O163" s="1658"/>
      <c r="P163" s="1659"/>
      <c r="Q163" s="1657">
        <f>SUM(Q156:U161)</f>
        <v>0</v>
      </c>
      <c r="R163" s="1658"/>
      <c r="S163" s="1658"/>
      <c r="T163" s="1658"/>
      <c r="U163" s="1659"/>
      <c r="V163" s="1657">
        <f>SUM(V156:Z161)</f>
        <v>0</v>
      </c>
      <c r="W163" s="1658"/>
      <c r="X163" s="1658"/>
      <c r="Y163" s="1658"/>
      <c r="Z163" s="1659"/>
    </row>
    <row r="164" spans="1:26" ht="14.25" customHeight="1" thickTop="1" thickBot="1">
      <c r="A164" s="771"/>
      <c r="B164" s="770"/>
      <c r="C164" s="770"/>
      <c r="D164" s="770"/>
      <c r="E164" s="770"/>
      <c r="F164" s="770"/>
      <c r="G164" s="770"/>
      <c r="H164" s="770"/>
      <c r="I164" s="770"/>
      <c r="J164" s="770"/>
      <c r="K164" s="770"/>
      <c r="L164" s="801"/>
      <c r="M164" s="801"/>
      <c r="N164" s="801"/>
      <c r="O164" s="801"/>
      <c r="P164" s="801"/>
      <c r="Q164" s="801"/>
      <c r="R164" s="801"/>
      <c r="S164" s="801"/>
      <c r="T164" s="801"/>
      <c r="U164" s="801"/>
      <c r="V164" s="802"/>
      <c r="W164" s="802"/>
      <c r="X164" s="802"/>
      <c r="Y164" s="802"/>
      <c r="Z164" s="802"/>
    </row>
    <row r="165" spans="1:26" ht="14.25" customHeight="1" thickTop="1" thickBot="1">
      <c r="A165" s="771">
        <v>7</v>
      </c>
      <c r="B165" s="770" t="s">
        <v>362</v>
      </c>
      <c r="C165" s="770"/>
      <c r="D165" s="770"/>
      <c r="E165" s="770"/>
      <c r="F165" s="770"/>
      <c r="G165" s="770"/>
      <c r="H165" s="770"/>
      <c r="I165" s="770"/>
      <c r="J165" s="770"/>
      <c r="K165" s="770"/>
      <c r="L165" s="1583"/>
      <c r="M165" s="1584"/>
      <c r="N165" s="1584"/>
      <c r="O165" s="1584"/>
      <c r="P165" s="1585"/>
      <c r="Q165" s="1560"/>
      <c r="R165" s="1561"/>
      <c r="S165" s="1561"/>
      <c r="T165" s="1561"/>
      <c r="U165" s="1562"/>
      <c r="V165" s="1599">
        <f>L165-Q165</f>
        <v>0</v>
      </c>
      <c r="W165" s="1600"/>
      <c r="X165" s="1600"/>
      <c r="Y165" s="1600"/>
      <c r="Z165" s="1601"/>
    </row>
    <row r="166" spans="1:26" ht="14.25" customHeight="1" thickTop="1" thickBot="1">
      <c r="A166" s="771">
        <v>8</v>
      </c>
      <c r="B166" s="770" t="s">
        <v>363</v>
      </c>
      <c r="C166" s="770"/>
      <c r="D166" s="770"/>
      <c r="E166" s="770"/>
      <c r="F166" s="770"/>
      <c r="G166" s="770"/>
      <c r="H166" s="770"/>
      <c r="I166" s="770"/>
      <c r="J166" s="770"/>
      <c r="K166" s="770"/>
      <c r="L166" s="770"/>
      <c r="M166" s="770"/>
      <c r="N166" s="770"/>
      <c r="O166" s="770"/>
      <c r="P166" s="770"/>
      <c r="Q166" s="770"/>
      <c r="R166" s="770"/>
      <c r="S166" s="770"/>
      <c r="T166" s="770"/>
      <c r="U166" s="770"/>
      <c r="V166" s="1602"/>
      <c r="W166" s="1603"/>
      <c r="X166" s="1603"/>
      <c r="Y166" s="1603"/>
      <c r="Z166" s="1604"/>
    </row>
    <row r="167" spans="1:26" ht="13.5" customHeight="1" thickTop="1">
      <c r="A167" s="771"/>
      <c r="B167" s="770"/>
      <c r="C167" s="770"/>
      <c r="D167" s="770"/>
      <c r="E167" s="770"/>
      <c r="F167" s="770"/>
      <c r="G167" s="770"/>
      <c r="H167" s="770"/>
      <c r="I167" s="770"/>
      <c r="J167" s="770"/>
      <c r="K167" s="770"/>
      <c r="L167" s="770"/>
      <c r="M167" s="770"/>
      <c r="N167" s="770"/>
      <c r="O167" s="770"/>
      <c r="P167" s="770"/>
      <c r="Q167" s="770"/>
      <c r="R167" s="770"/>
      <c r="S167" s="770"/>
      <c r="T167" s="770"/>
      <c r="U167" s="770"/>
      <c r="V167" s="770"/>
      <c r="W167" s="770"/>
      <c r="X167" s="770"/>
      <c r="Y167" s="770"/>
      <c r="Z167" s="770"/>
    </row>
    <row r="168" spans="1:27" s="423" customFormat="1" ht="18" customHeight="1">
      <c r="A168" s="754" t="s">
        <v>414</v>
      </c>
      <c r="B168" s="755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423"/>
    </row>
    <row r="169" spans="1:26" ht="13.5" customHeight="1" thickBot="1">
      <c r="A169" s="779"/>
      <c r="B169" s="765"/>
      <c r="C169" s="765"/>
      <c r="D169" s="765"/>
      <c r="E169" s="765"/>
      <c r="F169" s="765" t="s">
        <v>295</v>
      </c>
      <c r="G169" s="765"/>
      <c r="H169" s="765"/>
      <c r="I169" s="765"/>
      <c r="J169" s="765"/>
      <c r="K169" s="765"/>
      <c r="L169" s="765"/>
      <c r="M169" s="765"/>
      <c r="N169" s="765"/>
      <c r="O169" s="765"/>
      <c r="P169" s="765"/>
      <c r="Q169" s="765"/>
      <c r="R169" s="765"/>
      <c r="S169" s="765"/>
      <c r="T169" s="765"/>
      <c r="U169" s="765"/>
      <c r="V169" s="765"/>
      <c r="W169" s="765"/>
      <c r="X169" s="765"/>
      <c r="Y169" s="767"/>
      <c r="Z169" s="767"/>
    </row>
    <row r="170" spans="1:26" ht="14.25" customHeight="1" thickTop="1" thickBot="1">
      <c r="A170" s="766"/>
      <c r="B170" s="767"/>
      <c r="C170" s="767"/>
      <c r="D170" s="767"/>
      <c r="E170" s="767"/>
      <c r="F170" s="767"/>
      <c r="G170" s="767"/>
      <c r="H170" s="767"/>
      <c r="I170" s="767"/>
      <c r="J170" s="767"/>
      <c r="K170" s="767"/>
      <c r="L170" s="767"/>
      <c r="M170" s="767"/>
      <c r="N170" s="767"/>
      <c r="O170" s="1660" t="s">
        <v>326</v>
      </c>
      <c r="P170" s="1661"/>
      <c r="Q170" s="1661"/>
      <c r="R170" s="1661"/>
      <c r="S170" s="1662"/>
      <c r="T170" s="1663" t="s">
        <v>282</v>
      </c>
      <c r="U170" s="1663"/>
      <c r="V170" s="1663"/>
      <c r="W170" s="1663"/>
      <c r="X170" s="1663"/>
      <c r="Y170" s="767"/>
      <c r="Z170" s="767"/>
    </row>
    <row r="171" spans="1:26" ht="16.5" customHeight="1" thickTop="1" thickBot="1">
      <c r="A171" s="248"/>
      <c r="B171" s="417" t="s">
        <v>692</v>
      </c>
      <c r="C171" s="417"/>
      <c r="D171" s="417"/>
      <c r="E171" s="417"/>
      <c r="F171" s="417"/>
      <c r="G171" s="417"/>
      <c r="H171" s="417"/>
      <c r="I171" s="417"/>
      <c r="J171" s="417"/>
      <c r="K171" s="417"/>
      <c r="L171" s="803"/>
      <c r="M171" s="767"/>
      <c r="N171" s="767"/>
      <c r="O171" s="767"/>
      <c r="P171" s="767"/>
      <c r="Q171" s="767"/>
      <c r="R171" s="767"/>
      <c r="S171" s="767"/>
      <c r="T171" s="767"/>
      <c r="U171" s="767"/>
      <c r="V171" s="767"/>
      <c r="W171" s="767"/>
      <c r="X171" s="767"/>
      <c r="Y171" s="767"/>
      <c r="Z171" s="767"/>
    </row>
    <row r="172" spans="1:26" ht="14.25" customHeight="1" thickTop="1" thickBot="1">
      <c r="A172" s="766">
        <v>1</v>
      </c>
      <c r="B172" s="767" t="s">
        <v>688</v>
      </c>
      <c r="C172" s="767"/>
      <c r="D172" s="767"/>
      <c r="E172" s="767"/>
      <c r="F172" s="767"/>
      <c r="G172" s="767"/>
      <c r="H172" s="767"/>
      <c r="I172" s="767"/>
      <c r="J172" s="767"/>
      <c r="K172" s="767"/>
      <c r="L172" s="767"/>
      <c r="M172" s="767"/>
      <c r="N172" s="767"/>
      <c r="O172" s="1583"/>
      <c r="P172" s="1584"/>
      <c r="Q172" s="1584"/>
      <c r="R172" s="1584"/>
      <c r="S172" s="1585"/>
      <c r="T172" s="1586"/>
      <c r="U172" s="1587"/>
      <c r="V172" s="1587"/>
      <c r="W172" s="1587"/>
      <c r="X172" s="1588"/>
      <c r="Y172" s="767"/>
      <c r="Z172" s="767"/>
    </row>
    <row r="173" spans="1:26" ht="14.25" customHeight="1" thickTop="1" thickBot="1">
      <c r="A173" s="766">
        <v>2</v>
      </c>
      <c r="B173" s="767" t="s">
        <v>689</v>
      </c>
      <c r="C173" s="767"/>
      <c r="D173" s="767"/>
      <c r="E173" s="767"/>
      <c r="F173" s="767"/>
      <c r="G173" s="767"/>
      <c r="H173" s="767"/>
      <c r="I173" s="767"/>
      <c r="J173" s="767"/>
      <c r="K173" s="767"/>
      <c r="L173" s="767"/>
      <c r="M173" s="767"/>
      <c r="N173" s="767"/>
      <c r="O173" s="1583"/>
      <c r="P173" s="1584"/>
      <c r="Q173" s="1584"/>
      <c r="R173" s="1584"/>
      <c r="S173" s="1585"/>
      <c r="T173" s="1586"/>
      <c r="U173" s="1587"/>
      <c r="V173" s="1587"/>
      <c r="W173" s="1587"/>
      <c r="X173" s="1588"/>
      <c r="Y173" s="767"/>
      <c r="Z173" s="767"/>
    </row>
    <row r="174" spans="1:26" ht="14.25" customHeight="1" thickTop="1" thickBot="1">
      <c r="A174" s="766">
        <v>3</v>
      </c>
      <c r="B174" s="767" t="s">
        <v>690</v>
      </c>
      <c r="C174" s="767"/>
      <c r="D174" s="767"/>
      <c r="E174" s="767"/>
      <c r="F174" s="767"/>
      <c r="G174" s="767"/>
      <c r="H174" s="767"/>
      <c r="I174" s="767"/>
      <c r="J174" s="767"/>
      <c r="K174" s="767"/>
      <c r="L174" s="767"/>
      <c r="M174" s="767"/>
      <c r="N174" s="767"/>
      <c r="O174" s="1583"/>
      <c r="P174" s="1584"/>
      <c r="Q174" s="1584"/>
      <c r="R174" s="1584"/>
      <c r="S174" s="1585"/>
      <c r="T174" s="1586"/>
      <c r="U174" s="1587"/>
      <c r="V174" s="1587"/>
      <c r="W174" s="1587"/>
      <c r="X174" s="1588"/>
      <c r="Y174" s="767"/>
      <c r="Z174" s="767"/>
    </row>
    <row r="175" spans="1:26" ht="14.25" customHeight="1" thickTop="1" thickBot="1">
      <c r="A175" s="766">
        <v>4</v>
      </c>
      <c r="B175" s="767" t="s">
        <v>327</v>
      </c>
      <c r="C175" s="767"/>
      <c r="D175" s="767"/>
      <c r="E175" s="767"/>
      <c r="F175" s="767"/>
      <c r="G175" s="767"/>
      <c r="H175" s="767"/>
      <c r="I175" s="767"/>
      <c r="J175" s="767"/>
      <c r="K175" s="767"/>
      <c r="L175" s="767"/>
      <c r="M175" s="767"/>
      <c r="N175" s="767"/>
      <c r="O175" s="1583"/>
      <c r="P175" s="1584"/>
      <c r="Q175" s="1584"/>
      <c r="R175" s="1584"/>
      <c r="S175" s="1585"/>
      <c r="T175" s="1586"/>
      <c r="U175" s="1587"/>
      <c r="V175" s="1587"/>
      <c r="W175" s="1587"/>
      <c r="X175" s="1588"/>
      <c r="Y175" s="767"/>
      <c r="Z175" s="767"/>
    </row>
    <row r="176" spans="1:26" ht="14.25" customHeight="1" thickTop="1" thickBot="1">
      <c r="A176" s="766">
        <v>5</v>
      </c>
      <c r="B176" s="767" t="s">
        <v>328</v>
      </c>
      <c r="C176" s="767"/>
      <c r="D176" s="767"/>
      <c r="E176" s="767"/>
      <c r="F176" s="767"/>
      <c r="G176" s="767"/>
      <c r="H176" s="767"/>
      <c r="I176" s="767"/>
      <c r="J176" s="767"/>
      <c r="K176" s="767"/>
      <c r="L176" s="767"/>
      <c r="M176" s="767"/>
      <c r="N176" s="767"/>
      <c r="O176" s="1583"/>
      <c r="P176" s="1584"/>
      <c r="Q176" s="1584"/>
      <c r="R176" s="1584"/>
      <c r="S176" s="1585"/>
      <c r="T176" s="1586"/>
      <c r="U176" s="1587"/>
      <c r="V176" s="1587"/>
      <c r="W176" s="1587"/>
      <c r="X176" s="1588"/>
      <c r="Y176" s="767"/>
      <c r="Z176" s="767"/>
    </row>
    <row r="177" spans="1:26" ht="14.25" customHeight="1" thickTop="1" thickBot="1">
      <c r="A177" s="766">
        <v>6</v>
      </c>
      <c r="B177" s="767" t="s">
        <v>329</v>
      </c>
      <c r="C177" s="767"/>
      <c r="D177" s="767"/>
      <c r="E177" s="767"/>
      <c r="F177" s="767"/>
      <c r="G177" s="767"/>
      <c r="H177" s="767"/>
      <c r="I177" s="767"/>
      <c r="J177" s="767"/>
      <c r="K177" s="767"/>
      <c r="L177" s="767"/>
      <c r="M177" s="767"/>
      <c r="N177" s="767"/>
      <c r="O177" s="1583"/>
      <c r="P177" s="1584"/>
      <c r="Q177" s="1584"/>
      <c r="R177" s="1584"/>
      <c r="S177" s="1585"/>
      <c r="T177" s="1586"/>
      <c r="U177" s="1587"/>
      <c r="V177" s="1587"/>
      <c r="W177" s="1587"/>
      <c r="X177" s="1588"/>
      <c r="Y177" s="767"/>
      <c r="Z177" s="767"/>
    </row>
    <row r="178" spans="1:26" ht="14.25" customHeight="1" thickTop="1" thickBot="1">
      <c r="A178" s="766">
        <v>7</v>
      </c>
      <c r="B178" s="767" t="s">
        <v>696</v>
      </c>
      <c r="C178" s="767"/>
      <c r="D178" s="767"/>
      <c r="E178" s="767"/>
      <c r="F178" s="767"/>
      <c r="G178" s="767"/>
      <c r="H178" s="767"/>
      <c r="I178" s="767"/>
      <c r="J178" s="767"/>
      <c r="K178" s="767"/>
      <c r="L178" s="767"/>
      <c r="M178" s="767"/>
      <c r="N178" s="767"/>
      <c r="O178" s="1583"/>
      <c r="P178" s="1584"/>
      <c r="Q178" s="1584"/>
      <c r="R178" s="1584"/>
      <c r="S178" s="1585"/>
      <c r="T178" s="1586"/>
      <c r="U178" s="1587"/>
      <c r="V178" s="1587"/>
      <c r="W178" s="1587"/>
      <c r="X178" s="1588"/>
      <c r="Y178" s="767"/>
      <c r="Z178" s="767"/>
    </row>
    <row r="179" spans="1:26" ht="14.25" customHeight="1" thickTop="1" thickBot="1">
      <c r="A179" s="766">
        <v>8</v>
      </c>
      <c r="B179" s="767" t="s">
        <v>330</v>
      </c>
      <c r="C179" s="767"/>
      <c r="D179" s="767"/>
      <c r="E179" s="767"/>
      <c r="F179" s="767"/>
      <c r="G179" s="767"/>
      <c r="H179" s="767"/>
      <c r="I179" s="767"/>
      <c r="J179" s="767"/>
      <c r="K179" s="767"/>
      <c r="L179" s="767"/>
      <c r="M179" s="767"/>
      <c r="N179" s="767"/>
      <c r="O179" s="1583"/>
      <c r="P179" s="1584"/>
      <c r="Q179" s="1584"/>
      <c r="R179" s="1584"/>
      <c r="S179" s="1585"/>
      <c r="T179" s="1586"/>
      <c r="U179" s="1587"/>
      <c r="V179" s="1587"/>
      <c r="W179" s="1587"/>
      <c r="X179" s="1588"/>
      <c r="Y179" s="767"/>
      <c r="Z179" s="767"/>
    </row>
    <row r="180" spans="1:26" ht="14.25" customHeight="1" thickTop="1" thickBot="1">
      <c r="A180" s="766">
        <v>9</v>
      </c>
      <c r="B180" s="767" t="s">
        <v>698</v>
      </c>
      <c r="C180" s="767"/>
      <c r="D180" s="767"/>
      <c r="E180" s="767"/>
      <c r="F180" s="767"/>
      <c r="G180" s="767"/>
      <c r="H180" s="767"/>
      <c r="I180" s="767"/>
      <c r="J180" s="767"/>
      <c r="K180" s="767"/>
      <c r="L180" s="767"/>
      <c r="M180" s="767"/>
      <c r="N180" s="767"/>
      <c r="O180" s="1583"/>
      <c r="P180" s="1584"/>
      <c r="Q180" s="1584"/>
      <c r="R180" s="1584"/>
      <c r="S180" s="1585"/>
      <c r="T180" s="1586"/>
      <c r="U180" s="1587"/>
      <c r="V180" s="1587"/>
      <c r="W180" s="1587"/>
      <c r="X180" s="1588"/>
      <c r="Y180" s="767"/>
      <c r="Z180" s="767"/>
    </row>
    <row r="181" spans="1:26" ht="14.25" customHeight="1" thickTop="1" thickBot="1">
      <c r="A181" s="766">
        <v>10</v>
      </c>
      <c r="B181" s="767" t="s">
        <v>699</v>
      </c>
      <c r="C181" s="767"/>
      <c r="D181" s="767"/>
      <c r="E181" s="767"/>
      <c r="F181" s="767"/>
      <c r="G181" s="767"/>
      <c r="H181" s="767"/>
      <c r="I181" s="767"/>
      <c r="J181" s="767"/>
      <c r="K181" s="767"/>
      <c r="L181" s="767"/>
      <c r="M181" s="767"/>
      <c r="N181" s="767"/>
      <c r="O181" s="1583"/>
      <c r="P181" s="1584"/>
      <c r="Q181" s="1584"/>
      <c r="R181" s="1584"/>
      <c r="S181" s="1585"/>
      <c r="T181" s="1586"/>
      <c r="U181" s="1587"/>
      <c r="V181" s="1587"/>
      <c r="W181" s="1587"/>
      <c r="X181" s="1588"/>
      <c r="Y181" s="767"/>
      <c r="Z181" s="767"/>
    </row>
    <row r="182" spans="1:26" ht="14.25" customHeight="1" thickTop="1" thickBot="1">
      <c r="A182" s="766">
        <v>11</v>
      </c>
      <c r="B182" s="767" t="s">
        <v>691</v>
      </c>
      <c r="C182" s="767"/>
      <c r="D182" s="767"/>
      <c r="E182" s="767"/>
      <c r="F182" s="767"/>
      <c r="G182" s="767"/>
      <c r="H182" s="767"/>
      <c r="I182" s="767"/>
      <c r="J182" s="767"/>
      <c r="K182" s="767"/>
      <c r="L182" s="767"/>
      <c r="M182" s="767"/>
      <c r="N182" s="767"/>
      <c r="O182" s="1592"/>
      <c r="P182" s="1593"/>
      <c r="Q182" s="1593"/>
      <c r="R182" s="1593"/>
      <c r="S182" s="1594"/>
      <c r="T182" s="1589"/>
      <c r="U182" s="1590"/>
      <c r="V182" s="1590"/>
      <c r="W182" s="1590"/>
      <c r="X182" s="1591"/>
      <c r="Y182" s="767"/>
      <c r="Z182" s="767"/>
    </row>
    <row r="183" spans="1:26" ht="14.25" customHeight="1" thickTop="1" thickBot="1">
      <c r="A183" s="766">
        <v>12</v>
      </c>
      <c r="B183" s="767" t="s">
        <v>352</v>
      </c>
      <c r="C183" s="767"/>
      <c r="D183" s="767"/>
      <c r="E183" s="767"/>
      <c r="F183" s="767"/>
      <c r="G183" s="767"/>
      <c r="H183" s="767"/>
      <c r="I183" s="767"/>
      <c r="J183" s="767"/>
      <c r="K183" s="767"/>
      <c r="L183" s="767"/>
      <c r="M183" s="767"/>
      <c r="N183" s="767"/>
      <c r="O183" s="1583"/>
      <c r="P183" s="1584"/>
      <c r="Q183" s="1584"/>
      <c r="R183" s="1584"/>
      <c r="S183" s="1585"/>
      <c r="T183" s="1586"/>
      <c r="U183" s="1587"/>
      <c r="V183" s="1587"/>
      <c r="W183" s="1587"/>
      <c r="X183" s="1588"/>
      <c r="Y183" s="767"/>
      <c r="Z183" s="767"/>
    </row>
    <row r="184" spans="1:26" ht="14.25" customHeight="1" thickTop="1" thickBot="1">
      <c r="A184" s="766">
        <v>13</v>
      </c>
      <c r="B184" s="767" t="s">
        <v>333</v>
      </c>
      <c r="C184" s="767"/>
      <c r="D184" s="767"/>
      <c r="E184" s="767"/>
      <c r="F184" s="767"/>
      <c r="G184" s="767"/>
      <c r="H184" s="767"/>
      <c r="I184" s="767"/>
      <c r="J184" s="767"/>
      <c r="K184" s="767"/>
      <c r="L184" s="767"/>
      <c r="M184" s="767"/>
      <c r="N184" s="767"/>
      <c r="O184" s="1583"/>
      <c r="P184" s="1584"/>
      <c r="Q184" s="1584"/>
      <c r="R184" s="1584"/>
      <c r="S184" s="1585"/>
      <c r="T184" s="1586"/>
      <c r="U184" s="1587"/>
      <c r="V184" s="1587"/>
      <c r="W184" s="1587"/>
      <c r="X184" s="1588"/>
      <c r="Y184" s="767"/>
      <c r="Z184" s="767"/>
    </row>
    <row r="185" spans="1:26" ht="14.25" customHeight="1" thickTop="1" thickBot="1">
      <c r="A185" s="766">
        <v>14</v>
      </c>
      <c r="B185" s="767" t="s">
        <v>331</v>
      </c>
      <c r="C185" s="767"/>
      <c r="D185" s="767"/>
      <c r="E185" s="767"/>
      <c r="F185" s="767"/>
      <c r="G185" s="767"/>
      <c r="H185" s="767"/>
      <c r="I185" s="767"/>
      <c r="J185" s="767"/>
      <c r="K185" s="767"/>
      <c r="L185" s="767"/>
      <c r="M185" s="767"/>
      <c r="N185" s="767"/>
      <c r="O185" s="1583"/>
      <c r="P185" s="1584"/>
      <c r="Q185" s="1584"/>
      <c r="R185" s="1584"/>
      <c r="S185" s="1585"/>
      <c r="T185" s="1586"/>
      <c r="U185" s="1587"/>
      <c r="V185" s="1587"/>
      <c r="W185" s="1587"/>
      <c r="X185" s="1588"/>
      <c r="Y185" s="767"/>
      <c r="Z185" s="767"/>
    </row>
    <row r="186" spans="1:26" ht="14.25" customHeight="1" thickTop="1" thickBot="1">
      <c r="A186" s="766"/>
      <c r="B186" s="767"/>
      <c r="C186" s="767"/>
      <c r="D186" s="767"/>
      <c r="E186" s="767"/>
      <c r="F186" s="767"/>
      <c r="G186" s="767"/>
      <c r="H186" s="767"/>
      <c r="I186" s="767"/>
      <c r="J186" s="767"/>
      <c r="K186" s="767"/>
      <c r="L186" s="767"/>
      <c r="M186" s="767"/>
      <c r="N186" s="767"/>
      <c r="O186" s="767"/>
      <c r="P186" s="767"/>
      <c r="Q186" s="767"/>
      <c r="R186" s="767"/>
      <c r="S186" s="767"/>
      <c r="T186" s="767"/>
      <c r="U186" s="767"/>
      <c r="V186" s="767"/>
      <c r="W186" s="767"/>
      <c r="X186" s="767"/>
      <c r="Y186" s="767"/>
      <c r="Z186" s="767"/>
    </row>
    <row r="187" spans="1:26" ht="14.25" customHeight="1" thickTop="1" thickBot="1">
      <c r="A187" s="766"/>
      <c r="B187" s="767" t="s">
        <v>332</v>
      </c>
      <c r="C187" s="767"/>
      <c r="D187" s="767"/>
      <c r="E187" s="767"/>
      <c r="F187" s="767"/>
      <c r="G187" s="767"/>
      <c r="H187" s="767"/>
      <c r="I187" s="767"/>
      <c r="J187" s="767"/>
      <c r="K187" s="767"/>
      <c r="L187" s="767"/>
      <c r="M187" s="767"/>
      <c r="N187" s="767"/>
      <c r="O187" s="1664">
        <f>SUM(O172:S185)</f>
        <v>0</v>
      </c>
      <c r="P187" s="1665"/>
      <c r="Q187" s="1665"/>
      <c r="R187" s="1665"/>
      <c r="S187" s="1666"/>
      <c r="T187" s="1664">
        <f>SUM(T172:X185)</f>
        <v>0</v>
      </c>
      <c r="U187" s="1665"/>
      <c r="V187" s="1665"/>
      <c r="W187" s="1665"/>
      <c r="X187" s="1666"/>
      <c r="Y187" s="767"/>
      <c r="Z187" s="767"/>
    </row>
    <row r="188" spans="1:26" ht="13.5" customHeight="1" thickTop="1">
      <c r="A188" s="766"/>
      <c r="B188" s="767"/>
      <c r="C188" s="767"/>
      <c r="D188" s="767"/>
      <c r="E188" s="767"/>
      <c r="F188" s="767"/>
      <c r="G188" s="767"/>
      <c r="H188" s="767"/>
      <c r="I188" s="767"/>
      <c r="J188" s="804"/>
      <c r="K188" s="804"/>
      <c r="L188" s="804"/>
      <c r="M188" s="804"/>
      <c r="N188" s="804"/>
      <c r="O188" s="801"/>
      <c r="P188" s="801"/>
      <c r="Q188" s="801"/>
      <c r="R188" s="801"/>
      <c r="S188" s="801"/>
      <c r="T188" s="801"/>
      <c r="U188" s="801"/>
      <c r="V188" s="801"/>
      <c r="W188" s="801"/>
      <c r="X188" s="801"/>
      <c r="Y188" s="804"/>
      <c r="Z188" s="804"/>
    </row>
    <row r="189" spans="1:26" ht="16.5" customHeight="1" thickBot="1">
      <c r="A189" s="248"/>
      <c r="B189" s="1656" t="s">
        <v>334</v>
      </c>
      <c r="C189" s="1656"/>
      <c r="D189" s="1656"/>
      <c r="E189" s="1656"/>
      <c r="F189" s="247"/>
      <c r="G189" s="767"/>
      <c r="H189" s="767"/>
      <c r="I189" s="767"/>
      <c r="J189" s="767"/>
      <c r="K189" s="767"/>
      <c r="L189" s="767"/>
      <c r="M189" s="767"/>
      <c r="N189" s="767"/>
      <c r="O189" s="767"/>
      <c r="P189" s="767"/>
      <c r="Q189" s="767"/>
      <c r="R189" s="767"/>
      <c r="S189" s="767"/>
      <c r="T189" s="767"/>
      <c r="U189" s="767"/>
      <c r="V189" s="767"/>
      <c r="W189" s="767"/>
      <c r="X189" s="767"/>
      <c r="Y189" s="767"/>
      <c r="Z189" s="767"/>
    </row>
    <row r="190" spans="1:26" ht="14.25" customHeight="1" thickTop="1" thickBot="1">
      <c r="A190" s="766"/>
      <c r="B190" s="767"/>
      <c r="C190" s="767"/>
      <c r="D190" s="767"/>
      <c r="E190" s="767"/>
      <c r="F190" s="767"/>
      <c r="G190" s="767"/>
      <c r="H190" s="767"/>
      <c r="I190" s="767"/>
      <c r="J190" s="767"/>
      <c r="K190" s="767"/>
      <c r="L190" s="767"/>
      <c r="M190" s="767"/>
      <c r="N190" s="767"/>
      <c r="O190" s="1660" t="s">
        <v>326</v>
      </c>
      <c r="P190" s="1661"/>
      <c r="Q190" s="1661"/>
      <c r="R190" s="1661"/>
      <c r="S190" s="1662"/>
      <c r="T190" s="767"/>
      <c r="U190" s="767"/>
      <c r="V190" s="767"/>
      <c r="W190" s="765"/>
      <c r="X190" s="765"/>
      <c r="Y190" s="765"/>
      <c r="Z190" s="765"/>
    </row>
    <row r="191" spans="1:26" ht="14.25" customHeight="1" thickTop="1" thickBot="1">
      <c r="A191" s="766">
        <v>1</v>
      </c>
      <c r="B191" s="767" t="s">
        <v>335</v>
      </c>
      <c r="C191" s="767"/>
      <c r="D191" s="767"/>
      <c r="E191" s="767"/>
      <c r="F191" s="767"/>
      <c r="G191" s="767"/>
      <c r="H191" s="767"/>
      <c r="I191" s="767"/>
      <c r="J191" s="767"/>
      <c r="K191" s="767"/>
      <c r="L191" s="767"/>
      <c r="M191" s="767"/>
      <c r="N191" s="767"/>
      <c r="O191" s="1583"/>
      <c r="P191" s="1584"/>
      <c r="Q191" s="1584"/>
      <c r="R191" s="1584"/>
      <c r="S191" s="1585"/>
      <c r="T191" s="767"/>
      <c r="U191" s="767"/>
      <c r="V191" s="767"/>
      <c r="W191" s="765"/>
      <c r="X191" s="765"/>
      <c r="Y191" s="765"/>
      <c r="Z191" s="765"/>
    </row>
    <row r="192" spans="1:26" ht="14.25" customHeight="1" thickTop="1" thickBot="1">
      <c r="A192" s="766">
        <v>2</v>
      </c>
      <c r="B192" s="767" t="s">
        <v>275</v>
      </c>
      <c r="C192" s="767"/>
      <c r="D192" s="767"/>
      <c r="E192" s="767"/>
      <c r="F192" s="767"/>
      <c r="G192" s="767"/>
      <c r="H192" s="767"/>
      <c r="I192" s="767"/>
      <c r="J192" s="767"/>
      <c r="K192" s="767"/>
      <c r="L192" s="767"/>
      <c r="M192" s="767"/>
      <c r="N192" s="767"/>
      <c r="O192" s="1583"/>
      <c r="P192" s="1584"/>
      <c r="Q192" s="1584"/>
      <c r="R192" s="1584"/>
      <c r="S192" s="1585"/>
      <c r="T192" s="767"/>
      <c r="U192" s="767"/>
      <c r="V192" s="767"/>
      <c r="W192" s="765"/>
      <c r="X192" s="765"/>
      <c r="Y192" s="765"/>
      <c r="Z192" s="765"/>
    </row>
    <row r="193" spans="1:26" ht="24.75" customHeight="1" thickTop="1" thickBot="1">
      <c r="A193" s="805">
        <v>3</v>
      </c>
      <c r="B193" s="772" t="s">
        <v>660</v>
      </c>
      <c r="C193" s="772"/>
      <c r="D193" s="772"/>
      <c r="E193" s="772"/>
      <c r="F193" s="772"/>
      <c r="G193" s="772"/>
      <c r="H193" s="772"/>
      <c r="I193" s="772"/>
      <c r="J193" s="772"/>
      <c r="K193" s="772"/>
      <c r="L193" s="772"/>
      <c r="M193" s="772"/>
      <c r="N193" s="806"/>
      <c r="O193" s="1583"/>
      <c r="P193" s="1584"/>
      <c r="Q193" s="1584"/>
      <c r="R193" s="1584"/>
      <c r="S193" s="1585"/>
      <c r="T193" s="767"/>
      <c r="U193" s="767"/>
      <c r="V193" s="767"/>
      <c r="W193" s="765"/>
      <c r="X193" s="765"/>
      <c r="Y193" s="765"/>
      <c r="Z193" s="765"/>
    </row>
    <row r="194" spans="1:26" ht="14.25" customHeight="1" thickTop="1" thickBot="1">
      <c r="A194" s="766">
        <v>4</v>
      </c>
      <c r="B194" s="767" t="s">
        <v>336</v>
      </c>
      <c r="C194" s="767"/>
      <c r="D194" s="767"/>
      <c r="E194" s="767"/>
      <c r="F194" s="767"/>
      <c r="G194" s="767"/>
      <c r="H194" s="767"/>
      <c r="I194" s="767"/>
      <c r="J194" s="767"/>
      <c r="K194" s="767"/>
      <c r="L194" s="767"/>
      <c r="M194" s="767"/>
      <c r="N194" s="767"/>
      <c r="O194" s="1583"/>
      <c r="P194" s="1584"/>
      <c r="Q194" s="1584"/>
      <c r="R194" s="1584"/>
      <c r="S194" s="1585"/>
      <c r="T194" s="767"/>
      <c r="U194" s="767"/>
      <c r="V194" s="767"/>
      <c r="W194" s="765"/>
      <c r="X194" s="765"/>
      <c r="Y194" s="765"/>
      <c r="Z194" s="765"/>
    </row>
    <row r="195" spans="1:26" ht="14.25" customHeight="1" thickTop="1" thickBot="1">
      <c r="A195" s="766">
        <v>5</v>
      </c>
      <c r="B195" s="767" t="s">
        <v>658</v>
      </c>
      <c r="C195" s="767"/>
      <c r="D195" s="767"/>
      <c r="E195" s="767"/>
      <c r="F195" s="767"/>
      <c r="G195" s="767"/>
      <c r="H195" s="767"/>
      <c r="I195" s="767"/>
      <c r="J195" s="767"/>
      <c r="K195" s="767"/>
      <c r="L195" s="767"/>
      <c r="M195" s="767"/>
      <c r="N195" s="767"/>
      <c r="O195" s="1583"/>
      <c r="P195" s="1584"/>
      <c r="Q195" s="1584"/>
      <c r="R195" s="1584"/>
      <c r="S195" s="1585"/>
      <c r="T195" s="767"/>
      <c r="U195" s="767"/>
      <c r="V195" s="767"/>
      <c r="W195" s="765"/>
      <c r="X195" s="765"/>
      <c r="Y195" s="765"/>
      <c r="Z195" s="765"/>
    </row>
    <row r="196" spans="1:26" ht="14.25" customHeight="1" thickTop="1" thickBot="1">
      <c r="A196" s="766">
        <v>6</v>
      </c>
      <c r="B196" s="767" t="s">
        <v>337</v>
      </c>
      <c r="C196" s="767"/>
      <c r="D196" s="767"/>
      <c r="E196" s="767"/>
      <c r="F196" s="767"/>
      <c r="G196" s="767"/>
      <c r="H196" s="767"/>
      <c r="I196" s="767"/>
      <c r="J196" s="767"/>
      <c r="K196" s="767"/>
      <c r="L196" s="767"/>
      <c r="M196" s="767"/>
      <c r="N196" s="767"/>
      <c r="O196" s="1583"/>
      <c r="P196" s="1584"/>
      <c r="Q196" s="1584"/>
      <c r="R196" s="1584"/>
      <c r="S196" s="1585"/>
      <c r="T196" s="767"/>
      <c r="U196" s="767"/>
      <c r="V196" s="767"/>
      <c r="W196" s="765"/>
      <c r="X196" s="765"/>
      <c r="Y196" s="765"/>
      <c r="Z196" s="765"/>
    </row>
    <row r="197" spans="1:26" ht="14.25" customHeight="1" thickTop="1" thickBot="1">
      <c r="A197" s="766"/>
      <c r="B197" s="767"/>
      <c r="C197" s="767"/>
      <c r="D197" s="767"/>
      <c r="E197" s="767"/>
      <c r="F197" s="767"/>
      <c r="G197" s="767"/>
      <c r="H197" s="767"/>
      <c r="I197" s="767"/>
      <c r="J197" s="767"/>
      <c r="K197" s="767"/>
      <c r="L197" s="767"/>
      <c r="M197" s="767"/>
      <c r="N197" s="767"/>
      <c r="O197" s="801"/>
      <c r="P197" s="801"/>
      <c r="Q197" s="801"/>
      <c r="R197" s="801"/>
      <c r="S197" s="801"/>
      <c r="T197" s="767"/>
      <c r="U197" s="767"/>
      <c r="V197" s="767"/>
      <c r="W197" s="765"/>
      <c r="X197" s="765"/>
      <c r="Y197" s="765"/>
      <c r="Z197" s="765"/>
    </row>
    <row r="198" spans="1:26" ht="14.25" customHeight="1" thickTop="1" thickBot="1">
      <c r="A198" s="766"/>
      <c r="B198" s="767" t="s">
        <v>332</v>
      </c>
      <c r="C198" s="767"/>
      <c r="D198" s="767"/>
      <c r="E198" s="767"/>
      <c r="F198" s="767"/>
      <c r="G198" s="767"/>
      <c r="H198" s="767"/>
      <c r="I198" s="767"/>
      <c r="J198" s="767"/>
      <c r="K198" s="767"/>
      <c r="L198" s="767"/>
      <c r="M198" s="767"/>
      <c r="N198" s="767"/>
      <c r="O198" s="1657">
        <f>SUM(O191:S196)</f>
        <v>0</v>
      </c>
      <c r="P198" s="1658"/>
      <c r="Q198" s="1658"/>
      <c r="R198" s="1658"/>
      <c r="S198" s="1659"/>
      <c r="T198" s="767"/>
      <c r="U198" s="767"/>
      <c r="V198" s="767"/>
      <c r="W198" s="765"/>
      <c r="X198" s="765"/>
      <c r="Y198" s="765"/>
      <c r="Z198" s="765"/>
    </row>
    <row r="199" spans="1:26" ht="13.5" customHeight="1" thickTop="1">
      <c r="A199" s="766"/>
      <c r="B199" s="767"/>
      <c r="C199" s="767"/>
      <c r="D199" s="767"/>
      <c r="E199" s="767"/>
      <c r="F199" s="767"/>
      <c r="G199" s="767"/>
      <c r="H199" s="767"/>
      <c r="I199" s="767"/>
      <c r="J199" s="767"/>
      <c r="K199" s="767"/>
      <c r="L199" s="767"/>
      <c r="M199" s="767"/>
      <c r="N199" s="767"/>
      <c r="O199" s="767"/>
      <c r="P199" s="767"/>
      <c r="Q199" s="767"/>
      <c r="R199" s="767"/>
      <c r="S199" s="767"/>
      <c r="T199" s="767"/>
      <c r="U199" s="767"/>
      <c r="V199" s="767"/>
      <c r="W199" s="767"/>
      <c r="X199" s="767"/>
      <c r="Y199" s="767"/>
      <c r="Z199" s="767"/>
    </row>
    <row r="200" spans="1:35" s="237" customFormat="1" ht="18" customHeight="1">
      <c r="A200" s="1526" t="s">
        <v>1346</v>
      </c>
      <c r="B200" s="1526" t="s">
        <v>1347</v>
      </c>
      <c r="C200" s="1527"/>
      <c r="D200" s="1527"/>
      <c r="E200" s="1527"/>
      <c r="F200" s="1527"/>
      <c r="G200" s="1527"/>
      <c r="H200" s="1527"/>
      <c r="I200" s="1527"/>
      <c r="J200" s="1527"/>
      <c r="K200" s="1527"/>
      <c r="L200" s="1527"/>
      <c r="M200" s="1527"/>
      <c r="N200" s="1527"/>
      <c r="O200" s="1527"/>
      <c r="P200" s="1527"/>
      <c r="Q200" s="1527"/>
      <c r="R200" s="1527"/>
      <c r="S200" s="1527"/>
      <c r="T200" s="1527"/>
      <c r="U200" s="1527"/>
      <c r="V200" s="1527"/>
      <c r="W200" s="1527"/>
      <c r="X200" s="1527"/>
      <c r="Y200" s="1527"/>
      <c r="Z200" s="1527"/>
      <c r="AA200" s="237"/>
      <c r="AB200" s="237"/>
      <c r="AH200" s="237"/>
      <c r="AI200" s="237"/>
    </row>
    <row r="201" spans="1:35" s="237" customFormat="1" ht="13.5" customHeight="1">
      <c r="A201" s="766"/>
      <c r="B201" s="766"/>
      <c r="C201" s="766"/>
      <c r="D201" s="766"/>
      <c r="E201" s="766"/>
      <c r="F201" s="766"/>
      <c r="G201" s="766"/>
      <c r="H201" s="766"/>
      <c r="I201" s="766"/>
      <c r="J201" s="766"/>
      <c r="K201" s="766"/>
      <c r="L201" s="766"/>
      <c r="M201" s="766"/>
      <c r="N201" s="766"/>
      <c r="O201" s="766"/>
      <c r="P201" s="766"/>
      <c r="Q201" s="766"/>
      <c r="R201" s="766"/>
      <c r="S201" s="766"/>
      <c r="T201" s="766"/>
      <c r="U201" s="766"/>
      <c r="V201" s="766"/>
      <c r="W201" s="766"/>
      <c r="X201" s="766"/>
      <c r="Y201" s="766"/>
      <c r="Z201" s="766"/>
      <c r="AA201" s="237"/>
      <c r="AB201" s="237"/>
      <c r="AH201" s="237"/>
      <c r="AI201" s="237"/>
    </row>
    <row r="202" spans="1:35" s="237" customFormat="1" ht="13.5" customHeight="1" thickBot="1">
      <c r="A202" s="766"/>
      <c r="B202" s="766"/>
      <c r="C202" s="766"/>
      <c r="D202" s="766"/>
      <c r="E202" s="766"/>
      <c r="F202" s="766"/>
      <c r="G202" s="766"/>
      <c r="H202" s="766"/>
      <c r="I202" s="766"/>
      <c r="J202" s="766"/>
      <c r="K202" s="766"/>
      <c r="L202" s="766"/>
      <c r="M202" s="766"/>
      <c r="N202" s="766"/>
      <c r="O202" s="766"/>
      <c r="P202" s="766"/>
      <c r="Q202" s="766"/>
      <c r="R202" s="766"/>
      <c r="S202" s="766"/>
      <c r="T202" s="766"/>
      <c r="U202" s="766"/>
      <c r="V202" s="766"/>
      <c r="W202" s="766"/>
      <c r="X202" s="766"/>
      <c r="Y202" s="766"/>
      <c r="Z202" s="766"/>
      <c r="AA202" s="237"/>
      <c r="AB202" s="237"/>
      <c r="AH202" s="237"/>
      <c r="AI202" s="237"/>
    </row>
    <row r="203" spans="1:28" s="237" customFormat="1" ht="13.5" customHeight="1" thickTop="1">
      <c r="A203" s="766"/>
      <c r="B203" s="1541" t="s">
        <v>1348</v>
      </c>
      <c r="C203" s="1543" t="s">
        <v>1349</v>
      </c>
      <c r="D203" s="1544"/>
      <c r="E203" s="1544"/>
      <c r="F203" s="1544"/>
      <c r="G203" s="1545"/>
      <c r="H203" s="1549" t="s">
        <v>1350</v>
      </c>
      <c r="I203" s="1544"/>
      <c r="J203" s="1544"/>
      <c r="K203" s="1544"/>
      <c r="L203" s="1544"/>
      <c r="M203" s="1544"/>
      <c r="N203" s="1545"/>
      <c r="O203" s="1543" t="s">
        <v>1351</v>
      </c>
      <c r="P203" s="1544"/>
      <c r="Q203" s="1544"/>
      <c r="R203" s="1544"/>
      <c r="S203" s="1545"/>
      <c r="T203" s="1543" t="s">
        <v>1352</v>
      </c>
      <c r="U203" s="1544"/>
      <c r="V203" s="1544"/>
      <c r="W203" s="1544"/>
      <c r="X203" s="1545"/>
      <c r="Y203" s="766"/>
      <c r="Z203" s="766"/>
      <c r="AA203" s="237"/>
      <c r="AB203" s="237"/>
    </row>
    <row r="204" spans="1:28" s="237" customFormat="1" ht="13.5" customHeight="1" thickBot="1">
      <c r="A204" s="766"/>
      <c r="B204" s="1542"/>
      <c r="C204" s="1546"/>
      <c r="D204" s="1547"/>
      <c r="E204" s="1547"/>
      <c r="F204" s="1547"/>
      <c r="G204" s="1548"/>
      <c r="H204" s="1546"/>
      <c r="I204" s="1547"/>
      <c r="J204" s="1547"/>
      <c r="K204" s="1547"/>
      <c r="L204" s="1547"/>
      <c r="M204" s="1547"/>
      <c r="N204" s="1548"/>
      <c r="O204" s="1546"/>
      <c r="P204" s="1547"/>
      <c r="Q204" s="1547"/>
      <c r="R204" s="1547"/>
      <c r="S204" s="1548"/>
      <c r="T204" s="1546"/>
      <c r="U204" s="1547"/>
      <c r="V204" s="1547"/>
      <c r="W204" s="1547"/>
      <c r="X204" s="1548"/>
      <c r="Y204" s="766"/>
      <c r="Z204" s="766"/>
      <c r="AA204" s="237"/>
      <c r="AB204" s="237"/>
    </row>
    <row r="205" spans="1:28" s="237" customFormat="1" ht="13.5" customHeight="1" thickTop="1">
      <c r="A205" s="766"/>
      <c r="B205" s="1528"/>
      <c r="C205" s="1550"/>
      <c r="D205" s="1550"/>
      <c r="E205" s="1550"/>
      <c r="F205" s="1550"/>
      <c r="G205" s="1550"/>
      <c r="H205" s="1550"/>
      <c r="I205" s="1550"/>
      <c r="J205" s="1550"/>
      <c r="K205" s="1550"/>
      <c r="L205" s="1550"/>
      <c r="M205" s="1550"/>
      <c r="N205" s="1550"/>
      <c r="O205" s="1551"/>
      <c r="P205" s="1551"/>
      <c r="Q205" s="1551"/>
      <c r="R205" s="1551"/>
      <c r="S205" s="1551"/>
      <c r="T205" s="1552"/>
      <c r="U205" s="1552"/>
      <c r="V205" s="1552"/>
      <c r="W205" s="1552"/>
      <c r="X205" s="1553"/>
      <c r="Y205" s="766"/>
      <c r="Z205" s="766"/>
      <c r="AA205" s="237"/>
      <c r="AB205" s="237"/>
    </row>
    <row r="206" spans="1:34" s="237" customFormat="1" ht="13.5" customHeight="1">
      <c r="A206" s="766"/>
      <c r="B206" s="781">
        <v>1</v>
      </c>
      <c r="C206" s="1533"/>
      <c r="D206" s="1533"/>
      <c r="E206" s="1533"/>
      <c r="F206" s="1533"/>
      <c r="G206" s="1533"/>
      <c r="H206" s="1149"/>
      <c r="I206" s="1149"/>
      <c r="J206" s="1149"/>
      <c r="K206" s="1149"/>
      <c r="L206" s="1149"/>
      <c r="M206" s="1149"/>
      <c r="N206" s="1149"/>
      <c r="O206" s="1534"/>
      <c r="P206" s="1534"/>
      <c r="Q206" s="1534"/>
      <c r="R206" s="1534"/>
      <c r="S206" s="1534"/>
      <c r="T206" s="1535"/>
      <c r="U206" s="1535"/>
      <c r="V206" s="1535"/>
      <c r="W206" s="1535"/>
      <c r="X206" s="1536"/>
      <c r="Y206" s="766"/>
      <c r="Z206" s="766"/>
      <c r="AA206" s="237"/>
      <c r="AB206" s="237"/>
      <c r="AH206" s="237" t="s">
        <v>1353</v>
      </c>
    </row>
    <row r="207" spans="1:34" s="237" customFormat="1" ht="13.5" customHeight="1">
      <c r="A207" s="766"/>
      <c r="B207" s="781">
        <v>2</v>
      </c>
      <c r="C207" s="1533"/>
      <c r="D207" s="1533"/>
      <c r="E207" s="1533"/>
      <c r="F207" s="1533"/>
      <c r="G207" s="1533"/>
      <c r="H207" s="1149"/>
      <c r="I207" s="1149"/>
      <c r="J207" s="1149"/>
      <c r="K207" s="1149"/>
      <c r="L207" s="1149"/>
      <c r="M207" s="1149"/>
      <c r="N207" s="1149"/>
      <c r="O207" s="1534"/>
      <c r="P207" s="1534"/>
      <c r="Q207" s="1534"/>
      <c r="R207" s="1534"/>
      <c r="S207" s="1534"/>
      <c r="T207" s="1535"/>
      <c r="U207" s="1535"/>
      <c r="V207" s="1535"/>
      <c r="W207" s="1535"/>
      <c r="X207" s="1536"/>
      <c r="Y207" s="766"/>
      <c r="Z207" s="766"/>
      <c r="AA207" s="237"/>
      <c r="AB207" s="237"/>
      <c r="AH207" s="237" t="s">
        <v>1354</v>
      </c>
    </row>
    <row r="208" spans="1:34" s="237" customFormat="1" ht="13.5" customHeight="1">
      <c r="A208" s="766"/>
      <c r="B208" s="781">
        <v>3</v>
      </c>
      <c r="C208" s="1533"/>
      <c r="D208" s="1533"/>
      <c r="E208" s="1533"/>
      <c r="F208" s="1533"/>
      <c r="G208" s="1533"/>
      <c r="H208" s="1149"/>
      <c r="I208" s="1149"/>
      <c r="J208" s="1149"/>
      <c r="K208" s="1149"/>
      <c r="L208" s="1149"/>
      <c r="M208" s="1149"/>
      <c r="N208" s="1149"/>
      <c r="O208" s="1534"/>
      <c r="P208" s="1534"/>
      <c r="Q208" s="1534"/>
      <c r="R208" s="1534"/>
      <c r="S208" s="1534"/>
      <c r="T208" s="1535"/>
      <c r="U208" s="1535"/>
      <c r="V208" s="1535"/>
      <c r="W208" s="1535"/>
      <c r="X208" s="1536"/>
      <c r="Y208" s="766"/>
      <c r="Z208" s="766"/>
      <c r="AA208" s="237"/>
      <c r="AB208" s="237"/>
      <c r="AH208" s="237" t="s">
        <v>1355</v>
      </c>
    </row>
    <row r="209" spans="1:34" s="237" customFormat="1" ht="13.5" customHeight="1">
      <c r="A209" s="1529"/>
      <c r="B209" s="781">
        <v>4</v>
      </c>
      <c r="C209" s="1533"/>
      <c r="D209" s="1533"/>
      <c r="E209" s="1533"/>
      <c r="F209" s="1533"/>
      <c r="G209" s="1533"/>
      <c r="H209" s="1149"/>
      <c r="I209" s="1149"/>
      <c r="J209" s="1149"/>
      <c r="K209" s="1149"/>
      <c r="L209" s="1149"/>
      <c r="M209" s="1149"/>
      <c r="N209" s="1149"/>
      <c r="O209" s="1534"/>
      <c r="P209" s="1534"/>
      <c r="Q209" s="1534"/>
      <c r="R209" s="1534"/>
      <c r="S209" s="1534"/>
      <c r="T209" s="1535"/>
      <c r="U209" s="1535"/>
      <c r="V209" s="1535"/>
      <c r="W209" s="1535"/>
      <c r="X209" s="1536"/>
      <c r="Y209" s="766"/>
      <c r="Z209" s="766"/>
      <c r="AA209" s="237"/>
      <c r="AB209" s="237"/>
      <c r="AH209" s="237" t="s">
        <v>1356</v>
      </c>
    </row>
    <row r="210" spans="1:34" s="237" customFormat="1" ht="13.5" customHeight="1">
      <c r="A210" s="1529"/>
      <c r="B210" s="781">
        <v>5</v>
      </c>
      <c r="C210" s="1533"/>
      <c r="D210" s="1533"/>
      <c r="E210" s="1533"/>
      <c r="F210" s="1533"/>
      <c r="G210" s="1533"/>
      <c r="H210" s="1149"/>
      <c r="I210" s="1149"/>
      <c r="J210" s="1149"/>
      <c r="K210" s="1149"/>
      <c r="L210" s="1149"/>
      <c r="M210" s="1149"/>
      <c r="N210" s="1149"/>
      <c r="O210" s="1534"/>
      <c r="P210" s="1534"/>
      <c r="Q210" s="1534"/>
      <c r="R210" s="1534"/>
      <c r="S210" s="1534"/>
      <c r="T210" s="1535"/>
      <c r="U210" s="1535"/>
      <c r="V210" s="1535"/>
      <c r="W210" s="1535"/>
      <c r="X210" s="1536"/>
      <c r="Y210" s="766"/>
      <c r="Z210" s="766"/>
      <c r="AA210" s="237"/>
      <c r="AB210" s="237"/>
      <c r="AH210" s="237" t="s">
        <v>1357</v>
      </c>
    </row>
    <row r="211" spans="1:34" s="237" customFormat="1" ht="13.5" customHeight="1">
      <c r="A211" s="1529"/>
      <c r="B211" s="781">
        <v>6</v>
      </c>
      <c r="C211" s="1533"/>
      <c r="D211" s="1533"/>
      <c r="E211" s="1533"/>
      <c r="F211" s="1533"/>
      <c r="G211" s="1533"/>
      <c r="H211" s="1149"/>
      <c r="I211" s="1149"/>
      <c r="J211" s="1149"/>
      <c r="K211" s="1149"/>
      <c r="L211" s="1149"/>
      <c r="M211" s="1149"/>
      <c r="N211" s="1149"/>
      <c r="O211" s="1534"/>
      <c r="P211" s="1534"/>
      <c r="Q211" s="1534"/>
      <c r="R211" s="1534"/>
      <c r="S211" s="1534"/>
      <c r="T211" s="1535"/>
      <c r="U211" s="1535"/>
      <c r="V211" s="1535"/>
      <c r="W211" s="1535"/>
      <c r="X211" s="1536"/>
      <c r="Y211" s="766"/>
      <c r="Z211" s="766"/>
      <c r="AA211" s="237"/>
      <c r="AB211" s="237"/>
      <c r="AH211" s="237" t="s">
        <v>1358</v>
      </c>
    </row>
    <row r="212" spans="1:34" s="237" customFormat="1" ht="13.5" customHeight="1">
      <c r="A212" s="1529"/>
      <c r="B212" s="781">
        <v>7</v>
      </c>
      <c r="C212" s="1533"/>
      <c r="D212" s="1533"/>
      <c r="E212" s="1533"/>
      <c r="F212" s="1533"/>
      <c r="G212" s="1533"/>
      <c r="H212" s="1149"/>
      <c r="I212" s="1149"/>
      <c r="J212" s="1149"/>
      <c r="K212" s="1149"/>
      <c r="L212" s="1149"/>
      <c r="M212" s="1149"/>
      <c r="N212" s="1149"/>
      <c r="O212" s="1534"/>
      <c r="P212" s="1534"/>
      <c r="Q212" s="1534"/>
      <c r="R212" s="1534"/>
      <c r="S212" s="1534"/>
      <c r="T212" s="1535"/>
      <c r="U212" s="1535"/>
      <c r="V212" s="1535"/>
      <c r="W212" s="1535"/>
      <c r="X212" s="1536"/>
      <c r="Y212" s="766"/>
      <c r="Z212" s="766"/>
      <c r="AA212" s="237"/>
      <c r="AB212" s="237"/>
      <c r="AH212" s="237" t="s">
        <v>1359</v>
      </c>
    </row>
    <row r="213" spans="1:34" s="237" customFormat="1" ht="13.5" customHeight="1">
      <c r="A213" s="1529"/>
      <c r="B213" s="781">
        <v>8</v>
      </c>
      <c r="C213" s="1533"/>
      <c r="D213" s="1533"/>
      <c r="E213" s="1533"/>
      <c r="F213" s="1533"/>
      <c r="G213" s="1533"/>
      <c r="H213" s="1149"/>
      <c r="I213" s="1149"/>
      <c r="J213" s="1149"/>
      <c r="K213" s="1149"/>
      <c r="L213" s="1149"/>
      <c r="M213" s="1149"/>
      <c r="N213" s="1149"/>
      <c r="O213" s="1534"/>
      <c r="P213" s="1534"/>
      <c r="Q213" s="1534"/>
      <c r="R213" s="1534"/>
      <c r="S213" s="1534"/>
      <c r="T213" s="1535"/>
      <c r="U213" s="1535"/>
      <c r="V213" s="1535"/>
      <c r="W213" s="1535"/>
      <c r="X213" s="1536"/>
      <c r="Y213" s="766"/>
      <c r="Z213" s="766"/>
      <c r="AA213" s="237"/>
      <c r="AB213" s="237"/>
      <c r="AH213" s="237" t="s">
        <v>1360</v>
      </c>
    </row>
    <row r="214" spans="1:28" s="237" customFormat="1" ht="13.5" customHeight="1">
      <c r="A214" s="1530"/>
      <c r="B214" s="781">
        <v>9</v>
      </c>
      <c r="C214" s="1533"/>
      <c r="D214" s="1533"/>
      <c r="E214" s="1533"/>
      <c r="F214" s="1533"/>
      <c r="G214" s="1533"/>
      <c r="H214" s="1149"/>
      <c r="I214" s="1149"/>
      <c r="J214" s="1149"/>
      <c r="K214" s="1149"/>
      <c r="L214" s="1149"/>
      <c r="M214" s="1149"/>
      <c r="N214" s="1149"/>
      <c r="O214" s="1534"/>
      <c r="P214" s="1534"/>
      <c r="Q214" s="1534"/>
      <c r="R214" s="1534"/>
      <c r="S214" s="1534"/>
      <c r="T214" s="1535"/>
      <c r="U214" s="1535"/>
      <c r="V214" s="1535"/>
      <c r="W214" s="1535"/>
      <c r="X214" s="1536"/>
      <c r="Y214" s="1530"/>
      <c r="Z214" s="1530"/>
      <c r="AA214" s="237"/>
      <c r="AB214" s="237"/>
    </row>
    <row r="215" spans="1:28" s="237" customFormat="1" ht="13.5" customHeight="1">
      <c r="A215" s="1530"/>
      <c r="B215" s="781">
        <v>10</v>
      </c>
      <c r="C215" s="1533"/>
      <c r="D215" s="1533"/>
      <c r="E215" s="1533"/>
      <c r="F215" s="1533"/>
      <c r="G215" s="1533"/>
      <c r="H215" s="1149"/>
      <c r="I215" s="1149"/>
      <c r="J215" s="1149"/>
      <c r="K215" s="1149"/>
      <c r="L215" s="1149"/>
      <c r="M215" s="1149"/>
      <c r="N215" s="1149"/>
      <c r="O215" s="1534"/>
      <c r="P215" s="1534"/>
      <c r="Q215" s="1534"/>
      <c r="R215" s="1534"/>
      <c r="S215" s="1534"/>
      <c r="T215" s="1535"/>
      <c r="U215" s="1535"/>
      <c r="V215" s="1535"/>
      <c r="W215" s="1535"/>
      <c r="X215" s="1536"/>
      <c r="Y215" s="1530"/>
      <c r="Z215" s="1530"/>
      <c r="AA215" s="237"/>
      <c r="AB215" s="237"/>
    </row>
    <row r="216" spans="1:28" s="237" customFormat="1" ht="13.5" customHeight="1" thickBot="1">
      <c r="A216" s="1530"/>
      <c r="B216" s="1531"/>
      <c r="C216" s="1537"/>
      <c r="D216" s="1537"/>
      <c r="E216" s="1537"/>
      <c r="F216" s="1537"/>
      <c r="G216" s="1537"/>
      <c r="H216" s="1537"/>
      <c r="I216" s="1537"/>
      <c r="J216" s="1537"/>
      <c r="K216" s="1537"/>
      <c r="L216" s="1537"/>
      <c r="M216" s="1537"/>
      <c r="N216" s="1537"/>
      <c r="O216" s="1538"/>
      <c r="P216" s="1538"/>
      <c r="Q216" s="1538"/>
      <c r="R216" s="1538"/>
      <c r="S216" s="1538"/>
      <c r="T216" s="1539"/>
      <c r="U216" s="1539"/>
      <c r="V216" s="1539"/>
      <c r="W216" s="1539"/>
      <c r="X216" s="1540"/>
      <c r="Y216" s="1530"/>
      <c r="Z216" s="1530"/>
      <c r="AA216" s="237"/>
      <c r="AB216" s="237"/>
    </row>
    <row r="217" spans="1:28" s="237" customFormat="1" ht="17.25" customHeight="1" thickTop="1">
      <c r="A217" s="1530"/>
      <c r="B217" s="1530"/>
      <c r="C217" s="1532"/>
      <c r="D217" s="1530"/>
      <c r="E217" s="1530"/>
      <c r="F217" s="1530"/>
      <c r="G217" s="1530"/>
      <c r="H217" s="1530"/>
      <c r="I217" s="1530"/>
      <c r="J217" s="1530"/>
      <c r="K217" s="1530"/>
      <c r="L217" s="1530"/>
      <c r="M217" s="1530"/>
      <c r="N217" s="1530"/>
      <c r="O217" s="1530"/>
      <c r="P217" s="1530"/>
      <c r="Q217" s="1530"/>
      <c r="R217" s="1530"/>
      <c r="S217" s="1530"/>
      <c r="T217" s="1530"/>
      <c r="U217" s="1530"/>
      <c r="V217" s="1530"/>
      <c r="W217" s="1530"/>
      <c r="X217" s="1530"/>
      <c r="Y217" s="1530"/>
      <c r="Z217" s="1530"/>
      <c r="AA217" s="237"/>
      <c r="AB217" s="237"/>
    </row>
    <row r="218" spans="1:28" s="237" customFormat="1" ht="16.5" customHeight="1">
      <c r="A218" s="1530"/>
      <c r="B218" s="1530"/>
      <c r="C218" s="1532"/>
      <c r="D218" s="1530"/>
      <c r="E218" s="1530"/>
      <c r="F218" s="1530"/>
      <c r="G218" s="1530"/>
      <c r="H218" s="1530"/>
      <c r="I218" s="1530"/>
      <c r="J218" s="1530"/>
      <c r="K218" s="1530"/>
      <c r="L218" s="1530"/>
      <c r="M218" s="1530"/>
      <c r="N218" s="1530"/>
      <c r="O218" s="1530"/>
      <c r="P218" s="1530"/>
      <c r="Q218" s="1530"/>
      <c r="R218" s="1530"/>
      <c r="S218" s="1530"/>
      <c r="T218" s="1530"/>
      <c r="U218" s="1530"/>
      <c r="V218" s="1530"/>
      <c r="W218" s="1530"/>
      <c r="X218" s="1530"/>
      <c r="Y218" s="1530"/>
      <c r="Z218" s="1530"/>
      <c r="AA218" s="237"/>
      <c r="AB218" s="237"/>
    </row>
    <row r="219" spans="1:28" s="237" customFormat="1">
      <c r="A219" s="1530"/>
      <c r="B219" s="1530"/>
      <c r="C219" s="1530"/>
      <c r="D219" s="1530"/>
      <c r="E219" s="1530"/>
      <c r="F219" s="1530"/>
      <c r="G219" s="1530"/>
      <c r="H219" s="1530"/>
      <c r="I219" s="1530"/>
      <c r="J219" s="1530"/>
      <c r="K219" s="1530"/>
      <c r="L219" s="1530"/>
      <c r="M219" s="1530"/>
      <c r="N219" s="1530"/>
      <c r="O219" s="1530"/>
      <c r="P219" s="1530"/>
      <c r="Q219" s="1530"/>
      <c r="R219" s="1530"/>
      <c r="S219" s="1530"/>
      <c r="T219" s="1530"/>
      <c r="U219" s="1530"/>
      <c r="V219" s="1530"/>
      <c r="W219" s="1530"/>
      <c r="X219" s="1530"/>
      <c r="Y219" s="1530"/>
      <c r="Z219" s="1530"/>
      <c r="AA219" s="237"/>
      <c r="AB219" s="237"/>
    </row>
    <row r="239" spans="1:2">
      <c r="A239" s="237"/>
      <c r="B239" s="237"/>
    </row>
  </sheetData>
  <sheetProtection formatCells="0" formatColumns="0" formatRows="0"/>
  <mergeCells count="384">
    <mergeCell ref="S51:Z51"/>
    <mergeCell ref="S52:Z52"/>
    <mergeCell ref="S54:Z54"/>
    <mergeCell ref="H51:O51"/>
    <mergeCell ref="H52:O52"/>
    <mergeCell ref="H54:O54"/>
    <mergeCell ref="L90:O90"/>
    <mergeCell ref="L82:O82"/>
    <mergeCell ref="B83:C83"/>
    <mergeCell ref="L83:O83"/>
    <mergeCell ref="J73:M73"/>
    <mergeCell ref="J74:M74"/>
    <mergeCell ref="N73:R73"/>
    <mergeCell ref="E72:I72"/>
    <mergeCell ref="C73:D73"/>
    <mergeCell ref="C74:D74"/>
    <mergeCell ref="L89:O89"/>
    <mergeCell ref="J76:M76"/>
    <mergeCell ref="J75:M75"/>
    <mergeCell ref="N75:R75"/>
    <mergeCell ref="C76:D76"/>
    <mergeCell ref="F64:J64"/>
    <mergeCell ref="F65:J65"/>
    <mergeCell ref="J72:M72"/>
    <mergeCell ref="D60:R60"/>
    <mergeCell ref="C68:D69"/>
    <mergeCell ref="C70:D70"/>
    <mergeCell ref="N74:R74"/>
    <mergeCell ref="N72:R72"/>
    <mergeCell ref="N70:R70"/>
    <mergeCell ref="E73:I73"/>
    <mergeCell ref="E74:I74"/>
    <mergeCell ref="J68:M69"/>
    <mergeCell ref="N68:R69"/>
    <mergeCell ref="N71:R71"/>
    <mergeCell ref="C72:D72"/>
    <mergeCell ref="Q106:U106"/>
    <mergeCell ref="B96:C96"/>
    <mergeCell ref="B95:C95"/>
    <mergeCell ref="H96:K96"/>
    <mergeCell ref="L96:O96"/>
    <mergeCell ref="D95:G95"/>
    <mergeCell ref="D94:G94"/>
    <mergeCell ref="H94:K94"/>
    <mergeCell ref="H82:K82"/>
    <mergeCell ref="H92:K92"/>
    <mergeCell ref="H90:K90"/>
    <mergeCell ref="H83:K83"/>
    <mergeCell ref="H85:K85"/>
    <mergeCell ref="L88:O88"/>
    <mergeCell ref="H87:K87"/>
    <mergeCell ref="L87:O87"/>
    <mergeCell ref="H86:K86"/>
    <mergeCell ref="L86:O86"/>
    <mergeCell ref="D87:G87"/>
    <mergeCell ref="L93:O93"/>
    <mergeCell ref="B94:C94"/>
    <mergeCell ref="B93:C93"/>
    <mergeCell ref="B91:C91"/>
    <mergeCell ref="H91:K91"/>
    <mergeCell ref="H99:K99"/>
    <mergeCell ref="B87:C87"/>
    <mergeCell ref="L84:O84"/>
    <mergeCell ref="B85:C85"/>
    <mergeCell ref="D85:G85"/>
    <mergeCell ref="L85:O85"/>
    <mergeCell ref="G106:K106"/>
    <mergeCell ref="L106:P106"/>
    <mergeCell ref="L91:O91"/>
    <mergeCell ref="B90:C90"/>
    <mergeCell ref="D90:G90"/>
    <mergeCell ref="B92:C92"/>
    <mergeCell ref="D92:G92"/>
    <mergeCell ref="D98:G98"/>
    <mergeCell ref="D91:G91"/>
    <mergeCell ref="B84:C84"/>
    <mergeCell ref="B88:C88"/>
    <mergeCell ref="D88:G88"/>
    <mergeCell ref="B89:C89"/>
    <mergeCell ref="D89:G89"/>
    <mergeCell ref="B86:C86"/>
    <mergeCell ref="D86:G86"/>
    <mergeCell ref="L99:O99"/>
    <mergeCell ref="L95:O95"/>
    <mergeCell ref="B131:F131"/>
    <mergeCell ref="G131:K131"/>
    <mergeCell ref="B118:F118"/>
    <mergeCell ref="G118:K118"/>
    <mergeCell ref="L118:P118"/>
    <mergeCell ref="Q118:U118"/>
    <mergeCell ref="V125:Z125"/>
    <mergeCell ref="V118:Z118"/>
    <mergeCell ref="Q124:U124"/>
    <mergeCell ref="V124:Z124"/>
    <mergeCell ref="V123:Z123"/>
    <mergeCell ref="B122:F122"/>
    <mergeCell ref="G122:K122"/>
    <mergeCell ref="L122:P122"/>
    <mergeCell ref="Q122:U122"/>
    <mergeCell ref="V122:Z122"/>
    <mergeCell ref="V121:Z121"/>
    <mergeCell ref="B120:F120"/>
    <mergeCell ref="G120:K120"/>
    <mergeCell ref="L120:P120"/>
    <mergeCell ref="B125:F125"/>
    <mergeCell ref="G124:K124"/>
    <mergeCell ref="L124:P124"/>
    <mergeCell ref="L121:P121"/>
    <mergeCell ref="G137:K137"/>
    <mergeCell ref="L137:P137"/>
    <mergeCell ref="Q137:U137"/>
    <mergeCell ref="V137:Z137"/>
    <mergeCell ref="G147:K147"/>
    <mergeCell ref="L147:P147"/>
    <mergeCell ref="Q147:U147"/>
    <mergeCell ref="V147:Z147"/>
    <mergeCell ref="G145:K145"/>
    <mergeCell ref="G143:K143"/>
    <mergeCell ref="L141:P141"/>
    <mergeCell ref="Q141:U141"/>
    <mergeCell ref="V143:Z143"/>
    <mergeCell ref="G139:K139"/>
    <mergeCell ref="L139:P139"/>
    <mergeCell ref="Q139:U139"/>
    <mergeCell ref="V139:Z139"/>
    <mergeCell ref="G141:K141"/>
    <mergeCell ref="V141:Z141"/>
    <mergeCell ref="L143:P143"/>
    <mergeCell ref="Q143:U143"/>
    <mergeCell ref="G109:K109"/>
    <mergeCell ref="L161:P161"/>
    <mergeCell ref="L163:P163"/>
    <mergeCell ref="Q163:U163"/>
    <mergeCell ref="V163:Z163"/>
    <mergeCell ref="L165:P165"/>
    <mergeCell ref="Q165:U165"/>
    <mergeCell ref="V165:Z165"/>
    <mergeCell ref="Q161:U161"/>
    <mergeCell ref="V161:Z161"/>
    <mergeCell ref="V130:Z130"/>
    <mergeCell ref="L109:P109"/>
    <mergeCell ref="Q109:U109"/>
    <mergeCell ref="G113:K113"/>
    <mergeCell ref="L113:P113"/>
    <mergeCell ref="Q113:U113"/>
    <mergeCell ref="G112:K112"/>
    <mergeCell ref="L112:P112"/>
    <mergeCell ref="Q112:U112"/>
    <mergeCell ref="V120:Z120"/>
    <mergeCell ref="V119:Z119"/>
    <mergeCell ref="Q160:U160"/>
    <mergeCell ref="V160:Z160"/>
    <mergeCell ref="L151:P151"/>
    <mergeCell ref="L157:P157"/>
    <mergeCell ref="V151:Z151"/>
    <mergeCell ref="T174:X174"/>
    <mergeCell ref="T170:X170"/>
    <mergeCell ref="O170:S170"/>
    <mergeCell ref="O175:S175"/>
    <mergeCell ref="O187:S187"/>
    <mergeCell ref="T187:X187"/>
    <mergeCell ref="O179:S179"/>
    <mergeCell ref="T176:X176"/>
    <mergeCell ref="T177:X177"/>
    <mergeCell ref="T178:X178"/>
    <mergeCell ref="O176:S176"/>
    <mergeCell ref="O177:S177"/>
    <mergeCell ref="O178:S178"/>
    <mergeCell ref="T180:X180"/>
    <mergeCell ref="T185:X185"/>
    <mergeCell ref="O180:S180"/>
    <mergeCell ref="O185:S185"/>
    <mergeCell ref="T183:X183"/>
    <mergeCell ref="T184:X184"/>
    <mergeCell ref="O183:S183"/>
    <mergeCell ref="O184:S184"/>
    <mergeCell ref="T179:X179"/>
    <mergeCell ref="B193:M193"/>
    <mergeCell ref="B189:E189"/>
    <mergeCell ref="O198:S198"/>
    <mergeCell ref="O194:S194"/>
    <mergeCell ref="O196:S196"/>
    <mergeCell ref="O190:S190"/>
    <mergeCell ref="O191:S191"/>
    <mergeCell ref="O192:S192"/>
    <mergeCell ref="O193:S193"/>
    <mergeCell ref="O195:S195"/>
    <mergeCell ref="V110:Z110"/>
    <mergeCell ref="G111:K111"/>
    <mergeCell ref="L111:P111"/>
    <mergeCell ref="Q111:U111"/>
    <mergeCell ref="V111:Z111"/>
    <mergeCell ref="V112:Z112"/>
    <mergeCell ref="G116:K116"/>
    <mergeCell ref="O172:S172"/>
    <mergeCell ref="O173:S173"/>
    <mergeCell ref="T173:X173"/>
    <mergeCell ref="T172:X172"/>
    <mergeCell ref="G110:K110"/>
    <mergeCell ref="L110:P110"/>
    <mergeCell ref="Q110:U110"/>
    <mergeCell ref="G119:K119"/>
    <mergeCell ref="L119:P119"/>
    <mergeCell ref="Q119:U119"/>
    <mergeCell ref="L159:P159"/>
    <mergeCell ref="Q159:U159"/>
    <mergeCell ref="V159:Z159"/>
    <mergeCell ref="L160:P160"/>
    <mergeCell ref="Q156:U156"/>
    <mergeCell ref="V156:Z156"/>
    <mergeCell ref="Q151:U151"/>
    <mergeCell ref="B119:F119"/>
    <mergeCell ref="B124:F124"/>
    <mergeCell ref="L131:P131"/>
    <mergeCell ref="Q131:U131"/>
    <mergeCell ref="G125:K125"/>
    <mergeCell ref="L125:P125"/>
    <mergeCell ref="Q125:U125"/>
    <mergeCell ref="B123:F123"/>
    <mergeCell ref="G123:K123"/>
    <mergeCell ref="L123:P123"/>
    <mergeCell ref="Q123:U123"/>
    <mergeCell ref="B121:F121"/>
    <mergeCell ref="G121:K121"/>
    <mergeCell ref="B127:F127"/>
    <mergeCell ref="B128:F128"/>
    <mergeCell ref="G128:K128"/>
    <mergeCell ref="L128:P128"/>
    <mergeCell ref="Q128:U128"/>
    <mergeCell ref="B130:F130"/>
    <mergeCell ref="G130:K130"/>
    <mergeCell ref="L130:P130"/>
    <mergeCell ref="Q130:U130"/>
    <mergeCell ref="B129:F129"/>
    <mergeCell ref="G129:K129"/>
    <mergeCell ref="L94:O94"/>
    <mergeCell ref="V150:Z150"/>
    <mergeCell ref="G151:K151"/>
    <mergeCell ref="G150:K150"/>
    <mergeCell ref="L150:P150"/>
    <mergeCell ref="Q150:U150"/>
    <mergeCell ref="J108:K108"/>
    <mergeCell ref="L98:O98"/>
    <mergeCell ref="Y108:Z108"/>
    <mergeCell ref="V113:Z113"/>
    <mergeCell ref="V131:Z131"/>
    <mergeCell ref="G133:K133"/>
    <mergeCell ref="L133:P133"/>
    <mergeCell ref="Q133:U133"/>
    <mergeCell ref="V133:Z133"/>
    <mergeCell ref="V128:Z128"/>
    <mergeCell ref="L129:P129"/>
    <mergeCell ref="Q129:U129"/>
    <mergeCell ref="V129:Z129"/>
    <mergeCell ref="Q121:U121"/>
    <mergeCell ref="Q120:U120"/>
    <mergeCell ref="V109:Z109"/>
    <mergeCell ref="H98:K98"/>
    <mergeCell ref="Q145:U145"/>
    <mergeCell ref="A1:Z1"/>
    <mergeCell ref="N76:R76"/>
    <mergeCell ref="M36:R36"/>
    <mergeCell ref="T36:W36"/>
    <mergeCell ref="B82:C82"/>
    <mergeCell ref="D82:G82"/>
    <mergeCell ref="J70:M70"/>
    <mergeCell ref="F66:J66"/>
    <mergeCell ref="J71:M71"/>
    <mergeCell ref="C71:D71"/>
    <mergeCell ref="F33:I33"/>
    <mergeCell ref="E68:I69"/>
    <mergeCell ref="E70:I70"/>
    <mergeCell ref="E71:I71"/>
    <mergeCell ref="B68:B69"/>
    <mergeCell ref="E76:I76"/>
    <mergeCell ref="C75:D75"/>
    <mergeCell ref="E75:I75"/>
    <mergeCell ref="B26:E27"/>
    <mergeCell ref="B5:I5"/>
    <mergeCell ref="O5:S5"/>
    <mergeCell ref="P38:Y39"/>
    <mergeCell ref="G49:Y50"/>
    <mergeCell ref="D59:R59"/>
    <mergeCell ref="AC81:AF81"/>
    <mergeCell ref="O181:S181"/>
    <mergeCell ref="T181:X181"/>
    <mergeCell ref="T182:X182"/>
    <mergeCell ref="O182:S182"/>
    <mergeCell ref="T175:X175"/>
    <mergeCell ref="Q155:U155"/>
    <mergeCell ref="V155:Z155"/>
    <mergeCell ref="L156:P156"/>
    <mergeCell ref="L155:P155"/>
    <mergeCell ref="O174:S174"/>
    <mergeCell ref="V157:Z157"/>
    <mergeCell ref="Q158:U158"/>
    <mergeCell ref="V158:Z158"/>
    <mergeCell ref="L158:P158"/>
    <mergeCell ref="Q157:U157"/>
    <mergeCell ref="V166:Z166"/>
    <mergeCell ref="V106:Z106"/>
    <mergeCell ref="L108:M108"/>
    <mergeCell ref="L145:P145"/>
    <mergeCell ref="O108:P108"/>
    <mergeCell ref="Q108:R108"/>
    <mergeCell ref="V145:Z145"/>
    <mergeCell ref="K102:P102"/>
    <mergeCell ref="G14:V14"/>
    <mergeCell ref="G16:V16"/>
    <mergeCell ref="G20:I20"/>
    <mergeCell ref="G18:V18"/>
    <mergeCell ref="G22:I22"/>
    <mergeCell ref="K20:S20"/>
    <mergeCell ref="K22:S22"/>
    <mergeCell ref="G26:V26"/>
    <mergeCell ref="G136:K136"/>
    <mergeCell ref="L136:P136"/>
    <mergeCell ref="Q136:U136"/>
    <mergeCell ref="V136:Z136"/>
    <mergeCell ref="G108:H108"/>
    <mergeCell ref="D84:G84"/>
    <mergeCell ref="H84:K84"/>
    <mergeCell ref="H89:K89"/>
    <mergeCell ref="T108:U108"/>
    <mergeCell ref="L92:O92"/>
    <mergeCell ref="D93:G93"/>
    <mergeCell ref="V108:W108"/>
    <mergeCell ref="D99:G99"/>
    <mergeCell ref="H93:K93"/>
    <mergeCell ref="H95:K95"/>
    <mergeCell ref="H88:K88"/>
    <mergeCell ref="B203:B204"/>
    <mergeCell ref="C203:G204"/>
    <mergeCell ref="H203:N204"/>
    <mergeCell ref="O203:S204"/>
    <mergeCell ref="T203:X204"/>
    <mergeCell ref="C205:G205"/>
    <mergeCell ref="H205:N205"/>
    <mergeCell ref="O205:S205"/>
    <mergeCell ref="T205:X205"/>
    <mergeCell ref="C206:G206"/>
    <mergeCell ref="H206:N206"/>
    <mergeCell ref="O206:S206"/>
    <mergeCell ref="T206:X206"/>
    <mergeCell ref="C207:G207"/>
    <mergeCell ref="H207:N207"/>
    <mergeCell ref="O207:S207"/>
    <mergeCell ref="T207:X207"/>
    <mergeCell ref="C208:G208"/>
    <mergeCell ref="H208:N208"/>
    <mergeCell ref="O208:S208"/>
    <mergeCell ref="T208:X208"/>
    <mergeCell ref="C209:G209"/>
    <mergeCell ref="H209:N209"/>
    <mergeCell ref="O209:S209"/>
    <mergeCell ref="T209:X209"/>
    <mergeCell ref="C210:G210"/>
    <mergeCell ref="H210:N210"/>
    <mergeCell ref="O210:S210"/>
    <mergeCell ref="T210:X210"/>
    <mergeCell ref="C211:G211"/>
    <mergeCell ref="H211:N211"/>
    <mergeCell ref="O211:S211"/>
    <mergeCell ref="T211:X211"/>
    <mergeCell ref="C215:G215"/>
    <mergeCell ref="H215:N215"/>
    <mergeCell ref="O215:S215"/>
    <mergeCell ref="T215:X215"/>
    <mergeCell ref="C216:G216"/>
    <mergeCell ref="H216:N216"/>
    <mergeCell ref="O216:S216"/>
    <mergeCell ref="T216:X216"/>
    <mergeCell ref="C212:G212"/>
    <mergeCell ref="H212:N212"/>
    <mergeCell ref="O212:S212"/>
    <mergeCell ref="T212:X212"/>
    <mergeCell ref="C213:G213"/>
    <mergeCell ref="H213:N213"/>
    <mergeCell ref="O213:S213"/>
    <mergeCell ref="T213:X213"/>
    <mergeCell ref="C214:G214"/>
    <mergeCell ref="H214:N214"/>
    <mergeCell ref="O214:S214"/>
    <mergeCell ref="T214:X214"/>
  </mergeCells>
  <dataValidations count="6" disablePrompts="1">
    <dataValidation type="whole" allowBlank="1" showInputMessage="1" showErrorMessage="1" error="Maximum 3 dependants" sqref="F65">
      <formula1>0</formula1>
      <formula2>3</formula2>
    </dataValidation>
    <dataValidation type="list" allowBlank="1" showInputMessage="1" showErrorMessage="1" sqref="E71:I75">
      <formula1>"Wife, Child, Brothers/sisters, Husband, Other"</formula1>
    </dataValidation>
    <dataValidation type="list" allowBlank="1" showInputMessage="1" showErrorMessage="1" sqref="N71:R75">
      <formula1>"House wife,Employee,Student,-"</formula1>
    </dataValidation>
    <dataValidation type="list" allowBlank="1" showInputMessage="1" showErrorMessage="1" sqref="G24">
      <formula1>"KK,HB,PH,MT,-"</formula1>
    </dataValidation>
    <dataValidation type="list" allowBlank="1" showInputMessage="1" showErrorMessage="1" sqref="F64:J64">
      <formula1>"SINGLE,MARRIED,MARRIED+"</formula1>
    </dataValidation>
    <dataValidation type="list" allowBlank="1" showInputMessage="1" showErrorMessage="1" sqref="C206:G215">
      <formula1>$AH$206:$AH$213</formula1>
    </dataValidation>
  </dataValidations>
  <printOptions horizontalCentered="1"/>
  <pageMargins left="0.39370078740157483" right="0.35433070866141736" top="0.62992125984251968" bottom="0.55118110236220474" header="0.51181102362204722" footer="0.3"/>
  <pageSetup paperSize="5" scale="72" orientation="portrait"/>
  <headerFooter alignWithMargins="0">
    <oddHeader>&amp;R&amp;"Arial,Bold"&amp;14C.2.1.&amp;P</oddHeader>
    <oddFooter>&amp;R&amp;8Printed on &amp;D,&amp;T</oddFooter>
  </headerFooter>
  <rowBreaks count="2" manualBreakCount="2">
    <brk id="77" max="25" man="1"/>
    <brk id="152" max="25" man="1"/>
  </rowBreaks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</sheetPr>
  <dimension ref="A1:AQ820"/>
  <sheetViews>
    <sheetView showGridLines="0" zoomScaleSheetLayoutView="100" view="pageBreakPreview" workbookViewId="0">
      <selection pane="topLeft" activeCell="A1" sqref="A1"/>
    </sheetView>
  </sheetViews>
  <sheetFormatPr defaultColWidth="9.13671875" defaultRowHeight="12.75" baseColWidth="0"/>
  <cols>
    <col min="1" max="1" width="4.421875" style="303" customWidth="1"/>
    <col min="2" max="2" width="3.7109375" style="303" customWidth="1"/>
    <col min="3" max="3" width="3.13671875" style="303" customWidth="1"/>
    <col min="4" max="6" width="3.7109375" style="303" customWidth="1"/>
    <col min="7" max="7" width="3.13671875" style="303" customWidth="1"/>
    <col min="8" max="10" width="3.7109375" style="303" customWidth="1"/>
    <col min="11" max="11" width="3.99609375" style="303" customWidth="1"/>
    <col min="12" max="12" width="3.13671875" style="303" customWidth="1"/>
    <col min="13" max="14" width="3.7109375" style="303" customWidth="1"/>
    <col min="15" max="15" width="5.99609375" style="303" customWidth="1"/>
    <col min="16" max="16" width="5.13671875" style="303" customWidth="1"/>
    <col min="17" max="17" width="3.13671875" style="303" customWidth="1"/>
    <col min="18" max="19" width="3.7109375" style="303" customWidth="1"/>
    <col min="20" max="20" width="4.421875" style="303" customWidth="1"/>
    <col min="21" max="23" width="3.7109375" style="303" customWidth="1"/>
    <col min="24" max="24" width="3.421875" style="303" customWidth="1"/>
    <col min="25" max="25" width="3.99609375" style="303" customWidth="1"/>
    <col min="26" max="27" width="5.421875" style="303" customWidth="1"/>
    <col min="28" max="29" width="3.7109375" style="303" customWidth="1"/>
    <col min="30" max="30" width="4.421875" style="303" customWidth="1"/>
    <col min="31" max="31" width="3.7109375" style="303" customWidth="1"/>
    <col min="32" max="32" width="2.7109375" style="303" customWidth="1"/>
    <col min="33" max="33" width="3.7109375" style="303" customWidth="1"/>
    <col min="34" max="34" width="3.99609375" style="303" customWidth="1"/>
    <col min="35" max="35" width="4.421875" style="304" customWidth="1"/>
    <col min="36" max="36" width="12.7109375" style="303" bestFit="1" customWidth="1"/>
    <col min="37" max="16384" width="9.13671875" style="303" customWidth="1"/>
  </cols>
  <sheetData>
    <row r="1" spans="1:35" ht="33" customHeight="1">
      <c r="A1" s="1987" t="s">
        <v>489</v>
      </c>
      <c r="B1" s="1987"/>
      <c r="C1" s="1987"/>
      <c r="D1" s="1987"/>
      <c r="E1" s="1987"/>
      <c r="F1" s="1987"/>
      <c r="G1" s="1987"/>
      <c r="H1" s="1987"/>
      <c r="I1" s="1987"/>
      <c r="J1" s="1987"/>
      <c r="K1" s="1987"/>
      <c r="L1" s="1987"/>
      <c r="M1" s="1987"/>
      <c r="N1" s="1987"/>
      <c r="O1" s="1987"/>
      <c r="P1" s="1987"/>
      <c r="Q1" s="1987"/>
      <c r="R1" s="1987"/>
      <c r="S1" s="1987"/>
      <c r="T1" s="1987"/>
      <c r="U1" s="1987"/>
      <c r="V1" s="1987"/>
      <c r="W1" s="1987"/>
      <c r="X1" s="1987"/>
      <c r="Y1" s="1987"/>
      <c r="Z1" s="1987"/>
      <c r="AA1" s="1987"/>
      <c r="AB1" s="1987"/>
      <c r="AC1" s="1987"/>
      <c r="AD1" s="1987"/>
      <c r="AE1" s="1987"/>
      <c r="AF1" s="1987"/>
      <c r="AG1" s="1987"/>
      <c r="AH1" s="1987"/>
      <c r="AI1" s="1987"/>
    </row>
    <row r="2" spans="1:35" ht="13.5" customHeight="1">
      <c r="A2" s="718"/>
      <c r="B2" s="719"/>
      <c r="C2" s="719"/>
      <c r="D2" s="719"/>
      <c r="E2" s="719"/>
      <c r="F2" s="719"/>
      <c r="G2" s="719"/>
      <c r="H2" s="719"/>
      <c r="I2" s="719"/>
      <c r="J2" s="719"/>
      <c r="K2" s="719"/>
      <c r="L2" s="719"/>
      <c r="M2" s="719"/>
      <c r="N2" s="719"/>
      <c r="O2" s="719"/>
      <c r="P2" s="719"/>
      <c r="Q2" s="719"/>
      <c r="R2" s="719"/>
      <c r="S2" s="719"/>
      <c r="T2" s="719"/>
      <c r="U2" s="719"/>
      <c r="V2" s="719"/>
      <c r="W2" s="719"/>
      <c r="X2" s="719"/>
      <c r="Y2" s="719"/>
      <c r="Z2" s="719"/>
      <c r="AA2" s="719"/>
      <c r="AB2" s="719"/>
      <c r="AC2" s="720"/>
      <c r="AD2" s="720"/>
      <c r="AE2" s="719"/>
      <c r="AF2" s="719"/>
      <c r="AG2" s="719"/>
      <c r="AH2" s="719"/>
      <c r="AI2" s="719"/>
    </row>
    <row r="3" spans="1:35">
      <c r="A3" s="719">
        <v>1</v>
      </c>
      <c r="B3" s="719" t="s">
        <v>490</v>
      </c>
      <c r="C3" s="719"/>
      <c r="D3" s="719"/>
      <c r="E3" s="719"/>
      <c r="F3" s="719"/>
      <c r="G3" s="719"/>
      <c r="H3" s="719"/>
      <c r="I3" s="719"/>
      <c r="J3" s="719"/>
      <c r="K3" s="719"/>
      <c r="L3" s="719"/>
      <c r="M3" s="719"/>
      <c r="N3" s="719"/>
      <c r="O3" s="719"/>
      <c r="P3" s="719"/>
      <c r="Q3" s="719"/>
      <c r="R3" s="719"/>
      <c r="S3" s="719"/>
      <c r="T3" s="719"/>
      <c r="U3" s="719"/>
      <c r="V3" s="719"/>
      <c r="W3" s="719"/>
      <c r="X3" s="719"/>
      <c r="Y3" s="719"/>
      <c r="Z3" s="719"/>
      <c r="AA3" s="719"/>
      <c r="AB3" s="719"/>
      <c r="AC3" s="720"/>
      <c r="AD3" s="720"/>
      <c r="AE3" s="719"/>
      <c r="AF3" s="719"/>
      <c r="AG3" s="719"/>
      <c r="AH3" s="719"/>
      <c r="AI3" s="719"/>
    </row>
    <row r="4" spans="1:35" ht="13.5" customHeight="1">
      <c r="A4" s="718"/>
      <c r="B4" s="719" t="s">
        <v>734</v>
      </c>
      <c r="C4" s="719"/>
      <c r="D4" s="719"/>
      <c r="E4" s="719"/>
      <c r="F4" s="719"/>
      <c r="G4" s="719"/>
      <c r="H4" s="719"/>
      <c r="I4" s="719"/>
      <c r="J4" s="719"/>
      <c r="K4" s="719"/>
      <c r="L4" s="719"/>
      <c r="M4" s="719"/>
      <c r="N4" s="719"/>
      <c r="O4" s="719"/>
      <c r="P4" s="719"/>
      <c r="Q4" s="719"/>
      <c r="R4" s="719"/>
      <c r="S4" s="719"/>
      <c r="T4" s="719"/>
      <c r="U4" s="719"/>
      <c r="V4" s="719"/>
      <c r="W4" s="719"/>
      <c r="X4" s="719"/>
      <c r="Y4" s="719"/>
      <c r="Z4" s="719"/>
      <c r="AA4" s="719"/>
      <c r="AB4" s="719"/>
      <c r="AC4" s="720"/>
      <c r="AD4" s="720"/>
      <c r="AE4" s="719"/>
      <c r="AF4" s="719"/>
      <c r="AG4" s="719"/>
      <c r="AH4" s="719"/>
      <c r="AI4" s="719"/>
    </row>
    <row r="5" spans="1:35">
      <c r="A5" s="719">
        <v>2</v>
      </c>
      <c r="B5" s="719" t="s">
        <v>491</v>
      </c>
      <c r="C5" s="719"/>
      <c r="D5" s="719"/>
      <c r="E5" s="719"/>
      <c r="F5" s="719"/>
      <c r="G5" s="719"/>
      <c r="H5" s="719"/>
      <c r="I5" s="719"/>
      <c r="J5" s="719"/>
      <c r="K5" s="719"/>
      <c r="L5" s="719"/>
      <c r="M5" s="719"/>
      <c r="N5" s="719"/>
      <c r="O5" s="719"/>
      <c r="P5" s="720" t="s">
        <v>492</v>
      </c>
      <c r="Q5" s="719"/>
      <c r="R5" s="719"/>
      <c r="S5" s="719"/>
      <c r="T5" s="719"/>
      <c r="U5" s="719"/>
      <c r="V5" s="719"/>
      <c r="W5" s="719"/>
      <c r="X5" s="719"/>
      <c r="Y5" s="719"/>
      <c r="Z5" s="719" t="s">
        <v>295</v>
      </c>
      <c r="AA5" s="719"/>
      <c r="AB5" s="719"/>
      <c r="AC5" s="720"/>
      <c r="AD5" s="720"/>
      <c r="AE5" s="719"/>
      <c r="AF5" s="719"/>
      <c r="AG5" s="719"/>
      <c r="AH5" s="719"/>
      <c r="AI5" s="719"/>
    </row>
    <row r="6" spans="1:35" ht="13.5" customHeight="1">
      <c r="A6" s="718" t="s">
        <v>733</v>
      </c>
      <c r="B6" s="719"/>
      <c r="C6" s="719"/>
      <c r="D6" s="719"/>
      <c r="E6" s="719"/>
      <c r="F6" s="719"/>
      <c r="G6" s="719"/>
      <c r="H6" s="719"/>
      <c r="I6" s="719"/>
      <c r="J6" s="719"/>
      <c r="K6" s="719"/>
      <c r="L6" s="719"/>
      <c r="M6" s="719"/>
      <c r="N6" s="719"/>
      <c r="O6" s="719"/>
      <c r="P6" s="719"/>
      <c r="Q6" s="719"/>
      <c r="R6" s="719"/>
      <c r="S6" s="719"/>
      <c r="T6" s="719"/>
      <c r="U6" s="719"/>
      <c r="V6" s="719"/>
      <c r="W6" s="719"/>
      <c r="X6" s="719"/>
      <c r="Y6" s="719"/>
      <c r="Z6" s="719" t="s">
        <v>295</v>
      </c>
      <c r="AA6" s="719"/>
      <c r="AB6" s="719"/>
      <c r="AC6" s="719"/>
      <c r="AD6" s="720"/>
      <c r="AE6" s="719"/>
      <c r="AF6" s="719"/>
      <c r="AG6" s="719"/>
      <c r="AH6" s="719"/>
      <c r="AI6" s="719"/>
    </row>
    <row r="7" spans="1:35" ht="13.5" customHeight="1" thickBot="1">
      <c r="A7" s="719"/>
      <c r="B7" s="719"/>
      <c r="C7" s="719"/>
      <c r="D7" s="719"/>
      <c r="E7" s="719"/>
      <c r="F7" s="719"/>
      <c r="G7" s="719"/>
      <c r="H7" s="719"/>
      <c r="I7" s="719"/>
      <c r="J7" s="719"/>
      <c r="K7" s="719"/>
      <c r="L7" s="719"/>
      <c r="M7" s="719"/>
      <c r="N7" s="719"/>
      <c r="O7" s="719"/>
      <c r="P7" s="719"/>
      <c r="Q7" s="719"/>
      <c r="R7" s="719"/>
      <c r="S7" s="719"/>
      <c r="T7" s="719"/>
      <c r="U7" s="719"/>
      <c r="V7" s="719" t="s">
        <v>295</v>
      </c>
      <c r="W7" s="719"/>
      <c r="X7" s="719"/>
      <c r="Y7" s="719"/>
      <c r="Z7" s="719"/>
      <c r="AA7" s="719"/>
      <c r="AB7" s="719"/>
      <c r="AC7" s="719"/>
      <c r="AD7" s="719"/>
      <c r="AE7" s="719"/>
      <c r="AF7" s="719"/>
      <c r="AG7" s="719"/>
      <c r="AH7" s="719"/>
      <c r="AI7" s="719"/>
    </row>
    <row r="8" spans="1:35" ht="14.25" customHeight="1" thickTop="1" thickBot="1">
      <c r="A8" s="723" t="s">
        <v>493</v>
      </c>
      <c r="B8" s="723"/>
      <c r="C8" s="724"/>
      <c r="D8" s="724"/>
      <c r="E8" s="724"/>
      <c r="F8" s="724"/>
      <c r="G8" s="724"/>
      <c r="H8" s="724"/>
      <c r="I8" s="724"/>
      <c r="J8" s="724"/>
      <c r="K8" s="1964" t="s">
        <v>1377</v>
      </c>
      <c r="L8" s="1965"/>
      <c r="M8" s="1965"/>
      <c r="N8" s="1965"/>
      <c r="O8" s="1966"/>
      <c r="P8" s="725"/>
      <c r="Q8" s="725"/>
      <c r="R8" s="725"/>
      <c r="S8" s="725"/>
      <c r="T8" s="725"/>
      <c r="U8" s="725"/>
      <c r="V8" s="725"/>
      <c r="W8" s="725"/>
      <c r="X8" s="725"/>
      <c r="Y8" s="725"/>
      <c r="Z8" s="725"/>
      <c r="AA8" s="725"/>
      <c r="AB8" s="725"/>
      <c r="AC8" s="725"/>
      <c r="AD8" s="725"/>
      <c r="AE8" s="725"/>
      <c r="AF8" s="725"/>
      <c r="AG8" s="725"/>
      <c r="AH8" s="725"/>
      <c r="AI8" s="725"/>
    </row>
    <row r="9" spans="1:35" ht="13.5" customHeight="1" thickTop="1">
      <c r="A9" s="722"/>
      <c r="B9" s="722"/>
      <c r="C9" s="722"/>
      <c r="D9" s="722"/>
      <c r="E9" s="722"/>
      <c r="F9" s="722"/>
      <c r="G9" s="722"/>
      <c r="H9" s="722"/>
      <c r="I9" s="722"/>
      <c r="J9" s="722"/>
      <c r="K9" s="722"/>
      <c r="L9" s="722"/>
      <c r="M9" s="722"/>
      <c r="N9" s="722"/>
      <c r="O9" s="722"/>
      <c r="P9" s="722"/>
      <c r="Q9" s="722"/>
      <c r="R9" s="722"/>
      <c r="S9" s="722"/>
      <c r="T9" s="722"/>
      <c r="U9" s="722"/>
      <c r="V9" s="722"/>
      <c r="W9" s="722"/>
      <c r="X9" s="722"/>
      <c r="Y9" s="722"/>
      <c r="Z9" s="722"/>
      <c r="AA9" s="722"/>
      <c r="AB9" s="722"/>
      <c r="AC9" s="722"/>
      <c r="AD9" s="722"/>
      <c r="AE9" s="722"/>
      <c r="AF9" s="722"/>
      <c r="AG9" s="722"/>
      <c r="AH9" s="722"/>
      <c r="AI9" s="722"/>
    </row>
    <row r="10" spans="1:35" ht="13.5" customHeight="1">
      <c r="A10" s="722"/>
      <c r="B10" s="721" t="s">
        <v>308</v>
      </c>
      <c r="C10" s="721" t="s">
        <v>494</v>
      </c>
      <c r="D10" s="722"/>
      <c r="E10" s="722"/>
      <c r="F10" s="722"/>
      <c r="G10" s="722"/>
      <c r="H10" s="722"/>
      <c r="I10" s="722"/>
      <c r="J10" s="722"/>
      <c r="K10" s="722"/>
      <c r="L10" s="722"/>
      <c r="M10" s="722"/>
      <c r="N10" s="722"/>
      <c r="O10" s="722"/>
      <c r="P10" s="722"/>
      <c r="Q10" s="722"/>
      <c r="R10" s="726"/>
      <c r="S10" s="726"/>
      <c r="T10" s="726"/>
      <c r="U10" s="726"/>
      <c r="V10" s="726"/>
      <c r="W10" s="722"/>
      <c r="X10" s="722"/>
      <c r="Y10" s="722"/>
      <c r="Z10" s="722"/>
      <c r="AA10" s="722"/>
      <c r="AB10" s="722"/>
      <c r="AC10" s="722"/>
      <c r="AD10" s="722"/>
      <c r="AE10" s="722"/>
      <c r="AF10" s="722"/>
      <c r="AG10" s="722"/>
      <c r="AH10" s="722"/>
      <c r="AI10" s="722"/>
    </row>
    <row r="11" spans="1:35" ht="13.5" customHeight="1" thickBot="1">
      <c r="A11" s="722"/>
      <c r="B11" s="722"/>
      <c r="C11" s="722"/>
      <c r="D11" s="722"/>
      <c r="E11" s="722"/>
      <c r="F11" s="722"/>
      <c r="G11" s="722"/>
      <c r="H11" s="722"/>
      <c r="I11" s="722"/>
      <c r="J11" s="722"/>
      <c r="K11" s="722"/>
      <c r="L11" s="722"/>
      <c r="M11" s="722"/>
      <c r="N11" s="722"/>
      <c r="O11" s="722"/>
      <c r="P11" s="722"/>
      <c r="Q11" s="722"/>
      <c r="R11" s="722"/>
      <c r="S11" s="722"/>
      <c r="T11" s="722"/>
      <c r="U11" s="722"/>
      <c r="V11" s="722"/>
      <c r="W11" s="722"/>
      <c r="X11" s="722"/>
      <c r="Y11" s="722"/>
      <c r="Z11" s="722"/>
      <c r="AA11" s="722"/>
      <c r="AB11" s="722"/>
      <c r="AC11" s="722"/>
      <c r="AD11" s="722"/>
      <c r="AE11" s="722"/>
      <c r="AF11" s="722"/>
      <c r="AG11" s="722"/>
      <c r="AH11" s="722"/>
      <c r="AI11" s="722"/>
    </row>
    <row r="12" spans="1:43" ht="24" customHeight="1" thickTop="1" thickBot="1">
      <c r="A12" s="1988" t="s">
        <v>321</v>
      </c>
      <c r="B12" s="1796" t="s">
        <v>495</v>
      </c>
      <c r="C12" s="1958"/>
      <c r="D12" s="1959"/>
      <c r="E12" s="1796" t="s">
        <v>496</v>
      </c>
      <c r="F12" s="1745"/>
      <c r="G12" s="1989" t="s">
        <v>497</v>
      </c>
      <c r="H12" s="1955"/>
      <c r="I12" s="1955"/>
      <c r="J12" s="1955"/>
      <c r="K12" s="1955"/>
      <c r="L12" s="1955"/>
      <c r="M12" s="1955"/>
      <c r="N12" s="1956"/>
      <c r="O12" s="1796" t="s">
        <v>498</v>
      </c>
      <c r="P12" s="1745"/>
      <c r="Q12" s="1989" t="s">
        <v>499</v>
      </c>
      <c r="R12" s="1955"/>
      <c r="S12" s="1955"/>
      <c r="T12" s="1955"/>
      <c r="U12" s="1955"/>
      <c r="V12" s="1955"/>
      <c r="W12" s="1955"/>
      <c r="X12" s="1956"/>
      <c r="Y12" s="1790" t="s">
        <v>500</v>
      </c>
      <c r="Z12" s="1791"/>
      <c r="AA12" s="1790" t="s">
        <v>1310</v>
      </c>
      <c r="AB12" s="1794"/>
      <c r="AC12" s="1794"/>
      <c r="AD12" s="1791"/>
      <c r="AE12" s="1796" t="s">
        <v>501</v>
      </c>
      <c r="AF12" s="1740"/>
      <c r="AG12" s="1740"/>
      <c r="AH12" s="1741"/>
      <c r="AI12" s="722"/>
      <c r="AK12" s="303"/>
      <c r="AN12" s="303"/>
      <c r="AO12" s="303"/>
      <c r="AP12" s="303"/>
      <c r="AQ12" s="303"/>
    </row>
    <row r="13" spans="1:43" ht="30" customHeight="1" thickTop="1" thickBot="1">
      <c r="A13" s="1957"/>
      <c r="B13" s="1960"/>
      <c r="C13" s="1961"/>
      <c r="D13" s="1962"/>
      <c r="E13" s="1746"/>
      <c r="F13" s="1747"/>
      <c r="G13" s="1989" t="s">
        <v>502</v>
      </c>
      <c r="H13" s="1955"/>
      <c r="I13" s="1955"/>
      <c r="J13" s="1956"/>
      <c r="K13" s="1989" t="s">
        <v>503</v>
      </c>
      <c r="L13" s="1955"/>
      <c r="M13" s="1955"/>
      <c r="N13" s="1956"/>
      <c r="O13" s="1746"/>
      <c r="P13" s="1747"/>
      <c r="Q13" s="1989" t="s">
        <v>502</v>
      </c>
      <c r="R13" s="1955"/>
      <c r="S13" s="1955"/>
      <c r="T13" s="1956"/>
      <c r="U13" s="1989" t="s">
        <v>503</v>
      </c>
      <c r="V13" s="1955"/>
      <c r="W13" s="1955"/>
      <c r="X13" s="1956"/>
      <c r="Y13" s="1792"/>
      <c r="Z13" s="1793"/>
      <c r="AA13" s="1792"/>
      <c r="AB13" s="1795"/>
      <c r="AC13" s="1795"/>
      <c r="AD13" s="1793"/>
      <c r="AE13" s="1746"/>
      <c r="AF13" s="1784"/>
      <c r="AG13" s="1784"/>
      <c r="AH13" s="1797"/>
      <c r="AI13" s="722"/>
      <c r="AK13" s="303"/>
      <c r="AN13" s="303"/>
      <c r="AO13" s="303"/>
      <c r="AP13" s="303"/>
      <c r="AQ13" s="303"/>
    </row>
    <row r="14" spans="1:43" ht="13.5" customHeight="1" thickTop="1">
      <c r="A14" s="727"/>
      <c r="B14" s="728"/>
      <c r="C14" s="729"/>
      <c r="D14" s="730"/>
      <c r="E14" s="728"/>
      <c r="F14" s="730"/>
      <c r="G14" s="728"/>
      <c r="H14" s="729"/>
      <c r="I14" s="729"/>
      <c r="J14" s="730"/>
      <c r="K14" s="728"/>
      <c r="L14" s="729"/>
      <c r="M14" s="729"/>
      <c r="N14" s="730"/>
      <c r="O14" s="728"/>
      <c r="P14" s="730"/>
      <c r="Q14" s="728"/>
      <c r="R14" s="729"/>
      <c r="S14" s="729"/>
      <c r="T14" s="730"/>
      <c r="U14" s="728"/>
      <c r="V14" s="729"/>
      <c r="W14" s="729"/>
      <c r="X14" s="730"/>
      <c r="Y14" s="728"/>
      <c r="Z14" s="730"/>
      <c r="AA14" s="728"/>
      <c r="AB14" s="729"/>
      <c r="AC14" s="729"/>
      <c r="AD14" s="730"/>
      <c r="AE14" s="728"/>
      <c r="AF14" s="729"/>
      <c r="AG14" s="729"/>
      <c r="AH14" s="1249"/>
      <c r="AI14" s="722"/>
      <c r="AK14" s="303"/>
      <c r="AN14" s="303"/>
      <c r="AO14" s="303"/>
      <c r="AP14" s="303"/>
      <c r="AQ14" s="303"/>
    </row>
    <row r="15" spans="1:43">
      <c r="A15" s="305">
        <v>1</v>
      </c>
      <c r="B15" s="1708">
        <v>44186</v>
      </c>
      <c r="C15" s="1709"/>
      <c r="D15" s="1710"/>
      <c r="E15" s="1706" t="s">
        <v>1378</v>
      </c>
      <c r="F15" s="1707"/>
      <c r="G15" s="1711">
        <v>123</v>
      </c>
      <c r="H15" s="1712"/>
      <c r="I15" s="1712"/>
      <c r="J15" s="1713"/>
      <c r="K15" s="1711">
        <v>1</v>
      </c>
      <c r="L15" s="1712"/>
      <c r="M15" s="1712"/>
      <c r="N15" s="1713"/>
      <c r="O15" s="1711">
        <v>12789</v>
      </c>
      <c r="P15" s="1713"/>
      <c r="Q15" s="1714">
        <f t="shared" si="0" ref="Q15:Q30">G15*O15</f>
        <v>0</v>
      </c>
      <c r="R15" s="1715"/>
      <c r="S15" s="1715"/>
      <c r="T15" s="1720"/>
      <c r="U15" s="1714">
        <f t="shared" si="1" ref="U15:U30">K15*O15</f>
        <v>0</v>
      </c>
      <c r="V15" s="1715"/>
      <c r="W15" s="1715"/>
      <c r="X15" s="1720"/>
      <c r="Y15" s="1725">
        <v>1</v>
      </c>
      <c r="Z15" s="1726"/>
      <c r="AA15" s="1727">
        <f>IF(Y15="",U15,Q15*Y15/100)</f>
        <v>0</v>
      </c>
      <c r="AB15" s="1728"/>
      <c r="AC15" s="1728"/>
      <c r="AD15" s="1729"/>
      <c r="AE15" s="1714">
        <f>IF(AA15=0,U15,IF(U15&gt;(VALUE(AA15)),VALUE(AA15),U15))</f>
        <v>0</v>
      </c>
      <c r="AF15" s="1715"/>
      <c r="AG15" s="1715"/>
      <c r="AH15" s="1716"/>
      <c r="AI15" s="722"/>
      <c r="AK15" s="303"/>
      <c r="AN15" s="303"/>
      <c r="AO15" s="303"/>
      <c r="AP15" s="303"/>
      <c r="AQ15" s="303"/>
    </row>
    <row r="16" spans="1:43">
      <c r="A16" s="306">
        <v>2</v>
      </c>
      <c r="B16" s="1708">
        <v>44173</v>
      </c>
      <c r="C16" s="1709"/>
      <c r="D16" s="1710"/>
      <c r="E16" s="1706" t="s">
        <v>1378</v>
      </c>
      <c r="F16" s="1707"/>
      <c r="G16" s="1711">
        <v>1234</v>
      </c>
      <c r="H16" s="1712"/>
      <c r="I16" s="1712"/>
      <c r="J16" s="1713"/>
      <c r="K16" s="1711">
        <v>44</v>
      </c>
      <c r="L16" s="1712"/>
      <c r="M16" s="1712"/>
      <c r="N16" s="1713"/>
      <c r="O16" s="1711">
        <v>12332</v>
      </c>
      <c r="P16" s="1713"/>
      <c r="Q16" s="1714">
        <f t="shared" si="0">G16*O16</f>
        <v>0</v>
      </c>
      <c r="R16" s="1715"/>
      <c r="S16" s="1715"/>
      <c r="T16" s="1720"/>
      <c r="U16" s="1714">
        <f t="shared" si="1">K16*O16</f>
        <v>0</v>
      </c>
      <c r="V16" s="1715"/>
      <c r="W16" s="1715"/>
      <c r="X16" s="1720"/>
      <c r="Y16" s="1725">
        <v>1</v>
      </c>
      <c r="Z16" s="1726"/>
      <c r="AA16" s="1727">
        <f t="shared" si="2" ref="AA16:AA30">IF(Y16="",U16,Q16*Y16/100)</f>
        <v>0</v>
      </c>
      <c r="AB16" s="1728"/>
      <c r="AC16" s="1728"/>
      <c r="AD16" s="1729"/>
      <c r="AE16" s="1714">
        <f t="shared" si="3" ref="AE16:AE30">IF(AA16=0,U16,IF(U16&gt;(VALUE(AA16)),VALUE(AA16),U16))</f>
        <v>0</v>
      </c>
      <c r="AF16" s="1715"/>
      <c r="AG16" s="1715"/>
      <c r="AH16" s="1716"/>
      <c r="AI16" s="722"/>
      <c r="AK16" s="303"/>
      <c r="AN16" s="303"/>
      <c r="AO16" s="303"/>
      <c r="AP16" s="303"/>
      <c r="AQ16" s="303"/>
    </row>
    <row r="17" spans="1:43">
      <c r="A17" s="305">
        <v>3</v>
      </c>
      <c r="B17" s="1708"/>
      <c r="C17" s="1709"/>
      <c r="D17" s="1710"/>
      <c r="E17" s="1706"/>
      <c r="F17" s="1707"/>
      <c r="G17" s="1711"/>
      <c r="H17" s="1712"/>
      <c r="I17" s="1712"/>
      <c r="J17" s="1713"/>
      <c r="K17" s="1711"/>
      <c r="L17" s="1712"/>
      <c r="M17" s="1712"/>
      <c r="N17" s="1713"/>
      <c r="O17" s="1711"/>
      <c r="P17" s="1713"/>
      <c r="Q17" s="1714">
        <f t="shared" si="0">G17*O17</f>
        <v>0</v>
      </c>
      <c r="R17" s="1715"/>
      <c r="S17" s="1715"/>
      <c r="T17" s="1720"/>
      <c r="U17" s="1714">
        <f t="shared" si="1">K17*O17</f>
        <v>0</v>
      </c>
      <c r="V17" s="1715"/>
      <c r="W17" s="1715"/>
      <c r="X17" s="1720"/>
      <c r="Y17" s="1725"/>
      <c r="Z17" s="1726"/>
      <c r="AA17" s="1727">
        <f t="shared" si="2">IF(Y17="",U17,Q17*Y17/100)</f>
        <v>0</v>
      </c>
      <c r="AB17" s="1728"/>
      <c r="AC17" s="1728"/>
      <c r="AD17" s="1729"/>
      <c r="AE17" s="1714">
        <f t="shared" si="3">IF(AA17=0,U17,IF(U17&gt;(VALUE(AA17)),VALUE(AA17),U17))</f>
        <v>0</v>
      </c>
      <c r="AF17" s="1715"/>
      <c r="AG17" s="1715"/>
      <c r="AH17" s="1716"/>
      <c r="AI17" s="722"/>
      <c r="AK17" s="303"/>
      <c r="AN17" s="303"/>
      <c r="AO17" s="303"/>
      <c r="AP17" s="303"/>
      <c r="AQ17" s="303"/>
    </row>
    <row r="18" spans="1:43">
      <c r="A18" s="306">
        <v>4</v>
      </c>
      <c r="B18" s="1708"/>
      <c r="C18" s="1709"/>
      <c r="D18" s="1710"/>
      <c r="E18" s="1706"/>
      <c r="F18" s="1707"/>
      <c r="G18" s="1711"/>
      <c r="H18" s="1712"/>
      <c r="I18" s="1712"/>
      <c r="J18" s="1713"/>
      <c r="K18" s="1711"/>
      <c r="L18" s="1712"/>
      <c r="M18" s="1712"/>
      <c r="N18" s="1713"/>
      <c r="O18" s="1711"/>
      <c r="P18" s="1713"/>
      <c r="Q18" s="1714">
        <f t="shared" si="0">G18*O18</f>
        <v>0</v>
      </c>
      <c r="R18" s="1715"/>
      <c r="S18" s="1715"/>
      <c r="T18" s="1720"/>
      <c r="U18" s="1714">
        <f t="shared" si="1">K18*O18</f>
        <v>0</v>
      </c>
      <c r="V18" s="1715"/>
      <c r="W18" s="1715"/>
      <c r="X18" s="1720"/>
      <c r="Y18" s="1725"/>
      <c r="Z18" s="1726"/>
      <c r="AA18" s="1727">
        <f t="shared" si="2">IF(Y18="",U18,Q18*Y18/100)</f>
        <v>0</v>
      </c>
      <c r="AB18" s="1728"/>
      <c r="AC18" s="1728"/>
      <c r="AD18" s="1729"/>
      <c r="AE18" s="1714">
        <f t="shared" si="3">IF(AA18=0,U18,IF(U18&gt;(VALUE(AA18)),VALUE(AA18),U18))</f>
        <v>0</v>
      </c>
      <c r="AF18" s="1715"/>
      <c r="AG18" s="1715"/>
      <c r="AH18" s="1716"/>
      <c r="AI18" s="722"/>
      <c r="AK18" s="303"/>
      <c r="AN18" s="303"/>
      <c r="AO18" s="303"/>
      <c r="AP18" s="303"/>
      <c r="AQ18" s="303"/>
    </row>
    <row r="19" spans="1:43">
      <c r="A19" s="305">
        <v>5</v>
      </c>
      <c r="B19" s="1708"/>
      <c r="C19" s="1709"/>
      <c r="D19" s="1710"/>
      <c r="E19" s="1706"/>
      <c r="F19" s="1707"/>
      <c r="G19" s="1711"/>
      <c r="H19" s="1712"/>
      <c r="I19" s="1712"/>
      <c r="J19" s="1713"/>
      <c r="K19" s="1711"/>
      <c r="L19" s="1712"/>
      <c r="M19" s="1712"/>
      <c r="N19" s="1713"/>
      <c r="O19" s="1711"/>
      <c r="P19" s="1713"/>
      <c r="Q19" s="1714">
        <f t="shared" si="0">G19*O19</f>
        <v>0</v>
      </c>
      <c r="R19" s="1715"/>
      <c r="S19" s="1715"/>
      <c r="T19" s="1720"/>
      <c r="U19" s="1714">
        <f t="shared" si="1">K19*O19</f>
        <v>0</v>
      </c>
      <c r="V19" s="1715"/>
      <c r="W19" s="1715"/>
      <c r="X19" s="1720"/>
      <c r="Y19" s="1725"/>
      <c r="Z19" s="1726"/>
      <c r="AA19" s="1727">
        <f t="shared" si="2">IF(Y19="",U19,Q19*Y19/100)</f>
        <v>0</v>
      </c>
      <c r="AB19" s="1728"/>
      <c r="AC19" s="1728"/>
      <c r="AD19" s="1729"/>
      <c r="AE19" s="1714">
        <f t="shared" si="3">IF(AA19=0,U19,IF(U19&gt;(VALUE(AA19)),VALUE(AA19),U19))</f>
        <v>0</v>
      </c>
      <c r="AF19" s="1715"/>
      <c r="AG19" s="1715"/>
      <c r="AH19" s="1716"/>
      <c r="AI19" s="722"/>
      <c r="AK19" s="303"/>
      <c r="AN19" s="303"/>
      <c r="AO19" s="303"/>
      <c r="AP19" s="303"/>
      <c r="AQ19" s="303"/>
    </row>
    <row r="20" spans="1:43">
      <c r="A20" s="306">
        <v>6</v>
      </c>
      <c r="B20" s="1708"/>
      <c r="C20" s="1709"/>
      <c r="D20" s="1710"/>
      <c r="E20" s="1706"/>
      <c r="F20" s="1707"/>
      <c r="G20" s="1711"/>
      <c r="H20" s="1712"/>
      <c r="I20" s="1712"/>
      <c r="J20" s="1713"/>
      <c r="K20" s="1711"/>
      <c r="L20" s="1712"/>
      <c r="M20" s="1712"/>
      <c r="N20" s="1713"/>
      <c r="O20" s="1711"/>
      <c r="P20" s="1713"/>
      <c r="Q20" s="1714">
        <f t="shared" si="0">G20*O20</f>
        <v>0</v>
      </c>
      <c r="R20" s="1715"/>
      <c r="S20" s="1715"/>
      <c r="T20" s="1720"/>
      <c r="U20" s="1714">
        <f t="shared" si="1">K20*O20</f>
        <v>0</v>
      </c>
      <c r="V20" s="1715"/>
      <c r="W20" s="1715"/>
      <c r="X20" s="1720"/>
      <c r="Y20" s="1725"/>
      <c r="Z20" s="1726"/>
      <c r="AA20" s="1727">
        <f t="shared" si="2">IF(Y20="",U20,Q20*Y20/100)</f>
        <v>0</v>
      </c>
      <c r="AB20" s="1728"/>
      <c r="AC20" s="1728"/>
      <c r="AD20" s="1729"/>
      <c r="AE20" s="1714">
        <f t="shared" si="3">IF(AA20=0,U20,IF(U20&gt;(VALUE(AA20)),VALUE(AA20),U20))</f>
        <v>0</v>
      </c>
      <c r="AF20" s="1715"/>
      <c r="AG20" s="1715"/>
      <c r="AH20" s="1716"/>
      <c r="AI20" s="722"/>
      <c r="AK20" s="303"/>
      <c r="AN20" s="303"/>
      <c r="AO20" s="303"/>
      <c r="AP20" s="303"/>
      <c r="AQ20" s="303"/>
    </row>
    <row r="21" spans="1:43">
      <c r="A21" s="305">
        <v>7</v>
      </c>
      <c r="B21" s="1708"/>
      <c r="C21" s="1709"/>
      <c r="D21" s="1710"/>
      <c r="E21" s="1706"/>
      <c r="F21" s="1707"/>
      <c r="G21" s="1711"/>
      <c r="H21" s="1712"/>
      <c r="I21" s="1712"/>
      <c r="J21" s="1713"/>
      <c r="K21" s="1711"/>
      <c r="L21" s="1712"/>
      <c r="M21" s="1712"/>
      <c r="N21" s="1713"/>
      <c r="O21" s="1711"/>
      <c r="P21" s="1713"/>
      <c r="Q21" s="1714">
        <f t="shared" si="0">G21*O21</f>
        <v>0</v>
      </c>
      <c r="R21" s="1715"/>
      <c r="S21" s="1715"/>
      <c r="T21" s="1720"/>
      <c r="U21" s="1714">
        <f t="shared" si="1">K21*O21</f>
        <v>0</v>
      </c>
      <c r="V21" s="1715"/>
      <c r="W21" s="1715"/>
      <c r="X21" s="1720"/>
      <c r="Y21" s="1725"/>
      <c r="Z21" s="1726"/>
      <c r="AA21" s="1727">
        <f t="shared" si="2">IF(Y21="",U21,Q21*Y21/100)</f>
        <v>0</v>
      </c>
      <c r="AB21" s="1728"/>
      <c r="AC21" s="1728"/>
      <c r="AD21" s="1729"/>
      <c r="AE21" s="1714">
        <f t="shared" si="3">IF(AA21=0,U21,IF(U21&gt;(VALUE(AA21)),VALUE(AA21),U21))</f>
        <v>0</v>
      </c>
      <c r="AF21" s="1715"/>
      <c r="AG21" s="1715"/>
      <c r="AH21" s="1716"/>
      <c r="AI21" s="722"/>
      <c r="AK21" s="303"/>
      <c r="AN21" s="303"/>
      <c r="AO21" s="303"/>
      <c r="AP21" s="303"/>
      <c r="AQ21" s="303"/>
    </row>
    <row r="22" spans="1:43">
      <c r="A22" s="306">
        <v>8</v>
      </c>
      <c r="B22" s="1708"/>
      <c r="C22" s="1709"/>
      <c r="D22" s="1710"/>
      <c r="E22" s="1706"/>
      <c r="F22" s="1707"/>
      <c r="G22" s="1711"/>
      <c r="H22" s="1712"/>
      <c r="I22" s="1712"/>
      <c r="J22" s="1713"/>
      <c r="K22" s="1711"/>
      <c r="L22" s="1712"/>
      <c r="M22" s="1712"/>
      <c r="N22" s="1713"/>
      <c r="O22" s="1711"/>
      <c r="P22" s="1713"/>
      <c r="Q22" s="1714">
        <f t="shared" si="0">G22*O22</f>
        <v>0</v>
      </c>
      <c r="R22" s="1715"/>
      <c r="S22" s="1715"/>
      <c r="T22" s="1720"/>
      <c r="U22" s="1714">
        <f t="shared" si="1">K22*O22</f>
        <v>0</v>
      </c>
      <c r="V22" s="1715"/>
      <c r="W22" s="1715"/>
      <c r="X22" s="1720"/>
      <c r="Y22" s="1725"/>
      <c r="Z22" s="1726"/>
      <c r="AA22" s="1727">
        <f t="shared" si="2">IF(Y22="",U22,Q22*Y22/100)</f>
        <v>0</v>
      </c>
      <c r="AB22" s="1728"/>
      <c r="AC22" s="1728"/>
      <c r="AD22" s="1729"/>
      <c r="AE22" s="1714">
        <f t="shared" si="3">IF(AA22=0,U22,IF(U22&gt;(VALUE(AA22)),VALUE(AA22),U22))</f>
        <v>0</v>
      </c>
      <c r="AF22" s="1715"/>
      <c r="AG22" s="1715"/>
      <c r="AH22" s="1716"/>
      <c r="AI22" s="722"/>
      <c r="AK22" s="303"/>
      <c r="AN22" s="303"/>
      <c r="AO22" s="303"/>
      <c r="AP22" s="303"/>
      <c r="AQ22" s="303"/>
    </row>
    <row r="23" spans="1:43">
      <c r="A23" s="305">
        <v>9</v>
      </c>
      <c r="B23" s="1708"/>
      <c r="C23" s="1709"/>
      <c r="D23" s="1710"/>
      <c r="E23" s="1706"/>
      <c r="F23" s="1707"/>
      <c r="G23" s="1711"/>
      <c r="H23" s="1712"/>
      <c r="I23" s="1712"/>
      <c r="J23" s="1713"/>
      <c r="K23" s="1711"/>
      <c r="L23" s="1712"/>
      <c r="M23" s="1712"/>
      <c r="N23" s="1713"/>
      <c r="O23" s="1711"/>
      <c r="P23" s="1713"/>
      <c r="Q23" s="1714">
        <f t="shared" si="0">G23*O23</f>
        <v>0</v>
      </c>
      <c r="R23" s="1715"/>
      <c r="S23" s="1715"/>
      <c r="T23" s="1720"/>
      <c r="U23" s="1714">
        <f t="shared" si="1">K23*O23</f>
        <v>0</v>
      </c>
      <c r="V23" s="1715"/>
      <c r="W23" s="1715"/>
      <c r="X23" s="1720"/>
      <c r="Y23" s="1725"/>
      <c r="Z23" s="1726"/>
      <c r="AA23" s="1727">
        <f t="shared" si="2">IF(Y23="",U23,Q23*Y23/100)</f>
        <v>0</v>
      </c>
      <c r="AB23" s="1728"/>
      <c r="AC23" s="1728"/>
      <c r="AD23" s="1729"/>
      <c r="AE23" s="1714">
        <f t="shared" si="3">IF(AA23=0,U23,IF(U23&gt;(VALUE(AA23)),VALUE(AA23),U23))</f>
        <v>0</v>
      </c>
      <c r="AF23" s="1715"/>
      <c r="AG23" s="1715"/>
      <c r="AH23" s="1716"/>
      <c r="AI23" s="722"/>
      <c r="AK23" s="303"/>
      <c r="AN23" s="303"/>
      <c r="AO23" s="303"/>
      <c r="AP23" s="303"/>
      <c r="AQ23" s="303"/>
    </row>
    <row r="24" spans="1:43">
      <c r="A24" s="306">
        <v>10</v>
      </c>
      <c r="B24" s="1708"/>
      <c r="C24" s="1709"/>
      <c r="D24" s="1710"/>
      <c r="E24" s="1706"/>
      <c r="F24" s="1707"/>
      <c r="G24" s="1711"/>
      <c r="H24" s="1712"/>
      <c r="I24" s="1712"/>
      <c r="J24" s="1713"/>
      <c r="K24" s="1711"/>
      <c r="L24" s="1712"/>
      <c r="M24" s="1712"/>
      <c r="N24" s="1713"/>
      <c r="O24" s="1711"/>
      <c r="P24" s="1713"/>
      <c r="Q24" s="1714">
        <f t="shared" si="4" ref="Q24:Q26">G24*O24</f>
        <v>0</v>
      </c>
      <c r="R24" s="1715"/>
      <c r="S24" s="1715"/>
      <c r="T24" s="1720"/>
      <c r="U24" s="1714">
        <f t="shared" si="5" ref="U24:U26">K24*O24</f>
        <v>0</v>
      </c>
      <c r="V24" s="1715"/>
      <c r="W24" s="1715"/>
      <c r="X24" s="1720"/>
      <c r="Y24" s="1725"/>
      <c r="Z24" s="1726"/>
      <c r="AA24" s="1727">
        <f t="shared" si="6" ref="AA24:AA26">IF(Y24="",U24,Q24*Y24/100)</f>
        <v>0</v>
      </c>
      <c r="AB24" s="1728"/>
      <c r="AC24" s="1728"/>
      <c r="AD24" s="1729"/>
      <c r="AE24" s="1714">
        <f t="shared" si="7" ref="AE24:AE26">IF(AA24=0,U24,IF(U24&gt;(VALUE(AA24)),VALUE(AA24),U24))</f>
        <v>0</v>
      </c>
      <c r="AF24" s="1715"/>
      <c r="AG24" s="1715"/>
      <c r="AH24" s="1716"/>
      <c r="AI24" s="722"/>
      <c r="AK24" s="303"/>
      <c r="AN24" s="303"/>
      <c r="AO24" s="303"/>
      <c r="AP24" s="303"/>
      <c r="AQ24" s="303"/>
    </row>
    <row r="25" spans="1:43">
      <c r="A25" s="305">
        <v>11</v>
      </c>
      <c r="B25" s="1708"/>
      <c r="C25" s="1709"/>
      <c r="D25" s="1710"/>
      <c r="E25" s="1706"/>
      <c r="F25" s="1707"/>
      <c r="G25" s="1711"/>
      <c r="H25" s="1712"/>
      <c r="I25" s="1712"/>
      <c r="J25" s="1713"/>
      <c r="K25" s="1711"/>
      <c r="L25" s="1712"/>
      <c r="M25" s="1712"/>
      <c r="N25" s="1713"/>
      <c r="O25" s="1711"/>
      <c r="P25" s="1713"/>
      <c r="Q25" s="1714">
        <f t="shared" si="4">G25*O25</f>
        <v>0</v>
      </c>
      <c r="R25" s="1715"/>
      <c r="S25" s="1715"/>
      <c r="T25" s="1720"/>
      <c r="U25" s="1714">
        <f t="shared" si="5">K25*O25</f>
        <v>0</v>
      </c>
      <c r="V25" s="1715"/>
      <c r="W25" s="1715"/>
      <c r="X25" s="1720"/>
      <c r="Y25" s="1725"/>
      <c r="Z25" s="1726"/>
      <c r="AA25" s="1727">
        <f t="shared" si="6">IF(Y25="",U25,Q25*Y25/100)</f>
        <v>0</v>
      </c>
      <c r="AB25" s="1728"/>
      <c r="AC25" s="1728"/>
      <c r="AD25" s="1729"/>
      <c r="AE25" s="1714">
        <f t="shared" si="7">IF(AA25=0,U25,IF(U25&gt;(VALUE(AA25)),VALUE(AA25),U25))</f>
        <v>0</v>
      </c>
      <c r="AF25" s="1715"/>
      <c r="AG25" s="1715"/>
      <c r="AH25" s="1716"/>
      <c r="AI25" s="722"/>
      <c r="AK25" s="303"/>
      <c r="AN25" s="303"/>
      <c r="AO25" s="303"/>
      <c r="AP25" s="303"/>
      <c r="AQ25" s="303"/>
    </row>
    <row r="26" spans="1:43">
      <c r="A26" s="306">
        <v>12</v>
      </c>
      <c r="B26" s="1708"/>
      <c r="C26" s="1709"/>
      <c r="D26" s="1710"/>
      <c r="E26" s="1706"/>
      <c r="F26" s="1707"/>
      <c r="G26" s="1711"/>
      <c r="H26" s="1712"/>
      <c r="I26" s="1712"/>
      <c r="J26" s="1713"/>
      <c r="K26" s="1711"/>
      <c r="L26" s="1712"/>
      <c r="M26" s="1712"/>
      <c r="N26" s="1713"/>
      <c r="O26" s="1711"/>
      <c r="P26" s="1713"/>
      <c r="Q26" s="1714">
        <f t="shared" si="4">G26*O26</f>
        <v>0</v>
      </c>
      <c r="R26" s="1715"/>
      <c r="S26" s="1715"/>
      <c r="T26" s="1720"/>
      <c r="U26" s="1714">
        <f t="shared" si="5">K26*O26</f>
        <v>0</v>
      </c>
      <c r="V26" s="1715"/>
      <c r="W26" s="1715"/>
      <c r="X26" s="1720"/>
      <c r="Y26" s="1725"/>
      <c r="Z26" s="1726"/>
      <c r="AA26" s="1727">
        <f t="shared" si="6">IF(Y26="",U26,Q26*Y26/100)</f>
        <v>0</v>
      </c>
      <c r="AB26" s="1728"/>
      <c r="AC26" s="1728"/>
      <c r="AD26" s="1729"/>
      <c r="AE26" s="1714">
        <f t="shared" si="7">IF(AA26=0,U26,IF(U26&gt;(VALUE(AA26)),VALUE(AA26),U26))</f>
        <v>0</v>
      </c>
      <c r="AF26" s="1715"/>
      <c r="AG26" s="1715"/>
      <c r="AH26" s="1716"/>
      <c r="AI26" s="722"/>
      <c r="AK26" s="303"/>
      <c r="AN26" s="303"/>
      <c r="AO26" s="303"/>
      <c r="AP26" s="303"/>
      <c r="AQ26" s="303"/>
    </row>
    <row r="27" spans="1:43">
      <c r="A27" s="305">
        <v>13</v>
      </c>
      <c r="B27" s="1708"/>
      <c r="C27" s="1709"/>
      <c r="D27" s="1710"/>
      <c r="E27" s="1706"/>
      <c r="F27" s="1707"/>
      <c r="G27" s="1711"/>
      <c r="H27" s="1712"/>
      <c r="I27" s="1712"/>
      <c r="J27" s="1713"/>
      <c r="K27" s="1711"/>
      <c r="L27" s="1712"/>
      <c r="M27" s="1712"/>
      <c r="N27" s="1713"/>
      <c r="O27" s="1711"/>
      <c r="P27" s="1713"/>
      <c r="Q27" s="1714">
        <f t="shared" si="0">G27*O27</f>
        <v>0</v>
      </c>
      <c r="R27" s="1715"/>
      <c r="S27" s="1715"/>
      <c r="T27" s="1720"/>
      <c r="U27" s="1714">
        <f t="shared" si="1">K27*O27</f>
        <v>0</v>
      </c>
      <c r="V27" s="1715"/>
      <c r="W27" s="1715"/>
      <c r="X27" s="1720"/>
      <c r="Y27" s="1725"/>
      <c r="Z27" s="1726"/>
      <c r="AA27" s="1727">
        <f t="shared" si="2">IF(Y27="",U27,Q27*Y27/100)</f>
        <v>0</v>
      </c>
      <c r="AB27" s="1728"/>
      <c r="AC27" s="1728"/>
      <c r="AD27" s="1729"/>
      <c r="AE27" s="1714">
        <f t="shared" si="3">IF(AA27=0,U27,IF(U27&gt;(VALUE(AA27)),VALUE(AA27),U27))</f>
        <v>0</v>
      </c>
      <c r="AF27" s="1715"/>
      <c r="AG27" s="1715"/>
      <c r="AH27" s="1716"/>
      <c r="AI27" s="722"/>
      <c r="AK27" s="303"/>
      <c r="AN27" s="303"/>
      <c r="AO27" s="303"/>
      <c r="AP27" s="303"/>
      <c r="AQ27" s="303"/>
    </row>
    <row r="28" spans="1:43">
      <c r="A28" s="306">
        <v>14</v>
      </c>
      <c r="B28" s="1708"/>
      <c r="C28" s="1709"/>
      <c r="D28" s="1710"/>
      <c r="E28" s="1706"/>
      <c r="F28" s="1707"/>
      <c r="G28" s="1711"/>
      <c r="H28" s="1712"/>
      <c r="I28" s="1712"/>
      <c r="J28" s="1713"/>
      <c r="K28" s="1711"/>
      <c r="L28" s="1712"/>
      <c r="M28" s="1712"/>
      <c r="N28" s="1713"/>
      <c r="O28" s="1711"/>
      <c r="P28" s="1713"/>
      <c r="Q28" s="1714">
        <f t="shared" si="0">G28*O28</f>
        <v>0</v>
      </c>
      <c r="R28" s="1715"/>
      <c r="S28" s="1715"/>
      <c r="T28" s="1720"/>
      <c r="U28" s="1714">
        <f t="shared" si="1">K28*O28</f>
        <v>0</v>
      </c>
      <c r="V28" s="1715"/>
      <c r="W28" s="1715"/>
      <c r="X28" s="1720"/>
      <c r="Y28" s="1725"/>
      <c r="Z28" s="1726"/>
      <c r="AA28" s="1727">
        <f t="shared" si="2">IF(Y28="",U28,Q28*Y28/100)</f>
        <v>0</v>
      </c>
      <c r="AB28" s="1728"/>
      <c r="AC28" s="1728"/>
      <c r="AD28" s="1729"/>
      <c r="AE28" s="1714">
        <f t="shared" si="3">IF(AA28=0,U28,IF(U28&gt;(VALUE(AA28)),VALUE(AA28),U28))</f>
        <v>0</v>
      </c>
      <c r="AF28" s="1715"/>
      <c r="AG28" s="1715"/>
      <c r="AH28" s="1716"/>
      <c r="AI28" s="722"/>
      <c r="AK28" s="303"/>
      <c r="AN28" s="303"/>
      <c r="AO28" s="303"/>
      <c r="AP28" s="303"/>
      <c r="AQ28" s="303"/>
    </row>
    <row r="29" spans="1:43">
      <c r="A29" s="305">
        <v>15</v>
      </c>
      <c r="B29" s="1708"/>
      <c r="C29" s="1709"/>
      <c r="D29" s="1710"/>
      <c r="E29" s="1706"/>
      <c r="F29" s="1707"/>
      <c r="G29" s="1711"/>
      <c r="H29" s="1712"/>
      <c r="I29" s="1712"/>
      <c r="J29" s="1713"/>
      <c r="K29" s="1711"/>
      <c r="L29" s="1712"/>
      <c r="M29" s="1712"/>
      <c r="N29" s="1713"/>
      <c r="O29" s="1711"/>
      <c r="P29" s="1713"/>
      <c r="Q29" s="1714">
        <f t="shared" si="0">G29*O29</f>
        <v>0</v>
      </c>
      <c r="R29" s="1715"/>
      <c r="S29" s="1715"/>
      <c r="T29" s="1720"/>
      <c r="U29" s="1714">
        <f t="shared" si="1">K29*O29</f>
        <v>0</v>
      </c>
      <c r="V29" s="1715"/>
      <c r="W29" s="1715"/>
      <c r="X29" s="1720"/>
      <c r="Y29" s="1725"/>
      <c r="Z29" s="1726"/>
      <c r="AA29" s="1727">
        <f t="shared" si="2">IF(Y29="",U29,Q29*Y29/100)</f>
        <v>0</v>
      </c>
      <c r="AB29" s="1728"/>
      <c r="AC29" s="1728"/>
      <c r="AD29" s="1729"/>
      <c r="AE29" s="1714">
        <f t="shared" si="3">IF(AA29=0,U29,IF(U29&gt;(VALUE(AA29)),VALUE(AA29),U29))</f>
        <v>0</v>
      </c>
      <c r="AF29" s="1715"/>
      <c r="AG29" s="1715"/>
      <c r="AH29" s="1716"/>
      <c r="AI29" s="722"/>
      <c r="AK29" s="303"/>
      <c r="AN29" s="303"/>
      <c r="AO29" s="303"/>
      <c r="AP29" s="303"/>
      <c r="AQ29" s="303"/>
    </row>
    <row r="30" spans="1:43">
      <c r="A30" s="307" t="s">
        <v>504</v>
      </c>
      <c r="B30" s="1703"/>
      <c r="C30" s="1704"/>
      <c r="D30" s="1705"/>
      <c r="E30" s="1706"/>
      <c r="F30" s="1707"/>
      <c r="G30" s="1706"/>
      <c r="H30" s="1902"/>
      <c r="I30" s="1902"/>
      <c r="J30" s="1707"/>
      <c r="K30" s="1711"/>
      <c r="L30" s="1712"/>
      <c r="M30" s="1712"/>
      <c r="N30" s="1713"/>
      <c r="O30" s="1711"/>
      <c r="P30" s="1713"/>
      <c r="Q30" s="1714">
        <f t="shared" si="0">G30*O30</f>
        <v>0</v>
      </c>
      <c r="R30" s="1715"/>
      <c r="S30" s="1715"/>
      <c r="T30" s="1720"/>
      <c r="U30" s="1714">
        <f t="shared" si="1">K30*O30</f>
        <v>0</v>
      </c>
      <c r="V30" s="1715"/>
      <c r="W30" s="1715"/>
      <c r="X30" s="1720"/>
      <c r="Y30" s="1725"/>
      <c r="Z30" s="1726"/>
      <c r="AA30" s="1727">
        <f t="shared" si="2">IF(Y30="",U30,Q30*Y30/100)</f>
        <v>0</v>
      </c>
      <c r="AB30" s="1728"/>
      <c r="AC30" s="1728"/>
      <c r="AD30" s="1729"/>
      <c r="AE30" s="1714">
        <f t="shared" si="3">IF(AA30=0,U30,IF(U30&gt;(VALUE(AA30)),VALUE(AA30),U30))</f>
        <v>0</v>
      </c>
      <c r="AF30" s="1715"/>
      <c r="AG30" s="1715"/>
      <c r="AH30" s="1716"/>
      <c r="AI30" s="722"/>
      <c r="AK30" s="303"/>
      <c r="AN30" s="303"/>
      <c r="AO30" s="303"/>
      <c r="AP30" s="303"/>
      <c r="AQ30" s="303"/>
    </row>
    <row r="31" spans="1:43" ht="13.5" customHeight="1" thickBot="1">
      <c r="A31" s="731"/>
      <c r="B31" s="732"/>
      <c r="C31" s="733"/>
      <c r="D31" s="734"/>
      <c r="E31" s="732"/>
      <c r="F31" s="734"/>
      <c r="G31" s="732"/>
      <c r="H31" s="733"/>
      <c r="I31" s="733"/>
      <c r="J31" s="734"/>
      <c r="K31" s="732"/>
      <c r="L31" s="733"/>
      <c r="M31" s="733"/>
      <c r="N31" s="734"/>
      <c r="O31" s="732"/>
      <c r="P31" s="734"/>
      <c r="Q31" s="732"/>
      <c r="R31" s="733"/>
      <c r="S31" s="733"/>
      <c r="T31" s="734"/>
      <c r="U31" s="732"/>
      <c r="V31" s="733"/>
      <c r="W31" s="733"/>
      <c r="X31" s="734"/>
      <c r="Y31" s="733"/>
      <c r="Z31" s="734"/>
      <c r="AA31" s="732"/>
      <c r="AB31" s="733"/>
      <c r="AC31" s="733"/>
      <c r="AD31" s="734"/>
      <c r="AE31" s="732"/>
      <c r="AF31" s="733"/>
      <c r="AG31" s="733"/>
      <c r="AH31" s="1250"/>
      <c r="AI31" s="722"/>
      <c r="AK31" s="303"/>
      <c r="AN31" s="303"/>
      <c r="AO31" s="303"/>
      <c r="AP31" s="303"/>
      <c r="AQ31" s="303"/>
    </row>
    <row r="32" spans="1:43" ht="13.5" customHeight="1" thickTop="1" thickBot="1">
      <c r="A32" s="722"/>
      <c r="B32" s="722"/>
      <c r="C32" s="722"/>
      <c r="D32" s="722"/>
      <c r="E32" s="722"/>
      <c r="F32" s="722"/>
      <c r="G32" s="722"/>
      <c r="H32" s="722"/>
      <c r="I32" s="722"/>
      <c r="J32" s="722"/>
      <c r="K32" s="722"/>
      <c r="L32" s="722"/>
      <c r="M32" s="722"/>
      <c r="N32" s="722"/>
      <c r="O32" s="722"/>
      <c r="P32" s="722"/>
      <c r="Q32" s="722"/>
      <c r="R32" s="722"/>
      <c r="S32" s="722"/>
      <c r="T32" s="722"/>
      <c r="U32" s="722"/>
      <c r="V32" s="722"/>
      <c r="W32" s="722"/>
      <c r="X32" s="722"/>
      <c r="Y32" s="722"/>
      <c r="Z32" s="722"/>
      <c r="AA32" s="722"/>
      <c r="AB32" s="722"/>
      <c r="AC32" s="722"/>
      <c r="AD32" s="722"/>
      <c r="AE32" s="722"/>
      <c r="AF32" s="722"/>
      <c r="AG32" s="722"/>
      <c r="AH32" s="722"/>
      <c r="AI32" s="722"/>
      <c r="AK32" s="303"/>
      <c r="AN32" s="303"/>
      <c r="AO32" s="303"/>
      <c r="AP32" s="303"/>
      <c r="AQ32" s="303"/>
    </row>
    <row r="33" spans="1:43" ht="14.25" customHeight="1" thickTop="1" thickBot="1">
      <c r="A33" s="722"/>
      <c r="B33" s="721" t="s">
        <v>347</v>
      </c>
      <c r="C33" s="722"/>
      <c r="D33" s="722"/>
      <c r="E33" s="722"/>
      <c r="F33" s="722"/>
      <c r="G33" s="1836">
        <f>SUM(G15:J30)</f>
        <v>0</v>
      </c>
      <c r="H33" s="1837"/>
      <c r="I33" s="1837"/>
      <c r="J33" s="1838"/>
      <c r="K33" s="1836">
        <f>+SUM(K15:N31)</f>
        <v>0</v>
      </c>
      <c r="L33" s="1837"/>
      <c r="M33" s="1837"/>
      <c r="N33" s="1838"/>
      <c r="O33" s="735"/>
      <c r="P33" s="735"/>
      <c r="Q33" s="1736">
        <f>+SUM(Q15:T31)</f>
        <v>0</v>
      </c>
      <c r="R33" s="1737"/>
      <c r="S33" s="1737"/>
      <c r="T33" s="1738"/>
      <c r="U33" s="1736">
        <f>+SUM(U15:X31)</f>
        <v>0</v>
      </c>
      <c r="V33" s="1737"/>
      <c r="W33" s="1737"/>
      <c r="X33" s="1738"/>
      <c r="Y33" s="722"/>
      <c r="Z33" s="722"/>
      <c r="AA33" s="1733">
        <f>SUM(AA15:AD31)</f>
        <v>0</v>
      </c>
      <c r="AB33" s="1734"/>
      <c r="AC33" s="1734"/>
      <c r="AD33" s="1735"/>
      <c r="AE33" s="1736">
        <f>+SUM(AE15:AH31)</f>
        <v>0</v>
      </c>
      <c r="AF33" s="1737"/>
      <c r="AG33" s="1737"/>
      <c r="AH33" s="1738"/>
      <c r="AI33" s="722"/>
      <c r="AK33" s="303"/>
      <c r="AN33" s="303"/>
      <c r="AO33" s="303"/>
      <c r="AP33" s="303"/>
      <c r="AQ33" s="303"/>
    </row>
    <row r="34" spans="1:43" ht="13.5" customHeight="1" thickTop="1">
      <c r="A34" s="722"/>
      <c r="B34" s="722"/>
      <c r="C34" s="722"/>
      <c r="D34" s="722"/>
      <c r="E34" s="722"/>
      <c r="F34" s="722"/>
      <c r="G34" s="722"/>
      <c r="H34" s="722"/>
      <c r="I34" s="722"/>
      <c r="J34" s="722"/>
      <c r="K34" s="722"/>
      <c r="L34" s="722"/>
      <c r="M34" s="722"/>
      <c r="N34" s="722"/>
      <c r="O34" s="722"/>
      <c r="P34" s="722"/>
      <c r="Q34" s="722"/>
      <c r="R34" s="722"/>
      <c r="S34" s="722"/>
      <c r="T34" s="722"/>
      <c r="U34" s="722"/>
      <c r="V34" s="722"/>
      <c r="W34" s="722"/>
      <c r="X34" s="722"/>
      <c r="Y34" s="722"/>
      <c r="Z34" s="722"/>
      <c r="AA34" s="722"/>
      <c r="AB34" s="722"/>
      <c r="AC34" s="722"/>
      <c r="AD34" s="722"/>
      <c r="AE34" s="722"/>
      <c r="AF34" s="722"/>
      <c r="AG34" s="722"/>
      <c r="AH34" s="722"/>
      <c r="AI34" s="722"/>
      <c r="AK34" s="303"/>
      <c r="AN34" s="303"/>
      <c r="AO34" s="303"/>
      <c r="AP34" s="303"/>
      <c r="AQ34" s="303"/>
    </row>
    <row r="35" spans="1:43" ht="13.5" customHeight="1">
      <c r="A35" s="722"/>
      <c r="B35" s="721" t="s">
        <v>310</v>
      </c>
      <c r="C35" s="721" t="s">
        <v>505</v>
      </c>
      <c r="D35" s="722"/>
      <c r="E35" s="722"/>
      <c r="F35" s="722"/>
      <c r="G35" s="722"/>
      <c r="H35" s="722"/>
      <c r="I35" s="722"/>
      <c r="J35" s="722"/>
      <c r="K35" s="722"/>
      <c r="L35" s="722"/>
      <c r="M35" s="722"/>
      <c r="N35" s="722"/>
      <c r="O35" s="722"/>
      <c r="P35" s="722"/>
      <c r="Q35" s="722"/>
      <c r="R35" s="722"/>
      <c r="S35" s="722"/>
      <c r="T35" s="722"/>
      <c r="U35" s="722"/>
      <c r="V35" s="722"/>
      <c r="W35" s="722"/>
      <c r="X35" s="722"/>
      <c r="Y35" s="722"/>
      <c r="Z35" s="722"/>
      <c r="AA35" s="722"/>
      <c r="AB35" s="722"/>
      <c r="AC35" s="722"/>
      <c r="AD35" s="722"/>
      <c r="AE35" s="722"/>
      <c r="AF35" s="722"/>
      <c r="AG35" s="722"/>
      <c r="AH35" s="722"/>
      <c r="AI35" s="722"/>
      <c r="AK35" s="303"/>
      <c r="AN35" s="303"/>
      <c r="AO35" s="303"/>
      <c r="AP35" s="303"/>
      <c r="AQ35" s="303"/>
    </row>
    <row r="36" spans="1:43" ht="13.5" customHeight="1" thickBot="1">
      <c r="A36" s="722"/>
      <c r="B36" s="722"/>
      <c r="C36" s="722"/>
      <c r="D36" s="722"/>
      <c r="E36" s="722"/>
      <c r="F36" s="722"/>
      <c r="G36" s="722"/>
      <c r="H36" s="722"/>
      <c r="I36" s="722"/>
      <c r="J36" s="722"/>
      <c r="K36" s="722"/>
      <c r="L36" s="722"/>
      <c r="M36" s="722"/>
      <c r="N36" s="722"/>
      <c r="O36" s="722"/>
      <c r="P36" s="722"/>
      <c r="Q36" s="722"/>
      <c r="R36" s="722"/>
      <c r="S36" s="722"/>
      <c r="T36" s="722"/>
      <c r="U36" s="722"/>
      <c r="V36" s="722"/>
      <c r="W36" s="722"/>
      <c r="X36" s="722"/>
      <c r="Y36" s="722"/>
      <c r="Z36" s="722"/>
      <c r="AA36" s="722"/>
      <c r="AB36" s="722"/>
      <c r="AC36" s="722"/>
      <c r="AD36" s="722"/>
      <c r="AE36" s="722"/>
      <c r="AF36" s="722"/>
      <c r="AG36" s="722"/>
      <c r="AH36" s="722"/>
      <c r="AI36" s="722"/>
      <c r="AK36" s="303"/>
      <c r="AN36" s="303"/>
      <c r="AO36" s="303"/>
      <c r="AP36" s="303"/>
      <c r="AQ36" s="303"/>
    </row>
    <row r="37" spans="1:43" ht="24" customHeight="1" thickTop="1" thickBot="1">
      <c r="A37" s="1988" t="s">
        <v>321</v>
      </c>
      <c r="B37" s="1796" t="s">
        <v>495</v>
      </c>
      <c r="C37" s="1958"/>
      <c r="D37" s="1959"/>
      <c r="E37" s="1796" t="s">
        <v>496</v>
      </c>
      <c r="F37" s="1745"/>
      <c r="G37" s="1989" t="s">
        <v>497</v>
      </c>
      <c r="H37" s="1955"/>
      <c r="I37" s="1955"/>
      <c r="J37" s="1955"/>
      <c r="K37" s="1955"/>
      <c r="L37" s="1955"/>
      <c r="M37" s="1955"/>
      <c r="N37" s="1956"/>
      <c r="O37" s="1796" t="s">
        <v>498</v>
      </c>
      <c r="P37" s="1745"/>
      <c r="Q37" s="1989" t="s">
        <v>499</v>
      </c>
      <c r="R37" s="1955"/>
      <c r="S37" s="1955"/>
      <c r="T37" s="1955"/>
      <c r="U37" s="1955"/>
      <c r="V37" s="1955"/>
      <c r="W37" s="1955"/>
      <c r="X37" s="1956"/>
      <c r="Y37" s="1790" t="s">
        <v>500</v>
      </c>
      <c r="Z37" s="1791"/>
      <c r="AA37" s="1790" t="s">
        <v>1310</v>
      </c>
      <c r="AB37" s="1794"/>
      <c r="AC37" s="1794"/>
      <c r="AD37" s="1791"/>
      <c r="AE37" s="1796" t="s">
        <v>501</v>
      </c>
      <c r="AF37" s="1740"/>
      <c r="AG37" s="1740"/>
      <c r="AH37" s="1741"/>
      <c r="AI37" s="722"/>
      <c r="AK37" s="303"/>
      <c r="AN37" s="303"/>
      <c r="AO37" s="303"/>
      <c r="AP37" s="303"/>
      <c r="AQ37" s="303"/>
    </row>
    <row r="38" spans="1:43" ht="30" customHeight="1" thickTop="1" thickBot="1">
      <c r="A38" s="1957"/>
      <c r="B38" s="1960"/>
      <c r="C38" s="1961"/>
      <c r="D38" s="1962"/>
      <c r="E38" s="1746"/>
      <c r="F38" s="1747"/>
      <c r="G38" s="1989" t="s">
        <v>502</v>
      </c>
      <c r="H38" s="1955"/>
      <c r="I38" s="1955"/>
      <c r="J38" s="1956"/>
      <c r="K38" s="1989" t="s">
        <v>503</v>
      </c>
      <c r="L38" s="1955"/>
      <c r="M38" s="1955"/>
      <c r="N38" s="1956"/>
      <c r="O38" s="1746"/>
      <c r="P38" s="1747"/>
      <c r="Q38" s="1989" t="s">
        <v>502</v>
      </c>
      <c r="R38" s="1955"/>
      <c r="S38" s="1955"/>
      <c r="T38" s="1956"/>
      <c r="U38" s="1989" t="s">
        <v>503</v>
      </c>
      <c r="V38" s="1955"/>
      <c r="W38" s="1955"/>
      <c r="X38" s="1956"/>
      <c r="Y38" s="1792"/>
      <c r="Z38" s="1793"/>
      <c r="AA38" s="1792"/>
      <c r="AB38" s="1795"/>
      <c r="AC38" s="1795"/>
      <c r="AD38" s="1793"/>
      <c r="AE38" s="1746"/>
      <c r="AF38" s="1784"/>
      <c r="AG38" s="1784"/>
      <c r="AH38" s="1797"/>
      <c r="AI38" s="722"/>
      <c r="AK38" s="303"/>
      <c r="AN38" s="303"/>
      <c r="AO38" s="303"/>
      <c r="AP38" s="303"/>
      <c r="AQ38" s="303"/>
    </row>
    <row r="39" spans="1:43" ht="13.5" customHeight="1" thickTop="1">
      <c r="A39" s="727"/>
      <c r="B39" s="728"/>
      <c r="C39" s="729"/>
      <c r="D39" s="730"/>
      <c r="E39" s="728"/>
      <c r="F39" s="730"/>
      <c r="G39" s="728"/>
      <c r="H39" s="729"/>
      <c r="I39" s="729"/>
      <c r="J39" s="730"/>
      <c r="K39" s="728"/>
      <c r="L39" s="729"/>
      <c r="M39" s="729"/>
      <c r="N39" s="730"/>
      <c r="O39" s="728"/>
      <c r="P39" s="730"/>
      <c r="Q39" s="728"/>
      <c r="R39" s="729"/>
      <c r="S39" s="729"/>
      <c r="T39" s="730"/>
      <c r="U39" s="728"/>
      <c r="V39" s="729"/>
      <c r="W39" s="729"/>
      <c r="X39" s="730"/>
      <c r="Y39" s="728"/>
      <c r="Z39" s="730"/>
      <c r="AA39" s="728"/>
      <c r="AB39" s="729"/>
      <c r="AC39" s="729"/>
      <c r="AD39" s="730"/>
      <c r="AE39" s="728"/>
      <c r="AF39" s="729"/>
      <c r="AG39" s="729"/>
      <c r="AH39" s="1249"/>
      <c r="AI39" s="722"/>
      <c r="AK39" s="303"/>
      <c r="AN39" s="303"/>
      <c r="AO39" s="303"/>
      <c r="AP39" s="303"/>
      <c r="AQ39" s="303"/>
    </row>
    <row r="40" spans="1:43">
      <c r="A40" s="305">
        <v>1</v>
      </c>
      <c r="B40" s="1708"/>
      <c r="C40" s="1709"/>
      <c r="D40" s="1710"/>
      <c r="E40" s="1706"/>
      <c r="F40" s="1707"/>
      <c r="G40" s="1711"/>
      <c r="H40" s="1712"/>
      <c r="I40" s="1712"/>
      <c r="J40" s="1713"/>
      <c r="K40" s="1711"/>
      <c r="L40" s="1712"/>
      <c r="M40" s="1712"/>
      <c r="N40" s="1713"/>
      <c r="O40" s="1711"/>
      <c r="P40" s="1713"/>
      <c r="Q40" s="1714">
        <f t="shared" si="8" ref="Q40:Q44">G40*O40</f>
        <v>0</v>
      </c>
      <c r="R40" s="1715"/>
      <c r="S40" s="1715"/>
      <c r="T40" s="1720"/>
      <c r="U40" s="1714">
        <f t="shared" si="9" ref="U40:U44">K40*O40</f>
        <v>0</v>
      </c>
      <c r="V40" s="1715"/>
      <c r="W40" s="1715"/>
      <c r="X40" s="1720"/>
      <c r="Y40" s="1725"/>
      <c r="Z40" s="1726"/>
      <c r="AA40" s="1727">
        <f>IF(Y40="",U40,Q40*Y40/100)</f>
        <v>0</v>
      </c>
      <c r="AB40" s="1728"/>
      <c r="AC40" s="1728"/>
      <c r="AD40" s="1729"/>
      <c r="AE40" s="1714">
        <f>IF(AA40=0,U40,IF(U40&gt;(VALUE(AA40)),VALUE(AA40),U40))</f>
        <v>0</v>
      </c>
      <c r="AF40" s="1715"/>
      <c r="AG40" s="1715"/>
      <c r="AH40" s="1716"/>
      <c r="AI40" s="722"/>
      <c r="AK40" s="303"/>
      <c r="AN40" s="303"/>
      <c r="AO40" s="303"/>
      <c r="AP40" s="303"/>
      <c r="AQ40" s="303"/>
    </row>
    <row r="41" spans="1:43">
      <c r="A41" s="306">
        <v>2</v>
      </c>
      <c r="B41" s="1708"/>
      <c r="C41" s="1709"/>
      <c r="D41" s="1710"/>
      <c r="E41" s="1706"/>
      <c r="F41" s="1707"/>
      <c r="G41" s="1711"/>
      <c r="H41" s="1712"/>
      <c r="I41" s="1712"/>
      <c r="J41" s="1713"/>
      <c r="K41" s="1711"/>
      <c r="L41" s="1712"/>
      <c r="M41" s="1712"/>
      <c r="N41" s="1713"/>
      <c r="O41" s="1711"/>
      <c r="P41" s="1713"/>
      <c r="Q41" s="1714">
        <f t="shared" si="8">G41*O41</f>
        <v>0</v>
      </c>
      <c r="R41" s="1715"/>
      <c r="S41" s="1715"/>
      <c r="T41" s="1720"/>
      <c r="U41" s="1714">
        <f t="shared" si="9">K41*O41</f>
        <v>0</v>
      </c>
      <c r="V41" s="1715"/>
      <c r="W41" s="1715"/>
      <c r="X41" s="1720"/>
      <c r="Y41" s="1725"/>
      <c r="Z41" s="1726"/>
      <c r="AA41" s="1727">
        <f t="shared" si="10" ref="AA41:AA44">IF(Y41="",U41,Q41*Y41/100)</f>
        <v>0</v>
      </c>
      <c r="AB41" s="1728"/>
      <c r="AC41" s="1728"/>
      <c r="AD41" s="1729"/>
      <c r="AE41" s="1714">
        <f t="shared" si="11" ref="AE41:AE44">IF(AA41=0,U41,IF(U41&gt;(VALUE(AA41)),VALUE(AA41),U41))</f>
        <v>0</v>
      </c>
      <c r="AF41" s="1715"/>
      <c r="AG41" s="1715"/>
      <c r="AH41" s="1716"/>
      <c r="AI41" s="722"/>
      <c r="AK41" s="303"/>
      <c r="AN41" s="303"/>
      <c r="AO41" s="303"/>
      <c r="AP41" s="303"/>
      <c r="AQ41" s="303"/>
    </row>
    <row r="42" spans="1:43">
      <c r="A42" s="305">
        <v>3</v>
      </c>
      <c r="B42" s="1708"/>
      <c r="C42" s="1709"/>
      <c r="D42" s="1710"/>
      <c r="E42" s="1706"/>
      <c r="F42" s="1707"/>
      <c r="G42" s="1711"/>
      <c r="H42" s="1712"/>
      <c r="I42" s="1712"/>
      <c r="J42" s="1713"/>
      <c r="K42" s="1711"/>
      <c r="L42" s="1712"/>
      <c r="M42" s="1712"/>
      <c r="N42" s="1713"/>
      <c r="O42" s="1711"/>
      <c r="P42" s="1713"/>
      <c r="Q42" s="1714">
        <f t="shared" si="8">G42*O42</f>
        <v>0</v>
      </c>
      <c r="R42" s="1715"/>
      <c r="S42" s="1715"/>
      <c r="T42" s="1720"/>
      <c r="U42" s="1714">
        <f t="shared" si="9">K42*O42</f>
        <v>0</v>
      </c>
      <c r="V42" s="1715"/>
      <c r="W42" s="1715"/>
      <c r="X42" s="1720"/>
      <c r="Y42" s="1725"/>
      <c r="Z42" s="1726"/>
      <c r="AA42" s="1727">
        <f t="shared" si="10">IF(Y42="",U42,Q42*Y42/100)</f>
        <v>0</v>
      </c>
      <c r="AB42" s="1728"/>
      <c r="AC42" s="1728"/>
      <c r="AD42" s="1729"/>
      <c r="AE42" s="1714">
        <f t="shared" si="11">IF(AA42=0,U42,IF(U42&gt;(VALUE(AA42)),VALUE(AA42),U42))</f>
        <v>0</v>
      </c>
      <c r="AF42" s="1715"/>
      <c r="AG42" s="1715"/>
      <c r="AH42" s="1716"/>
      <c r="AI42" s="722"/>
      <c r="AK42" s="303"/>
      <c r="AN42" s="303"/>
      <c r="AO42" s="303"/>
      <c r="AP42" s="303"/>
      <c r="AQ42" s="303"/>
    </row>
    <row r="43" spans="1:43">
      <c r="A43" s="306">
        <v>4</v>
      </c>
      <c r="B43" s="1708"/>
      <c r="C43" s="1709"/>
      <c r="D43" s="1710"/>
      <c r="E43" s="1706"/>
      <c r="F43" s="1707"/>
      <c r="G43" s="1711"/>
      <c r="H43" s="1712"/>
      <c r="I43" s="1712"/>
      <c r="J43" s="1713"/>
      <c r="K43" s="1711"/>
      <c r="L43" s="1712"/>
      <c r="M43" s="1712"/>
      <c r="N43" s="1713"/>
      <c r="O43" s="1711"/>
      <c r="P43" s="1713"/>
      <c r="Q43" s="1714">
        <f t="shared" si="8">G43*O43</f>
        <v>0</v>
      </c>
      <c r="R43" s="1715"/>
      <c r="S43" s="1715"/>
      <c r="T43" s="1720"/>
      <c r="U43" s="1714">
        <f t="shared" si="9">K43*O43</f>
        <v>0</v>
      </c>
      <c r="V43" s="1715"/>
      <c r="W43" s="1715"/>
      <c r="X43" s="1720"/>
      <c r="Y43" s="1725"/>
      <c r="Z43" s="1726"/>
      <c r="AA43" s="1727">
        <f t="shared" si="10">IF(Y43="",U43,Q43*Y43/100)</f>
        <v>0</v>
      </c>
      <c r="AB43" s="1728"/>
      <c r="AC43" s="1728"/>
      <c r="AD43" s="1729"/>
      <c r="AE43" s="1714">
        <f t="shared" si="11">IF(AA43=0,U43,IF(U43&gt;(VALUE(AA43)),VALUE(AA43),U43))</f>
        <v>0</v>
      </c>
      <c r="AF43" s="1715"/>
      <c r="AG43" s="1715"/>
      <c r="AH43" s="1716"/>
      <c r="AI43" s="722"/>
      <c r="AK43" s="303"/>
      <c r="AN43" s="303"/>
      <c r="AO43" s="303"/>
      <c r="AP43" s="303"/>
      <c r="AQ43" s="303"/>
    </row>
    <row r="44" spans="1:43">
      <c r="A44" s="305">
        <v>5</v>
      </c>
      <c r="B44" s="1708"/>
      <c r="C44" s="1709"/>
      <c r="D44" s="1710"/>
      <c r="E44" s="1706"/>
      <c r="F44" s="1707"/>
      <c r="G44" s="1711"/>
      <c r="H44" s="1712"/>
      <c r="I44" s="1712"/>
      <c r="J44" s="1713"/>
      <c r="K44" s="1711"/>
      <c r="L44" s="1712"/>
      <c r="M44" s="1712"/>
      <c r="N44" s="1713"/>
      <c r="O44" s="1711"/>
      <c r="P44" s="1713"/>
      <c r="Q44" s="1714">
        <f t="shared" si="8">G44*O44</f>
        <v>0</v>
      </c>
      <c r="R44" s="1715"/>
      <c r="S44" s="1715"/>
      <c r="T44" s="1720"/>
      <c r="U44" s="1714">
        <f t="shared" si="9">K44*O44</f>
        <v>0</v>
      </c>
      <c r="V44" s="1715"/>
      <c r="W44" s="1715"/>
      <c r="X44" s="1720"/>
      <c r="Y44" s="1725"/>
      <c r="Z44" s="1726"/>
      <c r="AA44" s="1727">
        <f t="shared" si="10">IF(Y44="",U44,Q44*Y44/100)</f>
        <v>0</v>
      </c>
      <c r="AB44" s="1728"/>
      <c r="AC44" s="1728"/>
      <c r="AD44" s="1729"/>
      <c r="AE44" s="1714">
        <f t="shared" si="11">IF(AA44=0,U44,IF(U44&gt;(VALUE(AA44)),VALUE(AA44),U44))</f>
        <v>0</v>
      </c>
      <c r="AF44" s="1715"/>
      <c r="AG44" s="1715"/>
      <c r="AH44" s="1716"/>
      <c r="AI44" s="722"/>
      <c r="AK44" s="303"/>
      <c r="AN44" s="303"/>
      <c r="AO44" s="303"/>
      <c r="AP44" s="303"/>
      <c r="AQ44" s="303"/>
    </row>
    <row r="45" spans="1:43">
      <c r="A45" s="306">
        <v>6</v>
      </c>
      <c r="B45" s="1708"/>
      <c r="C45" s="1709"/>
      <c r="D45" s="1710"/>
      <c r="E45" s="1706"/>
      <c r="F45" s="1707"/>
      <c r="G45" s="1711"/>
      <c r="H45" s="1712"/>
      <c r="I45" s="1712"/>
      <c r="J45" s="1713"/>
      <c r="K45" s="1711"/>
      <c r="L45" s="1712"/>
      <c r="M45" s="1712"/>
      <c r="N45" s="1713"/>
      <c r="O45" s="1711"/>
      <c r="P45" s="1713"/>
      <c r="Q45" s="1714">
        <f t="shared" si="12" ref="Q45:Q55">G45*O45</f>
        <v>0</v>
      </c>
      <c r="R45" s="1715"/>
      <c r="S45" s="1715"/>
      <c r="T45" s="1720"/>
      <c r="U45" s="1714">
        <f t="shared" si="13" ref="U45:U55">K45*O45</f>
        <v>0</v>
      </c>
      <c r="V45" s="1715"/>
      <c r="W45" s="1715"/>
      <c r="X45" s="1720"/>
      <c r="Y45" s="1725"/>
      <c r="Z45" s="1726"/>
      <c r="AA45" s="1727">
        <f>IF(Y45="",U45,Q45*Y45/100)</f>
        <v>0</v>
      </c>
      <c r="AB45" s="1728"/>
      <c r="AC45" s="1728"/>
      <c r="AD45" s="1729"/>
      <c r="AE45" s="1714">
        <f>IF(AA45=0,U45,IF(U45&gt;(VALUE(AA45)),VALUE(AA45),U45))</f>
        <v>0</v>
      </c>
      <c r="AF45" s="1715"/>
      <c r="AG45" s="1715"/>
      <c r="AH45" s="1716"/>
      <c r="AI45" s="722"/>
      <c r="AK45" s="303"/>
      <c r="AN45" s="303"/>
      <c r="AO45" s="303"/>
      <c r="AP45" s="303"/>
      <c r="AQ45" s="303"/>
    </row>
    <row r="46" spans="1:43">
      <c r="A46" s="305">
        <v>7</v>
      </c>
      <c r="B46" s="1708"/>
      <c r="C46" s="1709"/>
      <c r="D46" s="1710"/>
      <c r="E46" s="1706"/>
      <c r="F46" s="1707"/>
      <c r="G46" s="1711"/>
      <c r="H46" s="1712"/>
      <c r="I46" s="1712"/>
      <c r="J46" s="1713"/>
      <c r="K46" s="1711"/>
      <c r="L46" s="1712"/>
      <c r="M46" s="1712"/>
      <c r="N46" s="1713"/>
      <c r="O46" s="1711"/>
      <c r="P46" s="1713"/>
      <c r="Q46" s="1714">
        <f t="shared" si="14" ref="Q46:Q49">G46*O46</f>
        <v>0</v>
      </c>
      <c r="R46" s="1715"/>
      <c r="S46" s="1715"/>
      <c r="T46" s="1720"/>
      <c r="U46" s="1714">
        <f t="shared" si="15" ref="U46:U49">K46*O46</f>
        <v>0</v>
      </c>
      <c r="V46" s="1715"/>
      <c r="W46" s="1715"/>
      <c r="X46" s="1720"/>
      <c r="Y46" s="1725"/>
      <c r="Z46" s="1726"/>
      <c r="AA46" s="1727">
        <f t="shared" si="16" ref="AA46:AA49">IF(Y46="",U46,Q46*Y46/100)</f>
        <v>0</v>
      </c>
      <c r="AB46" s="1728"/>
      <c r="AC46" s="1728"/>
      <c r="AD46" s="1729"/>
      <c r="AE46" s="1714">
        <f t="shared" si="17" ref="AE46:AE49">IF(AA46=0,U46,IF(U46&gt;(VALUE(AA46)),VALUE(AA46),U46))</f>
        <v>0</v>
      </c>
      <c r="AF46" s="1715"/>
      <c r="AG46" s="1715"/>
      <c r="AH46" s="1716"/>
      <c r="AI46" s="722"/>
      <c r="AK46" s="303"/>
      <c r="AN46" s="303"/>
      <c r="AO46" s="303"/>
      <c r="AP46" s="303"/>
      <c r="AQ46" s="303"/>
    </row>
    <row r="47" spans="1:43">
      <c r="A47" s="306">
        <v>8</v>
      </c>
      <c r="B47" s="1708"/>
      <c r="C47" s="1709"/>
      <c r="D47" s="1710"/>
      <c r="E47" s="1706"/>
      <c r="F47" s="1707"/>
      <c r="G47" s="1711"/>
      <c r="H47" s="1712"/>
      <c r="I47" s="1712"/>
      <c r="J47" s="1713"/>
      <c r="K47" s="1711"/>
      <c r="L47" s="1712"/>
      <c r="M47" s="1712"/>
      <c r="N47" s="1713"/>
      <c r="O47" s="1711"/>
      <c r="P47" s="1713"/>
      <c r="Q47" s="1714">
        <f t="shared" si="14">G47*O47</f>
        <v>0</v>
      </c>
      <c r="R47" s="1715"/>
      <c r="S47" s="1715"/>
      <c r="T47" s="1720"/>
      <c r="U47" s="1714">
        <f t="shared" si="15">K47*O47</f>
        <v>0</v>
      </c>
      <c r="V47" s="1715"/>
      <c r="W47" s="1715"/>
      <c r="X47" s="1720"/>
      <c r="Y47" s="1725"/>
      <c r="Z47" s="1726"/>
      <c r="AA47" s="1727">
        <f t="shared" si="16">IF(Y47="",U47,Q47*Y47/100)</f>
        <v>0</v>
      </c>
      <c r="AB47" s="1728"/>
      <c r="AC47" s="1728"/>
      <c r="AD47" s="1729"/>
      <c r="AE47" s="1714">
        <f t="shared" si="17">IF(AA47=0,U47,IF(U47&gt;(VALUE(AA47)),VALUE(AA47),U47))</f>
        <v>0</v>
      </c>
      <c r="AF47" s="1715"/>
      <c r="AG47" s="1715"/>
      <c r="AH47" s="1716"/>
      <c r="AI47" s="722"/>
      <c r="AK47" s="303"/>
      <c r="AN47" s="303"/>
      <c r="AO47" s="303"/>
      <c r="AP47" s="303"/>
      <c r="AQ47" s="303"/>
    </row>
    <row r="48" spans="1:43">
      <c r="A48" s="305">
        <v>9</v>
      </c>
      <c r="B48" s="1708"/>
      <c r="C48" s="1709"/>
      <c r="D48" s="1710"/>
      <c r="E48" s="1706"/>
      <c r="F48" s="1707"/>
      <c r="G48" s="1711"/>
      <c r="H48" s="1712"/>
      <c r="I48" s="1712"/>
      <c r="J48" s="1713"/>
      <c r="K48" s="1711"/>
      <c r="L48" s="1712"/>
      <c r="M48" s="1712"/>
      <c r="N48" s="1713"/>
      <c r="O48" s="1711"/>
      <c r="P48" s="1713"/>
      <c r="Q48" s="1714">
        <f t="shared" si="14">G48*O48</f>
        <v>0</v>
      </c>
      <c r="R48" s="1715"/>
      <c r="S48" s="1715"/>
      <c r="T48" s="1720"/>
      <c r="U48" s="1714">
        <f t="shared" si="15">K48*O48</f>
        <v>0</v>
      </c>
      <c r="V48" s="1715"/>
      <c r="W48" s="1715"/>
      <c r="X48" s="1720"/>
      <c r="Y48" s="1725"/>
      <c r="Z48" s="1726"/>
      <c r="AA48" s="1727">
        <f t="shared" si="16">IF(Y48="",U48,Q48*Y48/100)</f>
        <v>0</v>
      </c>
      <c r="AB48" s="1728"/>
      <c r="AC48" s="1728"/>
      <c r="AD48" s="1729"/>
      <c r="AE48" s="1714">
        <f t="shared" si="17">IF(AA48=0,U48,IF(U48&gt;(VALUE(AA48)),VALUE(AA48),U48))</f>
        <v>0</v>
      </c>
      <c r="AF48" s="1715"/>
      <c r="AG48" s="1715"/>
      <c r="AH48" s="1716"/>
      <c r="AI48" s="722"/>
      <c r="AK48" s="303"/>
      <c r="AN48" s="303"/>
      <c r="AO48" s="303"/>
      <c r="AP48" s="303"/>
      <c r="AQ48" s="303"/>
    </row>
    <row r="49" spans="1:43">
      <c r="A49" s="306">
        <v>10</v>
      </c>
      <c r="B49" s="1708"/>
      <c r="C49" s="1709"/>
      <c r="D49" s="1710"/>
      <c r="E49" s="1706"/>
      <c r="F49" s="1707"/>
      <c r="G49" s="1711"/>
      <c r="H49" s="1712"/>
      <c r="I49" s="1712"/>
      <c r="J49" s="1713"/>
      <c r="K49" s="1711"/>
      <c r="L49" s="1712"/>
      <c r="M49" s="1712"/>
      <c r="N49" s="1713"/>
      <c r="O49" s="1711"/>
      <c r="P49" s="1713"/>
      <c r="Q49" s="1714">
        <f t="shared" si="14">G49*O49</f>
        <v>0</v>
      </c>
      <c r="R49" s="1715"/>
      <c r="S49" s="1715"/>
      <c r="T49" s="1720"/>
      <c r="U49" s="1714">
        <f t="shared" si="15">K49*O49</f>
        <v>0</v>
      </c>
      <c r="V49" s="1715"/>
      <c r="W49" s="1715"/>
      <c r="X49" s="1720"/>
      <c r="Y49" s="1725"/>
      <c r="Z49" s="1726"/>
      <c r="AA49" s="1727">
        <f t="shared" si="16">IF(Y49="",U49,Q49*Y49/100)</f>
        <v>0</v>
      </c>
      <c r="AB49" s="1728"/>
      <c r="AC49" s="1728"/>
      <c r="AD49" s="1729"/>
      <c r="AE49" s="1714">
        <f t="shared" si="17">IF(AA49=0,U49,IF(U49&gt;(VALUE(AA49)),VALUE(AA49),U49))</f>
        <v>0</v>
      </c>
      <c r="AF49" s="1715"/>
      <c r="AG49" s="1715"/>
      <c r="AH49" s="1716"/>
      <c r="AI49" s="722"/>
      <c r="AK49" s="303"/>
      <c r="AN49" s="303"/>
      <c r="AO49" s="303"/>
      <c r="AP49" s="303"/>
      <c r="AQ49" s="303"/>
    </row>
    <row r="50" spans="1:43">
      <c r="A50" s="305">
        <v>11</v>
      </c>
      <c r="B50" s="1708"/>
      <c r="C50" s="1709"/>
      <c r="D50" s="1710"/>
      <c r="E50" s="1706"/>
      <c r="F50" s="1707"/>
      <c r="G50" s="1711"/>
      <c r="H50" s="1712"/>
      <c r="I50" s="1712"/>
      <c r="J50" s="1713"/>
      <c r="K50" s="1711"/>
      <c r="L50" s="1712"/>
      <c r="M50" s="1712"/>
      <c r="N50" s="1713"/>
      <c r="O50" s="1711"/>
      <c r="P50" s="1713"/>
      <c r="Q50" s="1714">
        <f t="shared" si="12">G50*O50</f>
        <v>0</v>
      </c>
      <c r="R50" s="1715"/>
      <c r="S50" s="1715"/>
      <c r="T50" s="1720"/>
      <c r="U50" s="1714">
        <f t="shared" si="13">K50*O50</f>
        <v>0</v>
      </c>
      <c r="V50" s="1715"/>
      <c r="W50" s="1715"/>
      <c r="X50" s="1720"/>
      <c r="Y50" s="1725"/>
      <c r="Z50" s="1726"/>
      <c r="AA50" s="1727">
        <f t="shared" si="18" ref="AA50:AA55">IF(Y50="",U50,Q50*Y50/100)</f>
        <v>0</v>
      </c>
      <c r="AB50" s="1728"/>
      <c r="AC50" s="1728"/>
      <c r="AD50" s="1729"/>
      <c r="AE50" s="1714">
        <f t="shared" si="19" ref="AE50:AE55">IF(AA50=0,U50,IF(U50&gt;(VALUE(AA50)),VALUE(AA50),U50))</f>
        <v>0</v>
      </c>
      <c r="AF50" s="1715"/>
      <c r="AG50" s="1715"/>
      <c r="AH50" s="1716"/>
      <c r="AI50" s="722"/>
      <c r="AK50" s="303"/>
      <c r="AN50" s="303"/>
      <c r="AO50" s="303"/>
      <c r="AP50" s="303"/>
      <c r="AQ50" s="303"/>
    </row>
    <row r="51" spans="1:43">
      <c r="A51" s="306">
        <v>12</v>
      </c>
      <c r="B51" s="1708"/>
      <c r="C51" s="1709"/>
      <c r="D51" s="1710"/>
      <c r="E51" s="1706"/>
      <c r="F51" s="1707"/>
      <c r="G51" s="1711"/>
      <c r="H51" s="1712"/>
      <c r="I51" s="1712"/>
      <c r="J51" s="1713"/>
      <c r="K51" s="1711"/>
      <c r="L51" s="1712"/>
      <c r="M51" s="1712"/>
      <c r="N51" s="1713"/>
      <c r="O51" s="1711"/>
      <c r="P51" s="1713"/>
      <c r="Q51" s="1714">
        <f t="shared" si="12">G51*O51</f>
        <v>0</v>
      </c>
      <c r="R51" s="1715"/>
      <c r="S51" s="1715"/>
      <c r="T51" s="1720"/>
      <c r="U51" s="1714">
        <f t="shared" si="13">K51*O51</f>
        <v>0</v>
      </c>
      <c r="V51" s="1715"/>
      <c r="W51" s="1715"/>
      <c r="X51" s="1720"/>
      <c r="Y51" s="1725"/>
      <c r="Z51" s="1726"/>
      <c r="AA51" s="1727">
        <f t="shared" si="18">IF(Y51="",U51,Q51*Y51/100)</f>
        <v>0</v>
      </c>
      <c r="AB51" s="1728"/>
      <c r="AC51" s="1728"/>
      <c r="AD51" s="1729"/>
      <c r="AE51" s="1714">
        <f t="shared" si="19">IF(AA51=0,U51,IF(U51&gt;(VALUE(AA51)),VALUE(AA51),U51))</f>
        <v>0</v>
      </c>
      <c r="AF51" s="1715"/>
      <c r="AG51" s="1715"/>
      <c r="AH51" s="1716"/>
      <c r="AI51" s="722"/>
      <c r="AK51" s="303"/>
      <c r="AN51" s="303"/>
      <c r="AO51" s="303"/>
      <c r="AP51" s="303"/>
      <c r="AQ51" s="303"/>
    </row>
    <row r="52" spans="1:43">
      <c r="A52" s="305">
        <v>13</v>
      </c>
      <c r="B52" s="1708"/>
      <c r="C52" s="1709"/>
      <c r="D52" s="1710"/>
      <c r="E52" s="1706"/>
      <c r="F52" s="1707"/>
      <c r="G52" s="1711"/>
      <c r="H52" s="1712"/>
      <c r="I52" s="1712"/>
      <c r="J52" s="1713"/>
      <c r="K52" s="1711"/>
      <c r="L52" s="1712"/>
      <c r="M52" s="1712"/>
      <c r="N52" s="1713"/>
      <c r="O52" s="1711"/>
      <c r="P52" s="1713"/>
      <c r="Q52" s="1714">
        <f t="shared" si="12">G52*O52</f>
        <v>0</v>
      </c>
      <c r="R52" s="1715"/>
      <c r="S52" s="1715"/>
      <c r="T52" s="1720"/>
      <c r="U52" s="1714">
        <f t="shared" si="13">K52*O52</f>
        <v>0</v>
      </c>
      <c r="V52" s="1715"/>
      <c r="W52" s="1715"/>
      <c r="X52" s="1720"/>
      <c r="Y52" s="1725"/>
      <c r="Z52" s="1726"/>
      <c r="AA52" s="1727">
        <f t="shared" si="18">IF(Y52="",U52,Q52*Y52/100)</f>
        <v>0</v>
      </c>
      <c r="AB52" s="1728"/>
      <c r="AC52" s="1728"/>
      <c r="AD52" s="1729"/>
      <c r="AE52" s="1714">
        <f t="shared" si="19">IF(AA52=0,U52,IF(U52&gt;(VALUE(AA52)),VALUE(AA52),U52))</f>
        <v>0</v>
      </c>
      <c r="AF52" s="1715"/>
      <c r="AG52" s="1715"/>
      <c r="AH52" s="1716"/>
      <c r="AI52" s="722"/>
      <c r="AK52" s="303"/>
      <c r="AN52" s="303"/>
      <c r="AO52" s="303"/>
      <c r="AP52" s="303"/>
      <c r="AQ52" s="303"/>
    </row>
    <row r="53" spans="1:43">
      <c r="A53" s="306">
        <v>14</v>
      </c>
      <c r="B53" s="1708"/>
      <c r="C53" s="1709"/>
      <c r="D53" s="1710"/>
      <c r="E53" s="1706"/>
      <c r="F53" s="1707"/>
      <c r="G53" s="1711"/>
      <c r="H53" s="1712"/>
      <c r="I53" s="1712"/>
      <c r="J53" s="1713"/>
      <c r="K53" s="1711"/>
      <c r="L53" s="1712"/>
      <c r="M53" s="1712"/>
      <c r="N53" s="1713"/>
      <c r="O53" s="1711"/>
      <c r="P53" s="1713"/>
      <c r="Q53" s="1714">
        <f t="shared" si="12">G53*O53</f>
        <v>0</v>
      </c>
      <c r="R53" s="1715"/>
      <c r="S53" s="1715"/>
      <c r="T53" s="1720"/>
      <c r="U53" s="1714">
        <f t="shared" si="13">K53*O53</f>
        <v>0</v>
      </c>
      <c r="V53" s="1715"/>
      <c r="W53" s="1715"/>
      <c r="X53" s="1720"/>
      <c r="Y53" s="1725"/>
      <c r="Z53" s="1726"/>
      <c r="AA53" s="1727">
        <f t="shared" si="18">IF(Y53="",U53,Q53*Y53/100)</f>
        <v>0</v>
      </c>
      <c r="AB53" s="1728"/>
      <c r="AC53" s="1728"/>
      <c r="AD53" s="1729"/>
      <c r="AE53" s="1714">
        <f t="shared" si="19">IF(AA53=0,U53,IF(U53&gt;(VALUE(AA53)),VALUE(AA53),U53))</f>
        <v>0</v>
      </c>
      <c r="AF53" s="1715"/>
      <c r="AG53" s="1715"/>
      <c r="AH53" s="1716"/>
      <c r="AI53" s="722"/>
      <c r="AK53" s="303"/>
      <c r="AN53" s="303"/>
      <c r="AO53" s="303"/>
      <c r="AP53" s="303"/>
      <c r="AQ53" s="303"/>
    </row>
    <row r="54" spans="1:43">
      <c r="A54" s="305">
        <v>15</v>
      </c>
      <c r="B54" s="1708"/>
      <c r="C54" s="1709"/>
      <c r="D54" s="1710"/>
      <c r="E54" s="1706"/>
      <c r="F54" s="1707"/>
      <c r="G54" s="1711"/>
      <c r="H54" s="1712"/>
      <c r="I54" s="1712"/>
      <c r="J54" s="1713"/>
      <c r="K54" s="1711"/>
      <c r="L54" s="1712"/>
      <c r="M54" s="1712"/>
      <c r="N54" s="1713"/>
      <c r="O54" s="1711"/>
      <c r="P54" s="1713"/>
      <c r="Q54" s="1714">
        <f t="shared" si="12">G54*O54</f>
        <v>0</v>
      </c>
      <c r="R54" s="1715"/>
      <c r="S54" s="1715"/>
      <c r="T54" s="1720"/>
      <c r="U54" s="1714">
        <f t="shared" si="13">K54*O54</f>
        <v>0</v>
      </c>
      <c r="V54" s="1715"/>
      <c r="W54" s="1715"/>
      <c r="X54" s="1720"/>
      <c r="Y54" s="1725"/>
      <c r="Z54" s="1726"/>
      <c r="AA54" s="1727">
        <f t="shared" si="18">IF(Y54="",U54,Q54*Y54/100)</f>
        <v>0</v>
      </c>
      <c r="AB54" s="1728"/>
      <c r="AC54" s="1728"/>
      <c r="AD54" s="1729"/>
      <c r="AE54" s="1714">
        <f t="shared" si="19">IF(AA54=0,U54,IF(U54&gt;(VALUE(AA54)),VALUE(AA54),U54))</f>
        <v>0</v>
      </c>
      <c r="AF54" s="1715"/>
      <c r="AG54" s="1715"/>
      <c r="AH54" s="1716"/>
      <c r="AI54" s="722"/>
      <c r="AK54" s="303"/>
      <c r="AN54" s="303"/>
      <c r="AO54" s="303"/>
      <c r="AP54" s="303"/>
      <c r="AQ54" s="303"/>
    </row>
    <row r="55" spans="1:43">
      <c r="A55" s="307" t="s">
        <v>504</v>
      </c>
      <c r="B55" s="1703"/>
      <c r="C55" s="1704"/>
      <c r="D55" s="1705"/>
      <c r="E55" s="1706"/>
      <c r="F55" s="1707"/>
      <c r="G55" s="1706"/>
      <c r="H55" s="1902"/>
      <c r="I55" s="1902"/>
      <c r="J55" s="1707"/>
      <c r="K55" s="1711"/>
      <c r="L55" s="1712"/>
      <c r="M55" s="1712"/>
      <c r="N55" s="1713"/>
      <c r="O55" s="1711"/>
      <c r="P55" s="1713"/>
      <c r="Q55" s="1714">
        <f t="shared" si="12">G55*O55</f>
        <v>0</v>
      </c>
      <c r="R55" s="1715"/>
      <c r="S55" s="1715"/>
      <c r="T55" s="1720"/>
      <c r="U55" s="1714">
        <f t="shared" si="13">K55*O55</f>
        <v>0</v>
      </c>
      <c r="V55" s="1715"/>
      <c r="W55" s="1715"/>
      <c r="X55" s="1720"/>
      <c r="Y55" s="1725"/>
      <c r="Z55" s="1726"/>
      <c r="AA55" s="1727">
        <f t="shared" si="18">IF(Y55="",U55,Q55*Y55/100)</f>
        <v>0</v>
      </c>
      <c r="AB55" s="1728"/>
      <c r="AC55" s="1728"/>
      <c r="AD55" s="1729"/>
      <c r="AE55" s="1714">
        <f t="shared" si="19">IF(AA55=0,U55,IF(U55&gt;(VALUE(AA55)),VALUE(AA55),U55))</f>
        <v>0</v>
      </c>
      <c r="AF55" s="1715"/>
      <c r="AG55" s="1715"/>
      <c r="AH55" s="1716"/>
      <c r="AI55" s="722"/>
      <c r="AK55" s="303"/>
      <c r="AN55" s="303"/>
      <c r="AO55" s="303"/>
      <c r="AP55" s="303"/>
      <c r="AQ55" s="303"/>
    </row>
    <row r="56" spans="1:43" ht="13.5" customHeight="1" thickBot="1">
      <c r="A56" s="731"/>
      <c r="B56" s="732"/>
      <c r="C56" s="733"/>
      <c r="D56" s="734"/>
      <c r="E56" s="732"/>
      <c r="F56" s="734"/>
      <c r="G56" s="732"/>
      <c r="H56" s="733"/>
      <c r="I56" s="733"/>
      <c r="J56" s="734"/>
      <c r="K56" s="732"/>
      <c r="L56" s="733"/>
      <c r="M56" s="733"/>
      <c r="N56" s="734"/>
      <c r="O56" s="732"/>
      <c r="P56" s="734"/>
      <c r="Q56" s="736"/>
      <c r="R56" s="737"/>
      <c r="S56" s="737"/>
      <c r="T56" s="738"/>
      <c r="U56" s="736"/>
      <c r="V56" s="737"/>
      <c r="W56" s="737"/>
      <c r="X56" s="738"/>
      <c r="Y56" s="733"/>
      <c r="Z56" s="734"/>
      <c r="AA56" s="732"/>
      <c r="AB56" s="733"/>
      <c r="AC56" s="733"/>
      <c r="AD56" s="734"/>
      <c r="AE56" s="732"/>
      <c r="AF56" s="733"/>
      <c r="AG56" s="733"/>
      <c r="AH56" s="1250"/>
      <c r="AI56" s="722"/>
      <c r="AK56" s="303"/>
      <c r="AN56" s="303"/>
      <c r="AO56" s="303"/>
      <c r="AP56" s="303"/>
      <c r="AQ56" s="303"/>
    </row>
    <row r="57" spans="1:43" ht="13.5" customHeight="1" thickTop="1" thickBot="1">
      <c r="A57" s="722"/>
      <c r="B57" s="722"/>
      <c r="C57" s="722"/>
      <c r="D57" s="722"/>
      <c r="E57" s="722"/>
      <c r="F57" s="722"/>
      <c r="G57" s="722"/>
      <c r="H57" s="722"/>
      <c r="I57" s="722"/>
      <c r="J57" s="722"/>
      <c r="K57" s="722"/>
      <c r="L57" s="722"/>
      <c r="M57" s="722"/>
      <c r="N57" s="722"/>
      <c r="O57" s="722"/>
      <c r="P57" s="722"/>
      <c r="Q57" s="735"/>
      <c r="R57" s="735"/>
      <c r="S57" s="735"/>
      <c r="T57" s="735"/>
      <c r="U57" s="735"/>
      <c r="V57" s="735"/>
      <c r="W57" s="735"/>
      <c r="X57" s="735"/>
      <c r="Y57" s="722"/>
      <c r="Z57" s="722"/>
      <c r="AA57" s="722"/>
      <c r="AB57" s="722"/>
      <c r="AC57" s="722"/>
      <c r="AD57" s="722"/>
      <c r="AE57" s="722"/>
      <c r="AF57" s="722"/>
      <c r="AG57" s="722"/>
      <c r="AH57" s="722"/>
      <c r="AI57" s="722"/>
      <c r="AK57" s="303"/>
      <c r="AN57" s="303"/>
      <c r="AO57" s="303"/>
      <c r="AP57" s="303"/>
      <c r="AQ57" s="303"/>
    </row>
    <row r="58" spans="1:43" ht="14.25" customHeight="1" thickTop="1" thickBot="1">
      <c r="A58" s="722"/>
      <c r="B58" s="721" t="s">
        <v>347</v>
      </c>
      <c r="C58" s="722"/>
      <c r="D58" s="722"/>
      <c r="E58" s="722"/>
      <c r="F58" s="722"/>
      <c r="G58" s="1836">
        <f>+SUM(G45:J56)</f>
        <v>0</v>
      </c>
      <c r="H58" s="1837"/>
      <c r="I58" s="1837"/>
      <c r="J58" s="1838"/>
      <c r="K58" s="1836">
        <f>+SUM(K45:N56)</f>
        <v>0</v>
      </c>
      <c r="L58" s="1837"/>
      <c r="M58" s="1837"/>
      <c r="N58" s="1838"/>
      <c r="O58" s="735"/>
      <c r="P58" s="735"/>
      <c r="Q58" s="1736">
        <f>+SUM(Q45:T56)</f>
        <v>0</v>
      </c>
      <c r="R58" s="1737"/>
      <c r="S58" s="1737"/>
      <c r="T58" s="1738"/>
      <c r="U58" s="1736">
        <f>+SUM(U45:X56)</f>
        <v>0</v>
      </c>
      <c r="V58" s="1737"/>
      <c r="W58" s="1737"/>
      <c r="X58" s="1738"/>
      <c r="Y58" s="722"/>
      <c r="Z58" s="722"/>
      <c r="AA58" s="1733">
        <f>SUM(AA45:AD56)</f>
        <v>0</v>
      </c>
      <c r="AB58" s="1734"/>
      <c r="AC58" s="1734"/>
      <c r="AD58" s="1735"/>
      <c r="AE58" s="1736">
        <f>+SUM(AE45:AH56)</f>
        <v>0</v>
      </c>
      <c r="AF58" s="1737"/>
      <c r="AG58" s="1737"/>
      <c r="AH58" s="1738"/>
      <c r="AI58" s="722"/>
      <c r="AK58" s="303"/>
      <c r="AN58" s="303"/>
      <c r="AO58" s="303"/>
      <c r="AP58" s="303"/>
      <c r="AQ58" s="303"/>
    </row>
    <row r="59" spans="1:43" ht="13.5" collapsed="1" customHeight="1" thickTop="1">
      <c r="A59" s="722"/>
      <c r="B59" s="722"/>
      <c r="C59" s="722"/>
      <c r="D59" s="722"/>
      <c r="E59" s="722"/>
      <c r="F59" s="722"/>
      <c r="G59" s="722"/>
      <c r="H59" s="722"/>
      <c r="I59" s="722"/>
      <c r="J59" s="722"/>
      <c r="K59" s="722"/>
      <c r="L59" s="722"/>
      <c r="M59" s="722"/>
      <c r="N59" s="722"/>
      <c r="O59" s="722"/>
      <c r="P59" s="722"/>
      <c r="Q59" s="735"/>
      <c r="R59" s="735"/>
      <c r="S59" s="735"/>
      <c r="T59" s="735"/>
      <c r="U59" s="735"/>
      <c r="V59" s="735"/>
      <c r="W59" s="735"/>
      <c r="X59" s="735"/>
      <c r="Y59" s="722"/>
      <c r="Z59" s="722"/>
      <c r="AA59" s="722"/>
      <c r="AB59" s="722"/>
      <c r="AC59" s="722"/>
      <c r="AD59" s="722"/>
      <c r="AE59" s="722"/>
      <c r="AF59" s="722"/>
      <c r="AG59" s="722"/>
      <c r="AH59" s="722"/>
      <c r="AI59" s="722"/>
      <c r="AK59" s="303"/>
      <c r="AN59" s="303"/>
      <c r="AO59" s="303"/>
      <c r="AP59" s="303"/>
      <c r="AQ59" s="303"/>
    </row>
    <row r="60" spans="1:43" ht="13.5" customHeight="1">
      <c r="A60" s="722"/>
      <c r="B60" s="721" t="s">
        <v>311</v>
      </c>
      <c r="C60" s="721" t="s">
        <v>506</v>
      </c>
      <c r="D60" s="722"/>
      <c r="E60" s="722"/>
      <c r="F60" s="722"/>
      <c r="G60" s="722"/>
      <c r="H60" s="722"/>
      <c r="I60" s="722"/>
      <c r="J60" s="722"/>
      <c r="K60" s="722"/>
      <c r="L60" s="722"/>
      <c r="M60" s="722"/>
      <c r="N60" s="722"/>
      <c r="O60" s="722"/>
      <c r="P60" s="722"/>
      <c r="Q60" s="722"/>
      <c r="R60" s="722"/>
      <c r="S60" s="722"/>
      <c r="T60" s="722"/>
      <c r="U60" s="722"/>
      <c r="V60" s="722"/>
      <c r="W60" s="722"/>
      <c r="X60" s="722"/>
      <c r="Y60" s="722"/>
      <c r="Z60" s="722"/>
      <c r="AA60" s="722"/>
      <c r="AB60" s="722"/>
      <c r="AC60" s="722"/>
      <c r="AD60" s="722"/>
      <c r="AE60" s="722"/>
      <c r="AF60" s="722"/>
      <c r="AG60" s="722"/>
      <c r="AH60" s="722"/>
      <c r="AI60" s="722"/>
      <c r="AK60" s="303"/>
      <c r="AN60" s="303"/>
      <c r="AO60" s="303"/>
      <c r="AP60" s="303"/>
      <c r="AQ60" s="303"/>
    </row>
    <row r="61" spans="1:43" ht="13.5" customHeight="1" thickBot="1">
      <c r="A61" s="722"/>
      <c r="B61" s="722"/>
      <c r="C61" s="722"/>
      <c r="D61" s="722"/>
      <c r="E61" s="722"/>
      <c r="F61" s="722"/>
      <c r="G61" s="722"/>
      <c r="H61" s="722"/>
      <c r="I61" s="722"/>
      <c r="J61" s="722"/>
      <c r="K61" s="722"/>
      <c r="L61" s="722"/>
      <c r="M61" s="1865"/>
      <c r="N61" s="1865"/>
      <c r="O61" s="1865"/>
      <c r="P61" s="1865"/>
      <c r="Q61" s="1865"/>
      <c r="R61" s="1865"/>
      <c r="S61" s="1865"/>
      <c r="T61" s="1865"/>
      <c r="U61" s="1865"/>
      <c r="V61" s="1865"/>
      <c r="W61" s="1865"/>
      <c r="X61" s="1865"/>
      <c r="Y61" s="722"/>
      <c r="Z61" s="722"/>
      <c r="AA61" s="722"/>
      <c r="AB61" s="722"/>
      <c r="AC61" s="722"/>
      <c r="AD61" s="722"/>
      <c r="AE61" s="722"/>
      <c r="AF61" s="722"/>
      <c r="AG61" s="722"/>
      <c r="AH61" s="722"/>
      <c r="AI61" s="722"/>
      <c r="AK61" s="303"/>
      <c r="AN61" s="303"/>
      <c r="AO61" s="303"/>
      <c r="AP61" s="303"/>
      <c r="AQ61" s="303"/>
    </row>
    <row r="62" spans="1:43" ht="24" customHeight="1" thickTop="1" thickBot="1">
      <c r="A62" s="1988" t="s">
        <v>321</v>
      </c>
      <c r="B62" s="1796" t="s">
        <v>495</v>
      </c>
      <c r="C62" s="1958"/>
      <c r="D62" s="1959"/>
      <c r="E62" s="1796" t="s">
        <v>496</v>
      </c>
      <c r="F62" s="1745"/>
      <c r="G62" s="1989" t="s">
        <v>497</v>
      </c>
      <c r="H62" s="1955"/>
      <c r="I62" s="1955"/>
      <c r="J62" s="1955"/>
      <c r="K62" s="1955"/>
      <c r="L62" s="1955"/>
      <c r="M62" s="1955"/>
      <c r="N62" s="1956"/>
      <c r="O62" s="1796" t="s">
        <v>498</v>
      </c>
      <c r="P62" s="1745"/>
      <c r="Q62" s="1989" t="s">
        <v>499</v>
      </c>
      <c r="R62" s="1955"/>
      <c r="S62" s="1955"/>
      <c r="T62" s="1955"/>
      <c r="U62" s="1955"/>
      <c r="V62" s="1955"/>
      <c r="W62" s="1955"/>
      <c r="X62" s="1956"/>
      <c r="Y62" s="1790" t="s">
        <v>500</v>
      </c>
      <c r="Z62" s="1791"/>
      <c r="AA62" s="1790" t="s">
        <v>1310</v>
      </c>
      <c r="AB62" s="1794"/>
      <c r="AC62" s="1794"/>
      <c r="AD62" s="1791"/>
      <c r="AE62" s="1796" t="s">
        <v>501</v>
      </c>
      <c r="AF62" s="1740"/>
      <c r="AG62" s="1740"/>
      <c r="AH62" s="1741"/>
      <c r="AI62" s="722"/>
      <c r="AK62" s="303"/>
      <c r="AN62" s="303"/>
      <c r="AO62" s="303"/>
      <c r="AP62" s="303"/>
      <c r="AQ62" s="303"/>
    </row>
    <row r="63" spans="1:43" ht="30" customHeight="1" thickTop="1" thickBot="1">
      <c r="A63" s="1957"/>
      <c r="B63" s="1960"/>
      <c r="C63" s="1961"/>
      <c r="D63" s="1962"/>
      <c r="E63" s="1746"/>
      <c r="F63" s="1747"/>
      <c r="G63" s="1989" t="s">
        <v>502</v>
      </c>
      <c r="H63" s="1955"/>
      <c r="I63" s="1955"/>
      <c r="J63" s="1956"/>
      <c r="K63" s="1989" t="s">
        <v>503</v>
      </c>
      <c r="L63" s="1955"/>
      <c r="M63" s="1955"/>
      <c r="N63" s="1956"/>
      <c r="O63" s="1746"/>
      <c r="P63" s="1747"/>
      <c r="Q63" s="1989" t="s">
        <v>502</v>
      </c>
      <c r="R63" s="1955"/>
      <c r="S63" s="1955"/>
      <c r="T63" s="1956"/>
      <c r="U63" s="1989" t="s">
        <v>503</v>
      </c>
      <c r="V63" s="1955"/>
      <c r="W63" s="1955"/>
      <c r="X63" s="1956"/>
      <c r="Y63" s="1792"/>
      <c r="Z63" s="1793"/>
      <c r="AA63" s="1792"/>
      <c r="AB63" s="1795"/>
      <c r="AC63" s="1795"/>
      <c r="AD63" s="1793"/>
      <c r="AE63" s="1746"/>
      <c r="AF63" s="1784"/>
      <c r="AG63" s="1784"/>
      <c r="AH63" s="1797"/>
      <c r="AI63" s="722"/>
      <c r="AK63" s="303"/>
      <c r="AN63" s="303"/>
      <c r="AO63" s="303"/>
      <c r="AP63" s="303"/>
      <c r="AQ63" s="303"/>
    </row>
    <row r="64" spans="1:43" ht="13.5" customHeight="1" thickTop="1">
      <c r="A64" s="727"/>
      <c r="B64" s="728"/>
      <c r="C64" s="729"/>
      <c r="D64" s="730"/>
      <c r="E64" s="728"/>
      <c r="F64" s="730"/>
      <c r="G64" s="728"/>
      <c r="H64" s="729"/>
      <c r="I64" s="729"/>
      <c r="J64" s="730"/>
      <c r="K64" s="728"/>
      <c r="L64" s="729"/>
      <c r="M64" s="729"/>
      <c r="N64" s="730"/>
      <c r="O64" s="728"/>
      <c r="P64" s="730"/>
      <c r="Q64" s="728"/>
      <c r="R64" s="729"/>
      <c r="S64" s="729"/>
      <c r="T64" s="730"/>
      <c r="U64" s="728"/>
      <c r="V64" s="729"/>
      <c r="W64" s="729"/>
      <c r="X64" s="730"/>
      <c r="Y64" s="728"/>
      <c r="Z64" s="730"/>
      <c r="AA64" s="728"/>
      <c r="AB64" s="729"/>
      <c r="AC64" s="729"/>
      <c r="AD64" s="730"/>
      <c r="AE64" s="728"/>
      <c r="AF64" s="729"/>
      <c r="AG64" s="729"/>
      <c r="AH64" s="1249"/>
      <c r="AI64" s="722"/>
      <c r="AK64" s="303"/>
      <c r="AN64" s="303"/>
      <c r="AO64" s="303"/>
      <c r="AP64" s="303"/>
      <c r="AQ64" s="303"/>
    </row>
    <row r="65" spans="1:43">
      <c r="A65" s="305">
        <v>1</v>
      </c>
      <c r="B65" s="1708"/>
      <c r="C65" s="1709"/>
      <c r="D65" s="1710"/>
      <c r="E65" s="1706"/>
      <c r="F65" s="1707"/>
      <c r="G65" s="1711"/>
      <c r="H65" s="1712"/>
      <c r="I65" s="1712"/>
      <c r="J65" s="1713"/>
      <c r="K65" s="1711"/>
      <c r="L65" s="1712"/>
      <c r="M65" s="1712"/>
      <c r="N65" s="1713"/>
      <c r="O65" s="1711"/>
      <c r="P65" s="1713"/>
      <c r="Q65" s="1714">
        <f t="shared" si="20" ref="Q65">G65*O65</f>
        <v>0</v>
      </c>
      <c r="R65" s="1715"/>
      <c r="S65" s="1715"/>
      <c r="T65" s="1720"/>
      <c r="U65" s="1714">
        <f t="shared" si="21" ref="U65">K65*O65</f>
        <v>0</v>
      </c>
      <c r="V65" s="1715"/>
      <c r="W65" s="1715"/>
      <c r="X65" s="1720"/>
      <c r="Y65" s="1725"/>
      <c r="Z65" s="1726"/>
      <c r="AA65" s="1727">
        <f>IF(Y65="",U65,Q65*Y65/100)</f>
        <v>0</v>
      </c>
      <c r="AB65" s="1728"/>
      <c r="AC65" s="1728"/>
      <c r="AD65" s="1729"/>
      <c r="AE65" s="1730">
        <f t="shared" si="22" ref="AE65:AE80">IF(AA65=0,U65,IF(U65&gt;(VALUE(AA65)),VALUE(AA65),U65))</f>
        <v>0</v>
      </c>
      <c r="AF65" s="1731"/>
      <c r="AG65" s="1731"/>
      <c r="AH65" s="1732"/>
      <c r="AI65" s="722"/>
      <c r="AK65" s="303"/>
      <c r="AN65" s="303"/>
      <c r="AO65" s="303"/>
      <c r="AP65" s="303"/>
      <c r="AQ65" s="303"/>
    </row>
    <row r="66" spans="1:43">
      <c r="A66" s="306">
        <v>2</v>
      </c>
      <c r="B66" s="1708"/>
      <c r="C66" s="1709"/>
      <c r="D66" s="1710"/>
      <c r="E66" s="1706"/>
      <c r="F66" s="1707"/>
      <c r="G66" s="1711"/>
      <c r="H66" s="1712"/>
      <c r="I66" s="1712"/>
      <c r="J66" s="1713"/>
      <c r="K66" s="1711"/>
      <c r="L66" s="1712"/>
      <c r="M66" s="1712"/>
      <c r="N66" s="1713"/>
      <c r="O66" s="1711"/>
      <c r="P66" s="1713"/>
      <c r="Q66" s="1714">
        <f t="shared" si="23" ref="Q66:Q80">G66*O66</f>
        <v>0</v>
      </c>
      <c r="R66" s="1715"/>
      <c r="S66" s="1715"/>
      <c r="T66" s="1720"/>
      <c r="U66" s="1714">
        <f t="shared" si="24" ref="U66:U80">K66*O66</f>
        <v>0</v>
      </c>
      <c r="V66" s="1715"/>
      <c r="W66" s="1715"/>
      <c r="X66" s="1720"/>
      <c r="Y66" s="1725"/>
      <c r="Z66" s="1726"/>
      <c r="AA66" s="1727">
        <f>IF(Y66="",U66,Q66*Y66/100)</f>
        <v>0</v>
      </c>
      <c r="AB66" s="1728"/>
      <c r="AC66" s="1728"/>
      <c r="AD66" s="1729"/>
      <c r="AE66" s="1730">
        <f t="shared" si="22">IF(AA66=0,U66,IF(U66&gt;(VALUE(AA66)),VALUE(AA66),U66))</f>
        <v>0</v>
      </c>
      <c r="AF66" s="1731"/>
      <c r="AG66" s="1731"/>
      <c r="AH66" s="1732"/>
      <c r="AI66" s="722"/>
      <c r="AK66" s="303"/>
      <c r="AN66" s="303"/>
      <c r="AO66" s="303"/>
      <c r="AP66" s="303"/>
      <c r="AQ66" s="303"/>
    </row>
    <row r="67" spans="1:43">
      <c r="A67" s="305">
        <v>3</v>
      </c>
      <c r="B67" s="1708"/>
      <c r="C67" s="1709"/>
      <c r="D67" s="1710"/>
      <c r="E67" s="1706"/>
      <c r="F67" s="1707"/>
      <c r="G67" s="1711"/>
      <c r="H67" s="1712"/>
      <c r="I67" s="1712"/>
      <c r="J67" s="1713"/>
      <c r="K67" s="1711"/>
      <c r="L67" s="1712"/>
      <c r="M67" s="1712"/>
      <c r="N67" s="1713"/>
      <c r="O67" s="1711"/>
      <c r="P67" s="1713"/>
      <c r="Q67" s="1714">
        <f t="shared" si="23">G67*O67</f>
        <v>0</v>
      </c>
      <c r="R67" s="1715"/>
      <c r="S67" s="1715"/>
      <c r="T67" s="1720"/>
      <c r="U67" s="1714">
        <f t="shared" si="24">K67*O67</f>
        <v>0</v>
      </c>
      <c r="V67" s="1715"/>
      <c r="W67" s="1715"/>
      <c r="X67" s="1720"/>
      <c r="Y67" s="1725"/>
      <c r="Z67" s="1726"/>
      <c r="AA67" s="1727">
        <f t="shared" si="25" ref="AA67:AA80">IF(Y67="",U67,Q67*Y67/100)</f>
        <v>0</v>
      </c>
      <c r="AB67" s="1728"/>
      <c r="AC67" s="1728"/>
      <c r="AD67" s="1729"/>
      <c r="AE67" s="1730">
        <f t="shared" si="22">IF(AA67=0,U67,IF(U67&gt;(VALUE(AA67)),VALUE(AA67),U67))</f>
        <v>0</v>
      </c>
      <c r="AF67" s="1731"/>
      <c r="AG67" s="1731"/>
      <c r="AH67" s="1732"/>
      <c r="AI67" s="722"/>
      <c r="AK67" s="303"/>
      <c r="AN67" s="303"/>
      <c r="AO67" s="303"/>
      <c r="AP67" s="303"/>
      <c r="AQ67" s="303"/>
    </row>
    <row r="68" spans="1:43">
      <c r="A68" s="306">
        <v>4</v>
      </c>
      <c r="B68" s="1708"/>
      <c r="C68" s="1709"/>
      <c r="D68" s="1710"/>
      <c r="E68" s="1706"/>
      <c r="F68" s="1707"/>
      <c r="G68" s="1711"/>
      <c r="H68" s="1712"/>
      <c r="I68" s="1712"/>
      <c r="J68" s="1713"/>
      <c r="K68" s="1711"/>
      <c r="L68" s="1712"/>
      <c r="M68" s="1712"/>
      <c r="N68" s="1713"/>
      <c r="O68" s="1711"/>
      <c r="P68" s="1713"/>
      <c r="Q68" s="1714">
        <f t="shared" si="23">G68*O68</f>
        <v>0</v>
      </c>
      <c r="R68" s="1715"/>
      <c r="S68" s="1715"/>
      <c r="T68" s="1720"/>
      <c r="U68" s="1714">
        <f t="shared" si="24">K68*O68</f>
        <v>0</v>
      </c>
      <c r="V68" s="1715"/>
      <c r="W68" s="1715"/>
      <c r="X68" s="1720"/>
      <c r="Y68" s="1725"/>
      <c r="Z68" s="1726"/>
      <c r="AA68" s="1727">
        <f t="shared" si="25">IF(Y68="",U68,Q68*Y68/100)</f>
        <v>0</v>
      </c>
      <c r="AB68" s="1728"/>
      <c r="AC68" s="1728"/>
      <c r="AD68" s="1729"/>
      <c r="AE68" s="1730">
        <f t="shared" si="22">IF(AA68=0,U68,IF(U68&gt;(VALUE(AA68)),VALUE(AA68),U68))</f>
        <v>0</v>
      </c>
      <c r="AF68" s="1731"/>
      <c r="AG68" s="1731"/>
      <c r="AH68" s="1732"/>
      <c r="AI68" s="722"/>
      <c r="AK68" s="303"/>
      <c r="AN68" s="303"/>
      <c r="AO68" s="303"/>
      <c r="AP68" s="303"/>
      <c r="AQ68" s="303"/>
    </row>
    <row r="69" spans="1:43">
      <c r="A69" s="305">
        <v>5</v>
      </c>
      <c r="B69" s="1708"/>
      <c r="C69" s="1709"/>
      <c r="D69" s="1710"/>
      <c r="E69" s="1706"/>
      <c r="F69" s="1707"/>
      <c r="G69" s="1711"/>
      <c r="H69" s="1712"/>
      <c r="I69" s="1712"/>
      <c r="J69" s="1713"/>
      <c r="K69" s="1711"/>
      <c r="L69" s="1712"/>
      <c r="M69" s="1712"/>
      <c r="N69" s="1713"/>
      <c r="O69" s="1711"/>
      <c r="P69" s="1713"/>
      <c r="Q69" s="1714">
        <f t="shared" si="23">G69*O69</f>
        <v>0</v>
      </c>
      <c r="R69" s="1715"/>
      <c r="S69" s="1715"/>
      <c r="T69" s="1720"/>
      <c r="U69" s="1714">
        <f t="shared" si="24">K69*O69</f>
        <v>0</v>
      </c>
      <c r="V69" s="1715"/>
      <c r="W69" s="1715"/>
      <c r="X69" s="1720"/>
      <c r="Y69" s="1725"/>
      <c r="Z69" s="1726"/>
      <c r="AA69" s="1727">
        <f t="shared" si="25">IF(Y69="",U69,Q69*Y69/100)</f>
        <v>0</v>
      </c>
      <c r="AB69" s="1728"/>
      <c r="AC69" s="1728"/>
      <c r="AD69" s="1729"/>
      <c r="AE69" s="1730">
        <f t="shared" si="22">IF(AA69=0,U69,IF(U69&gt;(VALUE(AA69)),VALUE(AA69),U69))</f>
        <v>0</v>
      </c>
      <c r="AF69" s="1731"/>
      <c r="AG69" s="1731"/>
      <c r="AH69" s="1732"/>
      <c r="AI69" s="722"/>
      <c r="AK69" s="303"/>
      <c r="AN69" s="303"/>
      <c r="AO69" s="303"/>
      <c r="AP69" s="303"/>
      <c r="AQ69" s="303"/>
    </row>
    <row r="70" spans="1:43">
      <c r="A70" s="306">
        <v>6</v>
      </c>
      <c r="B70" s="1708"/>
      <c r="C70" s="1709"/>
      <c r="D70" s="1710"/>
      <c r="E70" s="1706"/>
      <c r="F70" s="1707"/>
      <c r="G70" s="1711"/>
      <c r="H70" s="1712"/>
      <c r="I70" s="1712"/>
      <c r="J70" s="1713"/>
      <c r="K70" s="1711"/>
      <c r="L70" s="1712"/>
      <c r="M70" s="1712"/>
      <c r="N70" s="1713"/>
      <c r="O70" s="1711"/>
      <c r="P70" s="1713"/>
      <c r="Q70" s="1714">
        <f t="shared" si="23">G70*O70</f>
        <v>0</v>
      </c>
      <c r="R70" s="1715"/>
      <c r="S70" s="1715"/>
      <c r="T70" s="1720"/>
      <c r="U70" s="1714">
        <f t="shared" si="24">K70*O70</f>
        <v>0</v>
      </c>
      <c r="V70" s="1715"/>
      <c r="W70" s="1715"/>
      <c r="X70" s="1720"/>
      <c r="Y70" s="1725"/>
      <c r="Z70" s="1726"/>
      <c r="AA70" s="1727">
        <f t="shared" si="25">IF(Y70="",U70,Q70*Y70/100)</f>
        <v>0</v>
      </c>
      <c r="AB70" s="1728"/>
      <c r="AC70" s="1728"/>
      <c r="AD70" s="1729"/>
      <c r="AE70" s="1730">
        <f t="shared" si="22">IF(AA70=0,U70,IF(U70&gt;(VALUE(AA70)),VALUE(AA70),U70))</f>
        <v>0</v>
      </c>
      <c r="AF70" s="1731"/>
      <c r="AG70" s="1731"/>
      <c r="AH70" s="1732"/>
      <c r="AI70" s="722"/>
      <c r="AK70" s="303"/>
      <c r="AN70" s="303"/>
      <c r="AO70" s="303"/>
      <c r="AP70" s="303"/>
      <c r="AQ70" s="303"/>
    </row>
    <row r="71" spans="1:43">
      <c r="A71" s="305">
        <v>7</v>
      </c>
      <c r="B71" s="1708"/>
      <c r="C71" s="1709"/>
      <c r="D71" s="1710"/>
      <c r="E71" s="1706"/>
      <c r="F71" s="1707"/>
      <c r="G71" s="1711"/>
      <c r="H71" s="1712"/>
      <c r="I71" s="1712"/>
      <c r="J71" s="1713"/>
      <c r="K71" s="1711"/>
      <c r="L71" s="1712"/>
      <c r="M71" s="1712"/>
      <c r="N71" s="1713"/>
      <c r="O71" s="1711"/>
      <c r="P71" s="1713"/>
      <c r="Q71" s="1714">
        <f t="shared" si="23">G71*O71</f>
        <v>0</v>
      </c>
      <c r="R71" s="1715"/>
      <c r="S71" s="1715"/>
      <c r="T71" s="1720"/>
      <c r="U71" s="1714">
        <f t="shared" si="24">K71*O71</f>
        <v>0</v>
      </c>
      <c r="V71" s="1715"/>
      <c r="W71" s="1715"/>
      <c r="X71" s="1720"/>
      <c r="Y71" s="1725"/>
      <c r="Z71" s="1726"/>
      <c r="AA71" s="1727">
        <f t="shared" si="25">IF(Y71="",U71,Q71*Y71/100)</f>
        <v>0</v>
      </c>
      <c r="AB71" s="1728"/>
      <c r="AC71" s="1728"/>
      <c r="AD71" s="1729"/>
      <c r="AE71" s="1730">
        <f t="shared" si="22">IF(AA71=0,U71,IF(U71&gt;(VALUE(AA71)),VALUE(AA71),U71))</f>
        <v>0</v>
      </c>
      <c r="AF71" s="1731"/>
      <c r="AG71" s="1731"/>
      <c r="AH71" s="1732"/>
      <c r="AI71" s="722"/>
      <c r="AK71" s="303"/>
      <c r="AN71" s="303"/>
      <c r="AO71" s="303"/>
      <c r="AP71" s="303"/>
      <c r="AQ71" s="303"/>
    </row>
    <row r="72" spans="1:43">
      <c r="A72" s="306">
        <v>8</v>
      </c>
      <c r="B72" s="1708"/>
      <c r="C72" s="1709"/>
      <c r="D72" s="1710"/>
      <c r="E72" s="1706"/>
      <c r="F72" s="1707"/>
      <c r="G72" s="1711"/>
      <c r="H72" s="1712"/>
      <c r="I72" s="1712"/>
      <c r="J72" s="1713"/>
      <c r="K72" s="1711"/>
      <c r="L72" s="1712"/>
      <c r="M72" s="1712"/>
      <c r="N72" s="1713"/>
      <c r="O72" s="1711"/>
      <c r="P72" s="1713"/>
      <c r="Q72" s="1714">
        <f t="shared" si="23">G72*O72</f>
        <v>0</v>
      </c>
      <c r="R72" s="1715"/>
      <c r="S72" s="1715"/>
      <c r="T72" s="1720"/>
      <c r="U72" s="1714">
        <f t="shared" si="24">K72*O72</f>
        <v>0</v>
      </c>
      <c r="V72" s="1715"/>
      <c r="W72" s="1715"/>
      <c r="X72" s="1720"/>
      <c r="Y72" s="1725"/>
      <c r="Z72" s="1726"/>
      <c r="AA72" s="1727">
        <f t="shared" si="25">IF(Y72="",U72,Q72*Y72/100)</f>
        <v>0</v>
      </c>
      <c r="AB72" s="1728"/>
      <c r="AC72" s="1728"/>
      <c r="AD72" s="1729"/>
      <c r="AE72" s="1730">
        <f t="shared" si="22">IF(AA72=0,U72,IF(U72&gt;(VALUE(AA72)),VALUE(AA72),U72))</f>
        <v>0</v>
      </c>
      <c r="AF72" s="1731"/>
      <c r="AG72" s="1731"/>
      <c r="AH72" s="1732"/>
      <c r="AI72" s="722"/>
      <c r="AK72" s="303"/>
      <c r="AN72" s="303"/>
      <c r="AO72" s="303"/>
      <c r="AP72" s="303"/>
      <c r="AQ72" s="303"/>
    </row>
    <row r="73" spans="1:43">
      <c r="A73" s="305">
        <v>9</v>
      </c>
      <c r="B73" s="1708"/>
      <c r="C73" s="1709"/>
      <c r="D73" s="1710"/>
      <c r="E73" s="1706"/>
      <c r="F73" s="1707"/>
      <c r="G73" s="1711"/>
      <c r="H73" s="1712"/>
      <c r="I73" s="1712"/>
      <c r="J73" s="1713"/>
      <c r="K73" s="1711"/>
      <c r="L73" s="1712"/>
      <c r="M73" s="1712"/>
      <c r="N73" s="1713"/>
      <c r="O73" s="1711"/>
      <c r="P73" s="1713"/>
      <c r="Q73" s="1714">
        <f t="shared" si="23">G73*O73</f>
        <v>0</v>
      </c>
      <c r="R73" s="1715"/>
      <c r="S73" s="1715"/>
      <c r="T73" s="1720"/>
      <c r="U73" s="1714">
        <f t="shared" si="24">K73*O73</f>
        <v>0</v>
      </c>
      <c r="V73" s="1715"/>
      <c r="W73" s="1715"/>
      <c r="X73" s="1720"/>
      <c r="Y73" s="1725"/>
      <c r="Z73" s="1726"/>
      <c r="AA73" s="1727">
        <f t="shared" si="25">IF(Y73="",U73,Q73*Y73/100)</f>
        <v>0</v>
      </c>
      <c r="AB73" s="1728"/>
      <c r="AC73" s="1728"/>
      <c r="AD73" s="1729"/>
      <c r="AE73" s="1730">
        <f t="shared" si="22">IF(AA73=0,U73,IF(U73&gt;(VALUE(AA73)),VALUE(AA73),U73))</f>
        <v>0</v>
      </c>
      <c r="AF73" s="1731"/>
      <c r="AG73" s="1731"/>
      <c r="AH73" s="1732"/>
      <c r="AI73" s="722"/>
      <c r="AK73" s="303"/>
      <c r="AN73" s="303"/>
      <c r="AO73" s="303"/>
      <c r="AP73" s="303"/>
      <c r="AQ73" s="303"/>
    </row>
    <row r="74" spans="1:43">
      <c r="A74" s="306">
        <v>10</v>
      </c>
      <c r="B74" s="1708"/>
      <c r="C74" s="1709"/>
      <c r="D74" s="1710"/>
      <c r="E74" s="1706"/>
      <c r="F74" s="1707"/>
      <c r="G74" s="1711"/>
      <c r="H74" s="1712"/>
      <c r="I74" s="1712"/>
      <c r="J74" s="1713"/>
      <c r="K74" s="1711"/>
      <c r="L74" s="1712"/>
      <c r="M74" s="1712"/>
      <c r="N74" s="1713"/>
      <c r="O74" s="1711"/>
      <c r="P74" s="1713"/>
      <c r="Q74" s="1714">
        <f t="shared" si="23">G74*O74</f>
        <v>0</v>
      </c>
      <c r="R74" s="1715"/>
      <c r="S74" s="1715"/>
      <c r="T74" s="1720"/>
      <c r="U74" s="1714">
        <f t="shared" si="24">K74*O74</f>
        <v>0</v>
      </c>
      <c r="V74" s="1715"/>
      <c r="W74" s="1715"/>
      <c r="X74" s="1720"/>
      <c r="Y74" s="1725"/>
      <c r="Z74" s="1726"/>
      <c r="AA74" s="1727">
        <f t="shared" si="25">IF(Y74="",U74,Q74*Y74/100)</f>
        <v>0</v>
      </c>
      <c r="AB74" s="1728"/>
      <c r="AC74" s="1728"/>
      <c r="AD74" s="1729"/>
      <c r="AE74" s="1730">
        <f t="shared" si="22">IF(AA74=0,U74,IF(U74&gt;(VALUE(AA74)),VALUE(AA74),U74))</f>
        <v>0</v>
      </c>
      <c r="AF74" s="1731"/>
      <c r="AG74" s="1731"/>
      <c r="AH74" s="1732"/>
      <c r="AI74" s="722"/>
      <c r="AK74" s="303"/>
      <c r="AN74" s="303"/>
      <c r="AO74" s="303"/>
      <c r="AP74" s="303"/>
      <c r="AQ74" s="303"/>
    </row>
    <row r="75" spans="1:43">
      <c r="A75" s="305">
        <v>11</v>
      </c>
      <c r="B75" s="1708"/>
      <c r="C75" s="1709"/>
      <c r="D75" s="1710"/>
      <c r="E75" s="1706"/>
      <c r="F75" s="1707"/>
      <c r="G75" s="1711"/>
      <c r="H75" s="1712"/>
      <c r="I75" s="1712"/>
      <c r="J75" s="1713"/>
      <c r="K75" s="1711"/>
      <c r="L75" s="1712"/>
      <c r="M75" s="1712"/>
      <c r="N75" s="1713"/>
      <c r="O75" s="1711"/>
      <c r="P75" s="1713"/>
      <c r="Q75" s="1714">
        <f t="shared" si="23">G75*O75</f>
        <v>0</v>
      </c>
      <c r="R75" s="1715"/>
      <c r="S75" s="1715"/>
      <c r="T75" s="1720"/>
      <c r="U75" s="1714">
        <f t="shared" si="24">K75*O75</f>
        <v>0</v>
      </c>
      <c r="V75" s="1715"/>
      <c r="W75" s="1715"/>
      <c r="X75" s="1720"/>
      <c r="Y75" s="1725"/>
      <c r="Z75" s="1726"/>
      <c r="AA75" s="1727">
        <f t="shared" si="25">IF(Y75="",U75,Q75*Y75/100)</f>
        <v>0</v>
      </c>
      <c r="AB75" s="1728"/>
      <c r="AC75" s="1728"/>
      <c r="AD75" s="1729"/>
      <c r="AE75" s="1730">
        <f t="shared" si="22">IF(AA75=0,U75,IF(U75&gt;(VALUE(AA75)),VALUE(AA75),U75))</f>
        <v>0</v>
      </c>
      <c r="AF75" s="1731"/>
      <c r="AG75" s="1731"/>
      <c r="AH75" s="1732"/>
      <c r="AI75" s="722"/>
      <c r="AK75" s="303"/>
      <c r="AN75" s="303"/>
      <c r="AO75" s="303"/>
      <c r="AP75" s="303"/>
      <c r="AQ75" s="303"/>
    </row>
    <row r="76" spans="1:43">
      <c r="A76" s="306">
        <v>12</v>
      </c>
      <c r="B76" s="1708"/>
      <c r="C76" s="1709"/>
      <c r="D76" s="1710"/>
      <c r="E76" s="1706"/>
      <c r="F76" s="1707"/>
      <c r="G76" s="1711"/>
      <c r="H76" s="1712"/>
      <c r="I76" s="1712"/>
      <c r="J76" s="1713"/>
      <c r="K76" s="1711"/>
      <c r="L76" s="1712"/>
      <c r="M76" s="1712"/>
      <c r="N76" s="1713"/>
      <c r="O76" s="1711"/>
      <c r="P76" s="1713"/>
      <c r="Q76" s="1714">
        <f t="shared" si="23">G76*O76</f>
        <v>0</v>
      </c>
      <c r="R76" s="1715"/>
      <c r="S76" s="1715"/>
      <c r="T76" s="1720"/>
      <c r="U76" s="1714">
        <f t="shared" si="24">K76*O76</f>
        <v>0</v>
      </c>
      <c r="V76" s="1715"/>
      <c r="W76" s="1715"/>
      <c r="X76" s="1720"/>
      <c r="Y76" s="1725"/>
      <c r="Z76" s="1726"/>
      <c r="AA76" s="1727">
        <f t="shared" si="25">IF(Y76="",U76,Q76*Y76/100)</f>
        <v>0</v>
      </c>
      <c r="AB76" s="1728"/>
      <c r="AC76" s="1728"/>
      <c r="AD76" s="1729"/>
      <c r="AE76" s="1730">
        <f t="shared" si="22">IF(AA76=0,U76,IF(U76&gt;(VALUE(AA76)),VALUE(AA76),U76))</f>
        <v>0</v>
      </c>
      <c r="AF76" s="1731"/>
      <c r="AG76" s="1731"/>
      <c r="AH76" s="1732"/>
      <c r="AI76" s="722"/>
      <c r="AK76" s="303"/>
      <c r="AN76" s="303"/>
      <c r="AO76" s="303"/>
      <c r="AP76" s="303"/>
      <c r="AQ76" s="303"/>
    </row>
    <row r="77" spans="1:43">
      <c r="A77" s="305">
        <v>13</v>
      </c>
      <c r="B77" s="1708"/>
      <c r="C77" s="1709"/>
      <c r="D77" s="1710"/>
      <c r="E77" s="1706"/>
      <c r="F77" s="1707"/>
      <c r="G77" s="1711"/>
      <c r="H77" s="1712"/>
      <c r="I77" s="1712"/>
      <c r="J77" s="1713"/>
      <c r="K77" s="1711"/>
      <c r="L77" s="1712"/>
      <c r="M77" s="1712"/>
      <c r="N77" s="1713"/>
      <c r="O77" s="1711"/>
      <c r="P77" s="1713"/>
      <c r="Q77" s="1714">
        <f t="shared" si="23">G77*O77</f>
        <v>0</v>
      </c>
      <c r="R77" s="1715"/>
      <c r="S77" s="1715"/>
      <c r="T77" s="1720"/>
      <c r="U77" s="1714">
        <f t="shared" si="24">K77*O77</f>
        <v>0</v>
      </c>
      <c r="V77" s="1715"/>
      <c r="W77" s="1715"/>
      <c r="X77" s="1720"/>
      <c r="Y77" s="1725"/>
      <c r="Z77" s="1726"/>
      <c r="AA77" s="1727">
        <f t="shared" si="25">IF(Y77="",U77,Q77*Y77/100)</f>
        <v>0</v>
      </c>
      <c r="AB77" s="1728"/>
      <c r="AC77" s="1728"/>
      <c r="AD77" s="1729"/>
      <c r="AE77" s="1730">
        <f t="shared" si="22">IF(AA77=0,U77,IF(U77&gt;(VALUE(AA77)),VALUE(AA77),U77))</f>
        <v>0</v>
      </c>
      <c r="AF77" s="1731"/>
      <c r="AG77" s="1731"/>
      <c r="AH77" s="1732"/>
      <c r="AI77" s="722"/>
      <c r="AK77" s="303"/>
      <c r="AN77" s="303"/>
      <c r="AO77" s="303"/>
      <c r="AP77" s="303"/>
      <c r="AQ77" s="303"/>
    </row>
    <row r="78" spans="1:43">
      <c r="A78" s="306">
        <v>14</v>
      </c>
      <c r="B78" s="1708"/>
      <c r="C78" s="1709"/>
      <c r="D78" s="1710"/>
      <c r="E78" s="1706"/>
      <c r="F78" s="1707"/>
      <c r="G78" s="1711"/>
      <c r="H78" s="1712"/>
      <c r="I78" s="1712"/>
      <c r="J78" s="1713"/>
      <c r="K78" s="1711"/>
      <c r="L78" s="1712"/>
      <c r="M78" s="1712"/>
      <c r="N78" s="1713"/>
      <c r="O78" s="1711"/>
      <c r="P78" s="1713"/>
      <c r="Q78" s="1714">
        <f t="shared" si="26" ref="Q78">G78*O78</f>
        <v>0</v>
      </c>
      <c r="R78" s="1715"/>
      <c r="S78" s="1715"/>
      <c r="T78" s="1720"/>
      <c r="U78" s="1714">
        <f t="shared" si="27" ref="U78">K78*O78</f>
        <v>0</v>
      </c>
      <c r="V78" s="1715"/>
      <c r="W78" s="1715"/>
      <c r="X78" s="1720"/>
      <c r="Y78" s="1725"/>
      <c r="Z78" s="1726"/>
      <c r="AA78" s="1727">
        <f t="shared" si="28" ref="AA78">IF(Y78="",U78,Q78*Y78/100)</f>
        <v>0</v>
      </c>
      <c r="AB78" s="1728"/>
      <c r="AC78" s="1728"/>
      <c r="AD78" s="1729"/>
      <c r="AE78" s="1730">
        <f t="shared" si="29" ref="AE78">IF(AA78=0,U78,IF(U78&gt;(VALUE(AA78)),VALUE(AA78),U78))</f>
        <v>0</v>
      </c>
      <c r="AF78" s="1731"/>
      <c r="AG78" s="1731"/>
      <c r="AH78" s="1732"/>
      <c r="AI78" s="722"/>
      <c r="AK78" s="303"/>
      <c r="AN78" s="303"/>
      <c r="AO78" s="303"/>
      <c r="AP78" s="303"/>
      <c r="AQ78" s="303"/>
    </row>
    <row r="79" spans="1:43">
      <c r="A79" s="305">
        <v>15</v>
      </c>
      <c r="B79" s="1708"/>
      <c r="C79" s="1709"/>
      <c r="D79" s="1710"/>
      <c r="E79" s="1706"/>
      <c r="F79" s="1707"/>
      <c r="G79" s="1711"/>
      <c r="H79" s="1712"/>
      <c r="I79" s="1712"/>
      <c r="J79" s="1713"/>
      <c r="K79" s="1711"/>
      <c r="L79" s="1712"/>
      <c r="M79" s="1712"/>
      <c r="N79" s="1713"/>
      <c r="O79" s="1711"/>
      <c r="P79" s="1713"/>
      <c r="Q79" s="1714">
        <f t="shared" si="23">G79*O79</f>
        <v>0</v>
      </c>
      <c r="R79" s="1715"/>
      <c r="S79" s="1715"/>
      <c r="T79" s="1720"/>
      <c r="U79" s="1714">
        <f t="shared" si="24">K79*O79</f>
        <v>0</v>
      </c>
      <c r="V79" s="1715"/>
      <c r="W79" s="1715"/>
      <c r="X79" s="1720"/>
      <c r="Y79" s="1725"/>
      <c r="Z79" s="1726"/>
      <c r="AA79" s="1727">
        <f t="shared" si="25">IF(Y79="",U79,Q79*Y79/100)</f>
        <v>0</v>
      </c>
      <c r="AB79" s="1728"/>
      <c r="AC79" s="1728"/>
      <c r="AD79" s="1729"/>
      <c r="AE79" s="1730">
        <f t="shared" si="22">IF(AA79=0,U79,IF(U79&gt;(VALUE(AA79)),VALUE(AA79),U79))</f>
        <v>0</v>
      </c>
      <c r="AF79" s="1731"/>
      <c r="AG79" s="1731"/>
      <c r="AH79" s="1732"/>
      <c r="AI79" s="722"/>
      <c r="AK79" s="303"/>
      <c r="AN79" s="303"/>
      <c r="AO79" s="303"/>
      <c r="AP79" s="303"/>
      <c r="AQ79" s="303"/>
    </row>
    <row r="80" spans="1:43">
      <c r="A80" s="307" t="s">
        <v>504</v>
      </c>
      <c r="B80" s="1703"/>
      <c r="C80" s="1704"/>
      <c r="D80" s="1705"/>
      <c r="E80" s="1706"/>
      <c r="F80" s="1707"/>
      <c r="G80" s="1706"/>
      <c r="H80" s="1902"/>
      <c r="I80" s="1902"/>
      <c r="J80" s="1707"/>
      <c r="K80" s="1711"/>
      <c r="L80" s="1712"/>
      <c r="M80" s="1712"/>
      <c r="N80" s="1713"/>
      <c r="O80" s="1711"/>
      <c r="P80" s="1713"/>
      <c r="Q80" s="1714">
        <f t="shared" si="23">G80*O80</f>
        <v>0</v>
      </c>
      <c r="R80" s="1715"/>
      <c r="S80" s="1715"/>
      <c r="T80" s="1720"/>
      <c r="U80" s="1714">
        <f t="shared" si="24">K80*O80</f>
        <v>0</v>
      </c>
      <c r="V80" s="1715"/>
      <c r="W80" s="1715"/>
      <c r="X80" s="1720"/>
      <c r="Y80" s="1725"/>
      <c r="Z80" s="1726"/>
      <c r="AA80" s="1727">
        <f t="shared" si="25">IF(Y80="",U80,Q80*Y80/100)</f>
        <v>0</v>
      </c>
      <c r="AB80" s="1728"/>
      <c r="AC80" s="1728"/>
      <c r="AD80" s="1729"/>
      <c r="AE80" s="1730">
        <f t="shared" si="22">IF(AA80=0,U80,IF(U80&gt;(VALUE(AA80)),VALUE(AA80),U80))</f>
        <v>0</v>
      </c>
      <c r="AF80" s="1731"/>
      <c r="AG80" s="1731"/>
      <c r="AH80" s="1732"/>
      <c r="AI80" s="722"/>
      <c r="AK80" s="303"/>
      <c r="AN80" s="303"/>
      <c r="AO80" s="303"/>
      <c r="AP80" s="303"/>
      <c r="AQ80" s="303"/>
    </row>
    <row r="81" spans="1:43" ht="13.5" customHeight="1" thickBot="1">
      <c r="A81" s="731"/>
      <c r="B81" s="732"/>
      <c r="C81" s="733"/>
      <c r="D81" s="734"/>
      <c r="E81" s="732"/>
      <c r="F81" s="734"/>
      <c r="G81" s="732"/>
      <c r="H81" s="733"/>
      <c r="I81" s="733"/>
      <c r="J81" s="734"/>
      <c r="K81" s="732"/>
      <c r="L81" s="733"/>
      <c r="M81" s="733"/>
      <c r="N81" s="734"/>
      <c r="O81" s="732"/>
      <c r="P81" s="734"/>
      <c r="Q81" s="732"/>
      <c r="R81" s="733"/>
      <c r="S81" s="733"/>
      <c r="T81" s="734"/>
      <c r="U81" s="732"/>
      <c r="V81" s="733"/>
      <c r="W81" s="733"/>
      <c r="X81" s="734"/>
      <c r="Y81" s="733"/>
      <c r="Z81" s="733"/>
      <c r="AA81" s="733"/>
      <c r="AB81" s="733"/>
      <c r="AC81" s="733"/>
      <c r="AD81" s="733"/>
      <c r="AE81" s="732"/>
      <c r="AF81" s="733"/>
      <c r="AG81" s="733"/>
      <c r="AH81" s="1250"/>
      <c r="AI81" s="722"/>
      <c r="AK81" s="303"/>
      <c r="AN81" s="303"/>
      <c r="AO81" s="303"/>
      <c r="AP81" s="303"/>
      <c r="AQ81" s="303"/>
    </row>
    <row r="82" spans="1:43" ht="13.5" customHeight="1" thickTop="1" thickBot="1">
      <c r="A82" s="722"/>
      <c r="B82" s="722"/>
      <c r="C82" s="722"/>
      <c r="D82" s="722"/>
      <c r="E82" s="722"/>
      <c r="F82" s="722"/>
      <c r="G82" s="722"/>
      <c r="H82" s="722"/>
      <c r="I82" s="722"/>
      <c r="J82" s="722"/>
      <c r="K82" s="722"/>
      <c r="L82" s="722"/>
      <c r="M82" s="722"/>
      <c r="N82" s="722"/>
      <c r="O82" s="722"/>
      <c r="P82" s="722"/>
      <c r="Q82" s="722"/>
      <c r="R82" s="722"/>
      <c r="S82" s="722"/>
      <c r="T82" s="722"/>
      <c r="U82" s="722"/>
      <c r="V82" s="722"/>
      <c r="W82" s="722"/>
      <c r="X82" s="722"/>
      <c r="Y82" s="722"/>
      <c r="Z82" s="722"/>
      <c r="AA82" s="722"/>
      <c r="AB82" s="722"/>
      <c r="AC82" s="722"/>
      <c r="AD82" s="722"/>
      <c r="AE82" s="722"/>
      <c r="AF82" s="722"/>
      <c r="AG82" s="722"/>
      <c r="AH82" s="722"/>
      <c r="AI82" s="722"/>
      <c r="AK82" s="303"/>
      <c r="AN82" s="303"/>
      <c r="AO82" s="303"/>
      <c r="AP82" s="303"/>
      <c r="AQ82" s="303"/>
    </row>
    <row r="83" spans="1:43" ht="14.25" customHeight="1" thickTop="1" thickBot="1">
      <c r="A83" s="722"/>
      <c r="B83" s="721" t="s">
        <v>347</v>
      </c>
      <c r="C83" s="722"/>
      <c r="D83" s="722"/>
      <c r="E83" s="722"/>
      <c r="F83" s="722"/>
      <c r="G83" s="1833">
        <f>SUM(G65:J81)</f>
        <v>0</v>
      </c>
      <c r="H83" s="1834"/>
      <c r="I83" s="1834"/>
      <c r="J83" s="1835"/>
      <c r="K83" s="1833">
        <f>SUM(K65:N81)</f>
        <v>0</v>
      </c>
      <c r="L83" s="1834"/>
      <c r="M83" s="1834"/>
      <c r="N83" s="1835"/>
      <c r="O83" s="735"/>
      <c r="P83" s="735"/>
      <c r="Q83" s="1998">
        <f>SUM(Q65:T81)</f>
        <v>0</v>
      </c>
      <c r="R83" s="1949"/>
      <c r="S83" s="1949"/>
      <c r="T83" s="1950"/>
      <c r="U83" s="1998">
        <f>SUM(U65:X81)</f>
        <v>0</v>
      </c>
      <c r="V83" s="1949"/>
      <c r="W83" s="1949"/>
      <c r="X83" s="1950"/>
      <c r="Y83" s="722"/>
      <c r="Z83" s="722"/>
      <c r="AA83" s="1733">
        <f>SUM(AA65:AD81)</f>
        <v>0</v>
      </c>
      <c r="AB83" s="1734"/>
      <c r="AC83" s="1734"/>
      <c r="AD83" s="1735"/>
      <c r="AE83" s="1736">
        <f>SUM(AE65:AH81)</f>
        <v>0</v>
      </c>
      <c r="AF83" s="1737"/>
      <c r="AG83" s="1737"/>
      <c r="AH83" s="1738"/>
      <c r="AI83" s="722"/>
      <c r="AK83" s="303"/>
      <c r="AN83" s="303"/>
      <c r="AO83" s="303"/>
      <c r="AP83" s="303"/>
      <c r="AQ83" s="303"/>
    </row>
    <row r="84" spans="1:43" ht="13.5" collapsed="1" customHeight="1" thickTop="1">
      <c r="A84" s="722"/>
      <c r="B84" s="722"/>
      <c r="C84" s="722"/>
      <c r="D84" s="722"/>
      <c r="E84" s="722"/>
      <c r="F84" s="722"/>
      <c r="G84" s="722"/>
      <c r="H84" s="722"/>
      <c r="I84" s="722"/>
      <c r="J84" s="722"/>
      <c r="K84" s="722"/>
      <c r="L84" s="722"/>
      <c r="M84" s="722"/>
      <c r="N84" s="722"/>
      <c r="O84" s="722"/>
      <c r="P84" s="722"/>
      <c r="Q84" s="722"/>
      <c r="R84" s="722"/>
      <c r="S84" s="722"/>
      <c r="T84" s="722"/>
      <c r="U84" s="722"/>
      <c r="V84" s="722"/>
      <c r="W84" s="722"/>
      <c r="X84" s="722"/>
      <c r="Y84" s="722"/>
      <c r="Z84" s="722"/>
      <c r="AA84" s="722"/>
      <c r="AB84" s="722"/>
      <c r="AC84" s="722"/>
      <c r="AD84" s="722"/>
      <c r="AE84" s="722"/>
      <c r="AF84" s="722"/>
      <c r="AG84" s="722"/>
      <c r="AH84" s="722"/>
      <c r="AI84" s="722"/>
      <c r="AK84" s="303"/>
      <c r="AN84" s="303"/>
      <c r="AO84" s="303"/>
      <c r="AP84" s="303"/>
      <c r="AQ84" s="303"/>
    </row>
    <row r="85" spans="1:35" ht="13.5" customHeight="1">
      <c r="A85" s="722"/>
      <c r="B85" s="721" t="s">
        <v>313</v>
      </c>
      <c r="C85" s="721" t="s">
        <v>507</v>
      </c>
      <c r="D85" s="722"/>
      <c r="E85" s="722"/>
      <c r="F85" s="722"/>
      <c r="G85" s="722"/>
      <c r="H85" s="722"/>
      <c r="I85" s="722"/>
      <c r="J85" s="722"/>
      <c r="K85" s="722"/>
      <c r="L85" s="722"/>
      <c r="M85" s="722"/>
      <c r="N85" s="722"/>
      <c r="O85" s="722"/>
      <c r="P85" s="722"/>
      <c r="Q85" s="722"/>
      <c r="R85" s="722"/>
      <c r="S85" s="722"/>
      <c r="T85" s="722"/>
      <c r="U85" s="722"/>
      <c r="V85" s="722"/>
      <c r="W85" s="722"/>
      <c r="X85" s="722"/>
      <c r="Y85" s="722"/>
      <c r="Z85" s="722"/>
      <c r="AA85" s="722"/>
      <c r="AB85" s="722"/>
      <c r="AC85" s="722"/>
      <c r="AD85" s="722"/>
      <c r="AE85" s="722"/>
      <c r="AF85" s="722"/>
      <c r="AG85" s="722"/>
      <c r="AH85" s="722"/>
      <c r="AI85" s="722"/>
    </row>
    <row r="86" spans="1:35" ht="13.5" customHeight="1" thickBot="1">
      <c r="A86" s="722"/>
      <c r="B86" s="722"/>
      <c r="C86" s="722"/>
      <c r="D86" s="722"/>
      <c r="E86" s="722"/>
      <c r="F86" s="722"/>
      <c r="G86" s="722"/>
      <c r="H86" s="722"/>
      <c r="I86" s="722"/>
      <c r="J86" s="722"/>
      <c r="K86" s="722"/>
      <c r="L86" s="722"/>
      <c r="M86" s="722"/>
      <c r="N86" s="722"/>
      <c r="O86" s="722"/>
      <c r="P86" s="722"/>
      <c r="Q86" s="722"/>
      <c r="R86" s="722"/>
      <c r="S86" s="722"/>
      <c r="T86" s="722"/>
      <c r="U86" s="722"/>
      <c r="V86" s="722"/>
      <c r="W86" s="722"/>
      <c r="X86" s="722"/>
      <c r="Y86" s="722"/>
      <c r="Z86" s="722"/>
      <c r="AA86" s="722"/>
      <c r="AB86" s="722"/>
      <c r="AC86" s="722"/>
      <c r="AD86" s="722"/>
      <c r="AE86" s="722"/>
      <c r="AF86" s="722"/>
      <c r="AG86" s="722"/>
      <c r="AH86" s="722"/>
      <c r="AI86" s="722"/>
    </row>
    <row r="87" spans="1:35" s="308" customFormat="1" ht="27.75" customHeight="1" thickTop="1">
      <c r="A87" s="1990" t="s">
        <v>321</v>
      </c>
      <c r="B87" s="1796" t="s">
        <v>508</v>
      </c>
      <c r="C87" s="1740"/>
      <c r="D87" s="1740"/>
      <c r="E87" s="1745"/>
      <c r="F87" s="1947" t="s">
        <v>496</v>
      </c>
      <c r="G87" s="1947"/>
      <c r="H87" s="1947" t="s">
        <v>509</v>
      </c>
      <c r="I87" s="1947"/>
      <c r="J87" s="1947"/>
      <c r="K87" s="1786" t="s">
        <v>497</v>
      </c>
      <c r="L87" s="1760"/>
      <c r="M87" s="1760"/>
      <c r="N87" s="1760"/>
      <c r="O87" s="1760"/>
      <c r="P87" s="1760"/>
      <c r="Q87" s="1760"/>
      <c r="R87" s="1760"/>
      <c r="S87" s="1760"/>
      <c r="T87" s="1760"/>
      <c r="U87" s="1760"/>
      <c r="V87" s="1760"/>
      <c r="W87" s="1760"/>
      <c r="X87" s="1760"/>
      <c r="Y87" s="1787"/>
      <c r="Z87" s="1796" t="s">
        <v>498</v>
      </c>
      <c r="AA87" s="1745"/>
      <c r="AB87" s="1786" t="s">
        <v>499</v>
      </c>
      <c r="AC87" s="1760"/>
      <c r="AD87" s="1760"/>
      <c r="AE87" s="1760"/>
      <c r="AF87" s="1760"/>
      <c r="AG87" s="1760"/>
      <c r="AH87" s="1760"/>
      <c r="AI87" s="1761"/>
    </row>
    <row r="88" spans="1:35" s="308" customFormat="1" ht="27.75" customHeight="1" thickBot="1">
      <c r="A88" s="1945"/>
      <c r="B88" s="1746"/>
      <c r="C88" s="1784"/>
      <c r="D88" s="1784"/>
      <c r="E88" s="1747"/>
      <c r="F88" s="1766"/>
      <c r="G88" s="1766"/>
      <c r="H88" s="1766"/>
      <c r="I88" s="1766"/>
      <c r="J88" s="1766"/>
      <c r="K88" s="1766" t="s">
        <v>510</v>
      </c>
      <c r="L88" s="1766"/>
      <c r="M88" s="1766"/>
      <c r="N88" s="1766"/>
      <c r="O88" s="1788" t="s">
        <v>511</v>
      </c>
      <c r="P88" s="1763"/>
      <c r="Q88" s="1764"/>
      <c r="R88" s="1766" t="s">
        <v>512</v>
      </c>
      <c r="S88" s="1766"/>
      <c r="T88" s="1766"/>
      <c r="U88" s="1766"/>
      <c r="V88" s="1766" t="s">
        <v>513</v>
      </c>
      <c r="W88" s="1766"/>
      <c r="X88" s="1766"/>
      <c r="Y88" s="1766"/>
      <c r="Z88" s="1746"/>
      <c r="AA88" s="1747"/>
      <c r="AB88" s="1788" t="s">
        <v>514</v>
      </c>
      <c r="AC88" s="1763"/>
      <c r="AD88" s="1763"/>
      <c r="AE88" s="1764"/>
      <c r="AF88" s="1766" t="s">
        <v>513</v>
      </c>
      <c r="AG88" s="1766"/>
      <c r="AH88" s="1766"/>
      <c r="AI88" s="1767"/>
    </row>
    <row r="89" spans="1:35" ht="13.5" customHeight="1" thickTop="1">
      <c r="A89" s="727"/>
      <c r="B89" s="728"/>
      <c r="C89" s="729"/>
      <c r="D89" s="729"/>
      <c r="E89" s="730"/>
      <c r="F89" s="1789"/>
      <c r="G89" s="1750"/>
      <c r="H89" s="1789"/>
      <c r="I89" s="739"/>
      <c r="J89" s="1750"/>
      <c r="K89" s="1789"/>
      <c r="L89" s="739"/>
      <c r="M89" s="739"/>
      <c r="N89" s="1750"/>
      <c r="O89" s="728"/>
      <c r="P89" s="729"/>
      <c r="Q89" s="730"/>
      <c r="R89" s="1789"/>
      <c r="S89" s="739"/>
      <c r="T89" s="739"/>
      <c r="U89" s="1750"/>
      <c r="V89" s="1789"/>
      <c r="W89" s="739"/>
      <c r="X89" s="739"/>
      <c r="Y89" s="1750"/>
      <c r="Z89" s="739"/>
      <c r="AA89" s="739"/>
      <c r="AB89" s="728"/>
      <c r="AC89" s="729"/>
      <c r="AD89" s="729"/>
      <c r="AE89" s="730"/>
      <c r="AF89" s="1789"/>
      <c r="AG89" s="739"/>
      <c r="AH89" s="739"/>
      <c r="AI89" s="1757"/>
    </row>
    <row r="90" spans="1:35">
      <c r="A90" s="309">
        <v>1</v>
      </c>
      <c r="B90" s="1703"/>
      <c r="C90" s="1704"/>
      <c r="D90" s="1704"/>
      <c r="E90" s="1705"/>
      <c r="F90" s="1706"/>
      <c r="G90" s="1707"/>
      <c r="H90" s="1708"/>
      <c r="I90" s="1709"/>
      <c r="J90" s="1710"/>
      <c r="K90" s="1711"/>
      <c r="L90" s="1712"/>
      <c r="M90" s="1712"/>
      <c r="N90" s="1713"/>
      <c r="O90" s="1722"/>
      <c r="P90" s="1723"/>
      <c r="Q90" s="1724"/>
      <c r="R90" s="1717">
        <f t="shared" si="30" ref="R90:R94">K90-O90</f>
        <v>0</v>
      </c>
      <c r="S90" s="1718"/>
      <c r="T90" s="1718"/>
      <c r="U90" s="1719"/>
      <c r="V90" s="1711"/>
      <c r="W90" s="1712"/>
      <c r="X90" s="1712"/>
      <c r="Y90" s="1713"/>
      <c r="Z90" s="1711"/>
      <c r="AA90" s="1713"/>
      <c r="AB90" s="1714">
        <f t="shared" si="31" ref="AB90:AB94">R90*Z90</f>
        <v>0</v>
      </c>
      <c r="AC90" s="1715"/>
      <c r="AD90" s="1715"/>
      <c r="AE90" s="1720"/>
      <c r="AF90" s="1622">
        <f t="shared" si="32" ref="AF90:AF94">V90*Z90</f>
        <v>0</v>
      </c>
      <c r="AG90" s="1623"/>
      <c r="AH90" s="1623"/>
      <c r="AI90" s="1721"/>
    </row>
    <row r="91" spans="1:35">
      <c r="A91" s="309">
        <v>2</v>
      </c>
      <c r="B91" s="1703"/>
      <c r="C91" s="1704"/>
      <c r="D91" s="1704"/>
      <c r="E91" s="1705"/>
      <c r="F91" s="1706"/>
      <c r="G91" s="1707"/>
      <c r="H91" s="1708"/>
      <c r="I91" s="1709"/>
      <c r="J91" s="1710"/>
      <c r="K91" s="1711"/>
      <c r="L91" s="1712"/>
      <c r="M91" s="1712"/>
      <c r="N91" s="1713"/>
      <c r="O91" s="1722"/>
      <c r="P91" s="1723"/>
      <c r="Q91" s="1724"/>
      <c r="R91" s="1717">
        <f t="shared" si="30">K91-O91</f>
        <v>0</v>
      </c>
      <c r="S91" s="1718"/>
      <c r="T91" s="1718"/>
      <c r="U91" s="1719"/>
      <c r="V91" s="1711"/>
      <c r="W91" s="1712"/>
      <c r="X91" s="1712"/>
      <c r="Y91" s="1713"/>
      <c r="Z91" s="1711"/>
      <c r="AA91" s="1713"/>
      <c r="AB91" s="1714">
        <f t="shared" si="31">R91*Z91</f>
        <v>0</v>
      </c>
      <c r="AC91" s="1715"/>
      <c r="AD91" s="1715"/>
      <c r="AE91" s="1720"/>
      <c r="AF91" s="1622">
        <f t="shared" si="32">V91*Z91</f>
        <v>0</v>
      </c>
      <c r="AG91" s="1623"/>
      <c r="AH91" s="1623"/>
      <c r="AI91" s="1721"/>
    </row>
    <row r="92" spans="1:35">
      <c r="A92" s="309">
        <v>3</v>
      </c>
      <c r="B92" s="1703"/>
      <c r="C92" s="1704"/>
      <c r="D92" s="1704"/>
      <c r="E92" s="1705"/>
      <c r="F92" s="1706"/>
      <c r="G92" s="1707"/>
      <c r="H92" s="1708"/>
      <c r="I92" s="1709"/>
      <c r="J92" s="1710"/>
      <c r="K92" s="1711"/>
      <c r="L92" s="1712"/>
      <c r="M92" s="1712"/>
      <c r="N92" s="1713"/>
      <c r="O92" s="1722"/>
      <c r="P92" s="1723"/>
      <c r="Q92" s="1724"/>
      <c r="R92" s="1717">
        <f t="shared" si="30">K92-O92</f>
        <v>0</v>
      </c>
      <c r="S92" s="1718"/>
      <c r="T92" s="1718"/>
      <c r="U92" s="1719"/>
      <c r="V92" s="1711"/>
      <c r="W92" s="1712"/>
      <c r="X92" s="1712"/>
      <c r="Y92" s="1713"/>
      <c r="Z92" s="1711"/>
      <c r="AA92" s="1713"/>
      <c r="AB92" s="1714">
        <f t="shared" si="31">R92*Z92</f>
        <v>0</v>
      </c>
      <c r="AC92" s="1715"/>
      <c r="AD92" s="1715"/>
      <c r="AE92" s="1720"/>
      <c r="AF92" s="1622">
        <f t="shared" si="32">V92*Z92</f>
        <v>0</v>
      </c>
      <c r="AG92" s="1623"/>
      <c r="AH92" s="1623"/>
      <c r="AI92" s="1721"/>
    </row>
    <row r="93" spans="1:35">
      <c r="A93" s="309">
        <v>4</v>
      </c>
      <c r="B93" s="1703"/>
      <c r="C93" s="1704"/>
      <c r="D93" s="1704"/>
      <c r="E93" s="1705"/>
      <c r="F93" s="1706"/>
      <c r="G93" s="1707"/>
      <c r="H93" s="1708"/>
      <c r="I93" s="1709"/>
      <c r="J93" s="1710"/>
      <c r="K93" s="1711"/>
      <c r="L93" s="1712"/>
      <c r="M93" s="1712"/>
      <c r="N93" s="1713"/>
      <c r="O93" s="1722"/>
      <c r="P93" s="1723"/>
      <c r="Q93" s="1724"/>
      <c r="R93" s="1717">
        <f t="shared" si="30">K93-O93</f>
        <v>0</v>
      </c>
      <c r="S93" s="1718"/>
      <c r="T93" s="1718"/>
      <c r="U93" s="1719"/>
      <c r="V93" s="1711"/>
      <c r="W93" s="1712"/>
      <c r="X93" s="1712"/>
      <c r="Y93" s="1713"/>
      <c r="Z93" s="1711"/>
      <c r="AA93" s="1713"/>
      <c r="AB93" s="1714">
        <f t="shared" si="31">R93*Z93</f>
        <v>0</v>
      </c>
      <c r="AC93" s="1715"/>
      <c r="AD93" s="1715"/>
      <c r="AE93" s="1720"/>
      <c r="AF93" s="1622">
        <f t="shared" si="32">V93*Z93</f>
        <v>0</v>
      </c>
      <c r="AG93" s="1623"/>
      <c r="AH93" s="1623"/>
      <c r="AI93" s="1721"/>
    </row>
    <row r="94" spans="1:35">
      <c r="A94" s="309">
        <v>5</v>
      </c>
      <c r="B94" s="1703"/>
      <c r="C94" s="1704"/>
      <c r="D94" s="1704"/>
      <c r="E94" s="1705"/>
      <c r="F94" s="1706"/>
      <c r="G94" s="1707"/>
      <c r="H94" s="1708"/>
      <c r="I94" s="1709"/>
      <c r="J94" s="1710"/>
      <c r="K94" s="1711"/>
      <c r="L94" s="1712"/>
      <c r="M94" s="1712"/>
      <c r="N94" s="1713"/>
      <c r="O94" s="1722"/>
      <c r="P94" s="1723"/>
      <c r="Q94" s="1724"/>
      <c r="R94" s="1717">
        <f t="shared" si="30">K94-O94</f>
        <v>0</v>
      </c>
      <c r="S94" s="1718"/>
      <c r="T94" s="1718"/>
      <c r="U94" s="1719"/>
      <c r="V94" s="1711"/>
      <c r="W94" s="1712"/>
      <c r="X94" s="1712"/>
      <c r="Y94" s="1713"/>
      <c r="Z94" s="1711"/>
      <c r="AA94" s="1713"/>
      <c r="AB94" s="1714">
        <f t="shared" si="31">R94*Z94</f>
        <v>0</v>
      </c>
      <c r="AC94" s="1715"/>
      <c r="AD94" s="1715"/>
      <c r="AE94" s="1720"/>
      <c r="AF94" s="1622">
        <f t="shared" si="32">V94*Z94</f>
        <v>0</v>
      </c>
      <c r="AG94" s="1623"/>
      <c r="AH94" s="1623"/>
      <c r="AI94" s="1721"/>
    </row>
    <row r="95" spans="1:35">
      <c r="A95" s="309">
        <v>6</v>
      </c>
      <c r="B95" s="1703"/>
      <c r="C95" s="1704"/>
      <c r="D95" s="1704"/>
      <c r="E95" s="1705"/>
      <c r="F95" s="1706"/>
      <c r="G95" s="1707"/>
      <c r="H95" s="1708"/>
      <c r="I95" s="1709"/>
      <c r="J95" s="1710"/>
      <c r="K95" s="1711"/>
      <c r="L95" s="1712"/>
      <c r="M95" s="1712"/>
      <c r="N95" s="1713"/>
      <c r="O95" s="1722"/>
      <c r="P95" s="1723"/>
      <c r="Q95" s="1724"/>
      <c r="R95" s="1717">
        <f t="shared" si="33" ref="R95:R105">K95-O95</f>
        <v>0</v>
      </c>
      <c r="S95" s="1718"/>
      <c r="T95" s="1718"/>
      <c r="U95" s="1719"/>
      <c r="V95" s="1711"/>
      <c r="W95" s="1712"/>
      <c r="X95" s="1712"/>
      <c r="Y95" s="1713"/>
      <c r="Z95" s="1711"/>
      <c r="AA95" s="1713"/>
      <c r="AB95" s="1714">
        <f t="shared" si="34" ref="AB95:AB105">R95*Z95</f>
        <v>0</v>
      </c>
      <c r="AC95" s="1715"/>
      <c r="AD95" s="1715"/>
      <c r="AE95" s="1720"/>
      <c r="AF95" s="1622">
        <f t="shared" si="35" ref="AF95:AF105">V95*Z95</f>
        <v>0</v>
      </c>
      <c r="AG95" s="1623"/>
      <c r="AH95" s="1623"/>
      <c r="AI95" s="1721"/>
    </row>
    <row r="96" spans="1:35">
      <c r="A96" s="309">
        <v>7</v>
      </c>
      <c r="B96" s="1703"/>
      <c r="C96" s="1704"/>
      <c r="D96" s="1704"/>
      <c r="E96" s="1705"/>
      <c r="F96" s="1706"/>
      <c r="G96" s="1707"/>
      <c r="H96" s="1708"/>
      <c r="I96" s="1709"/>
      <c r="J96" s="1710"/>
      <c r="K96" s="1711"/>
      <c r="L96" s="1712"/>
      <c r="M96" s="1712"/>
      <c r="N96" s="1713"/>
      <c r="O96" s="1722"/>
      <c r="P96" s="1723"/>
      <c r="Q96" s="1724"/>
      <c r="R96" s="1717">
        <f t="shared" si="33">K96-O96</f>
        <v>0</v>
      </c>
      <c r="S96" s="1718"/>
      <c r="T96" s="1718"/>
      <c r="U96" s="1719"/>
      <c r="V96" s="1711"/>
      <c r="W96" s="1712"/>
      <c r="X96" s="1712"/>
      <c r="Y96" s="1713"/>
      <c r="Z96" s="1711"/>
      <c r="AA96" s="1713"/>
      <c r="AB96" s="1714">
        <f t="shared" si="34">R96*Z96</f>
        <v>0</v>
      </c>
      <c r="AC96" s="1715"/>
      <c r="AD96" s="1715"/>
      <c r="AE96" s="1720"/>
      <c r="AF96" s="1622">
        <f t="shared" si="35">V96*Z96</f>
        <v>0</v>
      </c>
      <c r="AG96" s="1623"/>
      <c r="AH96" s="1623"/>
      <c r="AI96" s="1721"/>
    </row>
    <row r="97" spans="1:35">
      <c r="A97" s="309">
        <v>8</v>
      </c>
      <c r="B97" s="1703"/>
      <c r="C97" s="1704"/>
      <c r="D97" s="1704"/>
      <c r="E97" s="1705"/>
      <c r="F97" s="1706"/>
      <c r="G97" s="1707"/>
      <c r="H97" s="1708"/>
      <c r="I97" s="1709"/>
      <c r="J97" s="1710"/>
      <c r="K97" s="1711"/>
      <c r="L97" s="1712"/>
      <c r="M97" s="1712"/>
      <c r="N97" s="1713"/>
      <c r="O97" s="1722"/>
      <c r="P97" s="1723"/>
      <c r="Q97" s="1724"/>
      <c r="R97" s="1717">
        <f t="shared" si="36" ref="R97:R100">K97-O97</f>
        <v>0</v>
      </c>
      <c r="S97" s="1718"/>
      <c r="T97" s="1718"/>
      <c r="U97" s="1719"/>
      <c r="V97" s="1711"/>
      <c r="W97" s="1712"/>
      <c r="X97" s="1712"/>
      <c r="Y97" s="1713"/>
      <c r="Z97" s="1711"/>
      <c r="AA97" s="1713"/>
      <c r="AB97" s="1714">
        <f t="shared" si="37" ref="AB97:AB100">R97*Z97</f>
        <v>0</v>
      </c>
      <c r="AC97" s="1715"/>
      <c r="AD97" s="1715"/>
      <c r="AE97" s="1720"/>
      <c r="AF97" s="1622">
        <f t="shared" si="38" ref="AF97:AF100">V97*Z97</f>
        <v>0</v>
      </c>
      <c r="AG97" s="1623"/>
      <c r="AH97" s="1623"/>
      <c r="AI97" s="1721"/>
    </row>
    <row r="98" spans="1:35">
      <c r="A98" s="309">
        <v>9</v>
      </c>
      <c r="B98" s="1703"/>
      <c r="C98" s="1704"/>
      <c r="D98" s="1704"/>
      <c r="E98" s="1705"/>
      <c r="F98" s="1706"/>
      <c r="G98" s="1707"/>
      <c r="H98" s="1708"/>
      <c r="I98" s="1709"/>
      <c r="J98" s="1710"/>
      <c r="K98" s="1711"/>
      <c r="L98" s="1712"/>
      <c r="M98" s="1712"/>
      <c r="N98" s="1713"/>
      <c r="O98" s="1722"/>
      <c r="P98" s="1723"/>
      <c r="Q98" s="1724"/>
      <c r="R98" s="1717">
        <f t="shared" si="36">K98-O98</f>
        <v>0</v>
      </c>
      <c r="S98" s="1718"/>
      <c r="T98" s="1718"/>
      <c r="U98" s="1719"/>
      <c r="V98" s="1711"/>
      <c r="W98" s="1712"/>
      <c r="X98" s="1712"/>
      <c r="Y98" s="1713"/>
      <c r="Z98" s="1711"/>
      <c r="AA98" s="1713"/>
      <c r="AB98" s="1714">
        <f t="shared" si="37">R98*Z98</f>
        <v>0</v>
      </c>
      <c r="AC98" s="1715"/>
      <c r="AD98" s="1715"/>
      <c r="AE98" s="1720"/>
      <c r="AF98" s="1622">
        <f t="shared" si="38">V98*Z98</f>
        <v>0</v>
      </c>
      <c r="AG98" s="1623"/>
      <c r="AH98" s="1623"/>
      <c r="AI98" s="1721"/>
    </row>
    <row r="99" spans="1:35">
      <c r="A99" s="309">
        <v>10</v>
      </c>
      <c r="B99" s="1703"/>
      <c r="C99" s="1704"/>
      <c r="D99" s="1704"/>
      <c r="E99" s="1705"/>
      <c r="F99" s="1706"/>
      <c r="G99" s="1707"/>
      <c r="H99" s="1708"/>
      <c r="I99" s="1709"/>
      <c r="J99" s="1710"/>
      <c r="K99" s="1711"/>
      <c r="L99" s="1712"/>
      <c r="M99" s="1712"/>
      <c r="N99" s="1713"/>
      <c r="O99" s="1722"/>
      <c r="P99" s="1723"/>
      <c r="Q99" s="1724"/>
      <c r="R99" s="1717">
        <f t="shared" si="36">K99-O99</f>
        <v>0</v>
      </c>
      <c r="S99" s="1718"/>
      <c r="T99" s="1718"/>
      <c r="U99" s="1719"/>
      <c r="V99" s="1711"/>
      <c r="W99" s="1712"/>
      <c r="X99" s="1712"/>
      <c r="Y99" s="1713"/>
      <c r="Z99" s="1711"/>
      <c r="AA99" s="1713"/>
      <c r="AB99" s="1714">
        <f t="shared" si="37">R99*Z99</f>
        <v>0</v>
      </c>
      <c r="AC99" s="1715"/>
      <c r="AD99" s="1715"/>
      <c r="AE99" s="1720"/>
      <c r="AF99" s="1622">
        <f t="shared" si="38">V99*Z99</f>
        <v>0</v>
      </c>
      <c r="AG99" s="1623"/>
      <c r="AH99" s="1623"/>
      <c r="AI99" s="1721"/>
    </row>
    <row r="100" spans="1:35">
      <c r="A100" s="309">
        <v>11</v>
      </c>
      <c r="B100" s="1703"/>
      <c r="C100" s="1704"/>
      <c r="D100" s="1704"/>
      <c r="E100" s="1705"/>
      <c r="F100" s="1706"/>
      <c r="G100" s="1707"/>
      <c r="H100" s="1708"/>
      <c r="I100" s="1709"/>
      <c r="J100" s="1710"/>
      <c r="K100" s="1711"/>
      <c r="L100" s="1712"/>
      <c r="M100" s="1712"/>
      <c r="N100" s="1713"/>
      <c r="O100" s="1722"/>
      <c r="P100" s="1723"/>
      <c r="Q100" s="1724"/>
      <c r="R100" s="1717">
        <f t="shared" si="36">K100-O100</f>
        <v>0</v>
      </c>
      <c r="S100" s="1718"/>
      <c r="T100" s="1718"/>
      <c r="U100" s="1719"/>
      <c r="V100" s="1711"/>
      <c r="W100" s="1712"/>
      <c r="X100" s="1712"/>
      <c r="Y100" s="1713"/>
      <c r="Z100" s="1711"/>
      <c r="AA100" s="1713"/>
      <c r="AB100" s="1714">
        <f t="shared" si="37">R100*Z100</f>
        <v>0</v>
      </c>
      <c r="AC100" s="1715"/>
      <c r="AD100" s="1715"/>
      <c r="AE100" s="1720"/>
      <c r="AF100" s="1622">
        <f t="shared" si="38">V100*Z100</f>
        <v>0</v>
      </c>
      <c r="AG100" s="1623"/>
      <c r="AH100" s="1623"/>
      <c r="AI100" s="1721"/>
    </row>
    <row r="101" spans="1:35">
      <c r="A101" s="309">
        <v>12</v>
      </c>
      <c r="B101" s="1703"/>
      <c r="C101" s="1704"/>
      <c r="D101" s="1704"/>
      <c r="E101" s="1705"/>
      <c r="F101" s="1706"/>
      <c r="G101" s="1707"/>
      <c r="H101" s="1708"/>
      <c r="I101" s="1709"/>
      <c r="J101" s="1710"/>
      <c r="K101" s="1711"/>
      <c r="L101" s="1712"/>
      <c r="M101" s="1712"/>
      <c r="N101" s="1713"/>
      <c r="O101" s="1722"/>
      <c r="P101" s="1723"/>
      <c r="Q101" s="1724"/>
      <c r="R101" s="1717">
        <f t="shared" si="33">K101-O101</f>
        <v>0</v>
      </c>
      <c r="S101" s="1718"/>
      <c r="T101" s="1718"/>
      <c r="U101" s="1719"/>
      <c r="V101" s="1711"/>
      <c r="W101" s="1712"/>
      <c r="X101" s="1712"/>
      <c r="Y101" s="1713"/>
      <c r="Z101" s="1711"/>
      <c r="AA101" s="1713"/>
      <c r="AB101" s="1714">
        <f t="shared" si="34">R101*Z101</f>
        <v>0</v>
      </c>
      <c r="AC101" s="1715"/>
      <c r="AD101" s="1715"/>
      <c r="AE101" s="1720"/>
      <c r="AF101" s="1622">
        <f t="shared" si="35">V101*Z101</f>
        <v>0</v>
      </c>
      <c r="AG101" s="1623"/>
      <c r="AH101" s="1623"/>
      <c r="AI101" s="1721"/>
    </row>
    <row r="102" spans="1:35">
      <c r="A102" s="309">
        <v>13</v>
      </c>
      <c r="B102" s="1703"/>
      <c r="C102" s="1704"/>
      <c r="D102" s="1704"/>
      <c r="E102" s="1705"/>
      <c r="F102" s="1706"/>
      <c r="G102" s="1707"/>
      <c r="H102" s="1708"/>
      <c r="I102" s="1709"/>
      <c r="J102" s="1710"/>
      <c r="K102" s="1711"/>
      <c r="L102" s="1712"/>
      <c r="M102" s="1712"/>
      <c r="N102" s="1713"/>
      <c r="O102" s="1722"/>
      <c r="P102" s="1723"/>
      <c r="Q102" s="1724"/>
      <c r="R102" s="1717">
        <f t="shared" si="33">K102-O102</f>
        <v>0</v>
      </c>
      <c r="S102" s="1718"/>
      <c r="T102" s="1718"/>
      <c r="U102" s="1719"/>
      <c r="V102" s="1711"/>
      <c r="W102" s="1712"/>
      <c r="X102" s="1712"/>
      <c r="Y102" s="1713"/>
      <c r="Z102" s="1711"/>
      <c r="AA102" s="1713"/>
      <c r="AB102" s="1714">
        <f t="shared" si="34">R102*Z102</f>
        <v>0</v>
      </c>
      <c r="AC102" s="1715"/>
      <c r="AD102" s="1715"/>
      <c r="AE102" s="1720"/>
      <c r="AF102" s="1622">
        <f t="shared" si="35">V102*Z102</f>
        <v>0</v>
      </c>
      <c r="AG102" s="1623"/>
      <c r="AH102" s="1623"/>
      <c r="AI102" s="1721"/>
    </row>
    <row r="103" spans="1:35">
      <c r="A103" s="309">
        <v>14</v>
      </c>
      <c r="B103" s="1703"/>
      <c r="C103" s="1704"/>
      <c r="D103" s="1704"/>
      <c r="E103" s="1705"/>
      <c r="F103" s="1706"/>
      <c r="G103" s="1707"/>
      <c r="H103" s="1708"/>
      <c r="I103" s="1709"/>
      <c r="J103" s="1710"/>
      <c r="K103" s="1711"/>
      <c r="L103" s="1712"/>
      <c r="M103" s="1712"/>
      <c r="N103" s="1713"/>
      <c r="O103" s="1722"/>
      <c r="P103" s="1723"/>
      <c r="Q103" s="1724"/>
      <c r="R103" s="1717">
        <f t="shared" si="33">K103-O103</f>
        <v>0</v>
      </c>
      <c r="S103" s="1718"/>
      <c r="T103" s="1718"/>
      <c r="U103" s="1719"/>
      <c r="V103" s="1711"/>
      <c r="W103" s="1712"/>
      <c r="X103" s="1712"/>
      <c r="Y103" s="1713"/>
      <c r="Z103" s="1711"/>
      <c r="AA103" s="1713"/>
      <c r="AB103" s="1714">
        <f t="shared" si="34">R103*Z103</f>
        <v>0</v>
      </c>
      <c r="AC103" s="1715"/>
      <c r="AD103" s="1715"/>
      <c r="AE103" s="1720"/>
      <c r="AF103" s="1622">
        <f t="shared" si="35">V103*Z103</f>
        <v>0</v>
      </c>
      <c r="AG103" s="1623"/>
      <c r="AH103" s="1623"/>
      <c r="AI103" s="1721"/>
    </row>
    <row r="104" spans="1:35">
      <c r="A104" s="309">
        <v>15</v>
      </c>
      <c r="B104" s="1703"/>
      <c r="C104" s="1704"/>
      <c r="D104" s="1704"/>
      <c r="E104" s="1705"/>
      <c r="F104" s="1706"/>
      <c r="G104" s="1707"/>
      <c r="H104" s="1708"/>
      <c r="I104" s="1709"/>
      <c r="J104" s="1710"/>
      <c r="K104" s="1711"/>
      <c r="L104" s="1712"/>
      <c r="M104" s="1712"/>
      <c r="N104" s="1713"/>
      <c r="O104" s="1722"/>
      <c r="P104" s="1723"/>
      <c r="Q104" s="1724"/>
      <c r="R104" s="1717">
        <f t="shared" si="33">K104-O104</f>
        <v>0</v>
      </c>
      <c r="S104" s="1718"/>
      <c r="T104" s="1718"/>
      <c r="U104" s="1719"/>
      <c r="V104" s="1711"/>
      <c r="W104" s="1712"/>
      <c r="X104" s="1712"/>
      <c r="Y104" s="1713"/>
      <c r="Z104" s="1711"/>
      <c r="AA104" s="1713"/>
      <c r="AB104" s="1714">
        <f t="shared" si="34">R104*Z104</f>
        <v>0</v>
      </c>
      <c r="AC104" s="1715"/>
      <c r="AD104" s="1715"/>
      <c r="AE104" s="1720"/>
      <c r="AF104" s="1622">
        <f t="shared" si="35">V104*Z104</f>
        <v>0</v>
      </c>
      <c r="AG104" s="1623"/>
      <c r="AH104" s="1623"/>
      <c r="AI104" s="1721"/>
    </row>
    <row r="105" spans="1:35">
      <c r="A105" s="310" t="s">
        <v>504</v>
      </c>
      <c r="B105" s="1703"/>
      <c r="C105" s="1704"/>
      <c r="D105" s="1704"/>
      <c r="E105" s="1705"/>
      <c r="F105" s="1706"/>
      <c r="G105" s="1707"/>
      <c r="H105" s="1708"/>
      <c r="I105" s="1709"/>
      <c r="J105" s="1710"/>
      <c r="K105" s="1711"/>
      <c r="L105" s="1712"/>
      <c r="M105" s="1712"/>
      <c r="N105" s="1713"/>
      <c r="O105" s="1722"/>
      <c r="P105" s="1723"/>
      <c r="Q105" s="1724"/>
      <c r="R105" s="1717">
        <f t="shared" si="33">K105-O105</f>
        <v>0</v>
      </c>
      <c r="S105" s="1718"/>
      <c r="T105" s="1718"/>
      <c r="U105" s="1719"/>
      <c r="V105" s="1711"/>
      <c r="W105" s="1712"/>
      <c r="X105" s="1712"/>
      <c r="Y105" s="1713"/>
      <c r="Z105" s="1711"/>
      <c r="AA105" s="1713"/>
      <c r="AB105" s="1714">
        <f t="shared" si="34">R105*Z105</f>
        <v>0</v>
      </c>
      <c r="AC105" s="1715"/>
      <c r="AD105" s="1715"/>
      <c r="AE105" s="1720"/>
      <c r="AF105" s="1622">
        <f t="shared" si="35">V105*Z105</f>
        <v>0</v>
      </c>
      <c r="AG105" s="1623"/>
      <c r="AH105" s="1623"/>
      <c r="AI105" s="1721"/>
    </row>
    <row r="106" spans="1:35" ht="13.5" customHeight="1" thickBot="1">
      <c r="A106" s="731"/>
      <c r="B106" s="732"/>
      <c r="C106" s="733"/>
      <c r="D106" s="733"/>
      <c r="E106" s="734"/>
      <c r="F106" s="1986"/>
      <c r="G106" s="1934"/>
      <c r="H106" s="1986"/>
      <c r="I106" s="740"/>
      <c r="J106" s="1934"/>
      <c r="K106" s="1986"/>
      <c r="L106" s="740"/>
      <c r="M106" s="740"/>
      <c r="N106" s="1934"/>
      <c r="O106" s="732"/>
      <c r="P106" s="733"/>
      <c r="Q106" s="734"/>
      <c r="R106" s="1986"/>
      <c r="S106" s="740"/>
      <c r="T106" s="740"/>
      <c r="U106" s="1934"/>
      <c r="V106" s="1986"/>
      <c r="W106" s="740"/>
      <c r="X106" s="740"/>
      <c r="Y106" s="1934"/>
      <c r="Z106" s="740"/>
      <c r="AA106" s="740"/>
      <c r="AB106" s="732"/>
      <c r="AC106" s="733"/>
      <c r="AD106" s="733"/>
      <c r="AE106" s="734"/>
      <c r="AF106" s="1986"/>
      <c r="AG106" s="740"/>
      <c r="AH106" s="740"/>
      <c r="AI106" s="1935"/>
    </row>
    <row r="107" spans="1:35" ht="13.5" customHeight="1" thickTop="1" thickBot="1">
      <c r="A107" s="722"/>
      <c r="B107" s="722"/>
      <c r="C107" s="722"/>
      <c r="D107" s="722"/>
      <c r="E107" s="722"/>
      <c r="F107" s="722"/>
      <c r="G107" s="722"/>
      <c r="H107" s="722"/>
      <c r="I107" s="722"/>
      <c r="J107" s="722"/>
      <c r="K107" s="722"/>
      <c r="L107" s="722"/>
      <c r="M107" s="722"/>
      <c r="N107" s="722"/>
      <c r="O107" s="722"/>
      <c r="P107" s="722"/>
      <c r="Q107" s="722"/>
      <c r="R107" s="722"/>
      <c r="S107" s="722"/>
      <c r="T107" s="722"/>
      <c r="U107" s="722"/>
      <c r="V107" s="722"/>
      <c r="W107" s="722"/>
      <c r="X107" s="722"/>
      <c r="Y107" s="722"/>
      <c r="Z107" s="722"/>
      <c r="AA107" s="722"/>
      <c r="AB107" s="722"/>
      <c r="AC107" s="722"/>
      <c r="AD107" s="722"/>
      <c r="AE107" s="722"/>
      <c r="AF107" s="722"/>
      <c r="AG107" s="722"/>
      <c r="AH107" s="722"/>
      <c r="AI107" s="722"/>
    </row>
    <row r="108" spans="1:35" ht="14.25" customHeight="1" thickTop="1" thickBot="1">
      <c r="A108" s="722"/>
      <c r="B108" s="721" t="s">
        <v>347</v>
      </c>
      <c r="C108" s="722"/>
      <c r="D108" s="722"/>
      <c r="E108" s="722"/>
      <c r="F108" s="722"/>
      <c r="G108" s="722"/>
      <c r="H108" s="722"/>
      <c r="I108" s="722"/>
      <c r="J108" s="722"/>
      <c r="K108" s="722"/>
      <c r="L108" s="722"/>
      <c r="M108" s="722"/>
      <c r="N108" s="722"/>
      <c r="O108" s="722"/>
      <c r="P108" s="722"/>
      <c r="Q108" s="722"/>
      <c r="R108" s="1836">
        <f>SUM(R95:U106)</f>
        <v>0</v>
      </c>
      <c r="S108" s="1837"/>
      <c r="T108" s="1837"/>
      <c r="U108" s="1838"/>
      <c r="V108" s="1836">
        <f>SUM(V95:Y106)</f>
        <v>0</v>
      </c>
      <c r="W108" s="1837"/>
      <c r="X108" s="1837"/>
      <c r="Y108" s="1838"/>
      <c r="Z108" s="735"/>
      <c r="AA108" s="735"/>
      <c r="AB108" s="1657">
        <f>SUM(AB95:AE106)</f>
        <v>0</v>
      </c>
      <c r="AC108" s="1658"/>
      <c r="AD108" s="1658"/>
      <c r="AE108" s="1659"/>
      <c r="AF108" s="1657">
        <f>SUM(AF95:AI106)</f>
        <v>0</v>
      </c>
      <c r="AG108" s="1658"/>
      <c r="AH108" s="1658"/>
      <c r="AI108" s="1659"/>
    </row>
    <row r="109" spans="1:35" ht="13.5" collapsed="1" customHeight="1" thickTop="1">
      <c r="A109" s="722"/>
      <c r="B109" s="722"/>
      <c r="C109" s="722"/>
      <c r="D109" s="722"/>
      <c r="E109" s="722"/>
      <c r="F109" s="722"/>
      <c r="G109" s="722"/>
      <c r="H109" s="722"/>
      <c r="I109" s="722"/>
      <c r="J109" s="722"/>
      <c r="K109" s="722"/>
      <c r="L109" s="722"/>
      <c r="M109" s="722"/>
      <c r="N109" s="722"/>
      <c r="O109" s="722"/>
      <c r="P109" s="722"/>
      <c r="Q109" s="722"/>
      <c r="R109" s="722"/>
      <c r="S109" s="722"/>
      <c r="T109" s="722"/>
      <c r="U109" s="722"/>
      <c r="V109" s="722"/>
      <c r="W109" s="722"/>
      <c r="X109" s="722"/>
      <c r="Y109" s="722"/>
      <c r="Z109" s="722"/>
      <c r="AA109" s="722"/>
      <c r="AB109" s="722"/>
      <c r="AC109" s="722"/>
      <c r="AD109" s="722"/>
      <c r="AE109" s="722"/>
      <c r="AF109" s="722"/>
      <c r="AG109" s="722"/>
      <c r="AH109" s="722"/>
      <c r="AI109" s="722"/>
    </row>
    <row r="110" spans="1:35" ht="13.5" customHeight="1">
      <c r="A110" s="722"/>
      <c r="B110" s="741" t="s">
        <v>314</v>
      </c>
      <c r="C110" s="721" t="s">
        <v>515</v>
      </c>
      <c r="D110" s="722"/>
      <c r="E110" s="722"/>
      <c r="F110" s="722"/>
      <c r="G110" s="722"/>
      <c r="H110" s="722"/>
      <c r="I110" s="722"/>
      <c r="J110" s="722"/>
      <c r="K110" s="722"/>
      <c r="L110" s="722"/>
      <c r="M110" s="722"/>
      <c r="N110" s="722"/>
      <c r="O110" s="722"/>
      <c r="P110" s="722"/>
      <c r="Q110" s="722"/>
      <c r="R110" s="722"/>
      <c r="S110" s="722"/>
      <c r="T110" s="722"/>
      <c r="U110" s="722"/>
      <c r="V110" s="722"/>
      <c r="W110" s="722"/>
      <c r="X110" s="722"/>
      <c r="Y110" s="722"/>
      <c r="Z110" s="722"/>
      <c r="AA110" s="722"/>
      <c r="AB110" s="722"/>
      <c r="AC110" s="722"/>
      <c r="AD110" s="722"/>
      <c r="AE110" s="722"/>
      <c r="AF110" s="722"/>
      <c r="AG110" s="722"/>
      <c r="AH110" s="722"/>
      <c r="AI110" s="722"/>
    </row>
    <row r="111" spans="1:35" ht="13.5" customHeight="1" thickBot="1">
      <c r="A111" s="722"/>
      <c r="B111" s="722"/>
      <c r="C111" s="722"/>
      <c r="D111" s="722" t="s">
        <v>295</v>
      </c>
      <c r="E111" s="722"/>
      <c r="F111" s="722"/>
      <c r="G111" s="722"/>
      <c r="H111" s="722"/>
      <c r="I111" s="722"/>
      <c r="J111" s="722"/>
      <c r="K111" s="722"/>
      <c r="L111" s="722"/>
      <c r="M111" s="722"/>
      <c r="N111" s="722"/>
      <c r="O111" s="722"/>
      <c r="P111" s="722"/>
      <c r="Q111" s="722"/>
      <c r="R111" s="722"/>
      <c r="S111" s="722"/>
      <c r="T111" s="722"/>
      <c r="U111" s="722"/>
      <c r="V111" s="722"/>
      <c r="W111" s="722"/>
      <c r="X111" s="722"/>
      <c r="Y111" s="722"/>
      <c r="Z111" s="722"/>
      <c r="AA111" s="722"/>
      <c r="AB111" s="722"/>
      <c r="AC111" s="722"/>
      <c r="AD111" s="722"/>
      <c r="AE111" s="722"/>
      <c r="AF111" s="722"/>
      <c r="AG111" s="722"/>
      <c r="AH111" s="722"/>
      <c r="AI111" s="722"/>
    </row>
    <row r="112" spans="1:35" s="311" customFormat="1" ht="13.5" customHeight="1" thickTop="1">
      <c r="A112" s="721"/>
      <c r="B112" s="1988" t="s">
        <v>321</v>
      </c>
      <c r="C112" s="1939" t="s">
        <v>516</v>
      </c>
      <c r="D112" s="1939"/>
      <c r="E112" s="1939"/>
      <c r="F112" s="1939"/>
      <c r="G112" s="1939"/>
      <c r="H112" s="1939"/>
      <c r="I112" s="1939"/>
      <c r="J112" s="1939"/>
      <c r="K112" s="1939" t="s">
        <v>496</v>
      </c>
      <c r="L112" s="1939"/>
      <c r="M112" s="1939" t="s">
        <v>206</v>
      </c>
      <c r="N112" s="1939"/>
      <c r="O112" s="1939"/>
      <c r="P112" s="1939" t="s">
        <v>497</v>
      </c>
      <c r="Q112" s="1939"/>
      <c r="R112" s="1939"/>
      <c r="S112" s="1939"/>
      <c r="T112" s="1939"/>
      <c r="U112" s="1939" t="s">
        <v>498</v>
      </c>
      <c r="V112" s="1939"/>
      <c r="W112" s="1939"/>
      <c r="X112" s="1939" t="s">
        <v>499</v>
      </c>
      <c r="Y112" s="1939"/>
      <c r="Z112" s="1939"/>
      <c r="AA112" s="1939"/>
      <c r="AB112" s="1941"/>
      <c r="AC112" s="721"/>
      <c r="AD112" s="721"/>
      <c r="AE112" s="721"/>
      <c r="AF112" s="721"/>
      <c r="AG112" s="721"/>
      <c r="AH112" s="721"/>
      <c r="AI112" s="721"/>
    </row>
    <row r="113" spans="1:35" s="311" customFormat="1" ht="13.5" customHeight="1" thickBot="1">
      <c r="A113" s="721"/>
      <c r="B113" s="1937"/>
      <c r="C113" s="1940"/>
      <c r="D113" s="1940"/>
      <c r="E113" s="1940"/>
      <c r="F113" s="1940"/>
      <c r="G113" s="1940"/>
      <c r="H113" s="1940"/>
      <c r="I113" s="1940"/>
      <c r="J113" s="1940"/>
      <c r="K113" s="1940"/>
      <c r="L113" s="1940"/>
      <c r="M113" s="1940"/>
      <c r="N113" s="1940"/>
      <c r="O113" s="1940"/>
      <c r="P113" s="1940"/>
      <c r="Q113" s="1940"/>
      <c r="R113" s="1940"/>
      <c r="S113" s="1940"/>
      <c r="T113" s="1940"/>
      <c r="U113" s="1940"/>
      <c r="V113" s="1940"/>
      <c r="W113" s="1940"/>
      <c r="X113" s="1940"/>
      <c r="Y113" s="1940"/>
      <c r="Z113" s="1940"/>
      <c r="AA113" s="1940"/>
      <c r="AB113" s="1942"/>
      <c r="AC113" s="721"/>
      <c r="AD113" s="721"/>
      <c r="AE113" s="721"/>
      <c r="AF113" s="721"/>
      <c r="AG113" s="721"/>
      <c r="AH113" s="721"/>
      <c r="AI113" s="721"/>
    </row>
    <row r="114" spans="1:35" ht="13.5" customHeight="1" thickTop="1">
      <c r="A114" s="722"/>
      <c r="B114" s="722"/>
      <c r="C114" s="722"/>
      <c r="D114" s="722"/>
      <c r="E114" s="722"/>
      <c r="F114" s="722"/>
      <c r="G114" s="722"/>
      <c r="H114" s="722"/>
      <c r="I114" s="722"/>
      <c r="J114" s="722"/>
      <c r="K114" s="722"/>
      <c r="L114" s="722"/>
      <c r="M114" s="722"/>
      <c r="N114" s="722"/>
      <c r="O114" s="722"/>
      <c r="P114" s="722"/>
      <c r="Q114" s="722"/>
      <c r="R114" s="722"/>
      <c r="S114" s="722"/>
      <c r="T114" s="722"/>
      <c r="U114" s="722"/>
      <c r="V114" s="722"/>
      <c r="W114" s="722"/>
      <c r="X114" s="722"/>
      <c r="Y114" s="722"/>
      <c r="Z114" s="722"/>
      <c r="AA114" s="722"/>
      <c r="AB114" s="722"/>
      <c r="AC114" s="722"/>
      <c r="AD114" s="722"/>
      <c r="AE114" s="722"/>
      <c r="AF114" s="722"/>
      <c r="AG114" s="722"/>
      <c r="AH114" s="722"/>
      <c r="AI114" s="722"/>
    </row>
    <row r="115" spans="1:35" ht="13.5" customHeight="1">
      <c r="A115" s="722"/>
      <c r="B115" s="721" t="s">
        <v>517</v>
      </c>
      <c r="C115" s="722"/>
      <c r="D115" s="722"/>
      <c r="E115" s="722"/>
      <c r="F115" s="722"/>
      <c r="G115" s="722"/>
      <c r="H115" s="722"/>
      <c r="I115" s="722"/>
      <c r="J115" s="722"/>
      <c r="K115" s="722"/>
      <c r="L115" s="722"/>
      <c r="M115" s="722"/>
      <c r="N115" s="722"/>
      <c r="O115" s="722"/>
      <c r="P115" s="722"/>
      <c r="Q115" s="722"/>
      <c r="R115" s="722"/>
      <c r="S115" s="722"/>
      <c r="T115" s="722"/>
      <c r="U115" s="722"/>
      <c r="V115" s="722"/>
      <c r="W115" s="722"/>
      <c r="X115" s="722"/>
      <c r="Y115" s="722"/>
      <c r="Z115" s="722"/>
      <c r="AA115" s="722"/>
      <c r="AB115" s="722"/>
      <c r="AC115" s="722"/>
      <c r="AD115" s="722"/>
      <c r="AE115" s="722"/>
      <c r="AF115" s="722"/>
      <c r="AG115" s="722"/>
      <c r="AH115" s="722"/>
      <c r="AI115" s="722"/>
    </row>
    <row r="116" spans="1:35" ht="13.5" customHeight="1" thickBot="1">
      <c r="A116" s="722"/>
      <c r="B116" s="722"/>
      <c r="C116" s="722"/>
      <c r="D116" s="722"/>
      <c r="E116" s="722"/>
      <c r="F116" s="722"/>
      <c r="G116" s="722"/>
      <c r="H116" s="722"/>
      <c r="I116" s="722"/>
      <c r="J116" s="722"/>
      <c r="K116" s="722"/>
      <c r="L116" s="722"/>
      <c r="M116" s="722"/>
      <c r="N116" s="722"/>
      <c r="O116" s="722"/>
      <c r="P116" s="722"/>
      <c r="Q116" s="722"/>
      <c r="R116" s="722"/>
      <c r="S116" s="722"/>
      <c r="T116" s="722"/>
      <c r="U116" s="722"/>
      <c r="V116" s="722"/>
      <c r="W116" s="722"/>
      <c r="X116" s="722"/>
      <c r="Y116" s="722"/>
      <c r="Z116" s="722"/>
      <c r="AA116" s="722"/>
      <c r="AB116" s="722"/>
      <c r="AC116" s="722"/>
      <c r="AD116" s="722"/>
      <c r="AE116" s="722"/>
      <c r="AF116" s="722"/>
      <c r="AG116" s="722"/>
      <c r="AH116" s="722"/>
      <c r="AI116" s="722"/>
    </row>
    <row r="117" spans="1:35" ht="13.5" customHeight="1" thickTop="1">
      <c r="A117" s="722"/>
      <c r="B117" s="312">
        <v>1</v>
      </c>
      <c r="C117" s="1925"/>
      <c r="D117" s="1926"/>
      <c r="E117" s="1926"/>
      <c r="F117" s="1926"/>
      <c r="G117" s="1926"/>
      <c r="H117" s="1926"/>
      <c r="I117" s="1926"/>
      <c r="J117" s="1927"/>
      <c r="K117" s="1928"/>
      <c r="L117" s="1929"/>
      <c r="M117" s="1930"/>
      <c r="N117" s="1931"/>
      <c r="O117" s="1932"/>
      <c r="P117" s="1908"/>
      <c r="Q117" s="1899"/>
      <c r="R117" s="1899"/>
      <c r="S117" s="1899"/>
      <c r="T117" s="1909"/>
      <c r="U117" s="1908"/>
      <c r="V117" s="1899"/>
      <c r="W117" s="1909"/>
      <c r="X117" s="1910">
        <f t="shared" si="39" ref="X117:X127">P117*U117</f>
        <v>0</v>
      </c>
      <c r="Y117" s="1911"/>
      <c r="Z117" s="1911"/>
      <c r="AA117" s="1911"/>
      <c r="AB117" s="1912"/>
      <c r="AC117" s="722"/>
      <c r="AD117" s="722"/>
      <c r="AE117" s="722"/>
      <c r="AF117" s="722"/>
      <c r="AG117" s="722"/>
      <c r="AH117" s="722"/>
      <c r="AI117" s="722"/>
    </row>
    <row r="118" spans="1:35">
      <c r="A118" s="722"/>
      <c r="B118" s="313">
        <v>2</v>
      </c>
      <c r="C118" s="1703"/>
      <c r="D118" s="1704"/>
      <c r="E118" s="1704"/>
      <c r="F118" s="1704"/>
      <c r="G118" s="1704"/>
      <c r="H118" s="1704"/>
      <c r="I118" s="1704"/>
      <c r="J118" s="1705"/>
      <c r="K118" s="1706"/>
      <c r="L118" s="1707"/>
      <c r="M118" s="1708"/>
      <c r="N118" s="1709"/>
      <c r="O118" s="1710"/>
      <c r="P118" s="1711"/>
      <c r="Q118" s="1712"/>
      <c r="R118" s="1712"/>
      <c r="S118" s="1712"/>
      <c r="T118" s="1713"/>
      <c r="U118" s="1711"/>
      <c r="V118" s="1712"/>
      <c r="W118" s="1713"/>
      <c r="X118" s="1714">
        <f t="shared" si="39">P118*U118</f>
        <v>0</v>
      </c>
      <c r="Y118" s="1715"/>
      <c r="Z118" s="1715"/>
      <c r="AA118" s="1715"/>
      <c r="AB118" s="1716"/>
      <c r="AC118" s="722"/>
      <c r="AD118" s="722"/>
      <c r="AE118" s="722"/>
      <c r="AF118" s="722"/>
      <c r="AG118" s="722"/>
      <c r="AH118" s="722"/>
      <c r="AI118" s="722"/>
    </row>
    <row r="119" spans="1:35">
      <c r="A119" s="722"/>
      <c r="B119" s="1465">
        <v>3</v>
      </c>
      <c r="C119" s="1703" t="s">
        <v>295</v>
      </c>
      <c r="D119" s="1704"/>
      <c r="E119" s="1704"/>
      <c r="F119" s="1704"/>
      <c r="G119" s="1704"/>
      <c r="H119" s="1704"/>
      <c r="I119" s="1704"/>
      <c r="J119" s="1705"/>
      <c r="K119" s="1706"/>
      <c r="L119" s="1707"/>
      <c r="M119" s="1708"/>
      <c r="N119" s="1709"/>
      <c r="O119" s="1710"/>
      <c r="P119" s="1711"/>
      <c r="Q119" s="1712"/>
      <c r="R119" s="1712"/>
      <c r="S119" s="1712"/>
      <c r="T119" s="1713"/>
      <c r="U119" s="1711"/>
      <c r="V119" s="1712"/>
      <c r="W119" s="1713"/>
      <c r="X119" s="1714">
        <f t="shared" si="39">P119*U119</f>
        <v>0</v>
      </c>
      <c r="Y119" s="1715"/>
      <c r="Z119" s="1715"/>
      <c r="AA119" s="1715"/>
      <c r="AB119" s="1716"/>
      <c r="AC119" s="722"/>
      <c r="AD119" s="722"/>
      <c r="AE119" s="722"/>
      <c r="AF119" s="722"/>
      <c r="AG119" s="722"/>
      <c r="AH119" s="722"/>
      <c r="AI119" s="722"/>
    </row>
    <row r="120" spans="1:35">
      <c r="A120" s="722"/>
      <c r="B120" s="313">
        <v>4</v>
      </c>
      <c r="C120" s="1703" t="s">
        <v>295</v>
      </c>
      <c r="D120" s="1704"/>
      <c r="E120" s="1704"/>
      <c r="F120" s="1704"/>
      <c r="G120" s="1704"/>
      <c r="H120" s="1704"/>
      <c r="I120" s="1704"/>
      <c r="J120" s="1705"/>
      <c r="K120" s="1706"/>
      <c r="L120" s="1707"/>
      <c r="M120" s="1708"/>
      <c r="N120" s="1709"/>
      <c r="O120" s="1710"/>
      <c r="P120" s="1711"/>
      <c r="Q120" s="1712"/>
      <c r="R120" s="1712"/>
      <c r="S120" s="1712"/>
      <c r="T120" s="1713"/>
      <c r="U120" s="1711"/>
      <c r="V120" s="1712"/>
      <c r="W120" s="1713"/>
      <c r="X120" s="1714">
        <f t="shared" si="39">P120*U120</f>
        <v>0</v>
      </c>
      <c r="Y120" s="1715"/>
      <c r="Z120" s="1715"/>
      <c r="AA120" s="1715"/>
      <c r="AB120" s="1716"/>
      <c r="AC120" s="722"/>
      <c r="AD120" s="722"/>
      <c r="AE120" s="722"/>
      <c r="AF120" s="722"/>
      <c r="AG120" s="722"/>
      <c r="AH120" s="722"/>
      <c r="AI120" s="722"/>
    </row>
    <row r="121" spans="1:35">
      <c r="A121" s="722"/>
      <c r="B121" s="1465">
        <v>5</v>
      </c>
      <c r="C121" s="1703"/>
      <c r="D121" s="1704"/>
      <c r="E121" s="1704"/>
      <c r="F121" s="1704"/>
      <c r="G121" s="1704"/>
      <c r="H121" s="1704"/>
      <c r="I121" s="1704"/>
      <c r="J121" s="1705"/>
      <c r="K121" s="1706"/>
      <c r="L121" s="1707"/>
      <c r="M121" s="1708"/>
      <c r="N121" s="1709"/>
      <c r="O121" s="1710"/>
      <c r="P121" s="1711"/>
      <c r="Q121" s="1712"/>
      <c r="R121" s="1712"/>
      <c r="S121" s="1712"/>
      <c r="T121" s="1713"/>
      <c r="U121" s="1711"/>
      <c r="V121" s="1712"/>
      <c r="W121" s="1713"/>
      <c r="X121" s="1714">
        <f t="shared" si="39">P121*U121</f>
        <v>0</v>
      </c>
      <c r="Y121" s="1715"/>
      <c r="Z121" s="1715"/>
      <c r="AA121" s="1715"/>
      <c r="AB121" s="1716"/>
      <c r="AC121" s="722"/>
      <c r="AD121" s="722"/>
      <c r="AE121" s="722"/>
      <c r="AF121" s="722"/>
      <c r="AG121" s="722"/>
      <c r="AH121" s="722"/>
      <c r="AI121" s="722"/>
    </row>
    <row r="122" spans="1:35">
      <c r="A122" s="722"/>
      <c r="B122" s="313">
        <v>6</v>
      </c>
      <c r="C122" s="1703" t="s">
        <v>295</v>
      </c>
      <c r="D122" s="1704"/>
      <c r="E122" s="1704"/>
      <c r="F122" s="1704"/>
      <c r="G122" s="1704"/>
      <c r="H122" s="1704"/>
      <c r="I122" s="1704"/>
      <c r="J122" s="1705"/>
      <c r="K122" s="1706"/>
      <c r="L122" s="1707"/>
      <c r="M122" s="1708"/>
      <c r="N122" s="1709"/>
      <c r="O122" s="1710"/>
      <c r="P122" s="1711"/>
      <c r="Q122" s="1712"/>
      <c r="R122" s="1712"/>
      <c r="S122" s="1712"/>
      <c r="T122" s="1713"/>
      <c r="U122" s="1711"/>
      <c r="V122" s="1712"/>
      <c r="W122" s="1713"/>
      <c r="X122" s="1714">
        <f t="shared" si="39">P122*U122</f>
        <v>0</v>
      </c>
      <c r="Y122" s="1715"/>
      <c r="Z122" s="1715"/>
      <c r="AA122" s="1715"/>
      <c r="AB122" s="1716"/>
      <c r="AC122" s="722"/>
      <c r="AD122" s="722"/>
      <c r="AE122" s="722"/>
      <c r="AF122" s="722"/>
      <c r="AG122" s="722"/>
      <c r="AH122" s="722"/>
      <c r="AI122" s="722"/>
    </row>
    <row r="123" spans="1:35">
      <c r="A123" s="722"/>
      <c r="B123" s="1465">
        <v>7</v>
      </c>
      <c r="C123" s="1703" t="s">
        <v>295</v>
      </c>
      <c r="D123" s="1704"/>
      <c r="E123" s="1704"/>
      <c r="F123" s="1704"/>
      <c r="G123" s="1704"/>
      <c r="H123" s="1704"/>
      <c r="I123" s="1704"/>
      <c r="J123" s="1705"/>
      <c r="K123" s="1706"/>
      <c r="L123" s="1707"/>
      <c r="M123" s="1708"/>
      <c r="N123" s="1709"/>
      <c r="O123" s="1710"/>
      <c r="P123" s="1711"/>
      <c r="Q123" s="1712"/>
      <c r="R123" s="1712"/>
      <c r="S123" s="1712"/>
      <c r="T123" s="1713"/>
      <c r="U123" s="1711"/>
      <c r="V123" s="1712"/>
      <c r="W123" s="1713"/>
      <c r="X123" s="1714">
        <f t="shared" si="39">P123*U123</f>
        <v>0</v>
      </c>
      <c r="Y123" s="1715"/>
      <c r="Z123" s="1715"/>
      <c r="AA123" s="1715"/>
      <c r="AB123" s="1716"/>
      <c r="AC123" s="722"/>
      <c r="AD123" s="722"/>
      <c r="AE123" s="722"/>
      <c r="AF123" s="722"/>
      <c r="AG123" s="722"/>
      <c r="AH123" s="722"/>
      <c r="AI123" s="722"/>
    </row>
    <row r="124" spans="1:35">
      <c r="A124" s="722"/>
      <c r="B124" s="313">
        <v>8</v>
      </c>
      <c r="C124" s="1703"/>
      <c r="D124" s="1704"/>
      <c r="E124" s="1704"/>
      <c r="F124" s="1704"/>
      <c r="G124" s="1704"/>
      <c r="H124" s="1704"/>
      <c r="I124" s="1704"/>
      <c r="J124" s="1705"/>
      <c r="K124" s="1706"/>
      <c r="L124" s="1707"/>
      <c r="M124" s="1708"/>
      <c r="N124" s="1709"/>
      <c r="O124" s="1710"/>
      <c r="P124" s="1711"/>
      <c r="Q124" s="1712"/>
      <c r="R124" s="1712"/>
      <c r="S124" s="1712"/>
      <c r="T124" s="1713"/>
      <c r="U124" s="1711"/>
      <c r="V124" s="1712"/>
      <c r="W124" s="1713"/>
      <c r="X124" s="1714">
        <f t="shared" si="39">P124*U124</f>
        <v>0</v>
      </c>
      <c r="Y124" s="1715"/>
      <c r="Z124" s="1715"/>
      <c r="AA124" s="1715"/>
      <c r="AB124" s="1716"/>
      <c r="AC124" s="722"/>
      <c r="AD124" s="722"/>
      <c r="AE124" s="722"/>
      <c r="AF124" s="722"/>
      <c r="AG124" s="722"/>
      <c r="AH124" s="722"/>
      <c r="AI124" s="722"/>
    </row>
    <row r="125" spans="1:35">
      <c r="A125" s="722"/>
      <c r="B125" s="1465">
        <v>9</v>
      </c>
      <c r="C125" s="1703" t="s">
        <v>295</v>
      </c>
      <c r="D125" s="1704"/>
      <c r="E125" s="1704"/>
      <c r="F125" s="1704"/>
      <c r="G125" s="1704"/>
      <c r="H125" s="1704"/>
      <c r="I125" s="1704"/>
      <c r="J125" s="1705"/>
      <c r="K125" s="1706"/>
      <c r="L125" s="1707"/>
      <c r="M125" s="1708"/>
      <c r="N125" s="1709"/>
      <c r="O125" s="1710"/>
      <c r="P125" s="1711"/>
      <c r="Q125" s="1712"/>
      <c r="R125" s="1712"/>
      <c r="S125" s="1712"/>
      <c r="T125" s="1713"/>
      <c r="U125" s="1711"/>
      <c r="V125" s="1712"/>
      <c r="W125" s="1713"/>
      <c r="X125" s="1714">
        <f t="shared" si="39">P125*U125</f>
        <v>0</v>
      </c>
      <c r="Y125" s="1715"/>
      <c r="Z125" s="1715"/>
      <c r="AA125" s="1715"/>
      <c r="AB125" s="1716"/>
      <c r="AC125" s="722"/>
      <c r="AD125" s="722"/>
      <c r="AE125" s="722"/>
      <c r="AF125" s="722"/>
      <c r="AG125" s="722"/>
      <c r="AH125" s="722"/>
      <c r="AI125" s="722"/>
    </row>
    <row r="126" spans="1:35">
      <c r="A126" s="722"/>
      <c r="B126" s="313">
        <v>10</v>
      </c>
      <c r="C126" s="1703" t="s">
        <v>295</v>
      </c>
      <c r="D126" s="1704"/>
      <c r="E126" s="1704"/>
      <c r="F126" s="1704"/>
      <c r="G126" s="1704"/>
      <c r="H126" s="1704"/>
      <c r="I126" s="1704"/>
      <c r="J126" s="1705"/>
      <c r="K126" s="1706"/>
      <c r="L126" s="1707"/>
      <c r="M126" s="1708"/>
      <c r="N126" s="1709"/>
      <c r="O126" s="1710"/>
      <c r="P126" s="1711"/>
      <c r="Q126" s="1712"/>
      <c r="R126" s="1712"/>
      <c r="S126" s="1712"/>
      <c r="T126" s="1713"/>
      <c r="U126" s="1711"/>
      <c r="V126" s="1712"/>
      <c r="W126" s="1713"/>
      <c r="X126" s="1714">
        <f t="shared" si="39">P126*U126</f>
        <v>0</v>
      </c>
      <c r="Y126" s="1715"/>
      <c r="Z126" s="1715"/>
      <c r="AA126" s="1715"/>
      <c r="AB126" s="1716"/>
      <c r="AC126" s="722"/>
      <c r="AD126" s="722"/>
      <c r="AE126" s="722"/>
      <c r="AF126" s="722"/>
      <c r="AG126" s="722"/>
      <c r="AH126" s="722"/>
      <c r="AI126" s="722"/>
    </row>
    <row r="127" spans="1:35" ht="13.5" customHeight="1" thickBot="1">
      <c r="A127" s="722"/>
      <c r="B127" s="314" t="s">
        <v>504</v>
      </c>
      <c r="C127" s="1917" t="s">
        <v>295</v>
      </c>
      <c r="D127" s="1918"/>
      <c r="E127" s="1918"/>
      <c r="F127" s="1918"/>
      <c r="G127" s="1918"/>
      <c r="H127" s="1918"/>
      <c r="I127" s="1918"/>
      <c r="J127" s="1919"/>
      <c r="K127" s="1920"/>
      <c r="L127" s="1921"/>
      <c r="M127" s="1922"/>
      <c r="N127" s="1923"/>
      <c r="O127" s="1924"/>
      <c r="P127" s="1751"/>
      <c r="Q127" s="1752"/>
      <c r="R127" s="1752"/>
      <c r="S127" s="1752"/>
      <c r="T127" s="1753"/>
      <c r="U127" s="1751"/>
      <c r="V127" s="1752"/>
      <c r="W127" s="1753"/>
      <c r="X127" s="1754">
        <f t="shared" si="39">P127*U127</f>
        <v>0</v>
      </c>
      <c r="Y127" s="1755"/>
      <c r="Z127" s="1755"/>
      <c r="AA127" s="1755"/>
      <c r="AB127" s="1756"/>
      <c r="AC127" s="722"/>
      <c r="AD127" s="722"/>
      <c r="AE127" s="722"/>
      <c r="AF127" s="722"/>
      <c r="AG127" s="722"/>
      <c r="AH127" s="722"/>
      <c r="AI127" s="722"/>
    </row>
    <row r="128" spans="1:35" ht="13.5" customHeight="1" thickTop="1" thickBot="1">
      <c r="A128" s="722"/>
      <c r="B128" s="722"/>
      <c r="C128" s="722"/>
      <c r="D128" s="722"/>
      <c r="E128" s="722"/>
      <c r="F128" s="722"/>
      <c r="G128" s="722"/>
      <c r="H128" s="722"/>
      <c r="I128" s="722"/>
      <c r="J128" s="722"/>
      <c r="K128" s="722"/>
      <c r="L128" s="722"/>
      <c r="M128" s="742"/>
      <c r="N128" s="742"/>
      <c r="O128" s="742"/>
      <c r="P128" s="726"/>
      <c r="Q128" s="726"/>
      <c r="R128" s="726"/>
      <c r="S128" s="726"/>
      <c r="T128" s="726"/>
      <c r="U128" s="743"/>
      <c r="V128" s="743"/>
      <c r="W128" s="743"/>
      <c r="X128" s="743"/>
      <c r="Y128" s="743"/>
      <c r="Z128" s="743"/>
      <c r="AA128" s="743"/>
      <c r="AB128" s="743"/>
      <c r="AC128" s="722"/>
      <c r="AD128" s="722"/>
      <c r="AE128" s="722"/>
      <c r="AF128" s="722"/>
      <c r="AG128" s="722"/>
      <c r="AH128" s="722"/>
      <c r="AI128" s="722"/>
    </row>
    <row r="129" spans="1:35" ht="13.5" customHeight="1" thickTop="1" thickBot="1">
      <c r="A129" s="722"/>
      <c r="B129" s="722" t="s">
        <v>518</v>
      </c>
      <c r="C129" s="722"/>
      <c r="D129" s="722"/>
      <c r="E129" s="722"/>
      <c r="F129" s="722"/>
      <c r="G129" s="722"/>
      <c r="H129" s="722"/>
      <c r="I129" s="722"/>
      <c r="J129" s="722"/>
      <c r="K129" s="722"/>
      <c r="L129" s="722"/>
      <c r="M129" s="742"/>
      <c r="N129" s="742"/>
      <c r="O129" s="742"/>
      <c r="P129" s="1836">
        <f>SUM(P117:T127)</f>
        <v>0</v>
      </c>
      <c r="Q129" s="1837"/>
      <c r="R129" s="1837"/>
      <c r="S129" s="1837"/>
      <c r="T129" s="1838"/>
      <c r="U129" s="744"/>
      <c r="V129" s="744"/>
      <c r="W129" s="744"/>
      <c r="X129" s="1657">
        <f>SUM(X117:AB127)</f>
        <v>0</v>
      </c>
      <c r="Y129" s="1658"/>
      <c r="Z129" s="1658"/>
      <c r="AA129" s="1658"/>
      <c r="AB129" s="1659"/>
      <c r="AC129" s="722"/>
      <c r="AD129" s="722"/>
      <c r="AE129" s="722"/>
      <c r="AF129" s="722"/>
      <c r="AG129" s="722"/>
      <c r="AH129" s="722"/>
      <c r="AI129" s="722"/>
    </row>
    <row r="130" spans="1:35" ht="13.5" customHeight="1" thickTop="1">
      <c r="A130" s="722"/>
      <c r="B130" s="722"/>
      <c r="C130" s="722"/>
      <c r="D130" s="722"/>
      <c r="E130" s="722"/>
      <c r="F130" s="722"/>
      <c r="G130" s="722"/>
      <c r="H130" s="722"/>
      <c r="I130" s="722"/>
      <c r="J130" s="722"/>
      <c r="K130" s="722"/>
      <c r="L130" s="722"/>
      <c r="M130" s="742"/>
      <c r="N130" s="742"/>
      <c r="O130" s="742"/>
      <c r="P130" s="726"/>
      <c r="Q130" s="726"/>
      <c r="R130" s="726"/>
      <c r="S130" s="726"/>
      <c r="T130" s="726"/>
      <c r="U130" s="743"/>
      <c r="V130" s="743"/>
      <c r="W130" s="743"/>
      <c r="X130" s="743"/>
      <c r="Y130" s="743"/>
      <c r="Z130" s="743"/>
      <c r="AA130" s="743"/>
      <c r="AB130" s="743"/>
      <c r="AC130" s="722"/>
      <c r="AD130" s="722"/>
      <c r="AE130" s="722"/>
      <c r="AF130" s="722"/>
      <c r="AG130" s="722"/>
      <c r="AH130" s="722"/>
      <c r="AI130" s="722"/>
    </row>
    <row r="131" spans="1:35" ht="13.5" customHeight="1">
      <c r="A131" s="722"/>
      <c r="B131" s="721" t="s">
        <v>519</v>
      </c>
      <c r="C131" s="722"/>
      <c r="D131" s="722"/>
      <c r="E131" s="722"/>
      <c r="F131" s="722"/>
      <c r="G131" s="722"/>
      <c r="H131" s="722"/>
      <c r="I131" s="722"/>
      <c r="J131" s="722"/>
      <c r="K131" s="722"/>
      <c r="L131" s="722"/>
      <c r="M131" s="742"/>
      <c r="N131" s="742"/>
      <c r="O131" s="742"/>
      <c r="P131" s="726"/>
      <c r="Q131" s="726"/>
      <c r="R131" s="726"/>
      <c r="S131" s="726"/>
      <c r="T131" s="726"/>
      <c r="U131" s="743"/>
      <c r="V131" s="743"/>
      <c r="W131" s="743"/>
      <c r="X131" s="743"/>
      <c r="Y131" s="743"/>
      <c r="Z131" s="743"/>
      <c r="AA131" s="743"/>
      <c r="AB131" s="743"/>
      <c r="AC131" s="722"/>
      <c r="AD131" s="722"/>
      <c r="AE131" s="722"/>
      <c r="AF131" s="722"/>
      <c r="AG131" s="722"/>
      <c r="AH131" s="722"/>
      <c r="AI131" s="722"/>
    </row>
    <row r="132" spans="1:35" ht="13.5" customHeight="1" thickBot="1">
      <c r="A132" s="722"/>
      <c r="B132" s="722"/>
      <c r="C132" s="722"/>
      <c r="D132" s="722"/>
      <c r="E132" s="722"/>
      <c r="F132" s="722"/>
      <c r="G132" s="722"/>
      <c r="H132" s="722"/>
      <c r="I132" s="722"/>
      <c r="J132" s="722"/>
      <c r="K132" s="722"/>
      <c r="L132" s="722"/>
      <c r="M132" s="742"/>
      <c r="N132" s="742"/>
      <c r="O132" s="742"/>
      <c r="P132" s="726"/>
      <c r="Q132" s="726"/>
      <c r="R132" s="726"/>
      <c r="S132" s="726"/>
      <c r="T132" s="726"/>
      <c r="U132" s="743"/>
      <c r="V132" s="743"/>
      <c r="W132" s="743"/>
      <c r="X132" s="743"/>
      <c r="Y132" s="743"/>
      <c r="Z132" s="743"/>
      <c r="AA132" s="743"/>
      <c r="AB132" s="743"/>
      <c r="AC132" s="722"/>
      <c r="AD132" s="722"/>
      <c r="AE132" s="722"/>
      <c r="AF132" s="722"/>
      <c r="AG132" s="722"/>
      <c r="AH132" s="722"/>
      <c r="AI132" s="722"/>
    </row>
    <row r="133" spans="1:35" ht="13.5" customHeight="1" thickTop="1">
      <c r="A133" s="722"/>
      <c r="B133" s="312">
        <v>1</v>
      </c>
      <c r="C133" s="1925"/>
      <c r="D133" s="1926"/>
      <c r="E133" s="1926"/>
      <c r="F133" s="1926"/>
      <c r="G133" s="1926"/>
      <c r="H133" s="1926"/>
      <c r="I133" s="1926"/>
      <c r="J133" s="1927"/>
      <c r="K133" s="1928"/>
      <c r="L133" s="1929"/>
      <c r="M133" s="1930"/>
      <c r="N133" s="1931"/>
      <c r="O133" s="1932"/>
      <c r="P133" s="1908"/>
      <c r="Q133" s="1899"/>
      <c r="R133" s="1899"/>
      <c r="S133" s="1899"/>
      <c r="T133" s="1909"/>
      <c r="U133" s="1908"/>
      <c r="V133" s="1899"/>
      <c r="W133" s="1909"/>
      <c r="X133" s="1910">
        <f t="shared" si="40" ref="X133:X143">P133*U133</f>
        <v>0</v>
      </c>
      <c r="Y133" s="1911"/>
      <c r="Z133" s="1911"/>
      <c r="AA133" s="1911"/>
      <c r="AB133" s="1912"/>
      <c r="AC133" s="722"/>
      <c r="AD133" s="722"/>
      <c r="AE133" s="722"/>
      <c r="AF133" s="722"/>
      <c r="AG133" s="722"/>
      <c r="AH133" s="722"/>
      <c r="AI133" s="722"/>
    </row>
    <row r="134" spans="1:35">
      <c r="A134" s="722"/>
      <c r="B134" s="313">
        <v>2</v>
      </c>
      <c r="C134" s="1703"/>
      <c r="D134" s="1704"/>
      <c r="E134" s="1704"/>
      <c r="F134" s="1704"/>
      <c r="G134" s="1704"/>
      <c r="H134" s="1704"/>
      <c r="I134" s="1704"/>
      <c r="J134" s="1705"/>
      <c r="K134" s="1706"/>
      <c r="L134" s="1707"/>
      <c r="M134" s="1708"/>
      <c r="N134" s="1709"/>
      <c r="O134" s="1710"/>
      <c r="P134" s="1711"/>
      <c r="Q134" s="1712"/>
      <c r="R134" s="1712"/>
      <c r="S134" s="1712"/>
      <c r="T134" s="1713"/>
      <c r="U134" s="1711"/>
      <c r="V134" s="1712"/>
      <c r="W134" s="1713"/>
      <c r="X134" s="1714">
        <f t="shared" si="40">P134*U134</f>
        <v>0</v>
      </c>
      <c r="Y134" s="1715"/>
      <c r="Z134" s="1715"/>
      <c r="AA134" s="1715"/>
      <c r="AB134" s="1716"/>
      <c r="AC134" s="722"/>
      <c r="AD134" s="722"/>
      <c r="AE134" s="722"/>
      <c r="AF134" s="722"/>
      <c r="AG134" s="722"/>
      <c r="AH134" s="722"/>
      <c r="AI134" s="722"/>
    </row>
    <row r="135" spans="1:35">
      <c r="A135" s="722"/>
      <c r="B135" s="1465">
        <v>3</v>
      </c>
      <c r="C135" s="1703"/>
      <c r="D135" s="1704"/>
      <c r="E135" s="1704"/>
      <c r="F135" s="1704"/>
      <c r="G135" s="1704"/>
      <c r="H135" s="1704"/>
      <c r="I135" s="1704"/>
      <c r="J135" s="1705"/>
      <c r="K135" s="1706"/>
      <c r="L135" s="1707"/>
      <c r="M135" s="1708"/>
      <c r="N135" s="1709"/>
      <c r="O135" s="1710"/>
      <c r="P135" s="1711"/>
      <c r="Q135" s="1712"/>
      <c r="R135" s="1712"/>
      <c r="S135" s="1712"/>
      <c r="T135" s="1713"/>
      <c r="U135" s="1711"/>
      <c r="V135" s="1712"/>
      <c r="W135" s="1713"/>
      <c r="X135" s="1714">
        <f t="shared" si="40">P135*U135</f>
        <v>0</v>
      </c>
      <c r="Y135" s="1715"/>
      <c r="Z135" s="1715"/>
      <c r="AA135" s="1715"/>
      <c r="AB135" s="1716"/>
      <c r="AC135" s="722"/>
      <c r="AD135" s="722"/>
      <c r="AE135" s="722"/>
      <c r="AF135" s="722"/>
      <c r="AG135" s="722"/>
      <c r="AH135" s="722"/>
      <c r="AI135" s="722"/>
    </row>
    <row r="136" spans="1:35">
      <c r="A136" s="722"/>
      <c r="B136" s="313">
        <v>4</v>
      </c>
      <c r="C136" s="1703" t="s">
        <v>295</v>
      </c>
      <c r="D136" s="1704"/>
      <c r="E136" s="1704"/>
      <c r="F136" s="1704"/>
      <c r="G136" s="1704"/>
      <c r="H136" s="1704"/>
      <c r="I136" s="1704"/>
      <c r="J136" s="1705"/>
      <c r="K136" s="1706"/>
      <c r="L136" s="1707"/>
      <c r="M136" s="1708"/>
      <c r="N136" s="1709"/>
      <c r="O136" s="1710"/>
      <c r="P136" s="1711"/>
      <c r="Q136" s="1712"/>
      <c r="R136" s="1712"/>
      <c r="S136" s="1712"/>
      <c r="T136" s="1713"/>
      <c r="U136" s="1711"/>
      <c r="V136" s="1712"/>
      <c r="W136" s="1713"/>
      <c r="X136" s="1714">
        <f t="shared" si="40">P136*U136</f>
        <v>0</v>
      </c>
      <c r="Y136" s="1715"/>
      <c r="Z136" s="1715"/>
      <c r="AA136" s="1715"/>
      <c r="AB136" s="1716"/>
      <c r="AC136" s="722"/>
      <c r="AD136" s="722"/>
      <c r="AE136" s="722"/>
      <c r="AF136" s="722"/>
      <c r="AG136" s="722"/>
      <c r="AH136" s="722"/>
      <c r="AI136" s="722"/>
    </row>
    <row r="137" spans="1:35">
      <c r="A137" s="722"/>
      <c r="B137" s="1465">
        <v>5</v>
      </c>
      <c r="C137" s="1703"/>
      <c r="D137" s="1704"/>
      <c r="E137" s="1704"/>
      <c r="F137" s="1704"/>
      <c r="G137" s="1704"/>
      <c r="H137" s="1704"/>
      <c r="I137" s="1704"/>
      <c r="J137" s="1705"/>
      <c r="K137" s="1706"/>
      <c r="L137" s="1707"/>
      <c r="M137" s="1708"/>
      <c r="N137" s="1709"/>
      <c r="O137" s="1710"/>
      <c r="P137" s="1711"/>
      <c r="Q137" s="1712"/>
      <c r="R137" s="1712"/>
      <c r="S137" s="1712"/>
      <c r="T137" s="1713"/>
      <c r="U137" s="1711"/>
      <c r="V137" s="1712"/>
      <c r="W137" s="1713"/>
      <c r="X137" s="1714">
        <f t="shared" si="40">P137*U137</f>
        <v>0</v>
      </c>
      <c r="Y137" s="1715"/>
      <c r="Z137" s="1715"/>
      <c r="AA137" s="1715"/>
      <c r="AB137" s="1716"/>
      <c r="AC137" s="722"/>
      <c r="AD137" s="722"/>
      <c r="AE137" s="722"/>
      <c r="AF137" s="722"/>
      <c r="AG137" s="722"/>
      <c r="AH137" s="722"/>
      <c r="AI137" s="722"/>
    </row>
    <row r="138" spans="1:35">
      <c r="A138" s="722"/>
      <c r="B138" s="313">
        <v>6</v>
      </c>
      <c r="C138" s="1703"/>
      <c r="D138" s="1704"/>
      <c r="E138" s="1704"/>
      <c r="F138" s="1704"/>
      <c r="G138" s="1704"/>
      <c r="H138" s="1704"/>
      <c r="I138" s="1704"/>
      <c r="J138" s="1705"/>
      <c r="K138" s="1706"/>
      <c r="L138" s="1707"/>
      <c r="M138" s="1708"/>
      <c r="N138" s="1709"/>
      <c r="O138" s="1710"/>
      <c r="P138" s="1711"/>
      <c r="Q138" s="1712"/>
      <c r="R138" s="1712"/>
      <c r="S138" s="1712"/>
      <c r="T138" s="1713"/>
      <c r="U138" s="1711"/>
      <c r="V138" s="1712"/>
      <c r="W138" s="1713"/>
      <c r="X138" s="1714">
        <f t="shared" si="40">P138*U138</f>
        <v>0</v>
      </c>
      <c r="Y138" s="1715"/>
      <c r="Z138" s="1715"/>
      <c r="AA138" s="1715"/>
      <c r="AB138" s="1716"/>
      <c r="AC138" s="722"/>
      <c r="AD138" s="722"/>
      <c r="AE138" s="722"/>
      <c r="AF138" s="722"/>
      <c r="AG138" s="722"/>
      <c r="AH138" s="722"/>
      <c r="AI138" s="722"/>
    </row>
    <row r="139" spans="1:35">
      <c r="A139" s="722"/>
      <c r="B139" s="1465">
        <v>7</v>
      </c>
      <c r="C139" s="1703" t="s">
        <v>295</v>
      </c>
      <c r="D139" s="1704"/>
      <c r="E139" s="1704"/>
      <c r="F139" s="1704"/>
      <c r="G139" s="1704"/>
      <c r="H139" s="1704"/>
      <c r="I139" s="1704"/>
      <c r="J139" s="1705"/>
      <c r="K139" s="1706"/>
      <c r="L139" s="1707"/>
      <c r="M139" s="1708"/>
      <c r="N139" s="1709"/>
      <c r="O139" s="1710"/>
      <c r="P139" s="1711"/>
      <c r="Q139" s="1712"/>
      <c r="R139" s="1712"/>
      <c r="S139" s="1712"/>
      <c r="T139" s="1713"/>
      <c r="U139" s="1711"/>
      <c r="V139" s="1712"/>
      <c r="W139" s="1713"/>
      <c r="X139" s="1714">
        <f t="shared" si="40">P139*U139</f>
        <v>0</v>
      </c>
      <c r="Y139" s="1715"/>
      <c r="Z139" s="1715"/>
      <c r="AA139" s="1715"/>
      <c r="AB139" s="1716"/>
      <c r="AC139" s="722"/>
      <c r="AD139" s="722"/>
      <c r="AE139" s="722"/>
      <c r="AF139" s="722"/>
      <c r="AG139" s="722"/>
      <c r="AH139" s="722"/>
      <c r="AI139" s="722"/>
    </row>
    <row r="140" spans="1:35">
      <c r="A140" s="722"/>
      <c r="B140" s="313">
        <v>8</v>
      </c>
      <c r="C140" s="1703"/>
      <c r="D140" s="1704"/>
      <c r="E140" s="1704"/>
      <c r="F140" s="1704"/>
      <c r="G140" s="1704"/>
      <c r="H140" s="1704"/>
      <c r="I140" s="1704"/>
      <c r="J140" s="1705"/>
      <c r="K140" s="1706"/>
      <c r="L140" s="1707"/>
      <c r="M140" s="1708"/>
      <c r="N140" s="1709"/>
      <c r="O140" s="1710"/>
      <c r="P140" s="1711"/>
      <c r="Q140" s="1712"/>
      <c r="R140" s="1712"/>
      <c r="S140" s="1712"/>
      <c r="T140" s="1713"/>
      <c r="U140" s="1711"/>
      <c r="V140" s="1712"/>
      <c r="W140" s="1713"/>
      <c r="X140" s="1714">
        <f t="shared" si="40">P140*U140</f>
        <v>0</v>
      </c>
      <c r="Y140" s="1715"/>
      <c r="Z140" s="1715"/>
      <c r="AA140" s="1715"/>
      <c r="AB140" s="1716"/>
      <c r="AC140" s="722"/>
      <c r="AD140" s="722"/>
      <c r="AE140" s="722"/>
      <c r="AF140" s="722"/>
      <c r="AG140" s="722"/>
      <c r="AH140" s="722"/>
      <c r="AI140" s="722"/>
    </row>
    <row r="141" spans="1:35">
      <c r="A141" s="722"/>
      <c r="B141" s="1465">
        <v>9</v>
      </c>
      <c r="C141" s="1703"/>
      <c r="D141" s="1704"/>
      <c r="E141" s="1704"/>
      <c r="F141" s="1704"/>
      <c r="G141" s="1704"/>
      <c r="H141" s="1704"/>
      <c r="I141" s="1704"/>
      <c r="J141" s="1705"/>
      <c r="K141" s="1706"/>
      <c r="L141" s="1707"/>
      <c r="M141" s="1708"/>
      <c r="N141" s="1709"/>
      <c r="O141" s="1710"/>
      <c r="P141" s="1711"/>
      <c r="Q141" s="1712"/>
      <c r="R141" s="1712"/>
      <c r="S141" s="1712"/>
      <c r="T141" s="1713"/>
      <c r="U141" s="1711"/>
      <c r="V141" s="1712"/>
      <c r="W141" s="1713"/>
      <c r="X141" s="1714">
        <f t="shared" si="40">P141*U141</f>
        <v>0</v>
      </c>
      <c r="Y141" s="1715"/>
      <c r="Z141" s="1715"/>
      <c r="AA141" s="1715"/>
      <c r="AB141" s="1716"/>
      <c r="AC141" s="722"/>
      <c r="AD141" s="722"/>
      <c r="AE141" s="722"/>
      <c r="AF141" s="722"/>
      <c r="AG141" s="722"/>
      <c r="AH141" s="722"/>
      <c r="AI141" s="722"/>
    </row>
    <row r="142" spans="1:35">
      <c r="A142" s="722"/>
      <c r="B142" s="313">
        <v>10</v>
      </c>
      <c r="C142" s="1703" t="s">
        <v>295</v>
      </c>
      <c r="D142" s="1704"/>
      <c r="E142" s="1704"/>
      <c r="F142" s="1704"/>
      <c r="G142" s="1704"/>
      <c r="H142" s="1704"/>
      <c r="I142" s="1704"/>
      <c r="J142" s="1705"/>
      <c r="K142" s="1706"/>
      <c r="L142" s="1707"/>
      <c r="M142" s="1708"/>
      <c r="N142" s="1709"/>
      <c r="O142" s="1710"/>
      <c r="P142" s="1711"/>
      <c r="Q142" s="1712"/>
      <c r="R142" s="1712"/>
      <c r="S142" s="1712"/>
      <c r="T142" s="1713"/>
      <c r="U142" s="1711"/>
      <c r="V142" s="1712"/>
      <c r="W142" s="1713"/>
      <c r="X142" s="1714">
        <f t="shared" si="40">P142*U142</f>
        <v>0</v>
      </c>
      <c r="Y142" s="1715"/>
      <c r="Z142" s="1715"/>
      <c r="AA142" s="1715"/>
      <c r="AB142" s="1716"/>
      <c r="AC142" s="722"/>
      <c r="AD142" s="722"/>
      <c r="AE142" s="722"/>
      <c r="AF142" s="722"/>
      <c r="AG142" s="722"/>
      <c r="AH142" s="722"/>
      <c r="AI142" s="722"/>
    </row>
    <row r="143" spans="1:35" ht="13.5" customHeight="1" thickBot="1">
      <c r="A143" s="722"/>
      <c r="B143" s="314" t="s">
        <v>504</v>
      </c>
      <c r="C143" s="1917" t="s">
        <v>295</v>
      </c>
      <c r="D143" s="1918"/>
      <c r="E143" s="1918"/>
      <c r="F143" s="1918"/>
      <c r="G143" s="1918"/>
      <c r="H143" s="1918"/>
      <c r="I143" s="1918"/>
      <c r="J143" s="1919"/>
      <c r="K143" s="1920"/>
      <c r="L143" s="1921"/>
      <c r="M143" s="1922"/>
      <c r="N143" s="1923"/>
      <c r="O143" s="1924"/>
      <c r="P143" s="1751"/>
      <c r="Q143" s="1752"/>
      <c r="R143" s="1752"/>
      <c r="S143" s="1752"/>
      <c r="T143" s="1753"/>
      <c r="U143" s="1751"/>
      <c r="V143" s="1752"/>
      <c r="W143" s="1753"/>
      <c r="X143" s="1754">
        <f t="shared" si="40">P143*U143</f>
        <v>0</v>
      </c>
      <c r="Y143" s="1755"/>
      <c r="Z143" s="1755"/>
      <c r="AA143" s="1755"/>
      <c r="AB143" s="1756"/>
      <c r="AC143" s="722"/>
      <c r="AD143" s="722"/>
      <c r="AE143" s="722"/>
      <c r="AF143" s="722"/>
      <c r="AG143" s="722"/>
      <c r="AH143" s="722"/>
      <c r="AI143" s="722"/>
    </row>
    <row r="144" spans="1:35" ht="13.5" customHeight="1" thickTop="1" thickBot="1">
      <c r="A144" s="722"/>
      <c r="B144" s="722"/>
      <c r="C144" s="722"/>
      <c r="D144" s="722"/>
      <c r="E144" s="722"/>
      <c r="F144" s="722"/>
      <c r="G144" s="722"/>
      <c r="H144" s="722"/>
      <c r="I144" s="722"/>
      <c r="J144" s="722"/>
      <c r="K144" s="722"/>
      <c r="L144" s="722"/>
      <c r="M144" s="722"/>
      <c r="N144" s="722"/>
      <c r="O144" s="722"/>
      <c r="P144" s="722"/>
      <c r="Q144" s="722"/>
      <c r="R144" s="722"/>
      <c r="S144" s="722"/>
      <c r="T144" s="722"/>
      <c r="U144" s="722"/>
      <c r="V144" s="722"/>
      <c r="W144" s="722"/>
      <c r="X144" s="743"/>
      <c r="Y144" s="743"/>
      <c r="Z144" s="743"/>
      <c r="AA144" s="743"/>
      <c r="AB144" s="743"/>
      <c r="AC144" s="722"/>
      <c r="AD144" s="722"/>
      <c r="AE144" s="722"/>
      <c r="AF144" s="722"/>
      <c r="AG144" s="722"/>
      <c r="AH144" s="722"/>
      <c r="AI144" s="722"/>
    </row>
    <row r="145" spans="1:35" ht="13.5" customHeight="1" thickTop="1" thickBot="1">
      <c r="A145" s="722"/>
      <c r="B145" s="722" t="s">
        <v>520</v>
      </c>
      <c r="C145" s="722"/>
      <c r="D145" s="722"/>
      <c r="E145" s="722"/>
      <c r="F145" s="722"/>
      <c r="G145" s="722"/>
      <c r="H145" s="722"/>
      <c r="I145" s="722"/>
      <c r="J145" s="722"/>
      <c r="K145" s="722"/>
      <c r="L145" s="722"/>
      <c r="M145" s="722"/>
      <c r="N145" s="722"/>
      <c r="O145" s="722"/>
      <c r="P145" s="1836">
        <f>SUM(P133:T143)</f>
        <v>0</v>
      </c>
      <c r="Q145" s="1837"/>
      <c r="R145" s="1837"/>
      <c r="S145" s="1837"/>
      <c r="T145" s="1838"/>
      <c r="U145" s="735"/>
      <c r="V145" s="735"/>
      <c r="W145" s="735"/>
      <c r="X145" s="1657">
        <f>SUM(X133:AB143)</f>
        <v>0</v>
      </c>
      <c r="Y145" s="1658"/>
      <c r="Z145" s="1658"/>
      <c r="AA145" s="1658"/>
      <c r="AB145" s="1659"/>
      <c r="AC145" s="722"/>
      <c r="AD145" s="722"/>
      <c r="AE145" s="722"/>
      <c r="AF145" s="722"/>
      <c r="AG145" s="722"/>
      <c r="AH145" s="722"/>
      <c r="AI145" s="722"/>
    </row>
    <row r="146" spans="1:35" ht="13.5" customHeight="1" thickTop="1">
      <c r="A146" s="722"/>
      <c r="B146" s="722"/>
      <c r="C146" s="722"/>
      <c r="D146" s="722"/>
      <c r="E146" s="722"/>
      <c r="F146" s="722"/>
      <c r="G146" s="722"/>
      <c r="H146" s="722"/>
      <c r="I146" s="722"/>
      <c r="J146" s="722"/>
      <c r="K146" s="722"/>
      <c r="L146" s="722"/>
      <c r="M146" s="722"/>
      <c r="N146" s="722"/>
      <c r="O146" s="722"/>
      <c r="P146" s="722"/>
      <c r="Q146" s="722"/>
      <c r="R146" s="722"/>
      <c r="S146" s="722"/>
      <c r="T146" s="722"/>
      <c r="U146" s="722"/>
      <c r="V146" s="722"/>
      <c r="W146" s="722"/>
      <c r="X146" s="722"/>
      <c r="Y146" s="722"/>
      <c r="Z146" s="722"/>
      <c r="AA146" s="722"/>
      <c r="AB146" s="722"/>
      <c r="AC146" s="722"/>
      <c r="AD146" s="722"/>
      <c r="AE146" s="722"/>
      <c r="AF146" s="722"/>
      <c r="AG146" s="722"/>
      <c r="AH146" s="722"/>
      <c r="AI146" s="722"/>
    </row>
    <row r="147" spans="1:35" ht="13.5" customHeight="1">
      <c r="A147" s="722"/>
      <c r="B147" s="721" t="s">
        <v>521</v>
      </c>
      <c r="C147" s="722"/>
      <c r="D147" s="722"/>
      <c r="E147" s="722"/>
      <c r="F147" s="722"/>
      <c r="G147" s="722"/>
      <c r="H147" s="722"/>
      <c r="I147" s="722"/>
      <c r="J147" s="722"/>
      <c r="K147" s="722"/>
      <c r="L147" s="722"/>
      <c r="M147" s="722"/>
      <c r="N147" s="722"/>
      <c r="O147" s="722"/>
      <c r="P147" s="722"/>
      <c r="Q147" s="722"/>
      <c r="R147" s="722"/>
      <c r="S147" s="722"/>
      <c r="T147" s="722"/>
      <c r="U147" s="722"/>
      <c r="V147" s="722"/>
      <c r="W147" s="722"/>
      <c r="X147" s="722"/>
      <c r="Y147" s="722"/>
      <c r="Z147" s="722"/>
      <c r="AA147" s="722"/>
      <c r="AB147" s="722"/>
      <c r="AC147" s="722"/>
      <c r="AD147" s="722"/>
      <c r="AE147" s="722"/>
      <c r="AF147" s="722"/>
      <c r="AG147" s="722"/>
      <c r="AH147" s="722"/>
      <c r="AI147" s="722"/>
    </row>
    <row r="148" spans="1:35" ht="13.5" customHeight="1" thickBot="1">
      <c r="A148" s="722"/>
      <c r="B148" s="722"/>
      <c r="C148" s="722"/>
      <c r="D148" s="722"/>
      <c r="E148" s="722"/>
      <c r="F148" s="722"/>
      <c r="G148" s="722"/>
      <c r="H148" s="722"/>
      <c r="I148" s="722"/>
      <c r="J148" s="722"/>
      <c r="K148" s="722"/>
      <c r="L148" s="722"/>
      <c r="M148" s="722"/>
      <c r="N148" s="722"/>
      <c r="O148" s="722"/>
      <c r="P148" s="722"/>
      <c r="Q148" s="722"/>
      <c r="R148" s="722"/>
      <c r="S148" s="722"/>
      <c r="T148" s="722"/>
      <c r="U148" s="722"/>
      <c r="V148" s="722"/>
      <c r="W148" s="722"/>
      <c r="X148" s="722"/>
      <c r="Y148" s="722"/>
      <c r="Z148" s="722"/>
      <c r="AA148" s="722"/>
      <c r="AB148" s="722"/>
      <c r="AC148" s="722"/>
      <c r="AD148" s="722"/>
      <c r="AE148" s="722"/>
      <c r="AF148" s="722"/>
      <c r="AG148" s="722"/>
      <c r="AH148" s="722"/>
      <c r="AI148" s="722"/>
    </row>
    <row r="149" spans="1:35" ht="13.5" customHeight="1" thickTop="1">
      <c r="A149" s="722"/>
      <c r="B149" s="722" t="s">
        <v>522</v>
      </c>
      <c r="C149" s="722"/>
      <c r="D149" s="722"/>
      <c r="E149" s="722"/>
      <c r="F149" s="722"/>
      <c r="G149" s="722"/>
      <c r="H149" s="722"/>
      <c r="I149" s="722"/>
      <c r="J149" s="722"/>
      <c r="K149" s="722"/>
      <c r="L149" s="722"/>
      <c r="M149" s="722"/>
      <c r="N149" s="722"/>
      <c r="O149" s="722"/>
      <c r="P149" s="1898"/>
      <c r="Q149" s="1899"/>
      <c r="R149" s="1899"/>
      <c r="S149" s="1899"/>
      <c r="T149" s="1900"/>
      <c r="U149" s="722"/>
      <c r="V149" s="722"/>
      <c r="W149" s="722"/>
      <c r="X149" s="722"/>
      <c r="Y149" s="722"/>
      <c r="Z149" s="722"/>
      <c r="AA149" s="722"/>
      <c r="AB149" s="722"/>
      <c r="AC149" s="722"/>
      <c r="AD149" s="722"/>
      <c r="AE149" s="722"/>
      <c r="AF149" s="722"/>
      <c r="AG149" s="722"/>
      <c r="AH149" s="722"/>
      <c r="AI149" s="722"/>
    </row>
    <row r="150" spans="1:35">
      <c r="A150" s="722"/>
      <c r="B150" s="722" t="s">
        <v>523</v>
      </c>
      <c r="C150" s="722"/>
      <c r="D150" s="722"/>
      <c r="E150" s="722"/>
      <c r="F150" s="722"/>
      <c r="G150" s="722"/>
      <c r="H150" s="722"/>
      <c r="I150" s="722"/>
      <c r="J150" s="722"/>
      <c r="K150" s="722"/>
      <c r="L150" s="722"/>
      <c r="M150" s="722"/>
      <c r="N150" s="722"/>
      <c r="O150" s="722"/>
      <c r="P150" s="1901"/>
      <c r="Q150" s="1902"/>
      <c r="R150" s="1902"/>
      <c r="S150" s="1902"/>
      <c r="T150" s="1903"/>
      <c r="U150" s="722"/>
      <c r="V150" s="722"/>
      <c r="W150" s="722"/>
      <c r="X150" s="722"/>
      <c r="Y150" s="722"/>
      <c r="Z150" s="722"/>
      <c r="AA150" s="722"/>
      <c r="AB150" s="722"/>
      <c r="AC150" s="722"/>
      <c r="AD150" s="722"/>
      <c r="AE150" s="722"/>
      <c r="AF150" s="722"/>
      <c r="AG150" s="722"/>
      <c r="AH150" s="722"/>
      <c r="AI150" s="722"/>
    </row>
    <row r="151" spans="1:35" ht="13.5" customHeight="1" thickBot="1">
      <c r="A151" s="722"/>
      <c r="B151" s="722" t="s">
        <v>524</v>
      </c>
      <c r="C151" s="722"/>
      <c r="D151" s="722"/>
      <c r="E151" s="722"/>
      <c r="F151" s="722"/>
      <c r="G151" s="722"/>
      <c r="H151" s="722"/>
      <c r="I151" s="722"/>
      <c r="J151" s="722"/>
      <c r="K151" s="722"/>
      <c r="L151" s="722"/>
      <c r="M151" s="722"/>
      <c r="N151" s="722"/>
      <c r="O151" s="722"/>
      <c r="P151" s="1904">
        <v>0.05</v>
      </c>
      <c r="Q151" s="1905"/>
      <c r="R151" s="1905"/>
      <c r="S151" s="1905"/>
      <c r="T151" s="1906"/>
      <c r="U151" s="722"/>
      <c r="V151" s="722"/>
      <c r="W151" s="722"/>
      <c r="X151" s="722"/>
      <c r="Y151" s="722"/>
      <c r="Z151" s="722"/>
      <c r="AA151" s="722"/>
      <c r="AB151" s="722"/>
      <c r="AC151" s="722"/>
      <c r="AD151" s="722"/>
      <c r="AE151" s="722"/>
      <c r="AF151" s="722"/>
      <c r="AG151" s="722"/>
      <c r="AH151" s="722"/>
      <c r="AI151" s="722"/>
    </row>
    <row r="152" spans="1:35" ht="13.5" customHeight="1" thickTop="1" thickBot="1">
      <c r="A152" s="722"/>
      <c r="B152" s="722" t="s">
        <v>525</v>
      </c>
      <c r="C152" s="722"/>
      <c r="D152" s="722"/>
      <c r="E152" s="722"/>
      <c r="F152" s="722"/>
      <c r="G152" s="722"/>
      <c r="H152" s="722"/>
      <c r="I152" s="722"/>
      <c r="J152" s="722"/>
      <c r="K152" s="722"/>
      <c r="L152" s="722"/>
      <c r="M152" s="722"/>
      <c r="N152" s="722"/>
      <c r="O152" s="722"/>
      <c r="P152" s="1881">
        <f>P149*P151*WORKPERIOD/12</f>
        <v>0</v>
      </c>
      <c r="Q152" s="1882"/>
      <c r="R152" s="1882"/>
      <c r="S152" s="1882"/>
      <c r="T152" s="1883"/>
      <c r="U152" s="1884"/>
      <c r="V152" s="1885"/>
      <c r="W152" s="1886"/>
      <c r="X152" s="1887">
        <f>P152*U152</f>
        <v>0</v>
      </c>
      <c r="Y152" s="1737"/>
      <c r="Z152" s="1737"/>
      <c r="AA152" s="1737"/>
      <c r="AB152" s="1738"/>
      <c r="AC152" s="722"/>
      <c r="AD152" s="722"/>
      <c r="AE152" s="722"/>
      <c r="AF152" s="722"/>
      <c r="AG152" s="722"/>
      <c r="AH152" s="722"/>
      <c r="AI152" s="722"/>
    </row>
    <row r="153" spans="1:35" ht="13.5" customHeight="1" thickTop="1" thickBot="1">
      <c r="A153" s="722"/>
      <c r="B153" s="722"/>
      <c r="C153" s="722"/>
      <c r="D153" s="722"/>
      <c r="E153" s="722"/>
      <c r="F153" s="722"/>
      <c r="G153" s="722"/>
      <c r="H153" s="722"/>
      <c r="I153" s="722"/>
      <c r="J153" s="722"/>
      <c r="K153" s="722"/>
      <c r="L153" s="722"/>
      <c r="M153" s="722"/>
      <c r="N153" s="722"/>
      <c r="O153" s="722"/>
      <c r="P153" s="735"/>
      <c r="Q153" s="735"/>
      <c r="R153" s="735"/>
      <c r="S153" s="735"/>
      <c r="T153" s="735"/>
      <c r="U153" s="722"/>
      <c r="V153" s="722"/>
      <c r="W153" s="722"/>
      <c r="X153" s="735"/>
      <c r="Y153" s="735"/>
      <c r="Z153" s="735"/>
      <c r="AA153" s="735"/>
      <c r="AB153" s="735"/>
      <c r="AC153" s="722"/>
      <c r="AD153" s="722"/>
      <c r="AE153" s="722"/>
      <c r="AF153" s="722"/>
      <c r="AG153" s="722"/>
      <c r="AH153" s="722"/>
      <c r="AI153" s="722"/>
    </row>
    <row r="154" spans="1:35" ht="14.25" customHeight="1" thickTop="1" thickBot="1">
      <c r="A154" s="722"/>
      <c r="B154" s="721" t="s">
        <v>526</v>
      </c>
      <c r="C154" s="721"/>
      <c r="D154" s="721"/>
      <c r="E154" s="722"/>
      <c r="F154" s="722"/>
      <c r="G154" s="722"/>
      <c r="H154" s="722"/>
      <c r="I154" s="722"/>
      <c r="J154" s="722"/>
      <c r="K154" s="722"/>
      <c r="L154" s="722"/>
      <c r="M154" s="722"/>
      <c r="N154" s="722"/>
      <c r="O154" s="722"/>
      <c r="P154" s="1895">
        <f>P129-P145-P152</f>
        <v>0</v>
      </c>
      <c r="Q154" s="1896"/>
      <c r="R154" s="1896"/>
      <c r="S154" s="1896"/>
      <c r="T154" s="1897"/>
      <c r="U154" s="722"/>
      <c r="V154" s="722"/>
      <c r="W154" s="722"/>
      <c r="X154" s="1888">
        <f>X129-X145-X152</f>
        <v>0</v>
      </c>
      <c r="Y154" s="1889"/>
      <c r="Z154" s="1889"/>
      <c r="AA154" s="1889"/>
      <c r="AB154" s="1890"/>
      <c r="AC154" s="722"/>
      <c r="AD154" s="722"/>
      <c r="AE154" s="722"/>
      <c r="AF154" s="722"/>
      <c r="AG154" s="722"/>
      <c r="AH154" s="722"/>
      <c r="AI154" s="722"/>
    </row>
    <row r="155" spans="1:35" ht="13.5" customHeight="1" thickTop="1" thickBot="1">
      <c r="A155" s="722"/>
      <c r="B155" s="722"/>
      <c r="C155" s="722"/>
      <c r="D155" s="722"/>
      <c r="E155" s="722"/>
      <c r="F155" s="722"/>
      <c r="G155" s="722"/>
      <c r="H155" s="722"/>
      <c r="I155" s="722"/>
      <c r="J155" s="722"/>
      <c r="K155" s="722"/>
      <c r="L155" s="722"/>
      <c r="M155" s="722"/>
      <c r="N155" s="722"/>
      <c r="O155" s="722"/>
      <c r="P155" s="722"/>
      <c r="Q155" s="722"/>
      <c r="R155" s="722"/>
      <c r="S155" s="722"/>
      <c r="T155" s="722"/>
      <c r="U155" s="722"/>
      <c r="V155" s="722"/>
      <c r="W155" s="722"/>
      <c r="X155" s="735"/>
      <c r="Y155" s="735"/>
      <c r="Z155" s="735"/>
      <c r="AA155" s="735"/>
      <c r="AB155" s="735"/>
      <c r="AC155" s="722"/>
      <c r="AD155" s="722"/>
      <c r="AE155" s="722"/>
      <c r="AF155" s="722"/>
      <c r="AG155" s="722"/>
      <c r="AH155" s="722"/>
      <c r="AI155" s="722"/>
    </row>
    <row r="156" spans="1:35" ht="14.25" customHeight="1" thickTop="1" thickBot="1">
      <c r="A156" s="722"/>
      <c r="B156" s="721" t="s">
        <v>513</v>
      </c>
      <c r="C156" s="721"/>
      <c r="D156" s="721"/>
      <c r="E156" s="721"/>
      <c r="F156" s="721"/>
      <c r="G156" s="722"/>
      <c r="H156" s="722"/>
      <c r="I156" s="722"/>
      <c r="J156" s="722"/>
      <c r="K156" s="722"/>
      <c r="L156" s="722"/>
      <c r="M156" s="722"/>
      <c r="N156" s="722"/>
      <c r="O156" s="722"/>
      <c r="P156" s="1877">
        <v>0</v>
      </c>
      <c r="Q156" s="1878"/>
      <c r="R156" s="1878"/>
      <c r="S156" s="1878"/>
      <c r="T156" s="1878"/>
      <c r="U156" s="1878"/>
      <c r="V156" s="1878"/>
      <c r="W156" s="1878"/>
      <c r="X156" s="1879">
        <f>P156*U156</f>
        <v>0</v>
      </c>
      <c r="Y156" s="1879"/>
      <c r="Z156" s="1879"/>
      <c r="AA156" s="1879"/>
      <c r="AB156" s="1880"/>
      <c r="AC156" s="722"/>
      <c r="AD156" s="722"/>
      <c r="AE156" s="722"/>
      <c r="AF156" s="722"/>
      <c r="AG156" s="722"/>
      <c r="AH156" s="722"/>
      <c r="AI156" s="722"/>
    </row>
    <row r="157" spans="1:35" ht="13.5" customHeight="1" thickTop="1">
      <c r="A157" s="722"/>
      <c r="B157" s="722"/>
      <c r="C157" s="722"/>
      <c r="D157" s="722"/>
      <c r="E157" s="722"/>
      <c r="F157" s="722"/>
      <c r="G157" s="722"/>
      <c r="H157" s="722"/>
      <c r="I157" s="722"/>
      <c r="J157" s="722"/>
      <c r="K157" s="722"/>
      <c r="L157" s="722"/>
      <c r="M157" s="722"/>
      <c r="N157" s="722"/>
      <c r="O157" s="722"/>
      <c r="P157" s="722"/>
      <c r="Q157" s="722"/>
      <c r="R157" s="722"/>
      <c r="S157" s="722"/>
      <c r="T157" s="722"/>
      <c r="U157" s="722"/>
      <c r="V157" s="722"/>
      <c r="W157" s="722"/>
      <c r="X157" s="722"/>
      <c r="Y157" s="722"/>
      <c r="Z157" s="722"/>
      <c r="AA157" s="722"/>
      <c r="AB157" s="722"/>
      <c r="AC157" s="722"/>
      <c r="AD157" s="722"/>
      <c r="AE157" s="722"/>
      <c r="AF157" s="722"/>
      <c r="AG157" s="722"/>
      <c r="AH157" s="722"/>
      <c r="AI157" s="722"/>
    </row>
    <row r="158" spans="1:35" ht="13.5" customHeight="1" thickBot="1">
      <c r="A158" s="722"/>
      <c r="B158" s="722"/>
      <c r="C158" s="722"/>
      <c r="D158" s="722"/>
      <c r="E158" s="722"/>
      <c r="F158" s="722"/>
      <c r="G158" s="722"/>
      <c r="H158" s="722"/>
      <c r="I158" s="722"/>
      <c r="J158" s="722"/>
      <c r="K158" s="722"/>
      <c r="L158" s="722"/>
      <c r="M158" s="722"/>
      <c r="N158" s="722"/>
      <c r="O158" s="722"/>
      <c r="P158" s="722"/>
      <c r="Q158" s="722"/>
      <c r="R158" s="722"/>
      <c r="S158" s="722"/>
      <c r="T158" s="722"/>
      <c r="U158" s="722"/>
      <c r="V158" s="722"/>
      <c r="W158" s="722"/>
      <c r="X158" s="722"/>
      <c r="Y158" s="722"/>
      <c r="Z158" s="722"/>
      <c r="AA158" s="722"/>
      <c r="AB158" s="722"/>
      <c r="AC158" s="722"/>
      <c r="AD158" s="722"/>
      <c r="AE158" s="722"/>
      <c r="AF158" s="722"/>
      <c r="AG158" s="722"/>
      <c r="AH158" s="722"/>
      <c r="AI158" s="722"/>
    </row>
    <row r="159" spans="1:35" ht="14.25" collapsed="1" customHeight="1" thickTop="1" thickBot="1">
      <c r="A159" s="723" t="s">
        <v>527</v>
      </c>
      <c r="B159" s="723"/>
      <c r="C159" s="724"/>
      <c r="D159" s="724"/>
      <c r="E159" s="724"/>
      <c r="F159" s="724"/>
      <c r="G159" s="724"/>
      <c r="H159" s="724"/>
      <c r="I159" s="724"/>
      <c r="J159" s="724"/>
      <c r="K159" s="1964" t="s">
        <v>295</v>
      </c>
      <c r="L159" s="1965"/>
      <c r="M159" s="1965"/>
      <c r="N159" s="1965"/>
      <c r="O159" s="1966"/>
      <c r="P159" s="725"/>
      <c r="Q159" s="725"/>
      <c r="R159" s="725"/>
      <c r="S159" s="725"/>
      <c r="T159" s="725"/>
      <c r="U159" s="725"/>
      <c r="V159" s="725"/>
      <c r="W159" s="725"/>
      <c r="X159" s="725"/>
      <c r="Y159" s="725"/>
      <c r="Z159" s="725"/>
      <c r="AA159" s="725"/>
      <c r="AB159" s="725"/>
      <c r="AC159" s="725"/>
      <c r="AD159" s="725"/>
      <c r="AE159" s="725"/>
      <c r="AF159" s="725"/>
      <c r="AG159" s="725"/>
      <c r="AH159" s="725"/>
      <c r="AI159" s="725"/>
    </row>
    <row r="160" spans="1:35" ht="13.5" customHeight="1" thickTop="1">
      <c r="A160" s="892"/>
      <c r="B160" s="892"/>
      <c r="C160" s="892"/>
      <c r="D160" s="892"/>
      <c r="E160" s="892"/>
      <c r="F160" s="892"/>
      <c r="G160" s="892"/>
      <c r="H160" s="892"/>
      <c r="I160" s="892"/>
      <c r="J160" s="892"/>
      <c r="K160" s="892"/>
      <c r="L160" s="892"/>
      <c r="M160" s="892"/>
      <c r="N160" s="892"/>
      <c r="O160" s="892"/>
      <c r="P160" s="892"/>
      <c r="Q160" s="892"/>
      <c r="R160" s="892"/>
      <c r="S160" s="892"/>
      <c r="T160" s="892"/>
      <c r="U160" s="892"/>
      <c r="V160" s="892"/>
      <c r="W160" s="892"/>
      <c r="X160" s="892"/>
      <c r="Y160" s="892"/>
      <c r="Z160" s="892"/>
      <c r="AA160" s="892"/>
      <c r="AB160" s="892"/>
      <c r="AC160" s="892"/>
      <c r="AD160" s="892"/>
      <c r="AE160" s="892"/>
      <c r="AF160" s="892"/>
      <c r="AG160" s="892"/>
      <c r="AH160" s="892"/>
      <c r="AI160" s="892"/>
    </row>
    <row r="161" spans="1:35" ht="13.5" customHeight="1">
      <c r="A161" s="892"/>
      <c r="B161" s="893" t="s">
        <v>308</v>
      </c>
      <c r="C161" s="893" t="s">
        <v>494</v>
      </c>
      <c r="D161" s="892"/>
      <c r="E161" s="892"/>
      <c r="F161" s="892"/>
      <c r="G161" s="892"/>
      <c r="H161" s="892"/>
      <c r="I161" s="892"/>
      <c r="J161" s="892"/>
      <c r="K161" s="892"/>
      <c r="L161" s="892"/>
      <c r="M161" s="892"/>
      <c r="N161" s="892"/>
      <c r="O161" s="892"/>
      <c r="P161" s="892"/>
      <c r="Q161" s="892"/>
      <c r="R161" s="894"/>
      <c r="S161" s="894"/>
      <c r="T161" s="894"/>
      <c r="U161" s="894"/>
      <c r="V161" s="894"/>
      <c r="W161" s="892"/>
      <c r="X161" s="892"/>
      <c r="Y161" s="892"/>
      <c r="Z161" s="892"/>
      <c r="AA161" s="892"/>
      <c r="AB161" s="892"/>
      <c r="AC161" s="892"/>
      <c r="AD161" s="892"/>
      <c r="AE161" s="892"/>
      <c r="AF161" s="892"/>
      <c r="AG161" s="892"/>
      <c r="AH161" s="892"/>
      <c r="AI161" s="892"/>
    </row>
    <row r="162" spans="1:35" ht="13.5" customHeight="1" thickBot="1">
      <c r="A162" s="892"/>
      <c r="B162" s="892"/>
      <c r="C162" s="892"/>
      <c r="D162" s="892"/>
      <c r="E162" s="892"/>
      <c r="F162" s="892"/>
      <c r="G162" s="892"/>
      <c r="H162" s="892"/>
      <c r="I162" s="892"/>
      <c r="J162" s="892"/>
      <c r="K162" s="892"/>
      <c r="L162" s="892"/>
      <c r="M162" s="892"/>
      <c r="N162" s="892"/>
      <c r="O162" s="892"/>
      <c r="P162" s="892"/>
      <c r="Q162" s="892"/>
      <c r="R162" s="892"/>
      <c r="S162" s="892"/>
      <c r="T162" s="892"/>
      <c r="U162" s="892"/>
      <c r="V162" s="892"/>
      <c r="W162" s="892"/>
      <c r="X162" s="892"/>
      <c r="Y162" s="892"/>
      <c r="Z162" s="892"/>
      <c r="AA162" s="892"/>
      <c r="AB162" s="892"/>
      <c r="AC162" s="892"/>
      <c r="AD162" s="892"/>
      <c r="AE162" s="892"/>
      <c r="AF162" s="892"/>
      <c r="AG162" s="892"/>
      <c r="AH162" s="892"/>
      <c r="AI162" s="892"/>
    </row>
    <row r="163" spans="1:43" ht="14.25" customHeight="1" thickTop="1" thickBot="1">
      <c r="A163" s="1976" t="s">
        <v>321</v>
      </c>
      <c r="B163" s="1781" t="s">
        <v>495</v>
      </c>
      <c r="C163" s="1958"/>
      <c r="D163" s="1959"/>
      <c r="E163" s="1781" t="s">
        <v>496</v>
      </c>
      <c r="F163" s="1745"/>
      <c r="G163" s="1985" t="s">
        <v>497</v>
      </c>
      <c r="H163" s="1955"/>
      <c r="I163" s="1955"/>
      <c r="J163" s="1955"/>
      <c r="K163" s="1955"/>
      <c r="L163" s="1955"/>
      <c r="M163" s="1955"/>
      <c r="N163" s="1956"/>
      <c r="O163" s="1781" t="s">
        <v>498</v>
      </c>
      <c r="P163" s="1745"/>
      <c r="Q163" s="1985" t="s">
        <v>499</v>
      </c>
      <c r="R163" s="1955"/>
      <c r="S163" s="1955"/>
      <c r="T163" s="1955"/>
      <c r="U163" s="1955"/>
      <c r="V163" s="1955"/>
      <c r="W163" s="1955"/>
      <c r="X163" s="1956"/>
      <c r="Y163" s="1781" t="s">
        <v>500</v>
      </c>
      <c r="Z163" s="1745"/>
      <c r="AA163" s="1781" t="s">
        <v>1310</v>
      </c>
      <c r="AB163" s="1740"/>
      <c r="AC163" s="1782"/>
      <c r="AD163" s="1783"/>
      <c r="AE163" s="1781" t="s">
        <v>501</v>
      </c>
      <c r="AF163" s="1740"/>
      <c r="AG163" s="1782"/>
      <c r="AH163" s="1785"/>
      <c r="AI163" s="892"/>
      <c r="AK163" s="303"/>
      <c r="AN163" s="303"/>
      <c r="AO163" s="303"/>
      <c r="AP163" s="303"/>
      <c r="AQ163" s="303"/>
    </row>
    <row r="164" spans="1:43" ht="31.5" customHeight="1" thickTop="1" thickBot="1">
      <c r="A164" s="1957"/>
      <c r="B164" s="1960"/>
      <c r="C164" s="1961"/>
      <c r="D164" s="1962"/>
      <c r="E164" s="1746"/>
      <c r="F164" s="1747"/>
      <c r="G164" s="1985" t="s">
        <v>502</v>
      </c>
      <c r="H164" s="1955"/>
      <c r="I164" s="1955"/>
      <c r="J164" s="1956"/>
      <c r="K164" s="1985" t="s">
        <v>503</v>
      </c>
      <c r="L164" s="1955"/>
      <c r="M164" s="1955"/>
      <c r="N164" s="1956"/>
      <c r="O164" s="1746"/>
      <c r="P164" s="1747"/>
      <c r="Q164" s="1985" t="s">
        <v>502</v>
      </c>
      <c r="R164" s="1955"/>
      <c r="S164" s="1955"/>
      <c r="T164" s="1956"/>
      <c r="U164" s="1985" t="s">
        <v>503</v>
      </c>
      <c r="V164" s="1955"/>
      <c r="W164" s="1955"/>
      <c r="X164" s="1956"/>
      <c r="Y164" s="1746"/>
      <c r="Z164" s="1747"/>
      <c r="AA164" s="1746"/>
      <c r="AB164" s="1784"/>
      <c r="AC164" s="1743"/>
      <c r="AD164" s="1748"/>
      <c r="AE164" s="1746"/>
      <c r="AF164" s="1784"/>
      <c r="AG164" s="1743"/>
      <c r="AH164" s="1744"/>
      <c r="AI164" s="892"/>
      <c r="AK164" s="303"/>
      <c r="AN164" s="303"/>
      <c r="AO164" s="303"/>
      <c r="AP164" s="303"/>
      <c r="AQ164" s="303"/>
    </row>
    <row r="165" spans="1:43" ht="13.5" customHeight="1" thickTop="1">
      <c r="A165" s="895"/>
      <c r="B165" s="896"/>
      <c r="C165" s="897"/>
      <c r="D165" s="898"/>
      <c r="E165" s="896"/>
      <c r="F165" s="898"/>
      <c r="G165" s="896"/>
      <c r="H165" s="897"/>
      <c r="I165" s="897"/>
      <c r="J165" s="898"/>
      <c r="K165" s="896"/>
      <c r="L165" s="897"/>
      <c r="M165" s="897"/>
      <c r="N165" s="898"/>
      <c r="O165" s="896"/>
      <c r="P165" s="898"/>
      <c r="Q165" s="896"/>
      <c r="R165" s="897"/>
      <c r="S165" s="897"/>
      <c r="T165" s="898"/>
      <c r="U165" s="896"/>
      <c r="V165" s="897"/>
      <c r="W165" s="897"/>
      <c r="X165" s="898"/>
      <c r="Y165" s="896"/>
      <c r="Z165" s="898"/>
      <c r="AA165" s="896"/>
      <c r="AB165" s="897"/>
      <c r="AC165" s="897"/>
      <c r="AD165" s="898"/>
      <c r="AE165" s="896"/>
      <c r="AF165" s="897"/>
      <c r="AG165" s="897"/>
      <c r="AH165" s="1251"/>
      <c r="AI165" s="892"/>
      <c r="AK165" s="303"/>
      <c r="AN165" s="303"/>
      <c r="AO165" s="303"/>
      <c r="AP165" s="303"/>
      <c r="AQ165" s="303"/>
    </row>
    <row r="166" spans="1:43">
      <c r="A166" s="305">
        <v>1</v>
      </c>
      <c r="B166" s="1708"/>
      <c r="C166" s="1709"/>
      <c r="D166" s="1710"/>
      <c r="E166" s="1706"/>
      <c r="F166" s="1707"/>
      <c r="G166" s="1711"/>
      <c r="H166" s="1712"/>
      <c r="I166" s="1712"/>
      <c r="J166" s="1713"/>
      <c r="K166" s="1711"/>
      <c r="L166" s="1712"/>
      <c r="M166" s="1712"/>
      <c r="N166" s="1713"/>
      <c r="O166" s="1711"/>
      <c r="P166" s="1713"/>
      <c r="Q166" s="1714">
        <f t="shared" si="41" ref="Q166:Q181">G166*O166</f>
        <v>0</v>
      </c>
      <c r="R166" s="1715"/>
      <c r="S166" s="1715"/>
      <c r="T166" s="1720"/>
      <c r="U166" s="1714">
        <f t="shared" si="42" ref="U166:U181">K166*O166</f>
        <v>0</v>
      </c>
      <c r="V166" s="1715"/>
      <c r="W166" s="1715"/>
      <c r="X166" s="1720"/>
      <c r="Y166" s="1725"/>
      <c r="Z166" s="1726"/>
      <c r="AA166" s="1727">
        <f>IF(Y166="",U166,Q166*Y166/100)</f>
        <v>0</v>
      </c>
      <c r="AB166" s="1728"/>
      <c r="AC166" s="1728"/>
      <c r="AD166" s="1729"/>
      <c r="AE166" s="1714">
        <f>IF(AA166=0,U166,IF(U166&gt;(VALUE(AA166)),VALUE(AA166),U166))</f>
        <v>0</v>
      </c>
      <c r="AF166" s="1715"/>
      <c r="AG166" s="1715"/>
      <c r="AH166" s="1716"/>
      <c r="AI166" s="892"/>
      <c r="AK166" s="303"/>
      <c r="AN166" s="303"/>
      <c r="AO166" s="303"/>
      <c r="AP166" s="303"/>
      <c r="AQ166" s="303"/>
    </row>
    <row r="167" spans="1:43">
      <c r="A167" s="306">
        <v>2</v>
      </c>
      <c r="B167" s="1708"/>
      <c r="C167" s="1709"/>
      <c r="D167" s="1710"/>
      <c r="E167" s="1706"/>
      <c r="F167" s="1707"/>
      <c r="G167" s="1711"/>
      <c r="H167" s="1712"/>
      <c r="I167" s="1712"/>
      <c r="J167" s="1713"/>
      <c r="K167" s="1711"/>
      <c r="L167" s="1712"/>
      <c r="M167" s="1712"/>
      <c r="N167" s="1713"/>
      <c r="O167" s="1711"/>
      <c r="P167" s="1713"/>
      <c r="Q167" s="1714">
        <f t="shared" si="41">G167*O167</f>
        <v>0</v>
      </c>
      <c r="R167" s="1715"/>
      <c r="S167" s="1715"/>
      <c r="T167" s="1720"/>
      <c r="U167" s="1714">
        <f t="shared" si="42">K167*O167</f>
        <v>0</v>
      </c>
      <c r="V167" s="1715"/>
      <c r="W167" s="1715"/>
      <c r="X167" s="1720"/>
      <c r="Y167" s="1725"/>
      <c r="Z167" s="1726"/>
      <c r="AA167" s="1727">
        <f t="shared" si="43" ref="AA167:AA170">IF(Y167="",U167,Q167*Y167/100)</f>
        <v>0</v>
      </c>
      <c r="AB167" s="1728"/>
      <c r="AC167" s="1728"/>
      <c r="AD167" s="1729"/>
      <c r="AE167" s="1714">
        <f t="shared" si="44" ref="AE167:AE170">IF(AA167=0,U167,IF(U167&gt;(VALUE(AA167)),VALUE(AA167),U167))</f>
        <v>0</v>
      </c>
      <c r="AF167" s="1715"/>
      <c r="AG167" s="1715"/>
      <c r="AH167" s="1716"/>
      <c r="AI167" s="892"/>
      <c r="AK167" s="303"/>
      <c r="AN167" s="303"/>
      <c r="AO167" s="303"/>
      <c r="AP167" s="303"/>
      <c r="AQ167" s="303"/>
    </row>
    <row r="168" spans="1:43">
      <c r="A168" s="305">
        <v>3</v>
      </c>
      <c r="B168" s="1708"/>
      <c r="C168" s="1709"/>
      <c r="D168" s="1710"/>
      <c r="E168" s="1706"/>
      <c r="F168" s="1707"/>
      <c r="G168" s="1711"/>
      <c r="H168" s="1712"/>
      <c r="I168" s="1712"/>
      <c r="J168" s="1713"/>
      <c r="K168" s="1711"/>
      <c r="L168" s="1712"/>
      <c r="M168" s="1712"/>
      <c r="N168" s="1713"/>
      <c r="O168" s="1711"/>
      <c r="P168" s="1713"/>
      <c r="Q168" s="1714">
        <f t="shared" si="41">G168*O168</f>
        <v>0</v>
      </c>
      <c r="R168" s="1715"/>
      <c r="S168" s="1715"/>
      <c r="T168" s="1720"/>
      <c r="U168" s="1714">
        <f t="shared" si="42">K168*O168</f>
        <v>0</v>
      </c>
      <c r="V168" s="1715"/>
      <c r="W168" s="1715"/>
      <c r="X168" s="1720"/>
      <c r="Y168" s="1725"/>
      <c r="Z168" s="1726"/>
      <c r="AA168" s="1727">
        <f t="shared" si="43">IF(Y168="",U168,Q168*Y168/100)</f>
        <v>0</v>
      </c>
      <c r="AB168" s="1728"/>
      <c r="AC168" s="1728"/>
      <c r="AD168" s="1729"/>
      <c r="AE168" s="1714">
        <f t="shared" si="44">IF(AA168=0,U168,IF(U168&gt;(VALUE(AA168)),VALUE(AA168),U168))</f>
        <v>0</v>
      </c>
      <c r="AF168" s="1715"/>
      <c r="AG168" s="1715"/>
      <c r="AH168" s="1716"/>
      <c r="AI168" s="892"/>
      <c r="AK168" s="303"/>
      <c r="AN168" s="303"/>
      <c r="AO168" s="303"/>
      <c r="AP168" s="303"/>
      <c r="AQ168" s="303"/>
    </row>
    <row r="169" spans="1:43">
      <c r="A169" s="306">
        <v>4</v>
      </c>
      <c r="B169" s="1708"/>
      <c r="C169" s="1709"/>
      <c r="D169" s="1710"/>
      <c r="E169" s="1706"/>
      <c r="F169" s="1707"/>
      <c r="G169" s="1711"/>
      <c r="H169" s="1712"/>
      <c r="I169" s="1712"/>
      <c r="J169" s="1713"/>
      <c r="K169" s="1711"/>
      <c r="L169" s="1712"/>
      <c r="M169" s="1712"/>
      <c r="N169" s="1713"/>
      <c r="O169" s="1711"/>
      <c r="P169" s="1713"/>
      <c r="Q169" s="1714">
        <f t="shared" si="41">G169*O169</f>
        <v>0</v>
      </c>
      <c r="R169" s="1715"/>
      <c r="S169" s="1715"/>
      <c r="T169" s="1720"/>
      <c r="U169" s="1714">
        <f t="shared" si="42">K169*O169</f>
        <v>0</v>
      </c>
      <c r="V169" s="1715"/>
      <c r="W169" s="1715"/>
      <c r="X169" s="1720"/>
      <c r="Y169" s="1725"/>
      <c r="Z169" s="1726"/>
      <c r="AA169" s="1727">
        <f t="shared" si="43">IF(Y169="",U169,Q169*Y169/100)</f>
        <v>0</v>
      </c>
      <c r="AB169" s="1728"/>
      <c r="AC169" s="1728"/>
      <c r="AD169" s="1729"/>
      <c r="AE169" s="1714">
        <f t="shared" si="44">IF(AA169=0,U169,IF(U169&gt;(VALUE(AA169)),VALUE(AA169),U169))</f>
        <v>0</v>
      </c>
      <c r="AF169" s="1715"/>
      <c r="AG169" s="1715"/>
      <c r="AH169" s="1716"/>
      <c r="AI169" s="892"/>
      <c r="AK169" s="303"/>
      <c r="AN169" s="303"/>
      <c r="AO169" s="303"/>
      <c r="AP169" s="303"/>
      <c r="AQ169" s="303"/>
    </row>
    <row r="170" spans="1:43">
      <c r="A170" s="305">
        <v>5</v>
      </c>
      <c r="B170" s="1708"/>
      <c r="C170" s="1709"/>
      <c r="D170" s="1710"/>
      <c r="E170" s="1706"/>
      <c r="F170" s="1707"/>
      <c r="G170" s="1711"/>
      <c r="H170" s="1712"/>
      <c r="I170" s="1712"/>
      <c r="J170" s="1713"/>
      <c r="K170" s="1711"/>
      <c r="L170" s="1712"/>
      <c r="M170" s="1712"/>
      <c r="N170" s="1713"/>
      <c r="O170" s="1711"/>
      <c r="P170" s="1713"/>
      <c r="Q170" s="1714">
        <f t="shared" si="41">G170*O170</f>
        <v>0</v>
      </c>
      <c r="R170" s="1715"/>
      <c r="S170" s="1715"/>
      <c r="T170" s="1720"/>
      <c r="U170" s="1714">
        <f t="shared" si="42">K170*O170</f>
        <v>0</v>
      </c>
      <c r="V170" s="1715"/>
      <c r="W170" s="1715"/>
      <c r="X170" s="1720"/>
      <c r="Y170" s="1725"/>
      <c r="Z170" s="1726"/>
      <c r="AA170" s="1727">
        <f t="shared" si="43">IF(Y170="",U170,Q170*Y170/100)</f>
        <v>0</v>
      </c>
      <c r="AB170" s="1728"/>
      <c r="AC170" s="1728"/>
      <c r="AD170" s="1729"/>
      <c r="AE170" s="1714">
        <f t="shared" si="44">IF(AA170=0,U170,IF(U170&gt;(VALUE(AA170)),VALUE(AA170),U170))</f>
        <v>0</v>
      </c>
      <c r="AF170" s="1715"/>
      <c r="AG170" s="1715"/>
      <c r="AH170" s="1716"/>
      <c r="AI170" s="892"/>
      <c r="AK170" s="303"/>
      <c r="AN170" s="303"/>
      <c r="AO170" s="303"/>
      <c r="AP170" s="303"/>
      <c r="AQ170" s="303"/>
    </row>
    <row r="171" spans="1:43">
      <c r="A171" s="306">
        <v>6</v>
      </c>
      <c r="B171" s="1708"/>
      <c r="C171" s="1709"/>
      <c r="D171" s="1710"/>
      <c r="E171" s="1706"/>
      <c r="F171" s="1707"/>
      <c r="G171" s="1711"/>
      <c r="H171" s="1712"/>
      <c r="I171" s="1712"/>
      <c r="J171" s="1713"/>
      <c r="K171" s="1711"/>
      <c r="L171" s="1712"/>
      <c r="M171" s="1712"/>
      <c r="N171" s="1713"/>
      <c r="O171" s="1711"/>
      <c r="P171" s="1713"/>
      <c r="Q171" s="1714">
        <f t="shared" si="45" ref="Q171:Q175">G171*O171</f>
        <v>0</v>
      </c>
      <c r="R171" s="1715"/>
      <c r="S171" s="1715"/>
      <c r="T171" s="1720"/>
      <c r="U171" s="1714">
        <f t="shared" si="46" ref="U171:U175">K171*O171</f>
        <v>0</v>
      </c>
      <c r="V171" s="1715"/>
      <c r="W171" s="1715"/>
      <c r="X171" s="1720"/>
      <c r="Y171" s="1725"/>
      <c r="Z171" s="1726"/>
      <c r="AA171" s="1727">
        <f t="shared" si="47" ref="AA171:AA175">IF(Y171="",U171,Q171*Y171/100)</f>
        <v>0</v>
      </c>
      <c r="AB171" s="1728"/>
      <c r="AC171" s="1728"/>
      <c r="AD171" s="1729"/>
      <c r="AE171" s="1714">
        <f t="shared" si="48" ref="AE171:AE175">IF(AA171=0,U171,IF(U171&gt;(VALUE(AA171)),VALUE(AA171),U171))</f>
        <v>0</v>
      </c>
      <c r="AF171" s="1715"/>
      <c r="AG171" s="1715"/>
      <c r="AH171" s="1716"/>
      <c r="AI171" s="892"/>
      <c r="AK171" s="303"/>
      <c r="AN171" s="303"/>
      <c r="AO171" s="303"/>
      <c r="AP171" s="303"/>
      <c r="AQ171" s="303"/>
    </row>
    <row r="172" spans="1:43">
      <c r="A172" s="305">
        <v>7</v>
      </c>
      <c r="B172" s="1708"/>
      <c r="C172" s="1709"/>
      <c r="D172" s="1710"/>
      <c r="E172" s="1706"/>
      <c r="F172" s="1707"/>
      <c r="G172" s="1711"/>
      <c r="H172" s="1712"/>
      <c r="I172" s="1712"/>
      <c r="J172" s="1713"/>
      <c r="K172" s="1711"/>
      <c r="L172" s="1712"/>
      <c r="M172" s="1712"/>
      <c r="N172" s="1713"/>
      <c r="O172" s="1711"/>
      <c r="P172" s="1713"/>
      <c r="Q172" s="1714">
        <f t="shared" si="45">G172*O172</f>
        <v>0</v>
      </c>
      <c r="R172" s="1715"/>
      <c r="S172" s="1715"/>
      <c r="T172" s="1720"/>
      <c r="U172" s="1714">
        <f t="shared" si="46">K172*O172</f>
        <v>0</v>
      </c>
      <c r="V172" s="1715"/>
      <c r="W172" s="1715"/>
      <c r="X172" s="1720"/>
      <c r="Y172" s="1725"/>
      <c r="Z172" s="1726"/>
      <c r="AA172" s="1727">
        <f t="shared" si="47">IF(Y172="",U172,Q172*Y172/100)</f>
        <v>0</v>
      </c>
      <c r="AB172" s="1728"/>
      <c r="AC172" s="1728"/>
      <c r="AD172" s="1729"/>
      <c r="AE172" s="1714">
        <f t="shared" si="48">IF(AA172=0,U172,IF(U172&gt;(VALUE(AA172)),VALUE(AA172),U172))</f>
        <v>0</v>
      </c>
      <c r="AF172" s="1715"/>
      <c r="AG172" s="1715"/>
      <c r="AH172" s="1716"/>
      <c r="AI172" s="892"/>
      <c r="AK172" s="303"/>
      <c r="AN172" s="303"/>
      <c r="AO172" s="303"/>
      <c r="AP172" s="303"/>
      <c r="AQ172" s="303"/>
    </row>
    <row r="173" spans="1:43">
      <c r="A173" s="306">
        <v>8</v>
      </c>
      <c r="B173" s="1708"/>
      <c r="C173" s="1709"/>
      <c r="D173" s="1710"/>
      <c r="E173" s="1706"/>
      <c r="F173" s="1707"/>
      <c r="G173" s="1711"/>
      <c r="H173" s="1712"/>
      <c r="I173" s="1712"/>
      <c r="J173" s="1713"/>
      <c r="K173" s="1711"/>
      <c r="L173" s="1712"/>
      <c r="M173" s="1712"/>
      <c r="N173" s="1713"/>
      <c r="O173" s="1711"/>
      <c r="P173" s="1713"/>
      <c r="Q173" s="1714">
        <f t="shared" si="45">G173*O173</f>
        <v>0</v>
      </c>
      <c r="R173" s="1715"/>
      <c r="S173" s="1715"/>
      <c r="T173" s="1720"/>
      <c r="U173" s="1714">
        <f t="shared" si="46">K173*O173</f>
        <v>0</v>
      </c>
      <c r="V173" s="1715"/>
      <c r="W173" s="1715"/>
      <c r="X173" s="1720"/>
      <c r="Y173" s="1725"/>
      <c r="Z173" s="1726"/>
      <c r="AA173" s="1727">
        <f t="shared" si="47">IF(Y173="",U173,Q173*Y173/100)</f>
        <v>0</v>
      </c>
      <c r="AB173" s="1728"/>
      <c r="AC173" s="1728"/>
      <c r="AD173" s="1729"/>
      <c r="AE173" s="1714">
        <f t="shared" si="48">IF(AA173=0,U173,IF(U173&gt;(VALUE(AA173)),VALUE(AA173),U173))</f>
        <v>0</v>
      </c>
      <c r="AF173" s="1715"/>
      <c r="AG173" s="1715"/>
      <c r="AH173" s="1716"/>
      <c r="AI173" s="892"/>
      <c r="AK173" s="303"/>
      <c r="AN173" s="303"/>
      <c r="AO173" s="303"/>
      <c r="AP173" s="303"/>
      <c r="AQ173" s="303"/>
    </row>
    <row r="174" spans="1:43">
      <c r="A174" s="305">
        <v>9</v>
      </c>
      <c r="B174" s="1708"/>
      <c r="C174" s="1709"/>
      <c r="D174" s="1710"/>
      <c r="E174" s="1706"/>
      <c r="F174" s="1707"/>
      <c r="G174" s="1711"/>
      <c r="H174" s="1712"/>
      <c r="I174" s="1712"/>
      <c r="J174" s="1713"/>
      <c r="K174" s="1711"/>
      <c r="L174" s="1712"/>
      <c r="M174" s="1712"/>
      <c r="N174" s="1713"/>
      <c r="O174" s="1711"/>
      <c r="P174" s="1713"/>
      <c r="Q174" s="1714">
        <f t="shared" si="45">G174*O174</f>
        <v>0</v>
      </c>
      <c r="R174" s="1715"/>
      <c r="S174" s="1715"/>
      <c r="T174" s="1720"/>
      <c r="U174" s="1714">
        <f t="shared" si="46">K174*O174</f>
        <v>0</v>
      </c>
      <c r="V174" s="1715"/>
      <c r="W174" s="1715"/>
      <c r="X174" s="1720"/>
      <c r="Y174" s="1725"/>
      <c r="Z174" s="1726"/>
      <c r="AA174" s="1727">
        <f t="shared" si="47">IF(Y174="",U174,Q174*Y174/100)</f>
        <v>0</v>
      </c>
      <c r="AB174" s="1728"/>
      <c r="AC174" s="1728"/>
      <c r="AD174" s="1729"/>
      <c r="AE174" s="1714">
        <f t="shared" si="48">IF(AA174=0,U174,IF(U174&gt;(VALUE(AA174)),VALUE(AA174),U174))</f>
        <v>0</v>
      </c>
      <c r="AF174" s="1715"/>
      <c r="AG174" s="1715"/>
      <c r="AH174" s="1716"/>
      <c r="AI174" s="892"/>
      <c r="AK174" s="303"/>
      <c r="AN174" s="303"/>
      <c r="AO174" s="303"/>
      <c r="AP174" s="303"/>
      <c r="AQ174" s="303"/>
    </row>
    <row r="175" spans="1:43">
      <c r="A175" s="306">
        <v>10</v>
      </c>
      <c r="B175" s="1708"/>
      <c r="C175" s="1709"/>
      <c r="D175" s="1710"/>
      <c r="E175" s="1706"/>
      <c r="F175" s="1707"/>
      <c r="G175" s="1711"/>
      <c r="H175" s="1712"/>
      <c r="I175" s="1712"/>
      <c r="J175" s="1713"/>
      <c r="K175" s="1711"/>
      <c r="L175" s="1712"/>
      <c r="M175" s="1712"/>
      <c r="N175" s="1713"/>
      <c r="O175" s="1711"/>
      <c r="P175" s="1713"/>
      <c r="Q175" s="1714">
        <f t="shared" si="45">G175*O175</f>
        <v>0</v>
      </c>
      <c r="R175" s="1715"/>
      <c r="S175" s="1715"/>
      <c r="T175" s="1720"/>
      <c r="U175" s="1714">
        <f t="shared" si="46">K175*O175</f>
        <v>0</v>
      </c>
      <c r="V175" s="1715"/>
      <c r="W175" s="1715"/>
      <c r="X175" s="1720"/>
      <c r="Y175" s="1725"/>
      <c r="Z175" s="1726"/>
      <c r="AA175" s="1727">
        <f t="shared" si="47">IF(Y175="",U175,Q175*Y175/100)</f>
        <v>0</v>
      </c>
      <c r="AB175" s="1728"/>
      <c r="AC175" s="1728"/>
      <c r="AD175" s="1729"/>
      <c r="AE175" s="1714">
        <f t="shared" si="48">IF(AA175=0,U175,IF(U175&gt;(VALUE(AA175)),VALUE(AA175),U175))</f>
        <v>0</v>
      </c>
      <c r="AF175" s="1715"/>
      <c r="AG175" s="1715"/>
      <c r="AH175" s="1716"/>
      <c r="AI175" s="892"/>
      <c r="AK175" s="303"/>
      <c r="AN175" s="303"/>
      <c r="AO175" s="303"/>
      <c r="AP175" s="303"/>
      <c r="AQ175" s="303"/>
    </row>
    <row r="176" spans="1:43">
      <c r="A176" s="305">
        <v>11</v>
      </c>
      <c r="B176" s="1708"/>
      <c r="C176" s="1709"/>
      <c r="D176" s="1710"/>
      <c r="E176" s="1706"/>
      <c r="F176" s="1707"/>
      <c r="G176" s="1711"/>
      <c r="H176" s="1712"/>
      <c r="I176" s="1712"/>
      <c r="J176" s="1713"/>
      <c r="K176" s="1711"/>
      <c r="L176" s="1712"/>
      <c r="M176" s="1712"/>
      <c r="N176" s="1713"/>
      <c r="O176" s="1711"/>
      <c r="P176" s="1713"/>
      <c r="Q176" s="1714">
        <f t="shared" si="41">G176*O176</f>
        <v>0</v>
      </c>
      <c r="R176" s="1715"/>
      <c r="S176" s="1715"/>
      <c r="T176" s="1720"/>
      <c r="U176" s="1714">
        <f t="shared" si="42">K176*O176</f>
        <v>0</v>
      </c>
      <c r="V176" s="1715"/>
      <c r="W176" s="1715"/>
      <c r="X176" s="1720"/>
      <c r="Y176" s="1725"/>
      <c r="Z176" s="1726"/>
      <c r="AA176" s="1727">
        <f t="shared" si="49" ref="AA176:AA181">IF(Y176="",U176,Q176*Y176/100)</f>
        <v>0</v>
      </c>
      <c r="AB176" s="1728"/>
      <c r="AC176" s="1728"/>
      <c r="AD176" s="1729"/>
      <c r="AE176" s="1714">
        <f t="shared" si="50" ref="AE176:AE181">IF(AA176=0,U176,IF(U176&gt;(VALUE(AA176)),VALUE(AA176),U176))</f>
        <v>0</v>
      </c>
      <c r="AF176" s="1715"/>
      <c r="AG176" s="1715"/>
      <c r="AH176" s="1716"/>
      <c r="AI176" s="892"/>
      <c r="AK176" s="303"/>
      <c r="AN176" s="303"/>
      <c r="AO176" s="303"/>
      <c r="AP176" s="303"/>
      <c r="AQ176" s="303"/>
    </row>
    <row r="177" spans="1:43">
      <c r="A177" s="306">
        <v>12</v>
      </c>
      <c r="B177" s="1708"/>
      <c r="C177" s="1709"/>
      <c r="D177" s="1710"/>
      <c r="E177" s="1706"/>
      <c r="F177" s="1707"/>
      <c r="G177" s="1711"/>
      <c r="H177" s="1712"/>
      <c r="I177" s="1712"/>
      <c r="J177" s="1713"/>
      <c r="K177" s="1711"/>
      <c r="L177" s="1712"/>
      <c r="M177" s="1712"/>
      <c r="N177" s="1713"/>
      <c r="O177" s="1711"/>
      <c r="P177" s="1713"/>
      <c r="Q177" s="1714">
        <f t="shared" si="41">G177*O177</f>
        <v>0</v>
      </c>
      <c r="R177" s="1715"/>
      <c r="S177" s="1715"/>
      <c r="T177" s="1720"/>
      <c r="U177" s="1714">
        <f t="shared" si="42">K177*O177</f>
        <v>0</v>
      </c>
      <c r="V177" s="1715"/>
      <c r="W177" s="1715"/>
      <c r="X177" s="1720"/>
      <c r="Y177" s="1725"/>
      <c r="Z177" s="1726"/>
      <c r="AA177" s="1727">
        <f t="shared" si="49">IF(Y177="",U177,Q177*Y177/100)</f>
        <v>0</v>
      </c>
      <c r="AB177" s="1728"/>
      <c r="AC177" s="1728"/>
      <c r="AD177" s="1729"/>
      <c r="AE177" s="1714">
        <f t="shared" si="50">IF(AA177=0,U177,IF(U177&gt;(VALUE(AA177)),VALUE(AA177),U177))</f>
        <v>0</v>
      </c>
      <c r="AF177" s="1715"/>
      <c r="AG177" s="1715"/>
      <c r="AH177" s="1716"/>
      <c r="AI177" s="892"/>
      <c r="AK177" s="303"/>
      <c r="AN177" s="303"/>
      <c r="AO177" s="303"/>
      <c r="AP177" s="303"/>
      <c r="AQ177" s="303"/>
    </row>
    <row r="178" spans="1:43">
      <c r="A178" s="305">
        <v>13</v>
      </c>
      <c r="B178" s="1708"/>
      <c r="C178" s="1709"/>
      <c r="D178" s="1710"/>
      <c r="E178" s="1706"/>
      <c r="F178" s="1707"/>
      <c r="G178" s="1711"/>
      <c r="H178" s="1712"/>
      <c r="I178" s="1712"/>
      <c r="J178" s="1713"/>
      <c r="K178" s="1711"/>
      <c r="L178" s="1712"/>
      <c r="M178" s="1712"/>
      <c r="N178" s="1713"/>
      <c r="O178" s="1711"/>
      <c r="P178" s="1713"/>
      <c r="Q178" s="1714">
        <f t="shared" si="41">G178*O178</f>
        <v>0</v>
      </c>
      <c r="R178" s="1715"/>
      <c r="S178" s="1715"/>
      <c r="T178" s="1720"/>
      <c r="U178" s="1714">
        <f t="shared" si="42">K178*O178</f>
        <v>0</v>
      </c>
      <c r="V178" s="1715"/>
      <c r="W178" s="1715"/>
      <c r="X178" s="1720"/>
      <c r="Y178" s="1725"/>
      <c r="Z178" s="1726"/>
      <c r="AA178" s="1727">
        <f t="shared" si="49">IF(Y178="",U178,Q178*Y178/100)</f>
        <v>0</v>
      </c>
      <c r="AB178" s="1728"/>
      <c r="AC178" s="1728"/>
      <c r="AD178" s="1729"/>
      <c r="AE178" s="1714">
        <f t="shared" si="50">IF(AA178=0,U178,IF(U178&gt;(VALUE(AA178)),VALUE(AA178),U178))</f>
        <v>0</v>
      </c>
      <c r="AF178" s="1715"/>
      <c r="AG178" s="1715"/>
      <c r="AH178" s="1716"/>
      <c r="AI178" s="892"/>
      <c r="AK178" s="303"/>
      <c r="AN178" s="303"/>
      <c r="AO178" s="303"/>
      <c r="AP178" s="303"/>
      <c r="AQ178" s="303"/>
    </row>
    <row r="179" spans="1:43">
      <c r="A179" s="306">
        <v>14</v>
      </c>
      <c r="B179" s="1708"/>
      <c r="C179" s="1709"/>
      <c r="D179" s="1710"/>
      <c r="E179" s="1706"/>
      <c r="F179" s="1707"/>
      <c r="G179" s="1711"/>
      <c r="H179" s="1712"/>
      <c r="I179" s="1712"/>
      <c r="J179" s="1713"/>
      <c r="K179" s="1711"/>
      <c r="L179" s="1712"/>
      <c r="M179" s="1712"/>
      <c r="N179" s="1713"/>
      <c r="O179" s="1711"/>
      <c r="P179" s="1713"/>
      <c r="Q179" s="1714">
        <f t="shared" si="41">G179*O179</f>
        <v>0</v>
      </c>
      <c r="R179" s="1715"/>
      <c r="S179" s="1715"/>
      <c r="T179" s="1720"/>
      <c r="U179" s="1714">
        <f t="shared" si="42">K179*O179</f>
        <v>0</v>
      </c>
      <c r="V179" s="1715"/>
      <c r="W179" s="1715"/>
      <c r="X179" s="1720"/>
      <c r="Y179" s="1725"/>
      <c r="Z179" s="1726"/>
      <c r="AA179" s="1727">
        <f t="shared" si="49">IF(Y179="",U179,Q179*Y179/100)</f>
        <v>0</v>
      </c>
      <c r="AB179" s="1728"/>
      <c r="AC179" s="1728"/>
      <c r="AD179" s="1729"/>
      <c r="AE179" s="1714">
        <f t="shared" si="50">IF(AA179=0,U179,IF(U179&gt;(VALUE(AA179)),VALUE(AA179),U179))</f>
        <v>0</v>
      </c>
      <c r="AF179" s="1715"/>
      <c r="AG179" s="1715"/>
      <c r="AH179" s="1716"/>
      <c r="AI179" s="892"/>
      <c r="AK179" s="303"/>
      <c r="AN179" s="303"/>
      <c r="AO179" s="303"/>
      <c r="AP179" s="303"/>
      <c r="AQ179" s="303"/>
    </row>
    <row r="180" spans="1:43">
      <c r="A180" s="305">
        <v>15</v>
      </c>
      <c r="B180" s="1708"/>
      <c r="C180" s="1709"/>
      <c r="D180" s="1710"/>
      <c r="E180" s="1706"/>
      <c r="F180" s="1707"/>
      <c r="G180" s="1711"/>
      <c r="H180" s="1712"/>
      <c r="I180" s="1712"/>
      <c r="J180" s="1713"/>
      <c r="K180" s="1711"/>
      <c r="L180" s="1712"/>
      <c r="M180" s="1712"/>
      <c r="N180" s="1713"/>
      <c r="O180" s="1711"/>
      <c r="P180" s="1713"/>
      <c r="Q180" s="1714">
        <f t="shared" si="41">G180*O180</f>
        <v>0</v>
      </c>
      <c r="R180" s="1715"/>
      <c r="S180" s="1715"/>
      <c r="T180" s="1720"/>
      <c r="U180" s="1714">
        <f t="shared" si="42">K180*O180</f>
        <v>0</v>
      </c>
      <c r="V180" s="1715"/>
      <c r="W180" s="1715"/>
      <c r="X180" s="1720"/>
      <c r="Y180" s="1725"/>
      <c r="Z180" s="1726"/>
      <c r="AA180" s="1727">
        <f t="shared" si="49">IF(Y180="",U180,Q180*Y180/100)</f>
        <v>0</v>
      </c>
      <c r="AB180" s="1728"/>
      <c r="AC180" s="1728"/>
      <c r="AD180" s="1729"/>
      <c r="AE180" s="1714">
        <f t="shared" si="50">IF(AA180=0,U180,IF(U180&gt;(VALUE(AA180)),VALUE(AA180),U180))</f>
        <v>0</v>
      </c>
      <c r="AF180" s="1715"/>
      <c r="AG180" s="1715"/>
      <c r="AH180" s="1716"/>
      <c r="AI180" s="892"/>
      <c r="AK180" s="303"/>
      <c r="AN180" s="303"/>
      <c r="AO180" s="303"/>
      <c r="AP180" s="303"/>
      <c r="AQ180" s="303"/>
    </row>
    <row r="181" spans="1:43">
      <c r="A181" s="307" t="s">
        <v>504</v>
      </c>
      <c r="B181" s="1703"/>
      <c r="C181" s="1704"/>
      <c r="D181" s="1705"/>
      <c r="E181" s="1706"/>
      <c r="F181" s="1707"/>
      <c r="G181" s="1706"/>
      <c r="H181" s="1902"/>
      <c r="I181" s="1902"/>
      <c r="J181" s="1707"/>
      <c r="K181" s="1711"/>
      <c r="L181" s="1712"/>
      <c r="M181" s="1712"/>
      <c r="N181" s="1713"/>
      <c r="O181" s="1711"/>
      <c r="P181" s="1713"/>
      <c r="Q181" s="1714">
        <f t="shared" si="41">G181*O181</f>
        <v>0</v>
      </c>
      <c r="R181" s="1715"/>
      <c r="S181" s="1715"/>
      <c r="T181" s="1720"/>
      <c r="U181" s="1714">
        <f t="shared" si="42">K181*O181</f>
        <v>0</v>
      </c>
      <c r="V181" s="1715"/>
      <c r="W181" s="1715"/>
      <c r="X181" s="1720"/>
      <c r="Y181" s="1725"/>
      <c r="Z181" s="1726"/>
      <c r="AA181" s="1727">
        <f t="shared" si="49">IF(Y181="",U181,Q181*Y181/100)</f>
        <v>0</v>
      </c>
      <c r="AB181" s="1728"/>
      <c r="AC181" s="1728"/>
      <c r="AD181" s="1729"/>
      <c r="AE181" s="1714">
        <f t="shared" si="50">IF(AA181=0,U181,IF(U181&gt;(VALUE(AA181)),VALUE(AA181),U181))</f>
        <v>0</v>
      </c>
      <c r="AF181" s="1715"/>
      <c r="AG181" s="1715"/>
      <c r="AH181" s="1716"/>
      <c r="AI181" s="892"/>
      <c r="AK181" s="303"/>
      <c r="AN181" s="303"/>
      <c r="AO181" s="303"/>
      <c r="AP181" s="303"/>
      <c r="AQ181" s="303"/>
    </row>
    <row r="182" spans="1:43" ht="13.5" customHeight="1" thickBot="1">
      <c r="A182" s="899"/>
      <c r="B182" s="900"/>
      <c r="C182" s="901"/>
      <c r="D182" s="902"/>
      <c r="E182" s="900"/>
      <c r="F182" s="902"/>
      <c r="G182" s="900"/>
      <c r="H182" s="901"/>
      <c r="I182" s="901"/>
      <c r="J182" s="902"/>
      <c r="K182" s="900"/>
      <c r="L182" s="901"/>
      <c r="M182" s="901"/>
      <c r="N182" s="902"/>
      <c r="O182" s="900"/>
      <c r="P182" s="902"/>
      <c r="Q182" s="900"/>
      <c r="R182" s="901"/>
      <c r="S182" s="901"/>
      <c r="T182" s="902"/>
      <c r="U182" s="900"/>
      <c r="V182" s="901"/>
      <c r="W182" s="901"/>
      <c r="X182" s="902"/>
      <c r="Y182" s="900"/>
      <c r="Z182" s="902"/>
      <c r="AA182" s="900"/>
      <c r="AB182" s="901"/>
      <c r="AC182" s="901"/>
      <c r="AD182" s="902"/>
      <c r="AE182" s="900"/>
      <c r="AF182" s="901"/>
      <c r="AG182" s="901"/>
      <c r="AH182" s="1252"/>
      <c r="AI182" s="892"/>
      <c r="AK182" s="303"/>
      <c r="AN182" s="303"/>
      <c r="AO182" s="303"/>
      <c r="AP182" s="303"/>
      <c r="AQ182" s="303"/>
    </row>
    <row r="183" spans="1:43" ht="13.5" customHeight="1" thickTop="1" thickBot="1">
      <c r="A183" s="892"/>
      <c r="B183" s="892"/>
      <c r="C183" s="892"/>
      <c r="D183" s="892"/>
      <c r="E183" s="892"/>
      <c r="F183" s="892"/>
      <c r="G183" s="892"/>
      <c r="H183" s="892"/>
      <c r="I183" s="892"/>
      <c r="J183" s="892"/>
      <c r="K183" s="892"/>
      <c r="L183" s="892"/>
      <c r="M183" s="892"/>
      <c r="N183" s="892"/>
      <c r="O183" s="892"/>
      <c r="P183" s="892"/>
      <c r="Q183" s="892"/>
      <c r="R183" s="892"/>
      <c r="S183" s="892"/>
      <c r="T183" s="892"/>
      <c r="U183" s="892"/>
      <c r="V183" s="892"/>
      <c r="W183" s="892"/>
      <c r="X183" s="892"/>
      <c r="Y183" s="892"/>
      <c r="Z183" s="892"/>
      <c r="AA183" s="892"/>
      <c r="AB183" s="892"/>
      <c r="AC183" s="892"/>
      <c r="AD183" s="892"/>
      <c r="AE183" s="892"/>
      <c r="AF183" s="892"/>
      <c r="AG183" s="892"/>
      <c r="AH183" s="892"/>
      <c r="AI183" s="892"/>
      <c r="AK183" s="303"/>
      <c r="AN183" s="303"/>
      <c r="AO183" s="303"/>
      <c r="AP183" s="303"/>
      <c r="AQ183" s="303"/>
    </row>
    <row r="184" spans="1:43" ht="14.25" customHeight="1" thickTop="1" thickBot="1">
      <c r="A184" s="892"/>
      <c r="B184" s="893" t="s">
        <v>347</v>
      </c>
      <c r="C184" s="892"/>
      <c r="D184" s="892"/>
      <c r="E184" s="892"/>
      <c r="F184" s="892"/>
      <c r="G184" s="1836">
        <f>+SUM(G166:J182)</f>
        <v>0</v>
      </c>
      <c r="H184" s="1837"/>
      <c r="I184" s="1837"/>
      <c r="J184" s="1838"/>
      <c r="K184" s="1836">
        <f>+SUM(K166:N182)</f>
        <v>0</v>
      </c>
      <c r="L184" s="1837"/>
      <c r="M184" s="1837"/>
      <c r="N184" s="1838"/>
      <c r="O184" s="903"/>
      <c r="P184" s="903"/>
      <c r="Q184" s="1736">
        <f>+SUM(Q166:T182)</f>
        <v>0</v>
      </c>
      <c r="R184" s="1737"/>
      <c r="S184" s="1737"/>
      <c r="T184" s="1738"/>
      <c r="U184" s="1736">
        <f>+SUM(U166:X182)</f>
        <v>0</v>
      </c>
      <c r="V184" s="1737"/>
      <c r="W184" s="1737"/>
      <c r="X184" s="1738"/>
      <c r="Y184" s="892"/>
      <c r="Z184" s="892"/>
      <c r="AA184" s="1733">
        <f>SUM(AA166:AD182)</f>
        <v>0</v>
      </c>
      <c r="AB184" s="1734"/>
      <c r="AC184" s="1734"/>
      <c r="AD184" s="1735"/>
      <c r="AE184" s="1736">
        <f>+SUM(AE166:AH182)</f>
        <v>0</v>
      </c>
      <c r="AF184" s="1737"/>
      <c r="AG184" s="1737"/>
      <c r="AH184" s="1738"/>
      <c r="AI184" s="892"/>
      <c r="AK184" s="303"/>
      <c r="AN184" s="303"/>
      <c r="AO184" s="303"/>
      <c r="AP184" s="303"/>
      <c r="AQ184" s="303"/>
    </row>
    <row r="185" spans="1:43" ht="13.5" customHeight="1" thickTop="1">
      <c r="A185" s="892"/>
      <c r="B185" s="892"/>
      <c r="C185" s="892"/>
      <c r="D185" s="892"/>
      <c r="E185" s="892"/>
      <c r="F185" s="892"/>
      <c r="G185" s="892"/>
      <c r="H185" s="892"/>
      <c r="I185" s="892"/>
      <c r="J185" s="892"/>
      <c r="K185" s="892"/>
      <c r="L185" s="892"/>
      <c r="M185" s="892"/>
      <c r="N185" s="892"/>
      <c r="O185" s="892"/>
      <c r="P185" s="892"/>
      <c r="Q185" s="892"/>
      <c r="R185" s="892"/>
      <c r="S185" s="892"/>
      <c r="T185" s="892"/>
      <c r="U185" s="892"/>
      <c r="V185" s="892"/>
      <c r="W185" s="892"/>
      <c r="X185" s="892"/>
      <c r="Y185" s="892"/>
      <c r="Z185" s="892"/>
      <c r="AA185" s="892"/>
      <c r="AB185" s="892"/>
      <c r="AC185" s="892"/>
      <c r="AD185" s="892"/>
      <c r="AE185" s="892"/>
      <c r="AF185" s="892"/>
      <c r="AG185" s="892"/>
      <c r="AH185" s="892"/>
      <c r="AI185" s="892"/>
      <c r="AK185" s="303"/>
      <c r="AN185" s="303"/>
      <c r="AO185" s="303"/>
      <c r="AP185" s="303"/>
      <c r="AQ185" s="303"/>
    </row>
    <row r="186" spans="1:43" ht="13.5" customHeight="1">
      <c r="A186" s="892"/>
      <c r="B186" s="893" t="s">
        <v>310</v>
      </c>
      <c r="C186" s="893" t="s">
        <v>505</v>
      </c>
      <c r="D186" s="892"/>
      <c r="E186" s="892"/>
      <c r="F186" s="892"/>
      <c r="G186" s="892"/>
      <c r="H186" s="892"/>
      <c r="I186" s="892"/>
      <c r="J186" s="892"/>
      <c r="K186" s="892"/>
      <c r="L186" s="892"/>
      <c r="M186" s="892"/>
      <c r="N186" s="892"/>
      <c r="O186" s="892"/>
      <c r="P186" s="892"/>
      <c r="Q186" s="892"/>
      <c r="R186" s="892"/>
      <c r="S186" s="892"/>
      <c r="T186" s="892"/>
      <c r="U186" s="892"/>
      <c r="V186" s="892"/>
      <c r="W186" s="892"/>
      <c r="X186" s="892"/>
      <c r="Y186" s="892"/>
      <c r="Z186" s="892"/>
      <c r="AA186" s="892"/>
      <c r="AB186" s="892"/>
      <c r="AC186" s="892"/>
      <c r="AD186" s="892"/>
      <c r="AE186" s="892"/>
      <c r="AF186" s="892"/>
      <c r="AG186" s="892"/>
      <c r="AH186" s="892"/>
      <c r="AI186" s="892"/>
      <c r="AK186" s="303"/>
      <c r="AN186" s="303"/>
      <c r="AO186" s="303"/>
      <c r="AP186" s="303"/>
      <c r="AQ186" s="303"/>
    </row>
    <row r="187" spans="1:43" ht="13.5" customHeight="1" thickBot="1">
      <c r="A187" s="892"/>
      <c r="B187" s="892"/>
      <c r="C187" s="892"/>
      <c r="D187" s="892"/>
      <c r="E187" s="892"/>
      <c r="F187" s="892"/>
      <c r="G187" s="892"/>
      <c r="H187" s="892"/>
      <c r="I187" s="892"/>
      <c r="J187" s="892"/>
      <c r="K187" s="892"/>
      <c r="L187" s="892"/>
      <c r="M187" s="892"/>
      <c r="N187" s="892"/>
      <c r="O187" s="892"/>
      <c r="P187" s="892"/>
      <c r="Q187" s="892"/>
      <c r="R187" s="892"/>
      <c r="S187" s="892"/>
      <c r="T187" s="892"/>
      <c r="U187" s="892"/>
      <c r="V187" s="892"/>
      <c r="W187" s="892"/>
      <c r="X187" s="892"/>
      <c r="Y187" s="892"/>
      <c r="Z187" s="892"/>
      <c r="AA187" s="892"/>
      <c r="AB187" s="892"/>
      <c r="AC187" s="892"/>
      <c r="AD187" s="892"/>
      <c r="AE187" s="892"/>
      <c r="AF187" s="892"/>
      <c r="AG187" s="892"/>
      <c r="AH187" s="892"/>
      <c r="AI187" s="892"/>
      <c r="AK187" s="303"/>
      <c r="AN187" s="303"/>
      <c r="AO187" s="303"/>
      <c r="AP187" s="303"/>
      <c r="AQ187" s="303"/>
    </row>
    <row r="188" spans="1:43" ht="14.25" customHeight="1" thickTop="1" thickBot="1">
      <c r="A188" s="1976" t="s">
        <v>321</v>
      </c>
      <c r="B188" s="1781" t="s">
        <v>495</v>
      </c>
      <c r="C188" s="1958"/>
      <c r="D188" s="1959"/>
      <c r="E188" s="1781" t="s">
        <v>496</v>
      </c>
      <c r="F188" s="1745"/>
      <c r="G188" s="1985" t="s">
        <v>497</v>
      </c>
      <c r="H188" s="1955"/>
      <c r="I188" s="1955"/>
      <c r="J188" s="1955"/>
      <c r="K188" s="1955"/>
      <c r="L188" s="1955"/>
      <c r="M188" s="1955"/>
      <c r="N188" s="1956"/>
      <c r="O188" s="1781" t="s">
        <v>498</v>
      </c>
      <c r="P188" s="1745"/>
      <c r="Q188" s="1985" t="s">
        <v>499</v>
      </c>
      <c r="R188" s="1955"/>
      <c r="S188" s="1955"/>
      <c r="T188" s="1955"/>
      <c r="U188" s="1955"/>
      <c r="V188" s="1955"/>
      <c r="W188" s="1955"/>
      <c r="X188" s="1956"/>
      <c r="Y188" s="1781" t="s">
        <v>500</v>
      </c>
      <c r="Z188" s="1745"/>
      <c r="AA188" s="1781" t="s">
        <v>1310</v>
      </c>
      <c r="AB188" s="1740"/>
      <c r="AC188" s="1782"/>
      <c r="AD188" s="1783"/>
      <c r="AE188" s="1781" t="s">
        <v>501</v>
      </c>
      <c r="AF188" s="1740"/>
      <c r="AG188" s="1782"/>
      <c r="AH188" s="1785"/>
      <c r="AI188" s="892"/>
      <c r="AK188" s="303"/>
      <c r="AN188" s="303"/>
      <c r="AO188" s="303"/>
      <c r="AP188" s="303"/>
      <c r="AQ188" s="303"/>
    </row>
    <row r="189" spans="1:43" ht="28.5" customHeight="1" thickTop="1" thickBot="1">
      <c r="A189" s="1957"/>
      <c r="B189" s="1960"/>
      <c r="C189" s="1961"/>
      <c r="D189" s="1962"/>
      <c r="E189" s="1746"/>
      <c r="F189" s="1747"/>
      <c r="G189" s="1985" t="s">
        <v>502</v>
      </c>
      <c r="H189" s="1955"/>
      <c r="I189" s="1955"/>
      <c r="J189" s="1956"/>
      <c r="K189" s="1985" t="s">
        <v>503</v>
      </c>
      <c r="L189" s="1955"/>
      <c r="M189" s="1955"/>
      <c r="N189" s="1956"/>
      <c r="O189" s="1746"/>
      <c r="P189" s="1747"/>
      <c r="Q189" s="1985" t="s">
        <v>502</v>
      </c>
      <c r="R189" s="1955"/>
      <c r="S189" s="1955"/>
      <c r="T189" s="1956"/>
      <c r="U189" s="1985" t="s">
        <v>503</v>
      </c>
      <c r="V189" s="1955"/>
      <c r="W189" s="1955"/>
      <c r="X189" s="1956"/>
      <c r="Y189" s="1746"/>
      <c r="Z189" s="1747"/>
      <c r="AA189" s="1746"/>
      <c r="AB189" s="1784"/>
      <c r="AC189" s="1743"/>
      <c r="AD189" s="1748"/>
      <c r="AE189" s="1746"/>
      <c r="AF189" s="1784"/>
      <c r="AG189" s="1743"/>
      <c r="AH189" s="1744"/>
      <c r="AI189" s="892"/>
      <c r="AK189" s="303"/>
      <c r="AN189" s="303"/>
      <c r="AO189" s="303"/>
      <c r="AP189" s="303"/>
      <c r="AQ189" s="303"/>
    </row>
    <row r="190" spans="1:43" ht="13.5" customHeight="1" thickTop="1">
      <c r="A190" s="895"/>
      <c r="B190" s="896"/>
      <c r="C190" s="897"/>
      <c r="D190" s="898"/>
      <c r="E190" s="896"/>
      <c r="F190" s="898"/>
      <c r="G190" s="896"/>
      <c r="H190" s="897"/>
      <c r="I190" s="897"/>
      <c r="J190" s="898"/>
      <c r="K190" s="896"/>
      <c r="L190" s="897"/>
      <c r="M190" s="897"/>
      <c r="N190" s="898"/>
      <c r="O190" s="896"/>
      <c r="P190" s="898"/>
      <c r="Q190" s="896"/>
      <c r="R190" s="897"/>
      <c r="S190" s="897"/>
      <c r="T190" s="898"/>
      <c r="U190" s="896"/>
      <c r="V190" s="897"/>
      <c r="W190" s="897"/>
      <c r="X190" s="898"/>
      <c r="Y190" s="896"/>
      <c r="Z190" s="898"/>
      <c r="AA190" s="896"/>
      <c r="AB190" s="897"/>
      <c r="AC190" s="897"/>
      <c r="AD190" s="898"/>
      <c r="AE190" s="896"/>
      <c r="AF190" s="897"/>
      <c r="AG190" s="897"/>
      <c r="AH190" s="1251"/>
      <c r="AI190" s="892"/>
      <c r="AK190" s="303"/>
      <c r="AN190" s="303"/>
      <c r="AO190" s="303"/>
      <c r="AP190" s="303"/>
      <c r="AQ190" s="303"/>
    </row>
    <row r="191" spans="1:43">
      <c r="A191" s="305">
        <v>1</v>
      </c>
      <c r="B191" s="1708"/>
      <c r="C191" s="1709"/>
      <c r="D191" s="1710"/>
      <c r="E191" s="1706"/>
      <c r="F191" s="1707"/>
      <c r="G191" s="1711"/>
      <c r="H191" s="1712"/>
      <c r="I191" s="1712"/>
      <c r="J191" s="1713"/>
      <c r="K191" s="1711"/>
      <c r="L191" s="1712"/>
      <c r="M191" s="1712"/>
      <c r="N191" s="1713"/>
      <c r="O191" s="1711"/>
      <c r="P191" s="1713"/>
      <c r="Q191" s="1714">
        <f t="shared" si="51" ref="Q191:Q206">G191*O191</f>
        <v>0</v>
      </c>
      <c r="R191" s="1715"/>
      <c r="S191" s="1715"/>
      <c r="T191" s="1720"/>
      <c r="U191" s="1714">
        <f t="shared" si="52" ref="U191:U206">K191*O191</f>
        <v>0</v>
      </c>
      <c r="V191" s="1715"/>
      <c r="W191" s="1715"/>
      <c r="X191" s="1720"/>
      <c r="Y191" s="1725"/>
      <c r="Z191" s="1726"/>
      <c r="AA191" s="1727">
        <f>IF(Y191="",U191,Q191*Y191/100)</f>
        <v>0</v>
      </c>
      <c r="AB191" s="1728"/>
      <c r="AC191" s="1728"/>
      <c r="AD191" s="1729"/>
      <c r="AE191" s="1714">
        <f>IF(AA191=0,U191,IF(U191&gt;(VALUE(AA191)),VALUE(AA191),U191))</f>
        <v>0</v>
      </c>
      <c r="AF191" s="1715"/>
      <c r="AG191" s="1715"/>
      <c r="AH191" s="1716"/>
      <c r="AI191" s="892"/>
      <c r="AK191" s="303"/>
      <c r="AN191" s="303"/>
      <c r="AO191" s="303"/>
      <c r="AP191" s="303"/>
      <c r="AQ191" s="303"/>
    </row>
    <row r="192" spans="1:43">
      <c r="A192" s="306">
        <v>2</v>
      </c>
      <c r="B192" s="1708"/>
      <c r="C192" s="1709"/>
      <c r="D192" s="1710"/>
      <c r="E192" s="1706"/>
      <c r="F192" s="1707"/>
      <c r="G192" s="1711"/>
      <c r="H192" s="1712"/>
      <c r="I192" s="1712"/>
      <c r="J192" s="1713"/>
      <c r="K192" s="1711"/>
      <c r="L192" s="1712"/>
      <c r="M192" s="1712"/>
      <c r="N192" s="1713"/>
      <c r="O192" s="1711"/>
      <c r="P192" s="1713"/>
      <c r="Q192" s="1714">
        <f t="shared" si="51">G192*O192</f>
        <v>0</v>
      </c>
      <c r="R192" s="1715"/>
      <c r="S192" s="1715"/>
      <c r="T192" s="1720"/>
      <c r="U192" s="1714">
        <f t="shared" si="52">K192*O192</f>
        <v>0</v>
      </c>
      <c r="V192" s="1715"/>
      <c r="W192" s="1715"/>
      <c r="X192" s="1720"/>
      <c r="Y192" s="1725"/>
      <c r="Z192" s="1726"/>
      <c r="AA192" s="1727">
        <f t="shared" si="53" ref="AA192:AA196">IF(Y192="",U192,Q192*Y192/100)</f>
        <v>0</v>
      </c>
      <c r="AB192" s="1728"/>
      <c r="AC192" s="1728"/>
      <c r="AD192" s="1729"/>
      <c r="AE192" s="1714">
        <f t="shared" si="54" ref="AE192:AE196">IF(AA192=0,U192,IF(U192&gt;(VALUE(AA192)),VALUE(AA192),U192))</f>
        <v>0</v>
      </c>
      <c r="AF192" s="1715"/>
      <c r="AG192" s="1715"/>
      <c r="AH192" s="1716"/>
      <c r="AI192" s="892"/>
      <c r="AK192" s="303"/>
      <c r="AN192" s="303"/>
      <c r="AO192" s="303"/>
      <c r="AP192" s="303"/>
      <c r="AQ192" s="303"/>
    </row>
    <row r="193" spans="1:43">
      <c r="A193" s="305">
        <v>3</v>
      </c>
      <c r="B193" s="1708"/>
      <c r="C193" s="1709"/>
      <c r="D193" s="1710"/>
      <c r="E193" s="1706"/>
      <c r="F193" s="1707"/>
      <c r="G193" s="1711"/>
      <c r="H193" s="1712"/>
      <c r="I193" s="1712"/>
      <c r="J193" s="1713"/>
      <c r="K193" s="1711"/>
      <c r="L193" s="1712"/>
      <c r="M193" s="1712"/>
      <c r="N193" s="1713"/>
      <c r="O193" s="1711"/>
      <c r="P193" s="1713"/>
      <c r="Q193" s="1714">
        <f t="shared" si="51">G193*O193</f>
        <v>0</v>
      </c>
      <c r="R193" s="1715"/>
      <c r="S193" s="1715"/>
      <c r="T193" s="1720"/>
      <c r="U193" s="1714">
        <f t="shared" si="52">K193*O193</f>
        <v>0</v>
      </c>
      <c r="V193" s="1715"/>
      <c r="W193" s="1715"/>
      <c r="X193" s="1720"/>
      <c r="Y193" s="1725"/>
      <c r="Z193" s="1726"/>
      <c r="AA193" s="1727">
        <f t="shared" si="53">IF(Y193="",U193,Q193*Y193/100)</f>
        <v>0</v>
      </c>
      <c r="AB193" s="1728"/>
      <c r="AC193" s="1728"/>
      <c r="AD193" s="1729"/>
      <c r="AE193" s="1714">
        <f t="shared" si="54">IF(AA193=0,U193,IF(U193&gt;(VALUE(AA193)),VALUE(AA193),U193))</f>
        <v>0</v>
      </c>
      <c r="AF193" s="1715"/>
      <c r="AG193" s="1715"/>
      <c r="AH193" s="1716"/>
      <c r="AI193" s="892"/>
      <c r="AK193" s="303"/>
      <c r="AN193" s="303"/>
      <c r="AO193" s="303"/>
      <c r="AP193" s="303"/>
      <c r="AQ193" s="303"/>
    </row>
    <row r="194" spans="1:43">
      <c r="A194" s="306">
        <v>4</v>
      </c>
      <c r="B194" s="1708"/>
      <c r="C194" s="1709"/>
      <c r="D194" s="1710"/>
      <c r="E194" s="1706"/>
      <c r="F194" s="1707"/>
      <c r="G194" s="1711"/>
      <c r="H194" s="1712"/>
      <c r="I194" s="1712"/>
      <c r="J194" s="1713"/>
      <c r="K194" s="1711"/>
      <c r="L194" s="1712"/>
      <c r="M194" s="1712"/>
      <c r="N194" s="1713"/>
      <c r="O194" s="1711"/>
      <c r="P194" s="1713"/>
      <c r="Q194" s="1714">
        <f t="shared" si="51">G194*O194</f>
        <v>0</v>
      </c>
      <c r="R194" s="1715"/>
      <c r="S194" s="1715"/>
      <c r="T194" s="1720"/>
      <c r="U194" s="1714">
        <f t="shared" si="52">K194*O194</f>
        <v>0</v>
      </c>
      <c r="V194" s="1715"/>
      <c r="W194" s="1715"/>
      <c r="X194" s="1720"/>
      <c r="Y194" s="1725"/>
      <c r="Z194" s="1726"/>
      <c r="AA194" s="1727">
        <f t="shared" si="53">IF(Y194="",U194,Q194*Y194/100)</f>
        <v>0</v>
      </c>
      <c r="AB194" s="1728"/>
      <c r="AC194" s="1728"/>
      <c r="AD194" s="1729"/>
      <c r="AE194" s="1714">
        <f t="shared" si="54">IF(AA194=0,U194,IF(U194&gt;(VALUE(AA194)),VALUE(AA194),U194))</f>
        <v>0</v>
      </c>
      <c r="AF194" s="1715"/>
      <c r="AG194" s="1715"/>
      <c r="AH194" s="1716"/>
      <c r="AI194" s="892"/>
      <c r="AK194" s="303"/>
      <c r="AN194" s="303"/>
      <c r="AO194" s="303"/>
      <c r="AP194" s="303"/>
      <c r="AQ194" s="303"/>
    </row>
    <row r="195" spans="1:43">
      <c r="A195" s="305">
        <v>5</v>
      </c>
      <c r="B195" s="1708"/>
      <c r="C195" s="1709"/>
      <c r="D195" s="1710"/>
      <c r="E195" s="1706"/>
      <c r="F195" s="1707"/>
      <c r="G195" s="1711"/>
      <c r="H195" s="1712"/>
      <c r="I195" s="1712"/>
      <c r="J195" s="1713"/>
      <c r="K195" s="1711"/>
      <c r="L195" s="1712"/>
      <c r="M195" s="1712"/>
      <c r="N195" s="1713"/>
      <c r="O195" s="1711"/>
      <c r="P195" s="1713"/>
      <c r="Q195" s="1714">
        <f t="shared" si="51">G195*O195</f>
        <v>0</v>
      </c>
      <c r="R195" s="1715"/>
      <c r="S195" s="1715"/>
      <c r="T195" s="1720"/>
      <c r="U195" s="1714">
        <f t="shared" si="52">K195*O195</f>
        <v>0</v>
      </c>
      <c r="V195" s="1715"/>
      <c r="W195" s="1715"/>
      <c r="X195" s="1720"/>
      <c r="Y195" s="1725"/>
      <c r="Z195" s="1726"/>
      <c r="AA195" s="1727">
        <f t="shared" si="53">IF(Y195="",U195,Q195*Y195/100)</f>
        <v>0</v>
      </c>
      <c r="AB195" s="1728"/>
      <c r="AC195" s="1728"/>
      <c r="AD195" s="1729"/>
      <c r="AE195" s="1714">
        <f t="shared" si="54">IF(AA195=0,U195,IF(U195&gt;(VALUE(AA195)),VALUE(AA195),U195))</f>
        <v>0</v>
      </c>
      <c r="AF195" s="1715"/>
      <c r="AG195" s="1715"/>
      <c r="AH195" s="1716"/>
      <c r="AI195" s="892"/>
      <c r="AK195" s="303"/>
      <c r="AN195" s="303"/>
      <c r="AO195" s="303"/>
      <c r="AP195" s="303"/>
      <c r="AQ195" s="303"/>
    </row>
    <row r="196" spans="1:43">
      <c r="A196" s="306">
        <v>6</v>
      </c>
      <c r="B196" s="1708"/>
      <c r="C196" s="1709"/>
      <c r="D196" s="1710"/>
      <c r="E196" s="1706"/>
      <c r="F196" s="1707"/>
      <c r="G196" s="1711"/>
      <c r="H196" s="1712"/>
      <c r="I196" s="1712"/>
      <c r="J196" s="1713"/>
      <c r="K196" s="1711"/>
      <c r="L196" s="1712"/>
      <c r="M196" s="1712"/>
      <c r="N196" s="1713"/>
      <c r="O196" s="1711"/>
      <c r="P196" s="1713"/>
      <c r="Q196" s="1714">
        <f t="shared" si="55" ref="Q196">G196*O196</f>
        <v>0</v>
      </c>
      <c r="R196" s="1715"/>
      <c r="S196" s="1715"/>
      <c r="T196" s="1720"/>
      <c r="U196" s="1714">
        <f t="shared" si="56" ref="U196">K196*O196</f>
        <v>0</v>
      </c>
      <c r="V196" s="1715"/>
      <c r="W196" s="1715"/>
      <c r="X196" s="1720"/>
      <c r="Y196" s="1725"/>
      <c r="Z196" s="1726"/>
      <c r="AA196" s="1727">
        <f t="shared" si="53">IF(Y196="",U196,Q196*Y196/100)</f>
        <v>0</v>
      </c>
      <c r="AB196" s="1728"/>
      <c r="AC196" s="1728"/>
      <c r="AD196" s="1729"/>
      <c r="AE196" s="1714">
        <f t="shared" si="54">IF(AA196=0,U196,IF(U196&gt;(VALUE(AA196)),VALUE(AA196),U196))</f>
        <v>0</v>
      </c>
      <c r="AF196" s="1715"/>
      <c r="AG196" s="1715"/>
      <c r="AH196" s="1716"/>
      <c r="AI196" s="892"/>
      <c r="AK196" s="303"/>
      <c r="AN196" s="303"/>
      <c r="AO196" s="303"/>
      <c r="AP196" s="303"/>
      <c r="AQ196" s="303"/>
    </row>
    <row r="197" spans="1:43">
      <c r="A197" s="305">
        <v>7</v>
      </c>
      <c r="B197" s="1708"/>
      <c r="C197" s="1709"/>
      <c r="D197" s="1710"/>
      <c r="E197" s="1706"/>
      <c r="F197" s="1707"/>
      <c r="G197" s="1711"/>
      <c r="H197" s="1712"/>
      <c r="I197" s="1712"/>
      <c r="J197" s="1713"/>
      <c r="K197" s="1711"/>
      <c r="L197" s="1712"/>
      <c r="M197" s="1712"/>
      <c r="N197" s="1713"/>
      <c r="O197" s="1711"/>
      <c r="P197" s="1713"/>
      <c r="Q197" s="1714">
        <f t="shared" si="57" ref="Q197:Q200">G197*O197</f>
        <v>0</v>
      </c>
      <c r="R197" s="1715"/>
      <c r="S197" s="1715"/>
      <c r="T197" s="1720"/>
      <c r="U197" s="1714">
        <f t="shared" si="58" ref="U197:U200">K197*O197</f>
        <v>0</v>
      </c>
      <c r="V197" s="1715"/>
      <c r="W197" s="1715"/>
      <c r="X197" s="1720"/>
      <c r="Y197" s="1725"/>
      <c r="Z197" s="1726"/>
      <c r="AA197" s="1727">
        <f t="shared" si="59" ref="AA197:AA200">IF(Y197="",U197,Q197*Y197/100)</f>
        <v>0</v>
      </c>
      <c r="AB197" s="1728"/>
      <c r="AC197" s="1728"/>
      <c r="AD197" s="1729"/>
      <c r="AE197" s="1714">
        <f t="shared" si="60" ref="AE197:AE200">IF(AA197=0,U197,IF(U197&gt;(VALUE(AA197)),VALUE(AA197),U197))</f>
        <v>0</v>
      </c>
      <c r="AF197" s="1715"/>
      <c r="AG197" s="1715"/>
      <c r="AH197" s="1716"/>
      <c r="AI197" s="892"/>
      <c r="AK197" s="303"/>
      <c r="AN197" s="303"/>
      <c r="AO197" s="303"/>
      <c r="AP197" s="303"/>
      <c r="AQ197" s="303"/>
    </row>
    <row r="198" spans="1:43">
      <c r="A198" s="306">
        <v>8</v>
      </c>
      <c r="B198" s="1708"/>
      <c r="C198" s="1709"/>
      <c r="D198" s="1710"/>
      <c r="E198" s="1706"/>
      <c r="F198" s="1707"/>
      <c r="G198" s="1711"/>
      <c r="H198" s="1712"/>
      <c r="I198" s="1712"/>
      <c r="J198" s="1713"/>
      <c r="K198" s="1711"/>
      <c r="L198" s="1712"/>
      <c r="M198" s="1712"/>
      <c r="N198" s="1713"/>
      <c r="O198" s="1711"/>
      <c r="P198" s="1713"/>
      <c r="Q198" s="1714">
        <f t="shared" si="57">G198*O198</f>
        <v>0</v>
      </c>
      <c r="R198" s="1715"/>
      <c r="S198" s="1715"/>
      <c r="T198" s="1720"/>
      <c r="U198" s="1714">
        <f t="shared" si="58">K198*O198</f>
        <v>0</v>
      </c>
      <c r="V198" s="1715"/>
      <c r="W198" s="1715"/>
      <c r="X198" s="1720"/>
      <c r="Y198" s="1725"/>
      <c r="Z198" s="1726"/>
      <c r="AA198" s="1727">
        <f t="shared" si="59">IF(Y198="",U198,Q198*Y198/100)</f>
        <v>0</v>
      </c>
      <c r="AB198" s="1728"/>
      <c r="AC198" s="1728"/>
      <c r="AD198" s="1729"/>
      <c r="AE198" s="1714">
        <f t="shared" si="60">IF(AA198=0,U198,IF(U198&gt;(VALUE(AA198)),VALUE(AA198),U198))</f>
        <v>0</v>
      </c>
      <c r="AF198" s="1715"/>
      <c r="AG198" s="1715"/>
      <c r="AH198" s="1716"/>
      <c r="AI198" s="892"/>
      <c r="AK198" s="303"/>
      <c r="AN198" s="303"/>
      <c r="AO198" s="303"/>
      <c r="AP198" s="303"/>
      <c r="AQ198" s="303"/>
    </row>
    <row r="199" spans="1:43">
      <c r="A199" s="305">
        <v>9</v>
      </c>
      <c r="B199" s="1708"/>
      <c r="C199" s="1709"/>
      <c r="D199" s="1710"/>
      <c r="E199" s="1706"/>
      <c r="F199" s="1707"/>
      <c r="G199" s="1711"/>
      <c r="H199" s="1712"/>
      <c r="I199" s="1712"/>
      <c r="J199" s="1713"/>
      <c r="K199" s="1711"/>
      <c r="L199" s="1712"/>
      <c r="M199" s="1712"/>
      <c r="N199" s="1713"/>
      <c r="O199" s="1711"/>
      <c r="P199" s="1713"/>
      <c r="Q199" s="1714">
        <f t="shared" si="57">G199*O199</f>
        <v>0</v>
      </c>
      <c r="R199" s="1715"/>
      <c r="S199" s="1715"/>
      <c r="T199" s="1720"/>
      <c r="U199" s="1714">
        <f t="shared" si="58">K199*O199</f>
        <v>0</v>
      </c>
      <c r="V199" s="1715"/>
      <c r="W199" s="1715"/>
      <c r="X199" s="1720"/>
      <c r="Y199" s="1725"/>
      <c r="Z199" s="1726"/>
      <c r="AA199" s="1727">
        <f t="shared" si="59">IF(Y199="",U199,Q199*Y199/100)</f>
        <v>0</v>
      </c>
      <c r="AB199" s="1728"/>
      <c r="AC199" s="1728"/>
      <c r="AD199" s="1729"/>
      <c r="AE199" s="1714">
        <f t="shared" si="60">IF(AA199=0,U199,IF(U199&gt;(VALUE(AA199)),VALUE(AA199),U199))</f>
        <v>0</v>
      </c>
      <c r="AF199" s="1715"/>
      <c r="AG199" s="1715"/>
      <c r="AH199" s="1716"/>
      <c r="AI199" s="892"/>
      <c r="AK199" s="303"/>
      <c r="AN199" s="303"/>
      <c r="AO199" s="303"/>
      <c r="AP199" s="303"/>
      <c r="AQ199" s="303"/>
    </row>
    <row r="200" spans="1:43">
      <c r="A200" s="306">
        <v>10</v>
      </c>
      <c r="B200" s="1708"/>
      <c r="C200" s="1709"/>
      <c r="D200" s="1710"/>
      <c r="E200" s="1706"/>
      <c r="F200" s="1707"/>
      <c r="G200" s="1711"/>
      <c r="H200" s="1712"/>
      <c r="I200" s="1712"/>
      <c r="J200" s="1713"/>
      <c r="K200" s="1711"/>
      <c r="L200" s="1712"/>
      <c r="M200" s="1712"/>
      <c r="N200" s="1713"/>
      <c r="O200" s="1711"/>
      <c r="P200" s="1713"/>
      <c r="Q200" s="1714">
        <f t="shared" si="57">G200*O200</f>
        <v>0</v>
      </c>
      <c r="R200" s="1715"/>
      <c r="S200" s="1715"/>
      <c r="T200" s="1720"/>
      <c r="U200" s="1714">
        <f t="shared" si="58">K200*O200</f>
        <v>0</v>
      </c>
      <c r="V200" s="1715"/>
      <c r="W200" s="1715"/>
      <c r="X200" s="1720"/>
      <c r="Y200" s="1725"/>
      <c r="Z200" s="1726"/>
      <c r="AA200" s="1727">
        <f t="shared" si="59">IF(Y200="",U200,Q200*Y200/100)</f>
        <v>0</v>
      </c>
      <c r="AB200" s="1728"/>
      <c r="AC200" s="1728"/>
      <c r="AD200" s="1729"/>
      <c r="AE200" s="1714">
        <f t="shared" si="60">IF(AA200=0,U200,IF(U200&gt;(VALUE(AA200)),VALUE(AA200),U200))</f>
        <v>0</v>
      </c>
      <c r="AF200" s="1715"/>
      <c r="AG200" s="1715"/>
      <c r="AH200" s="1716"/>
      <c r="AI200" s="892"/>
      <c r="AK200" s="303"/>
      <c r="AN200" s="303"/>
      <c r="AO200" s="303"/>
      <c r="AP200" s="303"/>
      <c r="AQ200" s="303"/>
    </row>
    <row r="201" spans="1:43">
      <c r="A201" s="305">
        <v>11</v>
      </c>
      <c r="B201" s="1708"/>
      <c r="C201" s="1709"/>
      <c r="D201" s="1710"/>
      <c r="E201" s="1706"/>
      <c r="F201" s="1707"/>
      <c r="G201" s="1711"/>
      <c r="H201" s="1712"/>
      <c r="I201" s="1712"/>
      <c r="J201" s="1713"/>
      <c r="K201" s="1711"/>
      <c r="L201" s="1712"/>
      <c r="M201" s="1712"/>
      <c r="N201" s="1713"/>
      <c r="O201" s="1711"/>
      <c r="P201" s="1713"/>
      <c r="Q201" s="1714">
        <f t="shared" si="51">G201*O201</f>
        <v>0</v>
      </c>
      <c r="R201" s="1715"/>
      <c r="S201" s="1715"/>
      <c r="T201" s="1720"/>
      <c r="U201" s="1714">
        <f t="shared" si="52">K201*O201</f>
        <v>0</v>
      </c>
      <c r="V201" s="1715"/>
      <c r="W201" s="1715"/>
      <c r="X201" s="1720"/>
      <c r="Y201" s="1725"/>
      <c r="Z201" s="1726"/>
      <c r="AA201" s="1727">
        <f t="shared" si="61" ref="AA201:AA206">IF(Y201="",U201,Q201*Y201/100)</f>
        <v>0</v>
      </c>
      <c r="AB201" s="1728"/>
      <c r="AC201" s="1728"/>
      <c r="AD201" s="1729"/>
      <c r="AE201" s="1714">
        <f t="shared" si="62" ref="AE201:AE206">IF(AA201=0,U201,IF(U201&gt;(VALUE(AA201)),VALUE(AA201),U201))</f>
        <v>0</v>
      </c>
      <c r="AF201" s="1715"/>
      <c r="AG201" s="1715"/>
      <c r="AH201" s="1716"/>
      <c r="AI201" s="892"/>
      <c r="AK201" s="303"/>
      <c r="AN201" s="303"/>
      <c r="AO201" s="303"/>
      <c r="AP201" s="303"/>
      <c r="AQ201" s="303"/>
    </row>
    <row r="202" spans="1:43">
      <c r="A202" s="306">
        <v>12</v>
      </c>
      <c r="B202" s="1708"/>
      <c r="C202" s="1709"/>
      <c r="D202" s="1710"/>
      <c r="E202" s="1706"/>
      <c r="F202" s="1707"/>
      <c r="G202" s="1711"/>
      <c r="H202" s="1712"/>
      <c r="I202" s="1712"/>
      <c r="J202" s="1713"/>
      <c r="K202" s="1711"/>
      <c r="L202" s="1712"/>
      <c r="M202" s="1712"/>
      <c r="N202" s="1713"/>
      <c r="O202" s="1711"/>
      <c r="P202" s="1713"/>
      <c r="Q202" s="1714">
        <f t="shared" si="51">G202*O202</f>
        <v>0</v>
      </c>
      <c r="R202" s="1715"/>
      <c r="S202" s="1715"/>
      <c r="T202" s="1720"/>
      <c r="U202" s="1714">
        <f t="shared" si="52">K202*O202</f>
        <v>0</v>
      </c>
      <c r="V202" s="1715"/>
      <c r="W202" s="1715"/>
      <c r="X202" s="1720"/>
      <c r="Y202" s="1725"/>
      <c r="Z202" s="1726"/>
      <c r="AA202" s="1727">
        <f t="shared" si="61">IF(Y202="",U202,Q202*Y202/100)</f>
        <v>0</v>
      </c>
      <c r="AB202" s="1728"/>
      <c r="AC202" s="1728"/>
      <c r="AD202" s="1729"/>
      <c r="AE202" s="1714">
        <f t="shared" si="62">IF(AA202=0,U202,IF(U202&gt;(VALUE(AA202)),VALUE(AA202),U202))</f>
        <v>0</v>
      </c>
      <c r="AF202" s="1715"/>
      <c r="AG202" s="1715"/>
      <c r="AH202" s="1716"/>
      <c r="AI202" s="892"/>
      <c r="AK202" s="303"/>
      <c r="AN202" s="303"/>
      <c r="AO202" s="303"/>
      <c r="AP202" s="303"/>
      <c r="AQ202" s="303"/>
    </row>
    <row r="203" spans="1:43">
      <c r="A203" s="305">
        <v>13</v>
      </c>
      <c r="B203" s="1708"/>
      <c r="C203" s="1709"/>
      <c r="D203" s="1710"/>
      <c r="E203" s="1706"/>
      <c r="F203" s="1707"/>
      <c r="G203" s="1711"/>
      <c r="H203" s="1712"/>
      <c r="I203" s="1712"/>
      <c r="J203" s="1713"/>
      <c r="K203" s="1711"/>
      <c r="L203" s="1712"/>
      <c r="M203" s="1712"/>
      <c r="N203" s="1713"/>
      <c r="O203" s="1711"/>
      <c r="P203" s="1713"/>
      <c r="Q203" s="1714">
        <f t="shared" si="51">G203*O203</f>
        <v>0</v>
      </c>
      <c r="R203" s="1715"/>
      <c r="S203" s="1715"/>
      <c r="T203" s="1720"/>
      <c r="U203" s="1714">
        <f t="shared" si="52">K203*O203</f>
        <v>0</v>
      </c>
      <c r="V203" s="1715"/>
      <c r="W203" s="1715"/>
      <c r="X203" s="1720"/>
      <c r="Y203" s="1725"/>
      <c r="Z203" s="1726"/>
      <c r="AA203" s="1727">
        <f t="shared" si="61">IF(Y203="",U203,Q203*Y203/100)</f>
        <v>0</v>
      </c>
      <c r="AB203" s="1728"/>
      <c r="AC203" s="1728"/>
      <c r="AD203" s="1729"/>
      <c r="AE203" s="1714">
        <f t="shared" si="62">IF(AA203=0,U203,IF(U203&gt;(VALUE(AA203)),VALUE(AA203),U203))</f>
        <v>0</v>
      </c>
      <c r="AF203" s="1715"/>
      <c r="AG203" s="1715"/>
      <c r="AH203" s="1716"/>
      <c r="AI203" s="892"/>
      <c r="AK203" s="303"/>
      <c r="AN203" s="303"/>
      <c r="AO203" s="303"/>
      <c r="AP203" s="303"/>
      <c r="AQ203" s="303"/>
    </row>
    <row r="204" spans="1:43">
      <c r="A204" s="306">
        <v>14</v>
      </c>
      <c r="B204" s="1708"/>
      <c r="C204" s="1709"/>
      <c r="D204" s="1710"/>
      <c r="E204" s="1706"/>
      <c r="F204" s="1707"/>
      <c r="G204" s="1711"/>
      <c r="H204" s="1712"/>
      <c r="I204" s="1712"/>
      <c r="J204" s="1713"/>
      <c r="K204" s="1711"/>
      <c r="L204" s="1712"/>
      <c r="M204" s="1712"/>
      <c r="N204" s="1713"/>
      <c r="O204" s="1711"/>
      <c r="P204" s="1713"/>
      <c r="Q204" s="1714">
        <f t="shared" si="51">G204*O204</f>
        <v>0</v>
      </c>
      <c r="R204" s="1715"/>
      <c r="S204" s="1715"/>
      <c r="T204" s="1720"/>
      <c r="U204" s="1714">
        <f t="shared" si="52">K204*O204</f>
        <v>0</v>
      </c>
      <c r="V204" s="1715"/>
      <c r="W204" s="1715"/>
      <c r="X204" s="1720"/>
      <c r="Y204" s="1725"/>
      <c r="Z204" s="1726"/>
      <c r="AA204" s="1727">
        <f t="shared" si="61">IF(Y204="",U204,Q204*Y204/100)</f>
        <v>0</v>
      </c>
      <c r="AB204" s="1728"/>
      <c r="AC204" s="1728"/>
      <c r="AD204" s="1729"/>
      <c r="AE204" s="1714">
        <f t="shared" si="62">IF(AA204=0,U204,IF(U204&gt;(VALUE(AA204)),VALUE(AA204),U204))</f>
        <v>0</v>
      </c>
      <c r="AF204" s="1715"/>
      <c r="AG204" s="1715"/>
      <c r="AH204" s="1716"/>
      <c r="AI204" s="892"/>
      <c r="AK204" s="303"/>
      <c r="AN204" s="303"/>
      <c r="AO204" s="303"/>
      <c r="AP204" s="303"/>
      <c r="AQ204" s="303"/>
    </row>
    <row r="205" spans="1:43">
      <c r="A205" s="305">
        <v>15</v>
      </c>
      <c r="B205" s="1708"/>
      <c r="C205" s="1709"/>
      <c r="D205" s="1710"/>
      <c r="E205" s="1706"/>
      <c r="F205" s="1707"/>
      <c r="G205" s="1711"/>
      <c r="H205" s="1712"/>
      <c r="I205" s="1712"/>
      <c r="J205" s="1713"/>
      <c r="K205" s="1711"/>
      <c r="L205" s="1712"/>
      <c r="M205" s="1712"/>
      <c r="N205" s="1713"/>
      <c r="O205" s="1711"/>
      <c r="P205" s="1713"/>
      <c r="Q205" s="1714">
        <f t="shared" si="51">G205*O205</f>
        <v>0</v>
      </c>
      <c r="R205" s="1715"/>
      <c r="S205" s="1715"/>
      <c r="T205" s="1720"/>
      <c r="U205" s="1714">
        <f t="shared" si="52">K205*O205</f>
        <v>0</v>
      </c>
      <c r="V205" s="1715"/>
      <c r="W205" s="1715"/>
      <c r="X205" s="1720"/>
      <c r="Y205" s="1725"/>
      <c r="Z205" s="1726"/>
      <c r="AA205" s="1727">
        <f t="shared" si="61">IF(Y205="",U205,Q205*Y205/100)</f>
        <v>0</v>
      </c>
      <c r="AB205" s="1728"/>
      <c r="AC205" s="1728"/>
      <c r="AD205" s="1729"/>
      <c r="AE205" s="1714">
        <f t="shared" si="62">IF(AA205=0,U205,IF(U205&gt;(VALUE(AA205)),VALUE(AA205),U205))</f>
        <v>0</v>
      </c>
      <c r="AF205" s="1715"/>
      <c r="AG205" s="1715"/>
      <c r="AH205" s="1716"/>
      <c r="AI205" s="892"/>
      <c r="AK205" s="303"/>
      <c r="AN205" s="303"/>
      <c r="AO205" s="303"/>
      <c r="AP205" s="303"/>
      <c r="AQ205" s="303"/>
    </row>
    <row r="206" spans="1:43">
      <c r="A206" s="307" t="s">
        <v>504</v>
      </c>
      <c r="B206" s="1703"/>
      <c r="C206" s="1704"/>
      <c r="D206" s="1705"/>
      <c r="E206" s="1706"/>
      <c r="F206" s="1707"/>
      <c r="G206" s="1706"/>
      <c r="H206" s="1902"/>
      <c r="I206" s="1902"/>
      <c r="J206" s="1707"/>
      <c r="K206" s="1711"/>
      <c r="L206" s="1712"/>
      <c r="M206" s="1712"/>
      <c r="N206" s="1713"/>
      <c r="O206" s="1711"/>
      <c r="P206" s="1713"/>
      <c r="Q206" s="1714">
        <f t="shared" si="51">G206*O206</f>
        <v>0</v>
      </c>
      <c r="R206" s="1715"/>
      <c r="S206" s="1715"/>
      <c r="T206" s="1720"/>
      <c r="U206" s="1714">
        <f t="shared" si="52">K206*O206</f>
        <v>0</v>
      </c>
      <c r="V206" s="1715"/>
      <c r="W206" s="1715"/>
      <c r="X206" s="1720"/>
      <c r="Y206" s="1725"/>
      <c r="Z206" s="1726"/>
      <c r="AA206" s="1727">
        <f t="shared" si="61">IF(Y206="",U206,Q206*Y206/100)</f>
        <v>0</v>
      </c>
      <c r="AB206" s="1728"/>
      <c r="AC206" s="1728"/>
      <c r="AD206" s="1729"/>
      <c r="AE206" s="1714">
        <f t="shared" si="62">IF(AA206=0,U206,IF(U206&gt;(VALUE(AA206)),VALUE(AA206),U206))</f>
        <v>0</v>
      </c>
      <c r="AF206" s="1715"/>
      <c r="AG206" s="1715"/>
      <c r="AH206" s="1716"/>
      <c r="AI206" s="892"/>
      <c r="AK206" s="303"/>
      <c r="AN206" s="303"/>
      <c r="AO206" s="303"/>
      <c r="AP206" s="303"/>
      <c r="AQ206" s="303"/>
    </row>
    <row r="207" spans="1:43" ht="13.5" customHeight="1" thickBot="1">
      <c r="A207" s="899"/>
      <c r="B207" s="900"/>
      <c r="C207" s="901"/>
      <c r="D207" s="902"/>
      <c r="E207" s="900"/>
      <c r="F207" s="902"/>
      <c r="G207" s="900"/>
      <c r="H207" s="901"/>
      <c r="I207" s="901"/>
      <c r="J207" s="902"/>
      <c r="K207" s="900"/>
      <c r="L207" s="901"/>
      <c r="M207" s="901"/>
      <c r="N207" s="902"/>
      <c r="O207" s="900"/>
      <c r="P207" s="902"/>
      <c r="Q207" s="904"/>
      <c r="R207" s="905"/>
      <c r="S207" s="905"/>
      <c r="T207" s="906"/>
      <c r="U207" s="904"/>
      <c r="V207" s="905"/>
      <c r="W207" s="905"/>
      <c r="X207" s="906"/>
      <c r="Y207" s="900"/>
      <c r="Z207" s="902"/>
      <c r="AA207" s="900"/>
      <c r="AB207" s="901"/>
      <c r="AC207" s="901"/>
      <c r="AD207" s="902"/>
      <c r="AE207" s="900"/>
      <c r="AF207" s="901"/>
      <c r="AG207" s="901"/>
      <c r="AH207" s="1252"/>
      <c r="AI207" s="892"/>
      <c r="AK207" s="303"/>
      <c r="AN207" s="303"/>
      <c r="AO207" s="303"/>
      <c r="AP207" s="303"/>
      <c r="AQ207" s="303"/>
    </row>
    <row r="208" spans="1:43" ht="13.5" customHeight="1" thickTop="1" thickBot="1">
      <c r="A208" s="892"/>
      <c r="B208" s="892"/>
      <c r="C208" s="892"/>
      <c r="D208" s="892"/>
      <c r="E208" s="892"/>
      <c r="F208" s="892"/>
      <c r="G208" s="892"/>
      <c r="H208" s="892"/>
      <c r="I208" s="892"/>
      <c r="J208" s="892"/>
      <c r="K208" s="892"/>
      <c r="L208" s="892"/>
      <c r="M208" s="892"/>
      <c r="N208" s="892"/>
      <c r="O208" s="892"/>
      <c r="P208" s="892"/>
      <c r="Q208" s="903"/>
      <c r="R208" s="903"/>
      <c r="S208" s="903"/>
      <c r="T208" s="903"/>
      <c r="U208" s="903"/>
      <c r="V208" s="903"/>
      <c r="W208" s="903"/>
      <c r="X208" s="903"/>
      <c r="Y208" s="892"/>
      <c r="Z208" s="892"/>
      <c r="AA208" s="892"/>
      <c r="AB208" s="892"/>
      <c r="AC208" s="892"/>
      <c r="AD208" s="892"/>
      <c r="AE208" s="892"/>
      <c r="AF208" s="892"/>
      <c r="AG208" s="892"/>
      <c r="AH208" s="892"/>
      <c r="AI208" s="892"/>
      <c r="AK208" s="303"/>
      <c r="AN208" s="303"/>
      <c r="AO208" s="303"/>
      <c r="AP208" s="303"/>
      <c r="AQ208" s="303"/>
    </row>
    <row r="209" spans="1:43" ht="14.25" customHeight="1" thickTop="1" thickBot="1">
      <c r="A209" s="892"/>
      <c r="B209" s="893" t="s">
        <v>347</v>
      </c>
      <c r="C209" s="892"/>
      <c r="D209" s="892"/>
      <c r="E209" s="892"/>
      <c r="F209" s="892"/>
      <c r="G209" s="1836">
        <f>+SUM(G191:J207)</f>
        <v>0</v>
      </c>
      <c r="H209" s="1837"/>
      <c r="I209" s="1837"/>
      <c r="J209" s="1838"/>
      <c r="K209" s="1836">
        <f>+SUM(K191:N207)</f>
        <v>0</v>
      </c>
      <c r="L209" s="1837"/>
      <c r="M209" s="1837"/>
      <c r="N209" s="1838"/>
      <c r="O209" s="903"/>
      <c r="P209" s="903"/>
      <c r="Q209" s="1736">
        <f>+SUM(Q191:T207)</f>
        <v>0</v>
      </c>
      <c r="R209" s="1737"/>
      <c r="S209" s="1737"/>
      <c r="T209" s="1738"/>
      <c r="U209" s="1736">
        <f>+SUM(U191:X207)</f>
        <v>0</v>
      </c>
      <c r="V209" s="1737"/>
      <c r="W209" s="1737"/>
      <c r="X209" s="1738"/>
      <c r="Y209" s="892"/>
      <c r="Z209" s="892"/>
      <c r="AA209" s="1733">
        <f>SUM(AA191:AD207)</f>
        <v>0</v>
      </c>
      <c r="AB209" s="1734"/>
      <c r="AC209" s="1734"/>
      <c r="AD209" s="1735"/>
      <c r="AE209" s="1736">
        <f>+SUM(AE191:AH207)</f>
        <v>0</v>
      </c>
      <c r="AF209" s="1737"/>
      <c r="AG209" s="1737"/>
      <c r="AH209" s="1738"/>
      <c r="AI209" s="892"/>
      <c r="AK209" s="303"/>
      <c r="AN209" s="303"/>
      <c r="AO209" s="303"/>
      <c r="AP209" s="303"/>
      <c r="AQ209" s="303"/>
    </row>
    <row r="210" spans="1:43" ht="13.5" collapsed="1" customHeight="1" thickTop="1">
      <c r="A210" s="892"/>
      <c r="B210" s="892"/>
      <c r="C210" s="892"/>
      <c r="D210" s="892"/>
      <c r="E210" s="892"/>
      <c r="F210" s="892"/>
      <c r="G210" s="892"/>
      <c r="H210" s="892"/>
      <c r="I210" s="892"/>
      <c r="J210" s="892"/>
      <c r="K210" s="892"/>
      <c r="L210" s="892"/>
      <c r="M210" s="892"/>
      <c r="N210" s="892"/>
      <c r="O210" s="892"/>
      <c r="P210" s="892"/>
      <c r="Q210" s="903"/>
      <c r="R210" s="903"/>
      <c r="S210" s="903"/>
      <c r="T210" s="903"/>
      <c r="U210" s="903"/>
      <c r="V210" s="903"/>
      <c r="W210" s="903"/>
      <c r="X210" s="903"/>
      <c r="Y210" s="903"/>
      <c r="Z210" s="903"/>
      <c r="AA210" s="903"/>
      <c r="AB210" s="903"/>
      <c r="AC210" s="903"/>
      <c r="AD210" s="903"/>
      <c r="AE210" s="892"/>
      <c r="AF210" s="892"/>
      <c r="AG210" s="892"/>
      <c r="AH210" s="892"/>
      <c r="AI210" s="892"/>
      <c r="AK210" s="303"/>
      <c r="AN210" s="303"/>
      <c r="AO210" s="303"/>
      <c r="AP210" s="303"/>
      <c r="AQ210" s="303"/>
    </row>
    <row r="211" spans="1:43" ht="13.5" customHeight="1">
      <c r="A211" s="892"/>
      <c r="B211" s="893" t="s">
        <v>311</v>
      </c>
      <c r="C211" s="893" t="s">
        <v>506</v>
      </c>
      <c r="D211" s="892"/>
      <c r="E211" s="892"/>
      <c r="F211" s="892"/>
      <c r="G211" s="892"/>
      <c r="H211" s="892"/>
      <c r="I211" s="892"/>
      <c r="J211" s="892"/>
      <c r="K211" s="892"/>
      <c r="L211" s="892"/>
      <c r="M211" s="892"/>
      <c r="N211" s="892"/>
      <c r="O211" s="892"/>
      <c r="P211" s="892"/>
      <c r="Q211" s="892"/>
      <c r="R211" s="892"/>
      <c r="S211" s="892"/>
      <c r="T211" s="892"/>
      <c r="U211" s="892"/>
      <c r="V211" s="892"/>
      <c r="W211" s="892"/>
      <c r="X211" s="892"/>
      <c r="Y211" s="892"/>
      <c r="Z211" s="892"/>
      <c r="AA211" s="892"/>
      <c r="AB211" s="892"/>
      <c r="AC211" s="892"/>
      <c r="AD211" s="892"/>
      <c r="AE211" s="892"/>
      <c r="AF211" s="892"/>
      <c r="AG211" s="892"/>
      <c r="AH211" s="892"/>
      <c r="AI211" s="892"/>
      <c r="AK211" s="303"/>
      <c r="AN211" s="303"/>
      <c r="AO211" s="303"/>
      <c r="AP211" s="303"/>
      <c r="AQ211" s="303"/>
    </row>
    <row r="212" spans="1:43" ht="13.5" customHeight="1" thickBot="1">
      <c r="A212" s="892"/>
      <c r="B212" s="892"/>
      <c r="C212" s="892"/>
      <c r="D212" s="892"/>
      <c r="E212" s="892"/>
      <c r="F212" s="892"/>
      <c r="G212" s="892"/>
      <c r="H212" s="892"/>
      <c r="I212" s="892"/>
      <c r="J212" s="892"/>
      <c r="K212" s="892"/>
      <c r="L212" s="892"/>
      <c r="M212" s="1864"/>
      <c r="N212" s="1865"/>
      <c r="O212" s="1865"/>
      <c r="P212" s="1865"/>
      <c r="Q212" s="1865"/>
      <c r="R212" s="1865"/>
      <c r="S212" s="1865"/>
      <c r="T212" s="1865"/>
      <c r="U212" s="1865"/>
      <c r="V212" s="1865"/>
      <c r="W212" s="1865"/>
      <c r="X212" s="1865"/>
      <c r="Y212" s="892"/>
      <c r="Z212" s="892"/>
      <c r="AA212" s="892"/>
      <c r="AB212" s="892"/>
      <c r="AC212" s="892"/>
      <c r="AD212" s="892"/>
      <c r="AE212" s="892"/>
      <c r="AF212" s="892"/>
      <c r="AG212" s="892"/>
      <c r="AH212" s="892"/>
      <c r="AI212" s="892"/>
      <c r="AK212" s="303"/>
      <c r="AN212" s="303"/>
      <c r="AO212" s="303"/>
      <c r="AP212" s="303"/>
      <c r="AQ212" s="303"/>
    </row>
    <row r="213" spans="1:43" ht="14.25" customHeight="1" thickTop="1" thickBot="1">
      <c r="A213" s="1976" t="s">
        <v>321</v>
      </c>
      <c r="B213" s="1781" t="s">
        <v>495</v>
      </c>
      <c r="C213" s="1958"/>
      <c r="D213" s="1959"/>
      <c r="E213" s="1781" t="s">
        <v>496</v>
      </c>
      <c r="F213" s="1745"/>
      <c r="G213" s="1985" t="s">
        <v>497</v>
      </c>
      <c r="H213" s="1955"/>
      <c r="I213" s="1955"/>
      <c r="J213" s="1955"/>
      <c r="K213" s="1955"/>
      <c r="L213" s="1955"/>
      <c r="M213" s="1955"/>
      <c r="N213" s="1956"/>
      <c r="O213" s="1781" t="s">
        <v>498</v>
      </c>
      <c r="P213" s="1745"/>
      <c r="Q213" s="1985" t="s">
        <v>499</v>
      </c>
      <c r="R213" s="1955"/>
      <c r="S213" s="1955"/>
      <c r="T213" s="1955"/>
      <c r="U213" s="1955"/>
      <c r="V213" s="1955"/>
      <c r="W213" s="1955"/>
      <c r="X213" s="1956"/>
      <c r="Y213" s="1781" t="s">
        <v>500</v>
      </c>
      <c r="Z213" s="1745"/>
      <c r="AA213" s="1781" t="s">
        <v>1310</v>
      </c>
      <c r="AB213" s="1740"/>
      <c r="AC213" s="1782"/>
      <c r="AD213" s="1783"/>
      <c r="AE213" s="1781" t="s">
        <v>501</v>
      </c>
      <c r="AF213" s="1740"/>
      <c r="AG213" s="1782"/>
      <c r="AH213" s="1785"/>
      <c r="AI213" s="892"/>
      <c r="AK213" s="303"/>
      <c r="AN213" s="303"/>
      <c r="AO213" s="303"/>
      <c r="AP213" s="303"/>
      <c r="AQ213" s="303"/>
    </row>
    <row r="214" spans="1:43" ht="30" customHeight="1" thickTop="1" thickBot="1">
      <c r="A214" s="1957"/>
      <c r="B214" s="1960"/>
      <c r="C214" s="1961"/>
      <c r="D214" s="1962"/>
      <c r="E214" s="1746"/>
      <c r="F214" s="1747"/>
      <c r="G214" s="1985" t="s">
        <v>502</v>
      </c>
      <c r="H214" s="1955"/>
      <c r="I214" s="1955"/>
      <c r="J214" s="1956"/>
      <c r="K214" s="1985" t="s">
        <v>503</v>
      </c>
      <c r="L214" s="1955"/>
      <c r="M214" s="1955"/>
      <c r="N214" s="1956"/>
      <c r="O214" s="1746"/>
      <c r="P214" s="1747"/>
      <c r="Q214" s="1985" t="s">
        <v>502</v>
      </c>
      <c r="R214" s="1955"/>
      <c r="S214" s="1955"/>
      <c r="T214" s="1956"/>
      <c r="U214" s="1985" t="s">
        <v>503</v>
      </c>
      <c r="V214" s="1955"/>
      <c r="W214" s="1955"/>
      <c r="X214" s="1956"/>
      <c r="Y214" s="1746"/>
      <c r="Z214" s="1747"/>
      <c r="AA214" s="1746"/>
      <c r="AB214" s="1784"/>
      <c r="AC214" s="1743"/>
      <c r="AD214" s="1748"/>
      <c r="AE214" s="1746"/>
      <c r="AF214" s="1784"/>
      <c r="AG214" s="1743"/>
      <c r="AH214" s="1744"/>
      <c r="AI214" s="892"/>
      <c r="AK214" s="303"/>
      <c r="AN214" s="303"/>
      <c r="AO214" s="303"/>
      <c r="AP214" s="303"/>
      <c r="AQ214" s="303"/>
    </row>
    <row r="215" spans="1:43" ht="13.5" customHeight="1" thickTop="1">
      <c r="A215" s="895"/>
      <c r="B215" s="896"/>
      <c r="C215" s="897"/>
      <c r="D215" s="898"/>
      <c r="E215" s="896"/>
      <c r="F215" s="898"/>
      <c r="G215" s="896"/>
      <c r="H215" s="897"/>
      <c r="I215" s="897"/>
      <c r="J215" s="898"/>
      <c r="K215" s="896"/>
      <c r="L215" s="897"/>
      <c r="M215" s="897"/>
      <c r="N215" s="898"/>
      <c r="O215" s="896"/>
      <c r="P215" s="898"/>
      <c r="Q215" s="896"/>
      <c r="R215" s="897"/>
      <c r="S215" s="897"/>
      <c r="T215" s="898"/>
      <c r="U215" s="896"/>
      <c r="V215" s="897"/>
      <c r="W215" s="897"/>
      <c r="X215" s="898"/>
      <c r="Y215" s="896"/>
      <c r="Z215" s="898"/>
      <c r="AA215" s="896"/>
      <c r="AB215" s="897"/>
      <c r="AC215" s="897"/>
      <c r="AD215" s="898"/>
      <c r="AE215" s="896"/>
      <c r="AF215" s="897"/>
      <c r="AG215" s="897"/>
      <c r="AH215" s="1251"/>
      <c r="AI215" s="892"/>
      <c r="AK215" s="303"/>
      <c r="AN215" s="303"/>
      <c r="AO215" s="303"/>
      <c r="AP215" s="303"/>
      <c r="AQ215" s="303"/>
    </row>
    <row r="216" spans="1:43">
      <c r="A216" s="305">
        <v>1</v>
      </c>
      <c r="B216" s="1708"/>
      <c r="C216" s="1709"/>
      <c r="D216" s="1710"/>
      <c r="E216" s="1706"/>
      <c r="F216" s="1707"/>
      <c r="G216" s="1711"/>
      <c r="H216" s="1712"/>
      <c r="I216" s="1712"/>
      <c r="J216" s="1713"/>
      <c r="K216" s="1711"/>
      <c r="L216" s="1712"/>
      <c r="M216" s="1712"/>
      <c r="N216" s="1713"/>
      <c r="O216" s="1711"/>
      <c r="P216" s="1713"/>
      <c r="Q216" s="1714">
        <f t="shared" si="63" ref="Q216:Q231">G216*O216</f>
        <v>0</v>
      </c>
      <c r="R216" s="1715"/>
      <c r="S216" s="1715"/>
      <c r="T216" s="1720"/>
      <c r="U216" s="1714">
        <f t="shared" si="64" ref="U216:U231">K216*O216</f>
        <v>0</v>
      </c>
      <c r="V216" s="1715"/>
      <c r="W216" s="1715"/>
      <c r="X216" s="1720"/>
      <c r="Y216" s="1725"/>
      <c r="Z216" s="1726"/>
      <c r="AA216" s="1727">
        <f>IF(Y216="",U216,Q216*Y216/100)</f>
        <v>0</v>
      </c>
      <c r="AB216" s="1728"/>
      <c r="AC216" s="1728"/>
      <c r="AD216" s="1729"/>
      <c r="AE216" s="1714">
        <f>IF(AA216=0,U216,IF(U216&gt;(VALUE(AA216)),VALUE(AA216),U216))</f>
        <v>0</v>
      </c>
      <c r="AF216" s="1715"/>
      <c r="AG216" s="1715"/>
      <c r="AH216" s="1716"/>
      <c r="AI216" s="892"/>
      <c r="AK216" s="303"/>
      <c r="AN216" s="303"/>
      <c r="AO216" s="303"/>
      <c r="AP216" s="303"/>
      <c r="AQ216" s="303"/>
    </row>
    <row r="217" spans="1:43">
      <c r="A217" s="306">
        <v>2</v>
      </c>
      <c r="B217" s="1708"/>
      <c r="C217" s="1709"/>
      <c r="D217" s="1710"/>
      <c r="E217" s="1706"/>
      <c r="F217" s="1707"/>
      <c r="G217" s="1711"/>
      <c r="H217" s="1712"/>
      <c r="I217" s="1712"/>
      <c r="J217" s="1713"/>
      <c r="K217" s="1711"/>
      <c r="L217" s="1712"/>
      <c r="M217" s="1712"/>
      <c r="N217" s="1713"/>
      <c r="O217" s="1711"/>
      <c r="P217" s="1713"/>
      <c r="Q217" s="1714">
        <f t="shared" si="63">G217*O217</f>
        <v>0</v>
      </c>
      <c r="R217" s="1715"/>
      <c r="S217" s="1715"/>
      <c r="T217" s="1720"/>
      <c r="U217" s="1714">
        <f t="shared" si="64">K217*O217</f>
        <v>0</v>
      </c>
      <c r="V217" s="1715"/>
      <c r="W217" s="1715"/>
      <c r="X217" s="1720"/>
      <c r="Y217" s="1725"/>
      <c r="Z217" s="1726"/>
      <c r="AA217" s="1727">
        <f>IF(Y217="",U217,Q217*Y217/100)</f>
        <v>0</v>
      </c>
      <c r="AB217" s="1728"/>
      <c r="AC217" s="1728"/>
      <c r="AD217" s="1729"/>
      <c r="AE217" s="1714">
        <f>IF(AA217=0,U217,IF(U217&gt;(VALUE(AA217)),VALUE(AA217),U217))</f>
        <v>0</v>
      </c>
      <c r="AF217" s="1715"/>
      <c r="AG217" s="1715"/>
      <c r="AH217" s="1716"/>
      <c r="AI217" s="892"/>
      <c r="AK217" s="303"/>
      <c r="AN217" s="303"/>
      <c r="AO217" s="303"/>
      <c r="AP217" s="303"/>
      <c r="AQ217" s="303"/>
    </row>
    <row r="218" spans="1:43">
      <c r="A218" s="305">
        <v>3</v>
      </c>
      <c r="B218" s="1708"/>
      <c r="C218" s="1709"/>
      <c r="D218" s="1710"/>
      <c r="E218" s="1706"/>
      <c r="F218" s="1707"/>
      <c r="G218" s="1711"/>
      <c r="H218" s="1712"/>
      <c r="I218" s="1712"/>
      <c r="J218" s="1713"/>
      <c r="K218" s="1711"/>
      <c r="L218" s="1712"/>
      <c r="M218" s="1712"/>
      <c r="N218" s="1713"/>
      <c r="O218" s="1711"/>
      <c r="P218" s="1713"/>
      <c r="Q218" s="1714">
        <f t="shared" si="63">G218*O218</f>
        <v>0</v>
      </c>
      <c r="R218" s="1715"/>
      <c r="S218" s="1715"/>
      <c r="T218" s="1720"/>
      <c r="U218" s="1714">
        <f t="shared" si="64">K218*O218</f>
        <v>0</v>
      </c>
      <c r="V218" s="1715"/>
      <c r="W218" s="1715"/>
      <c r="X218" s="1720"/>
      <c r="Y218" s="1725"/>
      <c r="Z218" s="1726"/>
      <c r="AA218" s="1727">
        <f t="shared" si="65" ref="AA218:AA231">IF(Y218="",U218,Q218*Y218/100)</f>
        <v>0</v>
      </c>
      <c r="AB218" s="1728"/>
      <c r="AC218" s="1728"/>
      <c r="AD218" s="1729"/>
      <c r="AE218" s="1714">
        <f t="shared" si="66" ref="AE218:AE231">IF(AA218=0,U218,IF(U218&gt;(VALUE(AA218)),VALUE(AA218),U218))</f>
        <v>0</v>
      </c>
      <c r="AF218" s="1715"/>
      <c r="AG218" s="1715"/>
      <c r="AH218" s="1716"/>
      <c r="AI218" s="892"/>
      <c r="AK218" s="303"/>
      <c r="AN218" s="303"/>
      <c r="AO218" s="303"/>
      <c r="AP218" s="303"/>
      <c r="AQ218" s="303"/>
    </row>
    <row r="219" spans="1:43">
      <c r="A219" s="306">
        <v>4</v>
      </c>
      <c r="B219" s="1708"/>
      <c r="C219" s="1709"/>
      <c r="D219" s="1710"/>
      <c r="E219" s="1706"/>
      <c r="F219" s="1707"/>
      <c r="G219" s="1711"/>
      <c r="H219" s="1712"/>
      <c r="I219" s="1712"/>
      <c r="J219" s="1713"/>
      <c r="K219" s="1711"/>
      <c r="L219" s="1712"/>
      <c r="M219" s="1712"/>
      <c r="N219" s="1713"/>
      <c r="O219" s="1711"/>
      <c r="P219" s="1713"/>
      <c r="Q219" s="1714">
        <f t="shared" si="63">G219*O219</f>
        <v>0</v>
      </c>
      <c r="R219" s="1715"/>
      <c r="S219" s="1715"/>
      <c r="T219" s="1720"/>
      <c r="U219" s="1714">
        <f t="shared" si="64">K219*O219</f>
        <v>0</v>
      </c>
      <c r="V219" s="1715"/>
      <c r="W219" s="1715"/>
      <c r="X219" s="1720"/>
      <c r="Y219" s="1725"/>
      <c r="Z219" s="1726"/>
      <c r="AA219" s="1727">
        <f t="shared" si="65">IF(Y219="",U219,Q219*Y219/100)</f>
        <v>0</v>
      </c>
      <c r="AB219" s="1728"/>
      <c r="AC219" s="1728"/>
      <c r="AD219" s="1729"/>
      <c r="AE219" s="1714">
        <f t="shared" si="66">IF(AA219=0,U219,IF(U219&gt;(VALUE(AA219)),VALUE(AA219),U219))</f>
        <v>0</v>
      </c>
      <c r="AF219" s="1715"/>
      <c r="AG219" s="1715"/>
      <c r="AH219" s="1716"/>
      <c r="AI219" s="892"/>
      <c r="AK219" s="303"/>
      <c r="AN219" s="303"/>
      <c r="AO219" s="303"/>
      <c r="AP219" s="303"/>
      <c r="AQ219" s="303"/>
    </row>
    <row r="220" spans="1:43">
      <c r="A220" s="305">
        <v>5</v>
      </c>
      <c r="B220" s="1708"/>
      <c r="C220" s="1709"/>
      <c r="D220" s="1710"/>
      <c r="E220" s="1706"/>
      <c r="F220" s="1707"/>
      <c r="G220" s="1711"/>
      <c r="H220" s="1712"/>
      <c r="I220" s="1712"/>
      <c r="J220" s="1713"/>
      <c r="K220" s="1711"/>
      <c r="L220" s="1712"/>
      <c r="M220" s="1712"/>
      <c r="N220" s="1713"/>
      <c r="O220" s="1711"/>
      <c r="P220" s="1713"/>
      <c r="Q220" s="1714">
        <f t="shared" si="63">G220*O220</f>
        <v>0</v>
      </c>
      <c r="R220" s="1715"/>
      <c r="S220" s="1715"/>
      <c r="T220" s="1720"/>
      <c r="U220" s="1714">
        <f t="shared" si="64">K220*O220</f>
        <v>0</v>
      </c>
      <c r="V220" s="1715"/>
      <c r="W220" s="1715"/>
      <c r="X220" s="1720"/>
      <c r="Y220" s="1725"/>
      <c r="Z220" s="1726"/>
      <c r="AA220" s="1727">
        <f t="shared" si="65">IF(Y220="",U220,Q220*Y220/100)</f>
        <v>0</v>
      </c>
      <c r="AB220" s="1728"/>
      <c r="AC220" s="1728"/>
      <c r="AD220" s="1729"/>
      <c r="AE220" s="1714">
        <f t="shared" si="66">IF(AA220=0,U220,IF(U220&gt;(VALUE(AA220)),VALUE(AA220),U220))</f>
        <v>0</v>
      </c>
      <c r="AF220" s="1715"/>
      <c r="AG220" s="1715"/>
      <c r="AH220" s="1716"/>
      <c r="AI220" s="892"/>
      <c r="AK220" s="303"/>
      <c r="AN220" s="303"/>
      <c r="AO220" s="303"/>
      <c r="AP220" s="303"/>
      <c r="AQ220" s="303"/>
    </row>
    <row r="221" spans="1:43">
      <c r="A221" s="306">
        <v>6</v>
      </c>
      <c r="B221" s="1708"/>
      <c r="C221" s="1709"/>
      <c r="D221" s="1710"/>
      <c r="E221" s="1706"/>
      <c r="F221" s="1707"/>
      <c r="G221" s="1711"/>
      <c r="H221" s="1712"/>
      <c r="I221" s="1712"/>
      <c r="J221" s="1713"/>
      <c r="K221" s="1711"/>
      <c r="L221" s="1712"/>
      <c r="M221" s="1712"/>
      <c r="N221" s="1713"/>
      <c r="O221" s="1711"/>
      <c r="P221" s="1713"/>
      <c r="Q221" s="1714">
        <f t="shared" si="63">G221*O221</f>
        <v>0</v>
      </c>
      <c r="R221" s="1715"/>
      <c r="S221" s="1715"/>
      <c r="T221" s="1720"/>
      <c r="U221" s="1714">
        <f t="shared" si="64">K221*O221</f>
        <v>0</v>
      </c>
      <c r="V221" s="1715"/>
      <c r="W221" s="1715"/>
      <c r="X221" s="1720"/>
      <c r="Y221" s="1725"/>
      <c r="Z221" s="1726"/>
      <c r="AA221" s="1727">
        <f t="shared" si="65">IF(Y221="",U221,Q221*Y221/100)</f>
        <v>0</v>
      </c>
      <c r="AB221" s="1728"/>
      <c r="AC221" s="1728"/>
      <c r="AD221" s="1729"/>
      <c r="AE221" s="1714">
        <f t="shared" si="66">IF(AA221=0,U221,IF(U221&gt;(VALUE(AA221)),VALUE(AA221),U221))</f>
        <v>0</v>
      </c>
      <c r="AF221" s="1715"/>
      <c r="AG221" s="1715"/>
      <c r="AH221" s="1716"/>
      <c r="AI221" s="892"/>
      <c r="AK221" s="303"/>
      <c r="AN221" s="303"/>
      <c r="AO221" s="303"/>
      <c r="AP221" s="303"/>
      <c r="AQ221" s="303"/>
    </row>
    <row r="222" spans="1:43">
      <c r="A222" s="305">
        <v>7</v>
      </c>
      <c r="B222" s="1708"/>
      <c r="C222" s="1709"/>
      <c r="D222" s="1710"/>
      <c r="E222" s="1706"/>
      <c r="F222" s="1707"/>
      <c r="G222" s="1711"/>
      <c r="H222" s="1712"/>
      <c r="I222" s="1712"/>
      <c r="J222" s="1713"/>
      <c r="K222" s="1711"/>
      <c r="L222" s="1712"/>
      <c r="M222" s="1712"/>
      <c r="N222" s="1713"/>
      <c r="O222" s="1711"/>
      <c r="P222" s="1713"/>
      <c r="Q222" s="1714">
        <f t="shared" si="63">G222*O222</f>
        <v>0</v>
      </c>
      <c r="R222" s="1715"/>
      <c r="S222" s="1715"/>
      <c r="T222" s="1720"/>
      <c r="U222" s="1714">
        <f t="shared" si="64">K222*O222</f>
        <v>0</v>
      </c>
      <c r="V222" s="1715"/>
      <c r="W222" s="1715"/>
      <c r="X222" s="1720"/>
      <c r="Y222" s="1725"/>
      <c r="Z222" s="1726"/>
      <c r="AA222" s="1727">
        <f t="shared" si="65">IF(Y222="",U222,Q222*Y222/100)</f>
        <v>0</v>
      </c>
      <c r="AB222" s="1728"/>
      <c r="AC222" s="1728"/>
      <c r="AD222" s="1729"/>
      <c r="AE222" s="1714">
        <f>IF(AA222=0,U222,IF(U222&gt;(VALUE(AA222)),VALUE(AA222),U222))</f>
        <v>0</v>
      </c>
      <c r="AF222" s="1715"/>
      <c r="AG222" s="1715"/>
      <c r="AH222" s="1716"/>
      <c r="AI222" s="892"/>
      <c r="AK222" s="303"/>
      <c r="AN222" s="303"/>
      <c r="AO222" s="303"/>
      <c r="AP222" s="303"/>
      <c r="AQ222" s="303"/>
    </row>
    <row r="223" spans="1:43">
      <c r="A223" s="306">
        <v>8</v>
      </c>
      <c r="B223" s="1708"/>
      <c r="C223" s="1709"/>
      <c r="D223" s="1710"/>
      <c r="E223" s="1706"/>
      <c r="F223" s="1707"/>
      <c r="G223" s="1711"/>
      <c r="H223" s="1712"/>
      <c r="I223" s="1712"/>
      <c r="J223" s="1713"/>
      <c r="K223" s="1711"/>
      <c r="L223" s="1712"/>
      <c r="M223" s="1712"/>
      <c r="N223" s="1713"/>
      <c r="O223" s="1711"/>
      <c r="P223" s="1713"/>
      <c r="Q223" s="1714">
        <f t="shared" si="63">G223*O223</f>
        <v>0</v>
      </c>
      <c r="R223" s="1715"/>
      <c r="S223" s="1715"/>
      <c r="T223" s="1720"/>
      <c r="U223" s="1714">
        <f t="shared" si="64">K223*O223</f>
        <v>0</v>
      </c>
      <c r="V223" s="1715"/>
      <c r="W223" s="1715"/>
      <c r="X223" s="1720"/>
      <c r="Y223" s="1725"/>
      <c r="Z223" s="1726"/>
      <c r="AA223" s="1727">
        <f t="shared" si="65">IF(Y223="",U223,Q223*Y223/100)</f>
        <v>0</v>
      </c>
      <c r="AB223" s="1728"/>
      <c r="AC223" s="1728"/>
      <c r="AD223" s="1729"/>
      <c r="AE223" s="1714">
        <f t="shared" si="66">IF(AA223=0,U223,IF(U223&gt;(VALUE(AA223)),VALUE(AA223),U223))</f>
        <v>0</v>
      </c>
      <c r="AF223" s="1715"/>
      <c r="AG223" s="1715"/>
      <c r="AH223" s="1716"/>
      <c r="AI223" s="892"/>
      <c r="AK223" s="303"/>
      <c r="AN223" s="303"/>
      <c r="AO223" s="303"/>
      <c r="AP223" s="303"/>
      <c r="AQ223" s="303"/>
    </row>
    <row r="224" spans="1:43">
      <c r="A224" s="305">
        <v>9</v>
      </c>
      <c r="B224" s="1708"/>
      <c r="C224" s="1709"/>
      <c r="D224" s="1710"/>
      <c r="E224" s="1706"/>
      <c r="F224" s="1707"/>
      <c r="G224" s="1711"/>
      <c r="H224" s="1712"/>
      <c r="I224" s="1712"/>
      <c r="J224" s="1713"/>
      <c r="K224" s="1711"/>
      <c r="L224" s="1712"/>
      <c r="M224" s="1712"/>
      <c r="N224" s="1713"/>
      <c r="O224" s="1711"/>
      <c r="P224" s="1713"/>
      <c r="Q224" s="1714">
        <f t="shared" si="63">G224*O224</f>
        <v>0</v>
      </c>
      <c r="R224" s="1715"/>
      <c r="S224" s="1715"/>
      <c r="T224" s="1720"/>
      <c r="U224" s="1714">
        <f t="shared" si="64">K224*O224</f>
        <v>0</v>
      </c>
      <c r="V224" s="1715"/>
      <c r="W224" s="1715"/>
      <c r="X224" s="1720"/>
      <c r="Y224" s="1725"/>
      <c r="Z224" s="1726"/>
      <c r="AA224" s="1727">
        <f t="shared" si="65">IF(Y224="",U224,Q224*Y224/100)</f>
        <v>0</v>
      </c>
      <c r="AB224" s="1728"/>
      <c r="AC224" s="1728"/>
      <c r="AD224" s="1729"/>
      <c r="AE224" s="1714">
        <f t="shared" si="66">IF(AA224=0,U224,IF(U224&gt;(VALUE(AA224)),VALUE(AA224),U224))</f>
        <v>0</v>
      </c>
      <c r="AF224" s="1715"/>
      <c r="AG224" s="1715"/>
      <c r="AH224" s="1716"/>
      <c r="AI224" s="892"/>
      <c r="AK224" s="303"/>
      <c r="AN224" s="303"/>
      <c r="AO224" s="303"/>
      <c r="AP224" s="303"/>
      <c r="AQ224" s="303"/>
    </row>
    <row r="225" spans="1:43">
      <c r="A225" s="306">
        <v>10</v>
      </c>
      <c r="B225" s="1708"/>
      <c r="C225" s="1709"/>
      <c r="D225" s="1710"/>
      <c r="E225" s="1706"/>
      <c r="F225" s="1707"/>
      <c r="G225" s="1711"/>
      <c r="H225" s="1712"/>
      <c r="I225" s="1712"/>
      <c r="J225" s="1713"/>
      <c r="K225" s="1711"/>
      <c r="L225" s="1712"/>
      <c r="M225" s="1712"/>
      <c r="N225" s="1713"/>
      <c r="O225" s="1711"/>
      <c r="P225" s="1713"/>
      <c r="Q225" s="1714">
        <f t="shared" si="63">G225*O225</f>
        <v>0</v>
      </c>
      <c r="R225" s="1715"/>
      <c r="S225" s="1715"/>
      <c r="T225" s="1720"/>
      <c r="U225" s="1714">
        <f t="shared" si="64">K225*O225</f>
        <v>0</v>
      </c>
      <c r="V225" s="1715"/>
      <c r="W225" s="1715"/>
      <c r="X225" s="1720"/>
      <c r="Y225" s="1725"/>
      <c r="Z225" s="1726"/>
      <c r="AA225" s="1727">
        <f t="shared" si="65">IF(Y225="",U225,Q225*Y225/100)</f>
        <v>0</v>
      </c>
      <c r="AB225" s="1728"/>
      <c r="AC225" s="1728"/>
      <c r="AD225" s="1729"/>
      <c r="AE225" s="1714">
        <f t="shared" si="66">IF(AA225=0,U225,IF(U225&gt;(VALUE(AA225)),VALUE(AA225),U225))</f>
        <v>0</v>
      </c>
      <c r="AF225" s="1715"/>
      <c r="AG225" s="1715"/>
      <c r="AH225" s="1716"/>
      <c r="AI225" s="892"/>
      <c r="AK225" s="303"/>
      <c r="AN225" s="303"/>
      <c r="AO225" s="303"/>
      <c r="AP225" s="303"/>
      <c r="AQ225" s="303"/>
    </row>
    <row r="226" spans="1:43">
      <c r="A226" s="305">
        <v>11</v>
      </c>
      <c r="B226" s="1708"/>
      <c r="C226" s="1709"/>
      <c r="D226" s="1710"/>
      <c r="E226" s="1706"/>
      <c r="F226" s="1707"/>
      <c r="G226" s="1711"/>
      <c r="H226" s="1712"/>
      <c r="I226" s="1712"/>
      <c r="J226" s="1713"/>
      <c r="K226" s="1711"/>
      <c r="L226" s="1712"/>
      <c r="M226" s="1712"/>
      <c r="N226" s="1713"/>
      <c r="O226" s="1711"/>
      <c r="P226" s="1713"/>
      <c r="Q226" s="1714">
        <f t="shared" si="63">G226*O226</f>
        <v>0</v>
      </c>
      <c r="R226" s="1715"/>
      <c r="S226" s="1715"/>
      <c r="T226" s="1720"/>
      <c r="U226" s="1714">
        <f t="shared" si="64">K226*O226</f>
        <v>0</v>
      </c>
      <c r="V226" s="1715"/>
      <c r="W226" s="1715"/>
      <c r="X226" s="1720"/>
      <c r="Y226" s="1725"/>
      <c r="Z226" s="1726"/>
      <c r="AA226" s="1727">
        <f t="shared" si="65">IF(Y226="",U226,Q226*Y226/100)</f>
        <v>0</v>
      </c>
      <c r="AB226" s="1728"/>
      <c r="AC226" s="1728"/>
      <c r="AD226" s="1729"/>
      <c r="AE226" s="1714">
        <f t="shared" si="66">IF(AA226=0,U226,IF(U226&gt;(VALUE(AA226)),VALUE(AA226),U226))</f>
        <v>0</v>
      </c>
      <c r="AF226" s="1715"/>
      <c r="AG226" s="1715"/>
      <c r="AH226" s="1716"/>
      <c r="AI226" s="892"/>
      <c r="AK226" s="303"/>
      <c r="AN226" s="303"/>
      <c r="AO226" s="303"/>
      <c r="AP226" s="303"/>
      <c r="AQ226" s="303"/>
    </row>
    <row r="227" spans="1:43">
      <c r="A227" s="306">
        <v>12</v>
      </c>
      <c r="B227" s="1708"/>
      <c r="C227" s="1709"/>
      <c r="D227" s="1710"/>
      <c r="E227" s="1706"/>
      <c r="F227" s="1707"/>
      <c r="G227" s="1711"/>
      <c r="H227" s="1712"/>
      <c r="I227" s="1712"/>
      <c r="J227" s="1713"/>
      <c r="K227" s="1711"/>
      <c r="L227" s="1712"/>
      <c r="M227" s="1712"/>
      <c r="N227" s="1713"/>
      <c r="O227" s="1711"/>
      <c r="P227" s="1713"/>
      <c r="Q227" s="1714">
        <f t="shared" si="63">G227*O227</f>
        <v>0</v>
      </c>
      <c r="R227" s="1715"/>
      <c r="S227" s="1715"/>
      <c r="T227" s="1720"/>
      <c r="U227" s="1714">
        <f t="shared" si="64">K227*O227</f>
        <v>0</v>
      </c>
      <c r="V227" s="1715"/>
      <c r="W227" s="1715"/>
      <c r="X227" s="1720"/>
      <c r="Y227" s="1725"/>
      <c r="Z227" s="1726"/>
      <c r="AA227" s="1727">
        <f t="shared" si="65">IF(Y227="",U227,Q227*Y227/100)</f>
        <v>0</v>
      </c>
      <c r="AB227" s="1728"/>
      <c r="AC227" s="1728"/>
      <c r="AD227" s="1729"/>
      <c r="AE227" s="1714">
        <f t="shared" si="66">IF(AA227=0,U227,IF(U227&gt;(VALUE(AA227)),VALUE(AA227),U227))</f>
        <v>0</v>
      </c>
      <c r="AF227" s="1715"/>
      <c r="AG227" s="1715"/>
      <c r="AH227" s="1716"/>
      <c r="AI227" s="892"/>
      <c r="AK227" s="303"/>
      <c r="AN227" s="303"/>
      <c r="AO227" s="303"/>
      <c r="AP227" s="303"/>
      <c r="AQ227" s="303"/>
    </row>
    <row r="228" spans="1:43">
      <c r="A228" s="305">
        <v>13</v>
      </c>
      <c r="B228" s="1708"/>
      <c r="C228" s="1709"/>
      <c r="D228" s="1710"/>
      <c r="E228" s="1706"/>
      <c r="F228" s="1707"/>
      <c r="G228" s="1711"/>
      <c r="H228" s="1712"/>
      <c r="I228" s="1712"/>
      <c r="J228" s="1713"/>
      <c r="K228" s="1711"/>
      <c r="L228" s="1712"/>
      <c r="M228" s="1712"/>
      <c r="N228" s="1713"/>
      <c r="O228" s="1711"/>
      <c r="P228" s="1713"/>
      <c r="Q228" s="1714">
        <f t="shared" si="63">G228*O228</f>
        <v>0</v>
      </c>
      <c r="R228" s="1715"/>
      <c r="S228" s="1715"/>
      <c r="T228" s="1720"/>
      <c r="U228" s="1714">
        <f t="shared" si="64">K228*O228</f>
        <v>0</v>
      </c>
      <c r="V228" s="1715"/>
      <c r="W228" s="1715"/>
      <c r="X228" s="1720"/>
      <c r="Y228" s="1725"/>
      <c r="Z228" s="1726"/>
      <c r="AA228" s="1727">
        <f t="shared" si="65">IF(Y228="",U228,Q228*Y228/100)</f>
        <v>0</v>
      </c>
      <c r="AB228" s="1728"/>
      <c r="AC228" s="1728"/>
      <c r="AD228" s="1729"/>
      <c r="AE228" s="1714">
        <f t="shared" si="66">IF(AA228=0,U228,IF(U228&gt;(VALUE(AA228)),VALUE(AA228),U228))</f>
        <v>0</v>
      </c>
      <c r="AF228" s="1715"/>
      <c r="AG228" s="1715"/>
      <c r="AH228" s="1716"/>
      <c r="AI228" s="892"/>
      <c r="AK228" s="303"/>
      <c r="AN228" s="303"/>
      <c r="AO228" s="303"/>
      <c r="AP228" s="303"/>
      <c r="AQ228" s="303"/>
    </row>
    <row r="229" spans="1:43">
      <c r="A229" s="306">
        <v>14</v>
      </c>
      <c r="B229" s="1708"/>
      <c r="C229" s="1709"/>
      <c r="D229" s="1710"/>
      <c r="E229" s="1706"/>
      <c r="F229" s="1707"/>
      <c r="G229" s="1711"/>
      <c r="H229" s="1712"/>
      <c r="I229" s="1712"/>
      <c r="J229" s="1713"/>
      <c r="K229" s="1711"/>
      <c r="L229" s="1712"/>
      <c r="M229" s="1712"/>
      <c r="N229" s="1713"/>
      <c r="O229" s="1711"/>
      <c r="P229" s="1713"/>
      <c r="Q229" s="1714">
        <f t="shared" si="67" ref="Q229">G229*O229</f>
        <v>0</v>
      </c>
      <c r="R229" s="1715"/>
      <c r="S229" s="1715"/>
      <c r="T229" s="1720"/>
      <c r="U229" s="1714">
        <f t="shared" si="68" ref="U229">K229*O229</f>
        <v>0</v>
      </c>
      <c r="V229" s="1715"/>
      <c r="W229" s="1715"/>
      <c r="X229" s="1720"/>
      <c r="Y229" s="1725"/>
      <c r="Z229" s="1726"/>
      <c r="AA229" s="1727">
        <f t="shared" si="69" ref="AA229">IF(Y229="",U229,Q229*Y229/100)</f>
        <v>0</v>
      </c>
      <c r="AB229" s="1728"/>
      <c r="AC229" s="1728"/>
      <c r="AD229" s="1729"/>
      <c r="AE229" s="1714">
        <f t="shared" si="70" ref="AE229">IF(AA229=0,U229,IF(U229&gt;(VALUE(AA229)),VALUE(AA229),U229))</f>
        <v>0</v>
      </c>
      <c r="AF229" s="1715"/>
      <c r="AG229" s="1715"/>
      <c r="AH229" s="1716"/>
      <c r="AI229" s="892"/>
      <c r="AK229" s="303"/>
      <c r="AN229" s="303"/>
      <c r="AO229" s="303"/>
      <c r="AP229" s="303"/>
      <c r="AQ229" s="303"/>
    </row>
    <row r="230" spans="1:43">
      <c r="A230" s="305">
        <v>15</v>
      </c>
      <c r="B230" s="1708"/>
      <c r="C230" s="1709"/>
      <c r="D230" s="1710"/>
      <c r="E230" s="1706"/>
      <c r="F230" s="1707"/>
      <c r="G230" s="1711"/>
      <c r="H230" s="1712"/>
      <c r="I230" s="1712"/>
      <c r="J230" s="1713"/>
      <c r="K230" s="1711"/>
      <c r="L230" s="1712"/>
      <c r="M230" s="1712"/>
      <c r="N230" s="1713"/>
      <c r="O230" s="1711"/>
      <c r="P230" s="1713"/>
      <c r="Q230" s="1714">
        <f t="shared" si="63">G230*O230</f>
        <v>0</v>
      </c>
      <c r="R230" s="1715"/>
      <c r="S230" s="1715"/>
      <c r="T230" s="1720"/>
      <c r="U230" s="1714">
        <f t="shared" si="64">K230*O230</f>
        <v>0</v>
      </c>
      <c r="V230" s="1715"/>
      <c r="W230" s="1715"/>
      <c r="X230" s="1720"/>
      <c r="Y230" s="1725"/>
      <c r="Z230" s="1726"/>
      <c r="AA230" s="1727">
        <f t="shared" si="65">IF(Y230="",U230,Q230*Y230/100)</f>
        <v>0</v>
      </c>
      <c r="AB230" s="1728"/>
      <c r="AC230" s="1728"/>
      <c r="AD230" s="1729"/>
      <c r="AE230" s="1714">
        <f t="shared" si="66">IF(AA230=0,U230,IF(U230&gt;(VALUE(AA230)),VALUE(AA230),U230))</f>
        <v>0</v>
      </c>
      <c r="AF230" s="1715"/>
      <c r="AG230" s="1715"/>
      <c r="AH230" s="1716"/>
      <c r="AI230" s="892"/>
      <c r="AK230" s="303"/>
      <c r="AN230" s="303"/>
      <c r="AO230" s="303"/>
      <c r="AP230" s="303"/>
      <c r="AQ230" s="303"/>
    </row>
    <row r="231" spans="1:43">
      <c r="A231" s="307" t="s">
        <v>504</v>
      </c>
      <c r="B231" s="1703"/>
      <c r="C231" s="1704"/>
      <c r="D231" s="1705"/>
      <c r="E231" s="1706"/>
      <c r="F231" s="1707"/>
      <c r="G231" s="1706"/>
      <c r="H231" s="1902"/>
      <c r="I231" s="1902"/>
      <c r="J231" s="1707"/>
      <c r="K231" s="1711"/>
      <c r="L231" s="1712"/>
      <c r="M231" s="1712"/>
      <c r="N231" s="1713"/>
      <c r="O231" s="1711"/>
      <c r="P231" s="1713"/>
      <c r="Q231" s="1714">
        <f t="shared" si="63">G231*O231</f>
        <v>0</v>
      </c>
      <c r="R231" s="1715"/>
      <c r="S231" s="1715"/>
      <c r="T231" s="1720"/>
      <c r="U231" s="1714">
        <f t="shared" si="64">K231*O231</f>
        <v>0</v>
      </c>
      <c r="V231" s="1715"/>
      <c r="W231" s="1715"/>
      <c r="X231" s="1720"/>
      <c r="Y231" s="1725"/>
      <c r="Z231" s="1726"/>
      <c r="AA231" s="1727">
        <f t="shared" si="65">IF(Y231="",U231,Q231*Y231/100)</f>
        <v>0</v>
      </c>
      <c r="AB231" s="1728"/>
      <c r="AC231" s="1728"/>
      <c r="AD231" s="1729"/>
      <c r="AE231" s="1714">
        <f t="shared" si="66">IF(AA231=0,U231,IF(U231&gt;(VALUE(AA231)),VALUE(AA231),U231))</f>
        <v>0</v>
      </c>
      <c r="AF231" s="1715"/>
      <c r="AG231" s="1715"/>
      <c r="AH231" s="1716"/>
      <c r="AI231" s="892"/>
      <c r="AK231" s="303"/>
      <c r="AN231" s="303"/>
      <c r="AO231" s="303"/>
      <c r="AP231" s="303"/>
      <c r="AQ231" s="303"/>
    </row>
    <row r="232" spans="1:43" ht="13.5" customHeight="1" thickBot="1">
      <c r="A232" s="899"/>
      <c r="B232" s="900"/>
      <c r="C232" s="901"/>
      <c r="D232" s="902"/>
      <c r="E232" s="900"/>
      <c r="F232" s="902"/>
      <c r="G232" s="900"/>
      <c r="H232" s="901"/>
      <c r="I232" s="901"/>
      <c r="J232" s="902"/>
      <c r="K232" s="900"/>
      <c r="L232" s="901"/>
      <c r="M232" s="901"/>
      <c r="N232" s="902"/>
      <c r="O232" s="900"/>
      <c r="P232" s="902"/>
      <c r="Q232" s="900"/>
      <c r="R232" s="901"/>
      <c r="S232" s="901"/>
      <c r="T232" s="902"/>
      <c r="U232" s="900"/>
      <c r="V232" s="901"/>
      <c r="W232" s="901"/>
      <c r="X232" s="902"/>
      <c r="Y232" s="900"/>
      <c r="Z232" s="902"/>
      <c r="AA232" s="900"/>
      <c r="AB232" s="901"/>
      <c r="AC232" s="901"/>
      <c r="AD232" s="902"/>
      <c r="AE232" s="900"/>
      <c r="AF232" s="901"/>
      <c r="AG232" s="901"/>
      <c r="AH232" s="1252"/>
      <c r="AI232" s="892"/>
      <c r="AK232" s="303"/>
      <c r="AN232" s="303"/>
      <c r="AO232" s="303"/>
      <c r="AP232" s="303"/>
      <c r="AQ232" s="303"/>
    </row>
    <row r="233" spans="1:43" ht="13.5" customHeight="1" thickTop="1" thickBot="1">
      <c r="A233" s="892"/>
      <c r="B233" s="892"/>
      <c r="C233" s="892"/>
      <c r="D233" s="892"/>
      <c r="E233" s="892"/>
      <c r="F233" s="892"/>
      <c r="G233" s="892"/>
      <c r="H233" s="892"/>
      <c r="I233" s="892"/>
      <c r="J233" s="892"/>
      <c r="K233" s="892"/>
      <c r="L233" s="892"/>
      <c r="M233" s="892"/>
      <c r="N233" s="892"/>
      <c r="O233" s="892"/>
      <c r="P233" s="892"/>
      <c r="Q233" s="892"/>
      <c r="R233" s="892"/>
      <c r="S233" s="892"/>
      <c r="T233" s="892"/>
      <c r="U233" s="892"/>
      <c r="V233" s="892"/>
      <c r="W233" s="892"/>
      <c r="X233" s="892"/>
      <c r="Y233" s="892"/>
      <c r="Z233" s="892"/>
      <c r="AA233" s="892"/>
      <c r="AB233" s="892"/>
      <c r="AC233" s="892"/>
      <c r="AD233" s="892"/>
      <c r="AE233" s="892"/>
      <c r="AF233" s="892"/>
      <c r="AG233" s="892"/>
      <c r="AH233" s="892"/>
      <c r="AI233" s="892"/>
      <c r="AK233" s="303"/>
      <c r="AN233" s="303"/>
      <c r="AO233" s="303"/>
      <c r="AP233" s="303"/>
      <c r="AQ233" s="303"/>
    </row>
    <row r="234" spans="1:43" ht="14.25" customHeight="1" thickTop="1" thickBot="1">
      <c r="A234" s="892"/>
      <c r="B234" s="893" t="s">
        <v>347</v>
      </c>
      <c r="C234" s="892"/>
      <c r="D234" s="892"/>
      <c r="E234" s="892"/>
      <c r="F234" s="892"/>
      <c r="G234" s="1984">
        <f>SUM(G216:J232)</f>
        <v>0</v>
      </c>
      <c r="H234" s="1834"/>
      <c r="I234" s="1834"/>
      <c r="J234" s="1835"/>
      <c r="K234" s="1984">
        <f>SUM(K216:N232)</f>
        <v>0</v>
      </c>
      <c r="L234" s="1834"/>
      <c r="M234" s="1834"/>
      <c r="N234" s="1835"/>
      <c r="O234" s="903"/>
      <c r="P234" s="903"/>
      <c r="Q234" s="1982">
        <f>SUM(Q216:T232)</f>
        <v>0</v>
      </c>
      <c r="R234" s="1949"/>
      <c r="S234" s="1949"/>
      <c r="T234" s="1950"/>
      <c r="U234" s="1982">
        <f>SUM(U216:X232)</f>
        <v>0</v>
      </c>
      <c r="V234" s="1949"/>
      <c r="W234" s="1949"/>
      <c r="X234" s="1950"/>
      <c r="Y234" s="892"/>
      <c r="Z234" s="892"/>
      <c r="AA234" s="1733">
        <f>SUM(AA216:AD232)</f>
        <v>0</v>
      </c>
      <c r="AB234" s="1734"/>
      <c r="AC234" s="1734"/>
      <c r="AD234" s="1735"/>
      <c r="AE234" s="1736">
        <f>+SUM(AE216:AH232)</f>
        <v>0</v>
      </c>
      <c r="AF234" s="1737"/>
      <c r="AG234" s="1737"/>
      <c r="AH234" s="1738"/>
      <c r="AI234" s="892"/>
      <c r="AK234" s="303"/>
      <c r="AN234" s="303"/>
      <c r="AO234" s="303"/>
      <c r="AP234" s="303"/>
      <c r="AQ234" s="303"/>
    </row>
    <row r="235" spans="1:43" ht="13.5" collapsed="1" customHeight="1" thickTop="1">
      <c r="A235" s="892"/>
      <c r="B235" s="892"/>
      <c r="C235" s="892"/>
      <c r="D235" s="892"/>
      <c r="E235" s="892"/>
      <c r="F235" s="892"/>
      <c r="G235" s="892"/>
      <c r="H235" s="892"/>
      <c r="I235" s="892"/>
      <c r="J235" s="892"/>
      <c r="K235" s="892"/>
      <c r="L235" s="892"/>
      <c r="M235" s="892"/>
      <c r="N235" s="892"/>
      <c r="O235" s="892"/>
      <c r="P235" s="892"/>
      <c r="Q235" s="892"/>
      <c r="R235" s="892"/>
      <c r="S235" s="892"/>
      <c r="T235" s="892"/>
      <c r="U235" s="892"/>
      <c r="V235" s="892"/>
      <c r="W235" s="892"/>
      <c r="X235" s="892"/>
      <c r="Y235" s="892"/>
      <c r="Z235" s="892"/>
      <c r="AA235" s="892"/>
      <c r="AB235" s="892"/>
      <c r="AC235" s="892"/>
      <c r="AD235" s="892"/>
      <c r="AE235" s="892"/>
      <c r="AF235" s="892"/>
      <c r="AG235" s="892"/>
      <c r="AH235" s="892"/>
      <c r="AI235" s="892"/>
      <c r="AK235" s="303"/>
      <c r="AN235" s="303"/>
      <c r="AO235" s="303"/>
      <c r="AP235" s="303"/>
      <c r="AQ235" s="303"/>
    </row>
    <row r="236" spans="1:35" ht="13.5" customHeight="1">
      <c r="A236" s="892"/>
      <c r="B236" s="893" t="s">
        <v>313</v>
      </c>
      <c r="C236" s="893" t="s">
        <v>507</v>
      </c>
      <c r="D236" s="892"/>
      <c r="E236" s="892"/>
      <c r="F236" s="892"/>
      <c r="G236" s="892"/>
      <c r="H236" s="892"/>
      <c r="I236" s="892"/>
      <c r="J236" s="892"/>
      <c r="K236" s="892"/>
      <c r="L236" s="892"/>
      <c r="M236" s="892"/>
      <c r="N236" s="892"/>
      <c r="O236" s="892"/>
      <c r="P236" s="892"/>
      <c r="Q236" s="892"/>
      <c r="R236" s="892"/>
      <c r="S236" s="892"/>
      <c r="T236" s="892"/>
      <c r="U236" s="892"/>
      <c r="V236" s="892"/>
      <c r="W236" s="892"/>
      <c r="X236" s="892"/>
      <c r="Y236" s="892"/>
      <c r="Z236" s="892"/>
      <c r="AA236" s="892"/>
      <c r="AB236" s="892"/>
      <c r="AC236" s="892"/>
      <c r="AD236" s="892"/>
      <c r="AE236" s="892"/>
      <c r="AF236" s="892"/>
      <c r="AG236" s="892"/>
      <c r="AH236" s="892"/>
      <c r="AI236" s="892"/>
    </row>
    <row r="237" spans="1:35" ht="13.5" customHeight="1" thickBot="1">
      <c r="A237" s="892"/>
      <c r="B237" s="892"/>
      <c r="C237" s="892"/>
      <c r="D237" s="892"/>
      <c r="E237" s="892"/>
      <c r="F237" s="892"/>
      <c r="G237" s="892"/>
      <c r="H237" s="892"/>
      <c r="I237" s="892"/>
      <c r="J237" s="892"/>
      <c r="K237" s="892"/>
      <c r="L237" s="892"/>
      <c r="M237" s="892"/>
      <c r="N237" s="892"/>
      <c r="O237" s="892"/>
      <c r="P237" s="892"/>
      <c r="Q237" s="892"/>
      <c r="R237" s="892"/>
      <c r="S237" s="892"/>
      <c r="T237" s="892"/>
      <c r="U237" s="892"/>
      <c r="V237" s="892"/>
      <c r="W237" s="892"/>
      <c r="X237" s="892"/>
      <c r="Y237" s="892"/>
      <c r="Z237" s="892"/>
      <c r="AA237" s="892"/>
      <c r="AB237" s="892"/>
      <c r="AC237" s="892"/>
      <c r="AD237" s="892"/>
      <c r="AE237" s="892"/>
      <c r="AF237" s="892"/>
      <c r="AG237" s="892"/>
      <c r="AH237" s="892"/>
      <c r="AI237" s="892"/>
    </row>
    <row r="238" spans="1:35" s="308" customFormat="1" ht="13.5" customHeight="1" thickTop="1">
      <c r="A238" s="1980" t="s">
        <v>321</v>
      </c>
      <c r="B238" s="1781" t="s">
        <v>508</v>
      </c>
      <c r="C238" s="1740"/>
      <c r="D238" s="1740"/>
      <c r="E238" s="1745"/>
      <c r="F238" s="1981" t="s">
        <v>496</v>
      </c>
      <c r="G238" s="1947"/>
      <c r="H238" s="1981" t="s">
        <v>509</v>
      </c>
      <c r="I238" s="1947"/>
      <c r="J238" s="1947"/>
      <c r="K238" s="1855" t="s">
        <v>528</v>
      </c>
      <c r="L238" s="1760"/>
      <c r="M238" s="1760"/>
      <c r="N238" s="1760"/>
      <c r="O238" s="1760"/>
      <c r="P238" s="1760"/>
      <c r="Q238" s="1760"/>
      <c r="R238" s="1760"/>
      <c r="S238" s="1760"/>
      <c r="T238" s="1760"/>
      <c r="U238" s="1760"/>
      <c r="V238" s="1760"/>
      <c r="W238" s="1760"/>
      <c r="X238" s="1760"/>
      <c r="Y238" s="1787"/>
      <c r="Z238" s="1781" t="s">
        <v>498</v>
      </c>
      <c r="AA238" s="1745"/>
      <c r="AB238" s="1855" t="s">
        <v>529</v>
      </c>
      <c r="AC238" s="1760"/>
      <c r="AD238" s="1760"/>
      <c r="AE238" s="1760"/>
      <c r="AF238" s="1760"/>
      <c r="AG238" s="1760"/>
      <c r="AH238" s="1760"/>
      <c r="AI238" s="1761"/>
    </row>
    <row r="239" spans="1:35" s="308" customFormat="1" ht="13.5" customHeight="1" thickBot="1">
      <c r="A239" s="1945"/>
      <c r="B239" s="1746"/>
      <c r="C239" s="1784"/>
      <c r="D239" s="1784"/>
      <c r="E239" s="1747"/>
      <c r="F239" s="1766"/>
      <c r="G239" s="1766"/>
      <c r="H239" s="1766"/>
      <c r="I239" s="1766"/>
      <c r="J239" s="1766"/>
      <c r="K239" s="1780" t="s">
        <v>510</v>
      </c>
      <c r="L239" s="1766"/>
      <c r="M239" s="1766"/>
      <c r="N239" s="1766"/>
      <c r="O239" s="1983" t="s">
        <v>511</v>
      </c>
      <c r="P239" s="1763"/>
      <c r="Q239" s="1764"/>
      <c r="R239" s="1780" t="s">
        <v>512</v>
      </c>
      <c r="S239" s="1766"/>
      <c r="T239" s="1766"/>
      <c r="U239" s="1766"/>
      <c r="V239" s="1780" t="s">
        <v>513</v>
      </c>
      <c r="W239" s="1766"/>
      <c r="X239" s="1766"/>
      <c r="Y239" s="1766"/>
      <c r="Z239" s="1746"/>
      <c r="AA239" s="1747"/>
      <c r="AB239" s="1983" t="s">
        <v>514</v>
      </c>
      <c r="AC239" s="1763"/>
      <c r="AD239" s="1763"/>
      <c r="AE239" s="1764"/>
      <c r="AF239" s="1780" t="s">
        <v>513</v>
      </c>
      <c r="AG239" s="1766"/>
      <c r="AH239" s="1766"/>
      <c r="AI239" s="1767"/>
    </row>
    <row r="240" spans="1:35" ht="13.5" customHeight="1" thickTop="1">
      <c r="A240" s="895"/>
      <c r="B240" s="896"/>
      <c r="C240" s="897"/>
      <c r="D240" s="897"/>
      <c r="E240" s="898"/>
      <c r="F240" s="1979"/>
      <c r="G240" s="1750"/>
      <c r="H240" s="1979"/>
      <c r="I240" s="739"/>
      <c r="J240" s="1750"/>
      <c r="K240" s="1979"/>
      <c r="L240" s="739"/>
      <c r="M240" s="739"/>
      <c r="N240" s="1750"/>
      <c r="O240" s="896"/>
      <c r="P240" s="897"/>
      <c r="Q240" s="898"/>
      <c r="R240" s="1979"/>
      <c r="S240" s="739"/>
      <c r="T240" s="739"/>
      <c r="U240" s="1750"/>
      <c r="V240" s="1979"/>
      <c r="W240" s="739"/>
      <c r="X240" s="739"/>
      <c r="Y240" s="1750"/>
      <c r="Z240" s="907"/>
      <c r="AA240" s="907"/>
      <c r="AB240" s="896"/>
      <c r="AC240" s="897"/>
      <c r="AD240" s="897"/>
      <c r="AE240" s="898"/>
      <c r="AF240" s="1979"/>
      <c r="AG240" s="739"/>
      <c r="AH240" s="739"/>
      <c r="AI240" s="1757"/>
    </row>
    <row r="241" spans="1:35">
      <c r="A241" s="309">
        <v>1</v>
      </c>
      <c r="B241" s="1703"/>
      <c r="C241" s="1704"/>
      <c r="D241" s="1704"/>
      <c r="E241" s="1705"/>
      <c r="F241" s="1706"/>
      <c r="G241" s="1707"/>
      <c r="H241" s="1708"/>
      <c r="I241" s="1709"/>
      <c r="J241" s="1710"/>
      <c r="K241" s="1711"/>
      <c r="L241" s="1712"/>
      <c r="M241" s="1712"/>
      <c r="N241" s="1713"/>
      <c r="O241" s="1722"/>
      <c r="P241" s="1723"/>
      <c r="Q241" s="1724"/>
      <c r="R241" s="1717">
        <f t="shared" si="71" ref="R241:R256">K241-O241</f>
        <v>0</v>
      </c>
      <c r="S241" s="1718"/>
      <c r="T241" s="1718"/>
      <c r="U241" s="1719"/>
      <c r="V241" s="1711"/>
      <c r="W241" s="1712"/>
      <c r="X241" s="1712"/>
      <c r="Y241" s="1713"/>
      <c r="Z241" s="1711"/>
      <c r="AA241" s="1713"/>
      <c r="AB241" s="1714">
        <f t="shared" si="72" ref="AB241:AB256">R241*Z241</f>
        <v>0</v>
      </c>
      <c r="AC241" s="1715"/>
      <c r="AD241" s="1715"/>
      <c r="AE241" s="1720"/>
      <c r="AF241" s="1622">
        <f t="shared" si="73" ref="AF241:AF256">V241*Z241</f>
        <v>0</v>
      </c>
      <c r="AG241" s="1623"/>
      <c r="AH241" s="1623"/>
      <c r="AI241" s="1721"/>
    </row>
    <row r="242" spans="1:35">
      <c r="A242" s="309">
        <v>2</v>
      </c>
      <c r="B242" s="1703"/>
      <c r="C242" s="1704"/>
      <c r="D242" s="1704"/>
      <c r="E242" s="1705"/>
      <c r="F242" s="1706"/>
      <c r="G242" s="1707"/>
      <c r="H242" s="1708"/>
      <c r="I242" s="1709"/>
      <c r="J242" s="1710"/>
      <c r="K242" s="1711"/>
      <c r="L242" s="1712"/>
      <c r="M242" s="1712"/>
      <c r="N242" s="1713"/>
      <c r="O242" s="1722"/>
      <c r="P242" s="1723"/>
      <c r="Q242" s="1724"/>
      <c r="R242" s="1717">
        <f t="shared" si="71">K242-O242</f>
        <v>0</v>
      </c>
      <c r="S242" s="1718"/>
      <c r="T242" s="1718"/>
      <c r="U242" s="1719"/>
      <c r="V242" s="1711"/>
      <c r="W242" s="1712"/>
      <c r="X242" s="1712"/>
      <c r="Y242" s="1713"/>
      <c r="Z242" s="1711"/>
      <c r="AA242" s="1713"/>
      <c r="AB242" s="1714">
        <f t="shared" si="72">R242*Z242</f>
        <v>0</v>
      </c>
      <c r="AC242" s="1715"/>
      <c r="AD242" s="1715"/>
      <c r="AE242" s="1720"/>
      <c r="AF242" s="1622">
        <f t="shared" si="73">V242*Z242</f>
        <v>0</v>
      </c>
      <c r="AG242" s="1623"/>
      <c r="AH242" s="1623"/>
      <c r="AI242" s="1721"/>
    </row>
    <row r="243" spans="1:35">
      <c r="A243" s="309">
        <v>3</v>
      </c>
      <c r="B243" s="1703"/>
      <c r="C243" s="1704"/>
      <c r="D243" s="1704"/>
      <c r="E243" s="1705"/>
      <c r="F243" s="1706"/>
      <c r="G243" s="1707"/>
      <c r="H243" s="1708"/>
      <c r="I243" s="1709"/>
      <c r="J243" s="1710"/>
      <c r="K243" s="1711"/>
      <c r="L243" s="1712"/>
      <c r="M243" s="1712"/>
      <c r="N243" s="1713"/>
      <c r="O243" s="1722"/>
      <c r="P243" s="1723"/>
      <c r="Q243" s="1724"/>
      <c r="R243" s="1717">
        <f t="shared" si="71">K243-O243</f>
        <v>0</v>
      </c>
      <c r="S243" s="1718"/>
      <c r="T243" s="1718"/>
      <c r="U243" s="1719"/>
      <c r="V243" s="1711"/>
      <c r="W243" s="1712"/>
      <c r="X243" s="1712"/>
      <c r="Y243" s="1713"/>
      <c r="Z243" s="1711"/>
      <c r="AA243" s="1713"/>
      <c r="AB243" s="1714">
        <f t="shared" si="72">R243*Z243</f>
        <v>0</v>
      </c>
      <c r="AC243" s="1715"/>
      <c r="AD243" s="1715"/>
      <c r="AE243" s="1720"/>
      <c r="AF243" s="1622">
        <f t="shared" si="73">V243*Z243</f>
        <v>0</v>
      </c>
      <c r="AG243" s="1623"/>
      <c r="AH243" s="1623"/>
      <c r="AI243" s="1721"/>
    </row>
    <row r="244" spans="1:35">
      <c r="A244" s="309">
        <v>4</v>
      </c>
      <c r="B244" s="1703"/>
      <c r="C244" s="1704"/>
      <c r="D244" s="1704"/>
      <c r="E244" s="1705"/>
      <c r="F244" s="1706"/>
      <c r="G244" s="1707"/>
      <c r="H244" s="1708"/>
      <c r="I244" s="1709"/>
      <c r="J244" s="1710"/>
      <c r="K244" s="1711"/>
      <c r="L244" s="1712"/>
      <c r="M244" s="1712"/>
      <c r="N244" s="1713"/>
      <c r="O244" s="1722"/>
      <c r="P244" s="1723"/>
      <c r="Q244" s="1724"/>
      <c r="R244" s="1717">
        <f t="shared" si="71">K244-O244</f>
        <v>0</v>
      </c>
      <c r="S244" s="1718"/>
      <c r="T244" s="1718"/>
      <c r="U244" s="1719"/>
      <c r="V244" s="1711"/>
      <c r="W244" s="1712"/>
      <c r="X244" s="1712"/>
      <c r="Y244" s="1713"/>
      <c r="Z244" s="1711"/>
      <c r="AA244" s="1713"/>
      <c r="AB244" s="1714">
        <f t="shared" si="72">R244*Z244</f>
        <v>0</v>
      </c>
      <c r="AC244" s="1715"/>
      <c r="AD244" s="1715"/>
      <c r="AE244" s="1720"/>
      <c r="AF244" s="1622">
        <f t="shared" si="73">V244*Z244</f>
        <v>0</v>
      </c>
      <c r="AG244" s="1623"/>
      <c r="AH244" s="1623"/>
      <c r="AI244" s="1721"/>
    </row>
    <row r="245" spans="1:35">
      <c r="A245" s="309">
        <v>5</v>
      </c>
      <c r="B245" s="1703"/>
      <c r="C245" s="1704"/>
      <c r="D245" s="1704"/>
      <c r="E245" s="1705"/>
      <c r="F245" s="1706"/>
      <c r="G245" s="1707"/>
      <c r="H245" s="1708"/>
      <c r="I245" s="1709"/>
      <c r="J245" s="1710"/>
      <c r="K245" s="1711"/>
      <c r="L245" s="1712"/>
      <c r="M245" s="1712"/>
      <c r="N245" s="1713"/>
      <c r="O245" s="1722"/>
      <c r="P245" s="1723"/>
      <c r="Q245" s="1724"/>
      <c r="R245" s="1717">
        <f t="shared" si="71">K245-O245</f>
        <v>0</v>
      </c>
      <c r="S245" s="1718"/>
      <c r="T245" s="1718"/>
      <c r="U245" s="1719"/>
      <c r="V245" s="1711"/>
      <c r="W245" s="1712"/>
      <c r="X245" s="1712"/>
      <c r="Y245" s="1713"/>
      <c r="Z245" s="1711"/>
      <c r="AA245" s="1713"/>
      <c r="AB245" s="1714">
        <f t="shared" si="72">R245*Z245</f>
        <v>0</v>
      </c>
      <c r="AC245" s="1715"/>
      <c r="AD245" s="1715"/>
      <c r="AE245" s="1720"/>
      <c r="AF245" s="1622">
        <f t="shared" si="73">V245*Z245</f>
        <v>0</v>
      </c>
      <c r="AG245" s="1623"/>
      <c r="AH245" s="1623"/>
      <c r="AI245" s="1721"/>
    </row>
    <row r="246" spans="1:35">
      <c r="A246" s="309">
        <v>6</v>
      </c>
      <c r="B246" s="1703"/>
      <c r="C246" s="1704"/>
      <c r="D246" s="1704"/>
      <c r="E246" s="1705"/>
      <c r="F246" s="1706"/>
      <c r="G246" s="1707"/>
      <c r="H246" s="1708"/>
      <c r="I246" s="1709"/>
      <c r="J246" s="1710"/>
      <c r="K246" s="1711"/>
      <c r="L246" s="1712"/>
      <c r="M246" s="1712"/>
      <c r="N246" s="1713"/>
      <c r="O246" s="1722"/>
      <c r="P246" s="1723"/>
      <c r="Q246" s="1724"/>
      <c r="R246" s="1717">
        <f t="shared" si="74" ref="R246">K246-O246</f>
        <v>0</v>
      </c>
      <c r="S246" s="1718"/>
      <c r="T246" s="1718"/>
      <c r="U246" s="1719"/>
      <c r="V246" s="1711"/>
      <c r="W246" s="1712"/>
      <c r="X246" s="1712"/>
      <c r="Y246" s="1713"/>
      <c r="Z246" s="1711"/>
      <c r="AA246" s="1713"/>
      <c r="AB246" s="1714">
        <f t="shared" si="75" ref="AB246">R246*Z246</f>
        <v>0</v>
      </c>
      <c r="AC246" s="1715"/>
      <c r="AD246" s="1715"/>
      <c r="AE246" s="1720"/>
      <c r="AF246" s="1622">
        <f t="shared" si="76" ref="AF246">V246*Z246</f>
        <v>0</v>
      </c>
      <c r="AG246" s="1623"/>
      <c r="AH246" s="1623"/>
      <c r="AI246" s="1721"/>
    </row>
    <row r="247" spans="1:35">
      <c r="A247" s="309">
        <v>7</v>
      </c>
      <c r="B247" s="1703"/>
      <c r="C247" s="1704"/>
      <c r="D247" s="1704"/>
      <c r="E247" s="1705"/>
      <c r="F247" s="1706"/>
      <c r="G247" s="1707"/>
      <c r="H247" s="1708"/>
      <c r="I247" s="1709"/>
      <c r="J247" s="1710"/>
      <c r="K247" s="1711"/>
      <c r="L247" s="1712"/>
      <c r="M247" s="1712"/>
      <c r="N247" s="1713"/>
      <c r="O247" s="1722"/>
      <c r="P247" s="1723"/>
      <c r="Q247" s="1724"/>
      <c r="R247" s="1717">
        <f t="shared" si="77" ref="R247:R250">K247-O247</f>
        <v>0</v>
      </c>
      <c r="S247" s="1718"/>
      <c r="T247" s="1718"/>
      <c r="U247" s="1719"/>
      <c r="V247" s="1711"/>
      <c r="W247" s="1712"/>
      <c r="X247" s="1712"/>
      <c r="Y247" s="1713"/>
      <c r="Z247" s="1711"/>
      <c r="AA247" s="1713"/>
      <c r="AB247" s="1714">
        <f t="shared" si="78" ref="AB247:AB250">R247*Z247</f>
        <v>0</v>
      </c>
      <c r="AC247" s="1715"/>
      <c r="AD247" s="1715"/>
      <c r="AE247" s="1720"/>
      <c r="AF247" s="1622">
        <f t="shared" si="79" ref="AF247:AF250">V247*Z247</f>
        <v>0</v>
      </c>
      <c r="AG247" s="1623"/>
      <c r="AH247" s="1623"/>
      <c r="AI247" s="1721"/>
    </row>
    <row r="248" spans="1:35">
      <c r="A248" s="309">
        <v>8</v>
      </c>
      <c r="B248" s="1703"/>
      <c r="C248" s="1704"/>
      <c r="D248" s="1704"/>
      <c r="E248" s="1705"/>
      <c r="F248" s="1706"/>
      <c r="G248" s="1707"/>
      <c r="H248" s="1708"/>
      <c r="I248" s="1709"/>
      <c r="J248" s="1710"/>
      <c r="K248" s="1711"/>
      <c r="L248" s="1712"/>
      <c r="M248" s="1712"/>
      <c r="N248" s="1713"/>
      <c r="O248" s="1722"/>
      <c r="P248" s="1723"/>
      <c r="Q248" s="1724"/>
      <c r="R248" s="1717">
        <f t="shared" si="77">K248-O248</f>
        <v>0</v>
      </c>
      <c r="S248" s="1718"/>
      <c r="T248" s="1718"/>
      <c r="U248" s="1719"/>
      <c r="V248" s="1711"/>
      <c r="W248" s="1712"/>
      <c r="X248" s="1712"/>
      <c r="Y248" s="1713"/>
      <c r="Z248" s="1711"/>
      <c r="AA248" s="1713"/>
      <c r="AB248" s="1714">
        <f t="shared" si="78">R248*Z248</f>
        <v>0</v>
      </c>
      <c r="AC248" s="1715"/>
      <c r="AD248" s="1715"/>
      <c r="AE248" s="1720"/>
      <c r="AF248" s="1622">
        <f t="shared" si="79">V248*Z248</f>
        <v>0</v>
      </c>
      <c r="AG248" s="1623"/>
      <c r="AH248" s="1623"/>
      <c r="AI248" s="1721"/>
    </row>
    <row r="249" spans="1:35">
      <c r="A249" s="309">
        <v>9</v>
      </c>
      <c r="B249" s="1703"/>
      <c r="C249" s="1704"/>
      <c r="D249" s="1704"/>
      <c r="E249" s="1705"/>
      <c r="F249" s="1706"/>
      <c r="G249" s="1707"/>
      <c r="H249" s="1708"/>
      <c r="I249" s="1709"/>
      <c r="J249" s="1710"/>
      <c r="K249" s="1711"/>
      <c r="L249" s="1712"/>
      <c r="M249" s="1712"/>
      <c r="N249" s="1713"/>
      <c r="O249" s="1722"/>
      <c r="P249" s="1723"/>
      <c r="Q249" s="1724"/>
      <c r="R249" s="1717">
        <f t="shared" si="77">K249-O249</f>
        <v>0</v>
      </c>
      <c r="S249" s="1718"/>
      <c r="T249" s="1718"/>
      <c r="U249" s="1719"/>
      <c r="V249" s="1711"/>
      <c r="W249" s="1712"/>
      <c r="X249" s="1712"/>
      <c r="Y249" s="1713"/>
      <c r="Z249" s="1711"/>
      <c r="AA249" s="1713"/>
      <c r="AB249" s="1714">
        <f t="shared" si="78">R249*Z249</f>
        <v>0</v>
      </c>
      <c r="AC249" s="1715"/>
      <c r="AD249" s="1715"/>
      <c r="AE249" s="1720"/>
      <c r="AF249" s="1622">
        <f t="shared" si="79">V249*Z249</f>
        <v>0</v>
      </c>
      <c r="AG249" s="1623"/>
      <c r="AH249" s="1623"/>
      <c r="AI249" s="1721"/>
    </row>
    <row r="250" spans="1:35">
      <c r="A250" s="309">
        <v>10</v>
      </c>
      <c r="B250" s="1703"/>
      <c r="C250" s="1704"/>
      <c r="D250" s="1704"/>
      <c r="E250" s="1705"/>
      <c r="F250" s="1706"/>
      <c r="G250" s="1707"/>
      <c r="H250" s="1708"/>
      <c r="I250" s="1709"/>
      <c r="J250" s="1710"/>
      <c r="K250" s="1711"/>
      <c r="L250" s="1712"/>
      <c r="M250" s="1712"/>
      <c r="N250" s="1713"/>
      <c r="O250" s="1722"/>
      <c r="P250" s="1723"/>
      <c r="Q250" s="1724"/>
      <c r="R250" s="1717">
        <f t="shared" si="77">K250-O250</f>
        <v>0</v>
      </c>
      <c r="S250" s="1718"/>
      <c r="T250" s="1718"/>
      <c r="U250" s="1719"/>
      <c r="V250" s="1711"/>
      <c r="W250" s="1712"/>
      <c r="X250" s="1712"/>
      <c r="Y250" s="1713"/>
      <c r="Z250" s="1711"/>
      <c r="AA250" s="1713"/>
      <c r="AB250" s="1714">
        <f t="shared" si="78">R250*Z250</f>
        <v>0</v>
      </c>
      <c r="AC250" s="1715"/>
      <c r="AD250" s="1715"/>
      <c r="AE250" s="1720"/>
      <c r="AF250" s="1622">
        <f t="shared" si="79">V250*Z250</f>
        <v>0</v>
      </c>
      <c r="AG250" s="1623"/>
      <c r="AH250" s="1623"/>
      <c r="AI250" s="1721"/>
    </row>
    <row r="251" spans="1:35">
      <c r="A251" s="309">
        <v>11</v>
      </c>
      <c r="B251" s="1703"/>
      <c r="C251" s="1704"/>
      <c r="D251" s="1704"/>
      <c r="E251" s="1705"/>
      <c r="F251" s="1706"/>
      <c r="G251" s="1707"/>
      <c r="H251" s="1708"/>
      <c r="I251" s="1709"/>
      <c r="J251" s="1710"/>
      <c r="K251" s="1711"/>
      <c r="L251" s="1712"/>
      <c r="M251" s="1712"/>
      <c r="N251" s="1713"/>
      <c r="O251" s="1722"/>
      <c r="P251" s="1723"/>
      <c r="Q251" s="1724"/>
      <c r="R251" s="1717">
        <f t="shared" si="71">K251-O251</f>
        <v>0</v>
      </c>
      <c r="S251" s="1718"/>
      <c r="T251" s="1718"/>
      <c r="U251" s="1719"/>
      <c r="V251" s="1711"/>
      <c r="W251" s="1712"/>
      <c r="X251" s="1712"/>
      <c r="Y251" s="1713"/>
      <c r="Z251" s="1711"/>
      <c r="AA251" s="1713"/>
      <c r="AB251" s="1714">
        <f t="shared" si="72">R251*Z251</f>
        <v>0</v>
      </c>
      <c r="AC251" s="1715"/>
      <c r="AD251" s="1715"/>
      <c r="AE251" s="1720"/>
      <c r="AF251" s="1622">
        <f t="shared" si="73">V251*Z251</f>
        <v>0</v>
      </c>
      <c r="AG251" s="1623"/>
      <c r="AH251" s="1623"/>
      <c r="AI251" s="1721"/>
    </row>
    <row r="252" spans="1:35">
      <c r="A252" s="309">
        <v>12</v>
      </c>
      <c r="B252" s="1703"/>
      <c r="C252" s="1704"/>
      <c r="D252" s="1704"/>
      <c r="E252" s="1705"/>
      <c r="F252" s="1706"/>
      <c r="G252" s="1707"/>
      <c r="H252" s="1708"/>
      <c r="I252" s="1709"/>
      <c r="J252" s="1710"/>
      <c r="K252" s="1711"/>
      <c r="L252" s="1712"/>
      <c r="M252" s="1712"/>
      <c r="N252" s="1713"/>
      <c r="O252" s="1722"/>
      <c r="P252" s="1723"/>
      <c r="Q252" s="1724"/>
      <c r="R252" s="1717">
        <f t="shared" si="71">K252-O252</f>
        <v>0</v>
      </c>
      <c r="S252" s="1718"/>
      <c r="T252" s="1718"/>
      <c r="U252" s="1719"/>
      <c r="V252" s="1711"/>
      <c r="W252" s="1712"/>
      <c r="X252" s="1712"/>
      <c r="Y252" s="1713"/>
      <c r="Z252" s="1711"/>
      <c r="AA252" s="1713"/>
      <c r="AB252" s="1714">
        <f t="shared" si="72">R252*Z252</f>
        <v>0</v>
      </c>
      <c r="AC252" s="1715"/>
      <c r="AD252" s="1715"/>
      <c r="AE252" s="1720"/>
      <c r="AF252" s="1622">
        <f t="shared" si="73">V252*Z252</f>
        <v>0</v>
      </c>
      <c r="AG252" s="1623"/>
      <c r="AH252" s="1623"/>
      <c r="AI252" s="1721"/>
    </row>
    <row r="253" spans="1:35">
      <c r="A253" s="309">
        <v>13</v>
      </c>
      <c r="B253" s="1703"/>
      <c r="C253" s="1704"/>
      <c r="D253" s="1704"/>
      <c r="E253" s="1705"/>
      <c r="F253" s="1706"/>
      <c r="G253" s="1707"/>
      <c r="H253" s="1708"/>
      <c r="I253" s="1709"/>
      <c r="J253" s="1710"/>
      <c r="K253" s="1711"/>
      <c r="L253" s="1712"/>
      <c r="M253" s="1712"/>
      <c r="N253" s="1713"/>
      <c r="O253" s="1722"/>
      <c r="P253" s="1723"/>
      <c r="Q253" s="1724"/>
      <c r="R253" s="1717">
        <f t="shared" si="71">K253-O253</f>
        <v>0</v>
      </c>
      <c r="S253" s="1718"/>
      <c r="T253" s="1718"/>
      <c r="U253" s="1719"/>
      <c r="V253" s="1711"/>
      <c r="W253" s="1712"/>
      <c r="X253" s="1712"/>
      <c r="Y253" s="1713"/>
      <c r="Z253" s="1711"/>
      <c r="AA253" s="1713"/>
      <c r="AB253" s="1714">
        <f t="shared" si="72">R253*Z253</f>
        <v>0</v>
      </c>
      <c r="AC253" s="1715"/>
      <c r="AD253" s="1715"/>
      <c r="AE253" s="1720"/>
      <c r="AF253" s="1622">
        <f t="shared" si="73">V253*Z253</f>
        <v>0</v>
      </c>
      <c r="AG253" s="1623"/>
      <c r="AH253" s="1623"/>
      <c r="AI253" s="1721"/>
    </row>
    <row r="254" spans="1:35">
      <c r="A254" s="309">
        <v>14</v>
      </c>
      <c r="B254" s="1703"/>
      <c r="C254" s="1704"/>
      <c r="D254" s="1704"/>
      <c r="E254" s="1705"/>
      <c r="F254" s="1706"/>
      <c r="G254" s="1707"/>
      <c r="H254" s="1708"/>
      <c r="I254" s="1709"/>
      <c r="J254" s="1710"/>
      <c r="K254" s="1711"/>
      <c r="L254" s="1712"/>
      <c r="M254" s="1712"/>
      <c r="N254" s="1713"/>
      <c r="O254" s="1722"/>
      <c r="P254" s="1723"/>
      <c r="Q254" s="1724"/>
      <c r="R254" s="1717">
        <f t="shared" si="71">K254-O254</f>
        <v>0</v>
      </c>
      <c r="S254" s="1718"/>
      <c r="T254" s="1718"/>
      <c r="U254" s="1719"/>
      <c r="V254" s="1711"/>
      <c r="W254" s="1712"/>
      <c r="X254" s="1712"/>
      <c r="Y254" s="1713"/>
      <c r="Z254" s="1711"/>
      <c r="AA254" s="1713"/>
      <c r="AB254" s="1714">
        <f t="shared" si="72">R254*Z254</f>
        <v>0</v>
      </c>
      <c r="AC254" s="1715"/>
      <c r="AD254" s="1715"/>
      <c r="AE254" s="1720"/>
      <c r="AF254" s="1622">
        <f t="shared" si="73">V254*Z254</f>
        <v>0</v>
      </c>
      <c r="AG254" s="1623"/>
      <c r="AH254" s="1623"/>
      <c r="AI254" s="1721"/>
    </row>
    <row r="255" spans="1:35">
      <c r="A255" s="309">
        <v>15</v>
      </c>
      <c r="B255" s="1703"/>
      <c r="C255" s="1704"/>
      <c r="D255" s="1704"/>
      <c r="E255" s="1705"/>
      <c r="F255" s="1706"/>
      <c r="G255" s="1707"/>
      <c r="H255" s="1708"/>
      <c r="I255" s="1709"/>
      <c r="J255" s="1710"/>
      <c r="K255" s="1711"/>
      <c r="L255" s="1712"/>
      <c r="M255" s="1712"/>
      <c r="N255" s="1713"/>
      <c r="O255" s="1722"/>
      <c r="P255" s="1723"/>
      <c r="Q255" s="1724"/>
      <c r="R255" s="1717">
        <f t="shared" si="71">K255-O255</f>
        <v>0</v>
      </c>
      <c r="S255" s="1718"/>
      <c r="T255" s="1718"/>
      <c r="U255" s="1719"/>
      <c r="V255" s="1711"/>
      <c r="W255" s="1712"/>
      <c r="X255" s="1712"/>
      <c r="Y255" s="1713"/>
      <c r="Z255" s="1711"/>
      <c r="AA255" s="1713"/>
      <c r="AB255" s="1714">
        <f t="shared" si="72">R255*Z255</f>
        <v>0</v>
      </c>
      <c r="AC255" s="1715"/>
      <c r="AD255" s="1715"/>
      <c r="AE255" s="1720"/>
      <c r="AF255" s="1622">
        <f t="shared" si="73">V255*Z255</f>
        <v>0</v>
      </c>
      <c r="AG255" s="1623"/>
      <c r="AH255" s="1623"/>
      <c r="AI255" s="1721"/>
    </row>
    <row r="256" spans="1:35">
      <c r="A256" s="310" t="s">
        <v>504</v>
      </c>
      <c r="B256" s="1703"/>
      <c r="C256" s="1704"/>
      <c r="D256" s="1704"/>
      <c r="E256" s="1705"/>
      <c r="F256" s="1706"/>
      <c r="G256" s="1707"/>
      <c r="H256" s="1708"/>
      <c r="I256" s="1709"/>
      <c r="J256" s="1710"/>
      <c r="K256" s="1711"/>
      <c r="L256" s="1712"/>
      <c r="M256" s="1712"/>
      <c r="N256" s="1713"/>
      <c r="O256" s="1722"/>
      <c r="P256" s="1723"/>
      <c r="Q256" s="1724"/>
      <c r="R256" s="1717">
        <f t="shared" si="71">K256-O256</f>
        <v>0</v>
      </c>
      <c r="S256" s="1718"/>
      <c r="T256" s="1718"/>
      <c r="U256" s="1719"/>
      <c r="V256" s="1711"/>
      <c r="W256" s="1712"/>
      <c r="X256" s="1712"/>
      <c r="Y256" s="1713"/>
      <c r="Z256" s="1711"/>
      <c r="AA256" s="1713"/>
      <c r="AB256" s="1714">
        <f t="shared" si="72">R256*Z256</f>
        <v>0</v>
      </c>
      <c r="AC256" s="1715"/>
      <c r="AD256" s="1715"/>
      <c r="AE256" s="1720"/>
      <c r="AF256" s="1622">
        <f t="shared" si="73">V256*Z256</f>
        <v>0</v>
      </c>
      <c r="AG256" s="1623"/>
      <c r="AH256" s="1623"/>
      <c r="AI256" s="1721"/>
    </row>
    <row r="257" spans="1:35" ht="13.5" customHeight="1" thickBot="1">
      <c r="A257" s="899"/>
      <c r="B257" s="900"/>
      <c r="C257" s="901"/>
      <c r="D257" s="901"/>
      <c r="E257" s="902"/>
      <c r="F257" s="1978"/>
      <c r="G257" s="1934"/>
      <c r="H257" s="1978"/>
      <c r="I257" s="740"/>
      <c r="J257" s="1934"/>
      <c r="K257" s="1978"/>
      <c r="L257" s="740"/>
      <c r="M257" s="740"/>
      <c r="N257" s="1934"/>
      <c r="O257" s="900"/>
      <c r="P257" s="901"/>
      <c r="Q257" s="902"/>
      <c r="R257" s="1978"/>
      <c r="S257" s="740"/>
      <c r="T257" s="740"/>
      <c r="U257" s="1934"/>
      <c r="V257" s="1978"/>
      <c r="W257" s="740"/>
      <c r="X257" s="740"/>
      <c r="Y257" s="1934"/>
      <c r="Z257" s="908"/>
      <c r="AA257" s="908"/>
      <c r="AB257" s="900"/>
      <c r="AC257" s="901"/>
      <c r="AD257" s="901"/>
      <c r="AE257" s="902"/>
      <c r="AF257" s="1978"/>
      <c r="AG257" s="740"/>
      <c r="AH257" s="740"/>
      <c r="AI257" s="1935"/>
    </row>
    <row r="258" spans="1:35" ht="13.5" customHeight="1" thickTop="1" thickBot="1">
      <c r="A258" s="892"/>
      <c r="B258" s="892"/>
      <c r="C258" s="892"/>
      <c r="D258" s="892"/>
      <c r="E258" s="892"/>
      <c r="F258" s="892"/>
      <c r="G258" s="892"/>
      <c r="H258" s="892"/>
      <c r="I258" s="892"/>
      <c r="J258" s="892"/>
      <c r="K258" s="892"/>
      <c r="L258" s="892"/>
      <c r="M258" s="892"/>
      <c r="N258" s="892"/>
      <c r="O258" s="892"/>
      <c r="P258" s="892"/>
      <c r="Q258" s="892"/>
      <c r="R258" s="892"/>
      <c r="S258" s="892"/>
      <c r="T258" s="892"/>
      <c r="U258" s="892"/>
      <c r="V258" s="892"/>
      <c r="W258" s="892"/>
      <c r="X258" s="892"/>
      <c r="Y258" s="892"/>
      <c r="Z258" s="892"/>
      <c r="AA258" s="892"/>
      <c r="AB258" s="892"/>
      <c r="AC258" s="892"/>
      <c r="AD258" s="892"/>
      <c r="AE258" s="892"/>
      <c r="AF258" s="892"/>
      <c r="AG258" s="892"/>
      <c r="AH258" s="892"/>
      <c r="AI258" s="892"/>
    </row>
    <row r="259" spans="1:35" ht="14.25" customHeight="1" thickTop="1" thickBot="1">
      <c r="A259" s="892"/>
      <c r="B259" s="893" t="s">
        <v>347</v>
      </c>
      <c r="C259" s="892"/>
      <c r="D259" s="892"/>
      <c r="E259" s="892"/>
      <c r="F259" s="892"/>
      <c r="G259" s="892"/>
      <c r="H259" s="892"/>
      <c r="I259" s="892"/>
      <c r="J259" s="892"/>
      <c r="K259" s="892"/>
      <c r="L259" s="892"/>
      <c r="M259" s="892"/>
      <c r="N259" s="892"/>
      <c r="O259" s="892"/>
      <c r="P259" s="892"/>
      <c r="Q259" s="892"/>
      <c r="R259" s="1836">
        <f>SUM(R241:U257)</f>
        <v>0</v>
      </c>
      <c r="S259" s="1837"/>
      <c r="T259" s="1837"/>
      <c r="U259" s="1838"/>
      <c r="V259" s="1836">
        <f>SUM(V241:Y257)</f>
        <v>0</v>
      </c>
      <c r="W259" s="1837"/>
      <c r="X259" s="1837"/>
      <c r="Y259" s="1838"/>
      <c r="Z259" s="903"/>
      <c r="AA259" s="903"/>
      <c r="AB259" s="1657">
        <f>SUM(AB241:AE257)</f>
        <v>0</v>
      </c>
      <c r="AC259" s="1658"/>
      <c r="AD259" s="1658"/>
      <c r="AE259" s="1659"/>
      <c r="AF259" s="1657">
        <f>SUM(AF241:AI257)</f>
        <v>0</v>
      </c>
      <c r="AG259" s="1658"/>
      <c r="AH259" s="1658"/>
      <c r="AI259" s="1659"/>
    </row>
    <row r="260" spans="1:35" ht="13.5" collapsed="1" customHeight="1" thickTop="1">
      <c r="A260" s="892"/>
      <c r="B260" s="892"/>
      <c r="C260" s="892"/>
      <c r="D260" s="892"/>
      <c r="E260" s="892"/>
      <c r="F260" s="892"/>
      <c r="G260" s="892"/>
      <c r="H260" s="892"/>
      <c r="I260" s="892"/>
      <c r="J260" s="892"/>
      <c r="K260" s="892"/>
      <c r="L260" s="892"/>
      <c r="M260" s="892"/>
      <c r="N260" s="892"/>
      <c r="O260" s="892"/>
      <c r="P260" s="892"/>
      <c r="Q260" s="892"/>
      <c r="R260" s="892"/>
      <c r="S260" s="892"/>
      <c r="T260" s="892"/>
      <c r="U260" s="892"/>
      <c r="V260" s="892"/>
      <c r="W260" s="892"/>
      <c r="X260" s="892"/>
      <c r="Y260" s="892"/>
      <c r="Z260" s="892"/>
      <c r="AA260" s="892"/>
      <c r="AB260" s="892"/>
      <c r="AC260" s="892"/>
      <c r="AD260" s="892"/>
      <c r="AE260" s="892"/>
      <c r="AF260" s="892"/>
      <c r="AG260" s="892"/>
      <c r="AH260" s="892"/>
      <c r="AI260" s="892"/>
    </row>
    <row r="261" spans="1:35" ht="13.5" customHeight="1">
      <c r="A261" s="892"/>
      <c r="B261" s="909" t="s">
        <v>314</v>
      </c>
      <c r="C261" s="893" t="s">
        <v>515</v>
      </c>
      <c r="D261" s="892"/>
      <c r="E261" s="892"/>
      <c r="F261" s="892"/>
      <c r="G261" s="892"/>
      <c r="H261" s="892"/>
      <c r="I261" s="892"/>
      <c r="J261" s="892"/>
      <c r="K261" s="892"/>
      <c r="L261" s="892"/>
      <c r="M261" s="892"/>
      <c r="N261" s="892"/>
      <c r="O261" s="892"/>
      <c r="P261" s="892"/>
      <c r="Q261" s="892"/>
      <c r="R261" s="892"/>
      <c r="S261" s="892"/>
      <c r="T261" s="892"/>
      <c r="U261" s="892"/>
      <c r="V261" s="892"/>
      <c r="W261" s="892"/>
      <c r="X261" s="892"/>
      <c r="Y261" s="892"/>
      <c r="Z261" s="892"/>
      <c r="AA261" s="892"/>
      <c r="AB261" s="892"/>
      <c r="AC261" s="892"/>
      <c r="AD261" s="892"/>
      <c r="AE261" s="892"/>
      <c r="AF261" s="892"/>
      <c r="AG261" s="892"/>
      <c r="AH261" s="892"/>
      <c r="AI261" s="892"/>
    </row>
    <row r="262" spans="1:35" ht="13.5" customHeight="1" thickBot="1">
      <c r="A262" s="892"/>
      <c r="B262" s="892"/>
      <c r="C262" s="892"/>
      <c r="D262" s="892" t="s">
        <v>295</v>
      </c>
      <c r="E262" s="892"/>
      <c r="F262" s="892"/>
      <c r="G262" s="892"/>
      <c r="H262" s="892"/>
      <c r="I262" s="892"/>
      <c r="J262" s="892"/>
      <c r="K262" s="892"/>
      <c r="L262" s="892"/>
      <c r="M262" s="892"/>
      <c r="N262" s="892"/>
      <c r="O262" s="892"/>
      <c r="P262" s="892"/>
      <c r="Q262" s="892"/>
      <c r="R262" s="892"/>
      <c r="S262" s="892"/>
      <c r="T262" s="892"/>
      <c r="U262" s="892"/>
      <c r="V262" s="892"/>
      <c r="W262" s="892"/>
      <c r="X262" s="892"/>
      <c r="Y262" s="892"/>
      <c r="Z262" s="892"/>
      <c r="AA262" s="892"/>
      <c r="AB262" s="892"/>
      <c r="AC262" s="892"/>
      <c r="AD262" s="892"/>
      <c r="AE262" s="892"/>
      <c r="AF262" s="892"/>
      <c r="AG262" s="892"/>
      <c r="AH262" s="892"/>
      <c r="AI262" s="892"/>
    </row>
    <row r="263" spans="1:35" s="311" customFormat="1" ht="13.5" customHeight="1" thickTop="1">
      <c r="A263" s="893"/>
      <c r="B263" s="1976" t="s">
        <v>321</v>
      </c>
      <c r="C263" s="1977" t="s">
        <v>516</v>
      </c>
      <c r="D263" s="1939"/>
      <c r="E263" s="1939"/>
      <c r="F263" s="1939"/>
      <c r="G263" s="1939"/>
      <c r="H263" s="1939"/>
      <c r="I263" s="1939"/>
      <c r="J263" s="1939"/>
      <c r="K263" s="1977" t="s">
        <v>496</v>
      </c>
      <c r="L263" s="1939"/>
      <c r="M263" s="1977" t="s">
        <v>206</v>
      </c>
      <c r="N263" s="1939"/>
      <c r="O263" s="1939"/>
      <c r="P263" s="1977" t="s">
        <v>497</v>
      </c>
      <c r="Q263" s="1939"/>
      <c r="R263" s="1939"/>
      <c r="S263" s="1939"/>
      <c r="T263" s="1939"/>
      <c r="U263" s="1977" t="s">
        <v>498</v>
      </c>
      <c r="V263" s="1939"/>
      <c r="W263" s="1939"/>
      <c r="X263" s="1977" t="s">
        <v>499</v>
      </c>
      <c r="Y263" s="1939"/>
      <c r="Z263" s="1939"/>
      <c r="AA263" s="1939"/>
      <c r="AB263" s="1941"/>
      <c r="AC263" s="893"/>
      <c r="AD263" s="893"/>
      <c r="AE263" s="893"/>
      <c r="AF263" s="893"/>
      <c r="AG263" s="893"/>
      <c r="AH263" s="893"/>
      <c r="AI263" s="893"/>
    </row>
    <row r="264" spans="1:35" s="311" customFormat="1" ht="13.5" customHeight="1" thickBot="1">
      <c r="A264" s="893"/>
      <c r="B264" s="1937"/>
      <c r="C264" s="1940"/>
      <c r="D264" s="1940"/>
      <c r="E264" s="1940"/>
      <c r="F264" s="1940"/>
      <c r="G264" s="1940"/>
      <c r="H264" s="1940"/>
      <c r="I264" s="1940"/>
      <c r="J264" s="1940"/>
      <c r="K264" s="1940"/>
      <c r="L264" s="1940"/>
      <c r="M264" s="1940"/>
      <c r="N264" s="1940"/>
      <c r="O264" s="1940"/>
      <c r="P264" s="1940"/>
      <c r="Q264" s="1940"/>
      <c r="R264" s="1940"/>
      <c r="S264" s="1940"/>
      <c r="T264" s="1940"/>
      <c r="U264" s="1940"/>
      <c r="V264" s="1940"/>
      <c r="W264" s="1940"/>
      <c r="X264" s="1940"/>
      <c r="Y264" s="1940"/>
      <c r="Z264" s="1940"/>
      <c r="AA264" s="1940"/>
      <c r="AB264" s="1942"/>
      <c r="AC264" s="893"/>
      <c r="AD264" s="893"/>
      <c r="AE264" s="893"/>
      <c r="AF264" s="893"/>
      <c r="AG264" s="893"/>
      <c r="AH264" s="893"/>
      <c r="AI264" s="893"/>
    </row>
    <row r="265" spans="1:35" ht="13.5" customHeight="1" thickTop="1">
      <c r="A265" s="892"/>
      <c r="B265" s="892"/>
      <c r="C265" s="892"/>
      <c r="D265" s="892"/>
      <c r="E265" s="892"/>
      <c r="F265" s="892"/>
      <c r="G265" s="892"/>
      <c r="H265" s="892"/>
      <c r="I265" s="892"/>
      <c r="J265" s="892"/>
      <c r="K265" s="892"/>
      <c r="L265" s="892"/>
      <c r="M265" s="892"/>
      <c r="N265" s="892"/>
      <c r="O265" s="892"/>
      <c r="P265" s="892"/>
      <c r="Q265" s="892"/>
      <c r="R265" s="892"/>
      <c r="S265" s="892"/>
      <c r="T265" s="892"/>
      <c r="U265" s="892"/>
      <c r="V265" s="892"/>
      <c r="W265" s="892"/>
      <c r="X265" s="892"/>
      <c r="Y265" s="892"/>
      <c r="Z265" s="892"/>
      <c r="AA265" s="892"/>
      <c r="AB265" s="892"/>
      <c r="AC265" s="892"/>
      <c r="AD265" s="892"/>
      <c r="AE265" s="892"/>
      <c r="AF265" s="892"/>
      <c r="AG265" s="892"/>
      <c r="AH265" s="892"/>
      <c r="AI265" s="892"/>
    </row>
    <row r="266" spans="1:35" ht="13.5" customHeight="1">
      <c r="A266" s="892"/>
      <c r="B266" s="893" t="s">
        <v>517</v>
      </c>
      <c r="C266" s="892"/>
      <c r="D266" s="892"/>
      <c r="E266" s="892"/>
      <c r="F266" s="892"/>
      <c r="G266" s="892"/>
      <c r="H266" s="892"/>
      <c r="I266" s="892"/>
      <c r="J266" s="892"/>
      <c r="K266" s="892"/>
      <c r="L266" s="892"/>
      <c r="M266" s="892"/>
      <c r="N266" s="892"/>
      <c r="O266" s="892"/>
      <c r="P266" s="892"/>
      <c r="Q266" s="892"/>
      <c r="R266" s="892"/>
      <c r="S266" s="892"/>
      <c r="T266" s="892"/>
      <c r="U266" s="892"/>
      <c r="V266" s="892"/>
      <c r="W266" s="892"/>
      <c r="X266" s="892"/>
      <c r="Y266" s="892"/>
      <c r="Z266" s="892"/>
      <c r="AA266" s="892"/>
      <c r="AB266" s="892"/>
      <c r="AC266" s="892"/>
      <c r="AD266" s="892"/>
      <c r="AE266" s="892"/>
      <c r="AF266" s="892"/>
      <c r="AG266" s="892"/>
      <c r="AH266" s="892"/>
      <c r="AI266" s="892"/>
    </row>
    <row r="267" spans="1:35" ht="13.5" customHeight="1" thickBot="1">
      <c r="A267" s="892"/>
      <c r="B267" s="892"/>
      <c r="C267" s="892"/>
      <c r="D267" s="892"/>
      <c r="E267" s="892"/>
      <c r="F267" s="892"/>
      <c r="G267" s="892"/>
      <c r="H267" s="892"/>
      <c r="I267" s="892"/>
      <c r="J267" s="892"/>
      <c r="K267" s="892"/>
      <c r="L267" s="892"/>
      <c r="M267" s="892"/>
      <c r="N267" s="892"/>
      <c r="O267" s="892"/>
      <c r="P267" s="892"/>
      <c r="Q267" s="892"/>
      <c r="R267" s="892"/>
      <c r="S267" s="892"/>
      <c r="T267" s="892"/>
      <c r="U267" s="892"/>
      <c r="V267" s="892"/>
      <c r="W267" s="892"/>
      <c r="X267" s="892"/>
      <c r="Y267" s="892"/>
      <c r="Z267" s="892"/>
      <c r="AA267" s="892"/>
      <c r="AB267" s="892"/>
      <c r="AC267" s="892"/>
      <c r="AD267" s="892"/>
      <c r="AE267" s="892"/>
      <c r="AF267" s="892"/>
      <c r="AG267" s="892"/>
      <c r="AH267" s="892"/>
      <c r="AI267" s="892"/>
    </row>
    <row r="268" spans="1:35" ht="13.5" customHeight="1" thickTop="1">
      <c r="A268" s="892"/>
      <c r="B268" s="312">
        <v>1</v>
      </c>
      <c r="C268" s="1925"/>
      <c r="D268" s="1926"/>
      <c r="E268" s="1926"/>
      <c r="F268" s="1926"/>
      <c r="G268" s="1926"/>
      <c r="H268" s="1926"/>
      <c r="I268" s="1926"/>
      <c r="J268" s="1927"/>
      <c r="K268" s="1928"/>
      <c r="L268" s="1929"/>
      <c r="M268" s="1930"/>
      <c r="N268" s="1931"/>
      <c r="O268" s="1932"/>
      <c r="P268" s="1908"/>
      <c r="Q268" s="1899"/>
      <c r="R268" s="1899"/>
      <c r="S268" s="1899"/>
      <c r="T268" s="1909"/>
      <c r="U268" s="1908"/>
      <c r="V268" s="1899"/>
      <c r="W268" s="1909"/>
      <c r="X268" s="1910">
        <f t="shared" si="80" ref="X268:X278">P268*U268</f>
        <v>0</v>
      </c>
      <c r="Y268" s="1911"/>
      <c r="Z268" s="1911"/>
      <c r="AA268" s="1911"/>
      <c r="AB268" s="1912"/>
      <c r="AC268" s="892"/>
      <c r="AD268" s="892"/>
      <c r="AE268" s="892"/>
      <c r="AF268" s="892"/>
      <c r="AG268" s="892"/>
      <c r="AH268" s="892"/>
      <c r="AI268" s="892"/>
    </row>
    <row r="269" spans="1:35">
      <c r="A269" s="892"/>
      <c r="B269" s="313">
        <v>2</v>
      </c>
      <c r="C269" s="1703"/>
      <c r="D269" s="1704"/>
      <c r="E269" s="1704"/>
      <c r="F269" s="1704"/>
      <c r="G269" s="1704"/>
      <c r="H269" s="1704"/>
      <c r="I269" s="1704"/>
      <c r="J269" s="1705"/>
      <c r="K269" s="1706"/>
      <c r="L269" s="1707"/>
      <c r="M269" s="1708"/>
      <c r="N269" s="1709"/>
      <c r="O269" s="1710"/>
      <c r="P269" s="1711"/>
      <c r="Q269" s="1712"/>
      <c r="R269" s="1712"/>
      <c r="S269" s="1712"/>
      <c r="T269" s="1713"/>
      <c r="U269" s="1711"/>
      <c r="V269" s="1712"/>
      <c r="W269" s="1713"/>
      <c r="X269" s="1714">
        <f t="shared" si="80">P269*U269</f>
        <v>0</v>
      </c>
      <c r="Y269" s="1715"/>
      <c r="Z269" s="1715"/>
      <c r="AA269" s="1715"/>
      <c r="AB269" s="1716"/>
      <c r="AC269" s="892"/>
      <c r="AD269" s="892"/>
      <c r="AE269" s="892"/>
      <c r="AF269" s="892"/>
      <c r="AG269" s="892"/>
      <c r="AH269" s="892"/>
      <c r="AI269" s="892"/>
    </row>
    <row r="270" spans="1:35">
      <c r="A270" s="892"/>
      <c r="B270" s="1465">
        <v>3</v>
      </c>
      <c r="C270" s="1703" t="s">
        <v>295</v>
      </c>
      <c r="D270" s="1704"/>
      <c r="E270" s="1704"/>
      <c r="F270" s="1704"/>
      <c r="G270" s="1704"/>
      <c r="H270" s="1704"/>
      <c r="I270" s="1704"/>
      <c r="J270" s="1705"/>
      <c r="K270" s="1706"/>
      <c r="L270" s="1707"/>
      <c r="M270" s="1708"/>
      <c r="N270" s="1709"/>
      <c r="O270" s="1710"/>
      <c r="P270" s="1711"/>
      <c r="Q270" s="1712"/>
      <c r="R270" s="1712"/>
      <c r="S270" s="1712"/>
      <c r="T270" s="1713"/>
      <c r="U270" s="1711"/>
      <c r="V270" s="1712"/>
      <c r="W270" s="1713"/>
      <c r="X270" s="1714">
        <f t="shared" si="80">P270*U270</f>
        <v>0</v>
      </c>
      <c r="Y270" s="1715"/>
      <c r="Z270" s="1715"/>
      <c r="AA270" s="1715"/>
      <c r="AB270" s="1716"/>
      <c r="AC270" s="892"/>
      <c r="AD270" s="892"/>
      <c r="AE270" s="892"/>
      <c r="AF270" s="892"/>
      <c r="AG270" s="892"/>
      <c r="AH270" s="892"/>
      <c r="AI270" s="892"/>
    </row>
    <row r="271" spans="1:35">
      <c r="A271" s="892"/>
      <c r="B271" s="313">
        <v>4</v>
      </c>
      <c r="C271" s="1703" t="s">
        <v>295</v>
      </c>
      <c r="D271" s="1704"/>
      <c r="E271" s="1704"/>
      <c r="F271" s="1704"/>
      <c r="G271" s="1704"/>
      <c r="H271" s="1704"/>
      <c r="I271" s="1704"/>
      <c r="J271" s="1705"/>
      <c r="K271" s="1706"/>
      <c r="L271" s="1707"/>
      <c r="M271" s="1708"/>
      <c r="N271" s="1709"/>
      <c r="O271" s="1710"/>
      <c r="P271" s="1711"/>
      <c r="Q271" s="1712"/>
      <c r="R271" s="1712"/>
      <c r="S271" s="1712"/>
      <c r="T271" s="1713"/>
      <c r="U271" s="1711"/>
      <c r="V271" s="1712"/>
      <c r="W271" s="1713"/>
      <c r="X271" s="1714">
        <f t="shared" si="80">P271*U271</f>
        <v>0</v>
      </c>
      <c r="Y271" s="1715"/>
      <c r="Z271" s="1715"/>
      <c r="AA271" s="1715"/>
      <c r="AB271" s="1716"/>
      <c r="AC271" s="892"/>
      <c r="AD271" s="892"/>
      <c r="AE271" s="892"/>
      <c r="AF271" s="892"/>
      <c r="AG271" s="892"/>
      <c r="AH271" s="892"/>
      <c r="AI271" s="892"/>
    </row>
    <row r="272" spans="1:35">
      <c r="A272" s="892"/>
      <c r="B272" s="1465">
        <v>5</v>
      </c>
      <c r="C272" s="1703"/>
      <c r="D272" s="1704"/>
      <c r="E272" s="1704"/>
      <c r="F272" s="1704"/>
      <c r="G272" s="1704"/>
      <c r="H272" s="1704"/>
      <c r="I272" s="1704"/>
      <c r="J272" s="1705"/>
      <c r="K272" s="1706"/>
      <c r="L272" s="1707"/>
      <c r="M272" s="1708"/>
      <c r="N272" s="1709"/>
      <c r="O272" s="1710"/>
      <c r="P272" s="1711"/>
      <c r="Q272" s="1712"/>
      <c r="R272" s="1712"/>
      <c r="S272" s="1712"/>
      <c r="T272" s="1713"/>
      <c r="U272" s="1711"/>
      <c r="V272" s="1712"/>
      <c r="W272" s="1713"/>
      <c r="X272" s="1714">
        <f t="shared" si="80">P272*U272</f>
        <v>0</v>
      </c>
      <c r="Y272" s="1715"/>
      <c r="Z272" s="1715"/>
      <c r="AA272" s="1715"/>
      <c r="AB272" s="1716"/>
      <c r="AC272" s="892"/>
      <c r="AD272" s="892"/>
      <c r="AE272" s="892"/>
      <c r="AF272" s="892"/>
      <c r="AG272" s="892"/>
      <c r="AH272" s="892"/>
      <c r="AI272" s="892"/>
    </row>
    <row r="273" spans="1:35">
      <c r="A273" s="892"/>
      <c r="B273" s="313">
        <v>6</v>
      </c>
      <c r="C273" s="1703" t="s">
        <v>295</v>
      </c>
      <c r="D273" s="1704"/>
      <c r="E273" s="1704"/>
      <c r="F273" s="1704"/>
      <c r="G273" s="1704"/>
      <c r="H273" s="1704"/>
      <c r="I273" s="1704"/>
      <c r="J273" s="1705"/>
      <c r="K273" s="1706"/>
      <c r="L273" s="1707"/>
      <c r="M273" s="1708"/>
      <c r="N273" s="1709"/>
      <c r="O273" s="1710"/>
      <c r="P273" s="1711"/>
      <c r="Q273" s="1712"/>
      <c r="R273" s="1712"/>
      <c r="S273" s="1712"/>
      <c r="T273" s="1713"/>
      <c r="U273" s="1711"/>
      <c r="V273" s="1712"/>
      <c r="W273" s="1713"/>
      <c r="X273" s="1714">
        <f t="shared" si="80">P273*U273</f>
        <v>0</v>
      </c>
      <c r="Y273" s="1715"/>
      <c r="Z273" s="1715"/>
      <c r="AA273" s="1715"/>
      <c r="AB273" s="1716"/>
      <c r="AC273" s="892"/>
      <c r="AD273" s="892"/>
      <c r="AE273" s="892"/>
      <c r="AF273" s="892"/>
      <c r="AG273" s="892"/>
      <c r="AH273" s="892"/>
      <c r="AI273" s="892"/>
    </row>
    <row r="274" spans="1:35">
      <c r="A274" s="892"/>
      <c r="B274" s="1465">
        <v>7</v>
      </c>
      <c r="C274" s="1703" t="s">
        <v>295</v>
      </c>
      <c r="D274" s="1704"/>
      <c r="E274" s="1704"/>
      <c r="F274" s="1704"/>
      <c r="G274" s="1704"/>
      <c r="H274" s="1704"/>
      <c r="I274" s="1704"/>
      <c r="J274" s="1705"/>
      <c r="K274" s="1706"/>
      <c r="L274" s="1707"/>
      <c r="M274" s="1708"/>
      <c r="N274" s="1709"/>
      <c r="O274" s="1710"/>
      <c r="P274" s="1711"/>
      <c r="Q274" s="1712"/>
      <c r="R274" s="1712"/>
      <c r="S274" s="1712"/>
      <c r="T274" s="1713"/>
      <c r="U274" s="1711"/>
      <c r="V274" s="1712"/>
      <c r="W274" s="1713"/>
      <c r="X274" s="1714">
        <f t="shared" si="80">P274*U274</f>
        <v>0</v>
      </c>
      <c r="Y274" s="1715"/>
      <c r="Z274" s="1715"/>
      <c r="AA274" s="1715"/>
      <c r="AB274" s="1716"/>
      <c r="AC274" s="892"/>
      <c r="AD274" s="892"/>
      <c r="AE274" s="892"/>
      <c r="AF274" s="892"/>
      <c r="AG274" s="892"/>
      <c r="AH274" s="892"/>
      <c r="AI274" s="892"/>
    </row>
    <row r="275" spans="1:35">
      <c r="A275" s="892"/>
      <c r="B275" s="313">
        <v>8</v>
      </c>
      <c r="C275" s="1703"/>
      <c r="D275" s="1704"/>
      <c r="E275" s="1704"/>
      <c r="F275" s="1704"/>
      <c r="G275" s="1704"/>
      <c r="H275" s="1704"/>
      <c r="I275" s="1704"/>
      <c r="J275" s="1705"/>
      <c r="K275" s="1706"/>
      <c r="L275" s="1707"/>
      <c r="M275" s="1708"/>
      <c r="N275" s="1709"/>
      <c r="O275" s="1710"/>
      <c r="P275" s="1711"/>
      <c r="Q275" s="1712"/>
      <c r="R275" s="1712"/>
      <c r="S275" s="1712"/>
      <c r="T275" s="1713"/>
      <c r="U275" s="1711"/>
      <c r="V275" s="1712"/>
      <c r="W275" s="1713"/>
      <c r="X275" s="1714">
        <f t="shared" si="80">P275*U275</f>
        <v>0</v>
      </c>
      <c r="Y275" s="1715"/>
      <c r="Z275" s="1715"/>
      <c r="AA275" s="1715"/>
      <c r="AB275" s="1716"/>
      <c r="AC275" s="892"/>
      <c r="AD275" s="892"/>
      <c r="AE275" s="892"/>
      <c r="AF275" s="892"/>
      <c r="AG275" s="892"/>
      <c r="AH275" s="892"/>
      <c r="AI275" s="892"/>
    </row>
    <row r="276" spans="1:35">
      <c r="A276" s="892"/>
      <c r="B276" s="1465">
        <v>9</v>
      </c>
      <c r="C276" s="1703" t="s">
        <v>295</v>
      </c>
      <c r="D276" s="1704"/>
      <c r="E276" s="1704"/>
      <c r="F276" s="1704"/>
      <c r="G276" s="1704"/>
      <c r="H276" s="1704"/>
      <c r="I276" s="1704"/>
      <c r="J276" s="1705"/>
      <c r="K276" s="1706"/>
      <c r="L276" s="1707"/>
      <c r="M276" s="1708"/>
      <c r="N276" s="1709"/>
      <c r="O276" s="1710"/>
      <c r="P276" s="1711"/>
      <c r="Q276" s="1712"/>
      <c r="R276" s="1712"/>
      <c r="S276" s="1712"/>
      <c r="T276" s="1713"/>
      <c r="U276" s="1711"/>
      <c r="V276" s="1712"/>
      <c r="W276" s="1713"/>
      <c r="X276" s="1714">
        <f t="shared" si="80">P276*U276</f>
        <v>0</v>
      </c>
      <c r="Y276" s="1715"/>
      <c r="Z276" s="1715"/>
      <c r="AA276" s="1715"/>
      <c r="AB276" s="1716"/>
      <c r="AC276" s="892"/>
      <c r="AD276" s="892"/>
      <c r="AE276" s="892"/>
      <c r="AF276" s="892"/>
      <c r="AG276" s="892"/>
      <c r="AH276" s="892"/>
      <c r="AI276" s="892"/>
    </row>
    <row r="277" spans="1:35">
      <c r="A277" s="892"/>
      <c r="B277" s="313">
        <v>10</v>
      </c>
      <c r="C277" s="1703" t="s">
        <v>295</v>
      </c>
      <c r="D277" s="1704"/>
      <c r="E277" s="1704"/>
      <c r="F277" s="1704"/>
      <c r="G277" s="1704"/>
      <c r="H277" s="1704"/>
      <c r="I277" s="1704"/>
      <c r="J277" s="1705"/>
      <c r="K277" s="1706"/>
      <c r="L277" s="1707"/>
      <c r="M277" s="1708"/>
      <c r="N277" s="1709"/>
      <c r="O277" s="1710"/>
      <c r="P277" s="1711"/>
      <c r="Q277" s="1712"/>
      <c r="R277" s="1712"/>
      <c r="S277" s="1712"/>
      <c r="T277" s="1713"/>
      <c r="U277" s="1711"/>
      <c r="V277" s="1712"/>
      <c r="W277" s="1713"/>
      <c r="X277" s="1714">
        <f t="shared" si="80">P277*U277</f>
        <v>0</v>
      </c>
      <c r="Y277" s="1715"/>
      <c r="Z277" s="1715"/>
      <c r="AA277" s="1715"/>
      <c r="AB277" s="1716"/>
      <c r="AC277" s="892"/>
      <c r="AD277" s="892"/>
      <c r="AE277" s="892"/>
      <c r="AF277" s="892"/>
      <c r="AG277" s="892"/>
      <c r="AH277" s="892"/>
      <c r="AI277" s="892"/>
    </row>
    <row r="278" spans="1:35" ht="13.5" customHeight="1" thickBot="1">
      <c r="A278" s="892"/>
      <c r="B278" s="314" t="s">
        <v>504</v>
      </c>
      <c r="C278" s="1917" t="s">
        <v>295</v>
      </c>
      <c r="D278" s="1918"/>
      <c r="E278" s="1918"/>
      <c r="F278" s="1918"/>
      <c r="G278" s="1918"/>
      <c r="H278" s="1918"/>
      <c r="I278" s="1918"/>
      <c r="J278" s="1919"/>
      <c r="K278" s="1920"/>
      <c r="L278" s="1921"/>
      <c r="M278" s="1922"/>
      <c r="N278" s="1923"/>
      <c r="O278" s="1924"/>
      <c r="P278" s="1751"/>
      <c r="Q278" s="1752"/>
      <c r="R278" s="1752"/>
      <c r="S278" s="1752"/>
      <c r="T278" s="1753"/>
      <c r="U278" s="1751"/>
      <c r="V278" s="1752"/>
      <c r="W278" s="1753"/>
      <c r="X278" s="1754">
        <f t="shared" si="80">P278*U278</f>
        <v>0</v>
      </c>
      <c r="Y278" s="1755"/>
      <c r="Z278" s="1755"/>
      <c r="AA278" s="1755"/>
      <c r="AB278" s="1756"/>
      <c r="AC278" s="892"/>
      <c r="AD278" s="892"/>
      <c r="AE278" s="892"/>
      <c r="AF278" s="892"/>
      <c r="AG278" s="892"/>
      <c r="AH278" s="892"/>
      <c r="AI278" s="892"/>
    </row>
    <row r="279" spans="1:35" ht="13.5" customHeight="1" thickTop="1" thickBot="1">
      <c r="A279" s="892"/>
      <c r="B279" s="892"/>
      <c r="C279" s="892"/>
      <c r="D279" s="892"/>
      <c r="E279" s="892"/>
      <c r="F279" s="892"/>
      <c r="G279" s="892"/>
      <c r="H279" s="892"/>
      <c r="I279" s="892"/>
      <c r="J279" s="892"/>
      <c r="K279" s="892"/>
      <c r="L279" s="892"/>
      <c r="M279" s="910"/>
      <c r="N279" s="910"/>
      <c r="O279" s="910"/>
      <c r="P279" s="894"/>
      <c r="Q279" s="894"/>
      <c r="R279" s="894"/>
      <c r="S279" s="894"/>
      <c r="T279" s="894"/>
      <c r="U279" s="911"/>
      <c r="V279" s="911"/>
      <c r="W279" s="911"/>
      <c r="X279" s="911"/>
      <c r="Y279" s="911"/>
      <c r="Z279" s="911"/>
      <c r="AA279" s="911"/>
      <c r="AB279" s="911"/>
      <c r="AC279" s="892"/>
      <c r="AD279" s="892"/>
      <c r="AE279" s="892"/>
      <c r="AF279" s="892"/>
      <c r="AG279" s="892"/>
      <c r="AH279" s="892"/>
      <c r="AI279" s="892"/>
    </row>
    <row r="280" spans="1:35" ht="13.5" customHeight="1" thickTop="1" thickBot="1">
      <c r="A280" s="892"/>
      <c r="B280" s="892" t="s">
        <v>518</v>
      </c>
      <c r="C280" s="892"/>
      <c r="D280" s="892"/>
      <c r="E280" s="892"/>
      <c r="F280" s="892"/>
      <c r="G280" s="892"/>
      <c r="H280" s="892"/>
      <c r="I280" s="892"/>
      <c r="J280" s="892"/>
      <c r="K280" s="892"/>
      <c r="L280" s="892"/>
      <c r="M280" s="910"/>
      <c r="N280" s="910"/>
      <c r="O280" s="910"/>
      <c r="P280" s="1836">
        <f>SUM(P268:T278)</f>
        <v>0</v>
      </c>
      <c r="Q280" s="1837"/>
      <c r="R280" s="1837"/>
      <c r="S280" s="1837"/>
      <c r="T280" s="1838"/>
      <c r="U280" s="912"/>
      <c r="V280" s="912"/>
      <c r="W280" s="912"/>
      <c r="X280" s="1657">
        <f>SUM(X268:AB278)</f>
        <v>0</v>
      </c>
      <c r="Y280" s="1658"/>
      <c r="Z280" s="1658"/>
      <c r="AA280" s="1658"/>
      <c r="AB280" s="1659"/>
      <c r="AC280" s="892"/>
      <c r="AD280" s="892"/>
      <c r="AE280" s="892"/>
      <c r="AF280" s="892"/>
      <c r="AG280" s="892"/>
      <c r="AH280" s="892"/>
      <c r="AI280" s="892"/>
    </row>
    <row r="281" spans="1:35" ht="13.5" customHeight="1" thickTop="1">
      <c r="A281" s="892"/>
      <c r="B281" s="892"/>
      <c r="C281" s="892"/>
      <c r="D281" s="892"/>
      <c r="E281" s="892"/>
      <c r="F281" s="892"/>
      <c r="G281" s="892"/>
      <c r="H281" s="892"/>
      <c r="I281" s="892"/>
      <c r="J281" s="892"/>
      <c r="K281" s="892"/>
      <c r="L281" s="892"/>
      <c r="M281" s="910"/>
      <c r="N281" s="910"/>
      <c r="O281" s="910"/>
      <c r="P281" s="894"/>
      <c r="Q281" s="894"/>
      <c r="R281" s="894"/>
      <c r="S281" s="894"/>
      <c r="T281" s="894"/>
      <c r="U281" s="911"/>
      <c r="V281" s="911"/>
      <c r="W281" s="911"/>
      <c r="X281" s="911"/>
      <c r="Y281" s="911"/>
      <c r="Z281" s="911"/>
      <c r="AA281" s="911"/>
      <c r="AB281" s="911"/>
      <c r="AC281" s="892"/>
      <c r="AD281" s="892"/>
      <c r="AE281" s="892"/>
      <c r="AF281" s="892"/>
      <c r="AG281" s="892"/>
      <c r="AH281" s="892"/>
      <c r="AI281" s="892"/>
    </row>
    <row r="282" spans="1:35" ht="13.5" customHeight="1">
      <c r="A282" s="892"/>
      <c r="B282" s="893" t="s">
        <v>519</v>
      </c>
      <c r="C282" s="892"/>
      <c r="D282" s="892"/>
      <c r="E282" s="892"/>
      <c r="F282" s="892"/>
      <c r="G282" s="892"/>
      <c r="H282" s="892"/>
      <c r="I282" s="892"/>
      <c r="J282" s="892"/>
      <c r="K282" s="892"/>
      <c r="L282" s="892"/>
      <c r="M282" s="910"/>
      <c r="N282" s="910"/>
      <c r="O282" s="910"/>
      <c r="P282" s="894"/>
      <c r="Q282" s="894"/>
      <c r="R282" s="894"/>
      <c r="S282" s="894"/>
      <c r="T282" s="894"/>
      <c r="U282" s="911"/>
      <c r="V282" s="911"/>
      <c r="W282" s="911"/>
      <c r="X282" s="911"/>
      <c r="Y282" s="911"/>
      <c r="Z282" s="911"/>
      <c r="AA282" s="911"/>
      <c r="AB282" s="911"/>
      <c r="AC282" s="892"/>
      <c r="AD282" s="892"/>
      <c r="AE282" s="892"/>
      <c r="AF282" s="892"/>
      <c r="AG282" s="892"/>
      <c r="AH282" s="892"/>
      <c r="AI282" s="892"/>
    </row>
    <row r="283" spans="1:35" ht="13.5" customHeight="1" thickBot="1">
      <c r="A283" s="892"/>
      <c r="B283" s="892"/>
      <c r="C283" s="892"/>
      <c r="D283" s="892"/>
      <c r="E283" s="892"/>
      <c r="F283" s="892"/>
      <c r="G283" s="892"/>
      <c r="H283" s="892"/>
      <c r="I283" s="892"/>
      <c r="J283" s="892"/>
      <c r="K283" s="892"/>
      <c r="L283" s="892"/>
      <c r="M283" s="910"/>
      <c r="N283" s="910"/>
      <c r="O283" s="910"/>
      <c r="P283" s="894"/>
      <c r="Q283" s="894"/>
      <c r="R283" s="894"/>
      <c r="S283" s="894"/>
      <c r="T283" s="894"/>
      <c r="U283" s="911"/>
      <c r="V283" s="911"/>
      <c r="W283" s="911"/>
      <c r="X283" s="911"/>
      <c r="Y283" s="911"/>
      <c r="Z283" s="911"/>
      <c r="AA283" s="911"/>
      <c r="AB283" s="911"/>
      <c r="AC283" s="892"/>
      <c r="AD283" s="892"/>
      <c r="AE283" s="892"/>
      <c r="AF283" s="892"/>
      <c r="AG283" s="892"/>
      <c r="AH283" s="892"/>
      <c r="AI283" s="892"/>
    </row>
    <row r="284" spans="1:35" ht="13.5" customHeight="1" thickTop="1">
      <c r="A284" s="892"/>
      <c r="B284" s="312">
        <v>1</v>
      </c>
      <c r="C284" s="1925"/>
      <c r="D284" s="1926"/>
      <c r="E284" s="1926"/>
      <c r="F284" s="1926"/>
      <c r="G284" s="1926"/>
      <c r="H284" s="1926"/>
      <c r="I284" s="1926"/>
      <c r="J284" s="1927"/>
      <c r="K284" s="1928"/>
      <c r="L284" s="1929"/>
      <c r="M284" s="1930"/>
      <c r="N284" s="1931"/>
      <c r="O284" s="1932"/>
      <c r="P284" s="1908"/>
      <c r="Q284" s="1899"/>
      <c r="R284" s="1899"/>
      <c r="S284" s="1899"/>
      <c r="T284" s="1909"/>
      <c r="U284" s="1908"/>
      <c r="V284" s="1899"/>
      <c r="W284" s="1909"/>
      <c r="X284" s="1910">
        <f t="shared" si="81" ref="X284:X294">P284*U284</f>
        <v>0</v>
      </c>
      <c r="Y284" s="1911"/>
      <c r="Z284" s="1911"/>
      <c r="AA284" s="1911"/>
      <c r="AB284" s="1912"/>
      <c r="AC284" s="892"/>
      <c r="AD284" s="892"/>
      <c r="AE284" s="892"/>
      <c r="AF284" s="892"/>
      <c r="AG284" s="892"/>
      <c r="AH284" s="892"/>
      <c r="AI284" s="892"/>
    </row>
    <row r="285" spans="1:35">
      <c r="A285" s="892"/>
      <c r="B285" s="313">
        <v>2</v>
      </c>
      <c r="C285" s="1703" t="s">
        <v>295</v>
      </c>
      <c r="D285" s="1704"/>
      <c r="E285" s="1704"/>
      <c r="F285" s="1704"/>
      <c r="G285" s="1704"/>
      <c r="H285" s="1704"/>
      <c r="I285" s="1704"/>
      <c r="J285" s="1705"/>
      <c r="K285" s="1706"/>
      <c r="L285" s="1707"/>
      <c r="M285" s="1708"/>
      <c r="N285" s="1709"/>
      <c r="O285" s="1710"/>
      <c r="P285" s="1711"/>
      <c r="Q285" s="1712"/>
      <c r="R285" s="1712"/>
      <c r="S285" s="1712"/>
      <c r="T285" s="1713"/>
      <c r="U285" s="1711"/>
      <c r="V285" s="1712"/>
      <c r="W285" s="1713"/>
      <c r="X285" s="1714">
        <f t="shared" si="81">P285*U285</f>
        <v>0</v>
      </c>
      <c r="Y285" s="1715"/>
      <c r="Z285" s="1715"/>
      <c r="AA285" s="1715"/>
      <c r="AB285" s="1716"/>
      <c r="AC285" s="892"/>
      <c r="AD285" s="892"/>
      <c r="AE285" s="892"/>
      <c r="AF285" s="892"/>
      <c r="AG285" s="892"/>
      <c r="AH285" s="892"/>
      <c r="AI285" s="892"/>
    </row>
    <row r="286" spans="1:35">
      <c r="A286" s="892"/>
      <c r="B286" s="1465">
        <v>3</v>
      </c>
      <c r="C286" s="1703" t="s">
        <v>295</v>
      </c>
      <c r="D286" s="1704"/>
      <c r="E286" s="1704"/>
      <c r="F286" s="1704"/>
      <c r="G286" s="1704"/>
      <c r="H286" s="1704"/>
      <c r="I286" s="1704"/>
      <c r="J286" s="1705"/>
      <c r="K286" s="1706"/>
      <c r="L286" s="1707"/>
      <c r="M286" s="1708"/>
      <c r="N286" s="1709"/>
      <c r="O286" s="1710"/>
      <c r="P286" s="1711"/>
      <c r="Q286" s="1712"/>
      <c r="R286" s="1712"/>
      <c r="S286" s="1712"/>
      <c r="T286" s="1713"/>
      <c r="U286" s="1711"/>
      <c r="V286" s="1712"/>
      <c r="W286" s="1713"/>
      <c r="X286" s="1714">
        <f t="shared" si="81">P286*U286</f>
        <v>0</v>
      </c>
      <c r="Y286" s="1715"/>
      <c r="Z286" s="1715"/>
      <c r="AA286" s="1715"/>
      <c r="AB286" s="1716"/>
      <c r="AC286" s="892"/>
      <c r="AD286" s="892"/>
      <c r="AE286" s="892"/>
      <c r="AF286" s="892"/>
      <c r="AG286" s="892"/>
      <c r="AH286" s="892"/>
      <c r="AI286" s="892"/>
    </row>
    <row r="287" spans="1:35">
      <c r="A287" s="892"/>
      <c r="B287" s="313">
        <v>4</v>
      </c>
      <c r="C287" s="1703" t="s">
        <v>295</v>
      </c>
      <c r="D287" s="1704"/>
      <c r="E287" s="1704"/>
      <c r="F287" s="1704"/>
      <c r="G287" s="1704"/>
      <c r="H287" s="1704"/>
      <c r="I287" s="1704"/>
      <c r="J287" s="1705"/>
      <c r="K287" s="1706"/>
      <c r="L287" s="1707"/>
      <c r="M287" s="1708"/>
      <c r="N287" s="1709"/>
      <c r="O287" s="1710"/>
      <c r="P287" s="1711"/>
      <c r="Q287" s="1712"/>
      <c r="R287" s="1712"/>
      <c r="S287" s="1712"/>
      <c r="T287" s="1713"/>
      <c r="U287" s="1711"/>
      <c r="V287" s="1712"/>
      <c r="W287" s="1713"/>
      <c r="X287" s="1714">
        <f t="shared" si="81">P287*U287</f>
        <v>0</v>
      </c>
      <c r="Y287" s="1715"/>
      <c r="Z287" s="1715"/>
      <c r="AA287" s="1715"/>
      <c r="AB287" s="1716"/>
      <c r="AC287" s="892"/>
      <c r="AD287" s="892"/>
      <c r="AE287" s="892"/>
      <c r="AF287" s="892"/>
      <c r="AG287" s="892"/>
      <c r="AH287" s="892"/>
      <c r="AI287" s="892"/>
    </row>
    <row r="288" spans="1:35">
      <c r="A288" s="892"/>
      <c r="B288" s="1465">
        <v>5</v>
      </c>
      <c r="C288" s="1703" t="s">
        <v>295</v>
      </c>
      <c r="D288" s="1704"/>
      <c r="E288" s="1704"/>
      <c r="F288" s="1704"/>
      <c r="G288" s="1704"/>
      <c r="H288" s="1704"/>
      <c r="I288" s="1704"/>
      <c r="J288" s="1705"/>
      <c r="K288" s="1706"/>
      <c r="L288" s="1707"/>
      <c r="M288" s="1708"/>
      <c r="N288" s="1709"/>
      <c r="O288" s="1710"/>
      <c r="P288" s="1711"/>
      <c r="Q288" s="1712"/>
      <c r="R288" s="1712"/>
      <c r="S288" s="1712"/>
      <c r="T288" s="1713"/>
      <c r="U288" s="1711"/>
      <c r="V288" s="1712"/>
      <c r="W288" s="1713"/>
      <c r="X288" s="1714">
        <f t="shared" si="81">P288*U288</f>
        <v>0</v>
      </c>
      <c r="Y288" s="1715"/>
      <c r="Z288" s="1715"/>
      <c r="AA288" s="1715"/>
      <c r="AB288" s="1716"/>
      <c r="AC288" s="892"/>
      <c r="AD288" s="892"/>
      <c r="AE288" s="892"/>
      <c r="AF288" s="892"/>
      <c r="AG288" s="892"/>
      <c r="AH288" s="892"/>
      <c r="AI288" s="892"/>
    </row>
    <row r="289" spans="1:35">
      <c r="A289" s="892"/>
      <c r="B289" s="313">
        <v>6</v>
      </c>
      <c r="C289" s="1703" t="s">
        <v>295</v>
      </c>
      <c r="D289" s="1704"/>
      <c r="E289" s="1704"/>
      <c r="F289" s="1704"/>
      <c r="G289" s="1704"/>
      <c r="H289" s="1704"/>
      <c r="I289" s="1704"/>
      <c r="J289" s="1705"/>
      <c r="K289" s="1706"/>
      <c r="L289" s="1707"/>
      <c r="M289" s="1708"/>
      <c r="N289" s="1709"/>
      <c r="O289" s="1710"/>
      <c r="P289" s="1711"/>
      <c r="Q289" s="1712"/>
      <c r="R289" s="1712"/>
      <c r="S289" s="1712"/>
      <c r="T289" s="1713"/>
      <c r="U289" s="1711"/>
      <c r="V289" s="1712"/>
      <c r="W289" s="1713"/>
      <c r="X289" s="1714">
        <f t="shared" si="81">P289*U289</f>
        <v>0</v>
      </c>
      <c r="Y289" s="1715"/>
      <c r="Z289" s="1715"/>
      <c r="AA289" s="1715"/>
      <c r="AB289" s="1716"/>
      <c r="AC289" s="892"/>
      <c r="AD289" s="892"/>
      <c r="AE289" s="892"/>
      <c r="AF289" s="892"/>
      <c r="AG289" s="892"/>
      <c r="AH289" s="892"/>
      <c r="AI289" s="892"/>
    </row>
    <row r="290" spans="1:35">
      <c r="A290" s="892"/>
      <c r="B290" s="1465">
        <v>7</v>
      </c>
      <c r="C290" s="1703" t="s">
        <v>295</v>
      </c>
      <c r="D290" s="1704"/>
      <c r="E290" s="1704"/>
      <c r="F290" s="1704"/>
      <c r="G290" s="1704"/>
      <c r="H290" s="1704"/>
      <c r="I290" s="1704"/>
      <c r="J290" s="1705"/>
      <c r="K290" s="1706"/>
      <c r="L290" s="1707"/>
      <c r="M290" s="1708"/>
      <c r="N290" s="1709"/>
      <c r="O290" s="1710"/>
      <c r="P290" s="1711"/>
      <c r="Q290" s="1712"/>
      <c r="R290" s="1712"/>
      <c r="S290" s="1712"/>
      <c r="T290" s="1713"/>
      <c r="U290" s="1711"/>
      <c r="V290" s="1712"/>
      <c r="W290" s="1713"/>
      <c r="X290" s="1714">
        <f t="shared" si="81">P290*U290</f>
        <v>0</v>
      </c>
      <c r="Y290" s="1715"/>
      <c r="Z290" s="1715"/>
      <c r="AA290" s="1715"/>
      <c r="AB290" s="1716"/>
      <c r="AC290" s="892"/>
      <c r="AD290" s="892"/>
      <c r="AE290" s="892"/>
      <c r="AF290" s="892"/>
      <c r="AG290" s="892"/>
      <c r="AH290" s="892"/>
      <c r="AI290" s="892"/>
    </row>
    <row r="291" spans="1:35">
      <c r="A291" s="892"/>
      <c r="B291" s="313">
        <v>8</v>
      </c>
      <c r="C291" s="1703" t="s">
        <v>295</v>
      </c>
      <c r="D291" s="1704"/>
      <c r="E291" s="1704"/>
      <c r="F291" s="1704"/>
      <c r="G291" s="1704"/>
      <c r="H291" s="1704"/>
      <c r="I291" s="1704"/>
      <c r="J291" s="1705"/>
      <c r="K291" s="1706"/>
      <c r="L291" s="1707"/>
      <c r="M291" s="1708"/>
      <c r="N291" s="1709"/>
      <c r="O291" s="1710"/>
      <c r="P291" s="1711"/>
      <c r="Q291" s="1712"/>
      <c r="R291" s="1712"/>
      <c r="S291" s="1712"/>
      <c r="T291" s="1713"/>
      <c r="U291" s="1711"/>
      <c r="V291" s="1712"/>
      <c r="W291" s="1713"/>
      <c r="X291" s="1714">
        <f t="shared" si="81">P291*U291</f>
        <v>0</v>
      </c>
      <c r="Y291" s="1715"/>
      <c r="Z291" s="1715"/>
      <c r="AA291" s="1715"/>
      <c r="AB291" s="1716"/>
      <c r="AC291" s="892"/>
      <c r="AD291" s="892"/>
      <c r="AE291" s="892"/>
      <c r="AF291" s="892"/>
      <c r="AG291" s="892"/>
      <c r="AH291" s="892"/>
      <c r="AI291" s="892"/>
    </row>
    <row r="292" spans="1:35">
      <c r="A292" s="892"/>
      <c r="B292" s="1465">
        <v>9</v>
      </c>
      <c r="C292" s="1703" t="s">
        <v>295</v>
      </c>
      <c r="D292" s="1704"/>
      <c r="E292" s="1704"/>
      <c r="F292" s="1704"/>
      <c r="G292" s="1704"/>
      <c r="H292" s="1704"/>
      <c r="I292" s="1704"/>
      <c r="J292" s="1705"/>
      <c r="K292" s="1706"/>
      <c r="L292" s="1707"/>
      <c r="M292" s="1708"/>
      <c r="N292" s="1709"/>
      <c r="O292" s="1710"/>
      <c r="P292" s="1711"/>
      <c r="Q292" s="1712"/>
      <c r="R292" s="1712"/>
      <c r="S292" s="1712"/>
      <c r="T292" s="1713"/>
      <c r="U292" s="1711"/>
      <c r="V292" s="1712"/>
      <c r="W292" s="1713"/>
      <c r="X292" s="1714">
        <f t="shared" si="81">P292*U292</f>
        <v>0</v>
      </c>
      <c r="Y292" s="1715"/>
      <c r="Z292" s="1715"/>
      <c r="AA292" s="1715"/>
      <c r="AB292" s="1716"/>
      <c r="AC292" s="892"/>
      <c r="AD292" s="892"/>
      <c r="AE292" s="892"/>
      <c r="AF292" s="892"/>
      <c r="AG292" s="892"/>
      <c r="AH292" s="892"/>
      <c r="AI292" s="892"/>
    </row>
    <row r="293" spans="1:35">
      <c r="A293" s="892"/>
      <c r="B293" s="313">
        <v>10</v>
      </c>
      <c r="C293" s="1703" t="s">
        <v>295</v>
      </c>
      <c r="D293" s="1704"/>
      <c r="E293" s="1704"/>
      <c r="F293" s="1704"/>
      <c r="G293" s="1704"/>
      <c r="H293" s="1704"/>
      <c r="I293" s="1704"/>
      <c r="J293" s="1705"/>
      <c r="K293" s="1706"/>
      <c r="L293" s="1707"/>
      <c r="M293" s="1708"/>
      <c r="N293" s="1709"/>
      <c r="O293" s="1710"/>
      <c r="P293" s="1711"/>
      <c r="Q293" s="1712"/>
      <c r="R293" s="1712"/>
      <c r="S293" s="1712"/>
      <c r="T293" s="1713"/>
      <c r="U293" s="1711"/>
      <c r="V293" s="1712"/>
      <c r="W293" s="1713"/>
      <c r="X293" s="1714">
        <f t="shared" si="81">P293*U293</f>
        <v>0</v>
      </c>
      <c r="Y293" s="1715"/>
      <c r="Z293" s="1715"/>
      <c r="AA293" s="1715"/>
      <c r="AB293" s="1716"/>
      <c r="AC293" s="892"/>
      <c r="AD293" s="892"/>
      <c r="AE293" s="892"/>
      <c r="AF293" s="892"/>
      <c r="AG293" s="892"/>
      <c r="AH293" s="892"/>
      <c r="AI293" s="892"/>
    </row>
    <row r="294" spans="1:35" ht="13.5" customHeight="1" thickBot="1">
      <c r="A294" s="892"/>
      <c r="B294" s="314" t="s">
        <v>504</v>
      </c>
      <c r="C294" s="1917" t="s">
        <v>295</v>
      </c>
      <c r="D294" s="1918"/>
      <c r="E294" s="1918"/>
      <c r="F294" s="1918"/>
      <c r="G294" s="1918"/>
      <c r="H294" s="1918"/>
      <c r="I294" s="1918"/>
      <c r="J294" s="1919"/>
      <c r="K294" s="1920"/>
      <c r="L294" s="1921"/>
      <c r="M294" s="1922"/>
      <c r="N294" s="1923"/>
      <c r="O294" s="1924"/>
      <c r="P294" s="1751"/>
      <c r="Q294" s="1752"/>
      <c r="R294" s="1752"/>
      <c r="S294" s="1752"/>
      <c r="T294" s="1753"/>
      <c r="U294" s="1751"/>
      <c r="V294" s="1752"/>
      <c r="W294" s="1753"/>
      <c r="X294" s="1754">
        <f t="shared" si="81">P294*U294</f>
        <v>0</v>
      </c>
      <c r="Y294" s="1755"/>
      <c r="Z294" s="1755"/>
      <c r="AA294" s="1755"/>
      <c r="AB294" s="1756"/>
      <c r="AC294" s="892"/>
      <c r="AD294" s="892"/>
      <c r="AE294" s="892"/>
      <c r="AF294" s="892"/>
      <c r="AG294" s="892"/>
      <c r="AH294" s="892"/>
      <c r="AI294" s="892"/>
    </row>
    <row r="295" spans="1:35" ht="13.5" customHeight="1" thickTop="1" thickBot="1">
      <c r="A295" s="892"/>
      <c r="B295" s="892"/>
      <c r="C295" s="892"/>
      <c r="D295" s="892"/>
      <c r="E295" s="892"/>
      <c r="F295" s="892"/>
      <c r="G295" s="892"/>
      <c r="H295" s="892"/>
      <c r="I295" s="892"/>
      <c r="J295" s="892"/>
      <c r="K295" s="892"/>
      <c r="L295" s="892"/>
      <c r="M295" s="892"/>
      <c r="N295" s="892"/>
      <c r="O295" s="892"/>
      <c r="P295" s="892"/>
      <c r="Q295" s="892"/>
      <c r="R295" s="892"/>
      <c r="S295" s="892"/>
      <c r="T295" s="892"/>
      <c r="U295" s="892"/>
      <c r="V295" s="892"/>
      <c r="W295" s="892"/>
      <c r="X295" s="911"/>
      <c r="Y295" s="911"/>
      <c r="Z295" s="911"/>
      <c r="AA295" s="911"/>
      <c r="AB295" s="911"/>
      <c r="AC295" s="892"/>
      <c r="AD295" s="892"/>
      <c r="AE295" s="892"/>
      <c r="AF295" s="892"/>
      <c r="AG295" s="892"/>
      <c r="AH295" s="892"/>
      <c r="AI295" s="892"/>
    </row>
    <row r="296" spans="1:35" ht="13.5" customHeight="1" thickTop="1" thickBot="1">
      <c r="A296" s="892"/>
      <c r="B296" s="892" t="s">
        <v>520</v>
      </c>
      <c r="C296" s="892"/>
      <c r="D296" s="892"/>
      <c r="E296" s="892"/>
      <c r="F296" s="892"/>
      <c r="G296" s="892"/>
      <c r="H296" s="892"/>
      <c r="I296" s="892"/>
      <c r="J296" s="892"/>
      <c r="K296" s="892"/>
      <c r="L296" s="892"/>
      <c r="M296" s="892"/>
      <c r="N296" s="892"/>
      <c r="O296" s="892"/>
      <c r="P296" s="1836">
        <f>SUM(P284:T294)</f>
        <v>0</v>
      </c>
      <c r="Q296" s="1837"/>
      <c r="R296" s="1837"/>
      <c r="S296" s="1837"/>
      <c r="T296" s="1838"/>
      <c r="U296" s="903"/>
      <c r="V296" s="903"/>
      <c r="W296" s="903"/>
      <c r="X296" s="1657">
        <f>SUM(X284:AB294)</f>
        <v>0</v>
      </c>
      <c r="Y296" s="1658"/>
      <c r="Z296" s="1658"/>
      <c r="AA296" s="1658"/>
      <c r="AB296" s="1659"/>
      <c r="AC296" s="892"/>
      <c r="AD296" s="892"/>
      <c r="AE296" s="892"/>
      <c r="AF296" s="892"/>
      <c r="AG296" s="892"/>
      <c r="AH296" s="892"/>
      <c r="AI296" s="892"/>
    </row>
    <row r="297" spans="1:35" ht="13.5" customHeight="1" thickTop="1">
      <c r="A297" s="892"/>
      <c r="B297" s="892"/>
      <c r="C297" s="892"/>
      <c r="D297" s="892"/>
      <c r="E297" s="892"/>
      <c r="F297" s="892"/>
      <c r="G297" s="892"/>
      <c r="H297" s="892"/>
      <c r="I297" s="892"/>
      <c r="J297" s="892"/>
      <c r="K297" s="892"/>
      <c r="L297" s="892"/>
      <c r="M297" s="892"/>
      <c r="N297" s="892"/>
      <c r="O297" s="892"/>
      <c r="P297" s="892"/>
      <c r="Q297" s="892"/>
      <c r="R297" s="892"/>
      <c r="S297" s="892"/>
      <c r="T297" s="892"/>
      <c r="U297" s="892"/>
      <c r="V297" s="892"/>
      <c r="W297" s="892"/>
      <c r="X297" s="892"/>
      <c r="Y297" s="892"/>
      <c r="Z297" s="892"/>
      <c r="AA297" s="892"/>
      <c r="AB297" s="892"/>
      <c r="AC297" s="892"/>
      <c r="AD297" s="892"/>
      <c r="AE297" s="892"/>
      <c r="AF297" s="892"/>
      <c r="AG297" s="892"/>
      <c r="AH297" s="892"/>
      <c r="AI297" s="892"/>
    </row>
    <row r="298" spans="1:35" ht="13.5" customHeight="1">
      <c r="A298" s="892"/>
      <c r="B298" s="893" t="s">
        <v>521</v>
      </c>
      <c r="C298" s="892"/>
      <c r="D298" s="892"/>
      <c r="E298" s="892"/>
      <c r="F298" s="892"/>
      <c r="G298" s="892"/>
      <c r="H298" s="892"/>
      <c r="I298" s="892"/>
      <c r="J298" s="892"/>
      <c r="K298" s="892"/>
      <c r="L298" s="892"/>
      <c r="M298" s="892"/>
      <c r="N298" s="892"/>
      <c r="O298" s="892"/>
      <c r="P298" s="892"/>
      <c r="Q298" s="892"/>
      <c r="R298" s="892"/>
      <c r="S298" s="892"/>
      <c r="T298" s="892"/>
      <c r="U298" s="892"/>
      <c r="V298" s="892"/>
      <c r="W298" s="892"/>
      <c r="X298" s="892"/>
      <c r="Y298" s="892"/>
      <c r="Z298" s="892"/>
      <c r="AA298" s="892"/>
      <c r="AB298" s="892"/>
      <c r="AC298" s="892"/>
      <c r="AD298" s="892"/>
      <c r="AE298" s="892"/>
      <c r="AF298" s="892"/>
      <c r="AG298" s="892"/>
      <c r="AH298" s="892"/>
      <c r="AI298" s="892"/>
    </row>
    <row r="299" spans="1:35" ht="13.5" customHeight="1" thickBot="1">
      <c r="A299" s="892"/>
      <c r="B299" s="892"/>
      <c r="C299" s="892"/>
      <c r="D299" s="892"/>
      <c r="E299" s="892"/>
      <c r="F299" s="892"/>
      <c r="G299" s="892"/>
      <c r="H299" s="892"/>
      <c r="I299" s="892"/>
      <c r="J299" s="892"/>
      <c r="K299" s="892"/>
      <c r="L299" s="892"/>
      <c r="M299" s="892"/>
      <c r="N299" s="892"/>
      <c r="O299" s="892"/>
      <c r="P299" s="892"/>
      <c r="Q299" s="892"/>
      <c r="R299" s="892"/>
      <c r="S299" s="892"/>
      <c r="T299" s="892"/>
      <c r="U299" s="892"/>
      <c r="V299" s="892"/>
      <c r="W299" s="892"/>
      <c r="X299" s="892"/>
      <c r="Y299" s="892"/>
      <c r="Z299" s="892"/>
      <c r="AA299" s="892"/>
      <c r="AB299" s="892"/>
      <c r="AC299" s="892"/>
      <c r="AD299" s="892"/>
      <c r="AE299" s="892"/>
      <c r="AF299" s="892"/>
      <c r="AG299" s="892"/>
      <c r="AH299" s="892"/>
      <c r="AI299" s="892"/>
    </row>
    <row r="300" spans="1:35" ht="13.5" customHeight="1" thickTop="1">
      <c r="A300" s="892"/>
      <c r="B300" s="892" t="s">
        <v>522</v>
      </c>
      <c r="C300" s="892"/>
      <c r="D300" s="892"/>
      <c r="E300" s="892"/>
      <c r="F300" s="892"/>
      <c r="G300" s="892"/>
      <c r="H300" s="892"/>
      <c r="I300" s="892"/>
      <c r="J300" s="892"/>
      <c r="K300" s="892"/>
      <c r="L300" s="892"/>
      <c r="M300" s="892"/>
      <c r="N300" s="892"/>
      <c r="O300" s="892"/>
      <c r="P300" s="1898"/>
      <c r="Q300" s="1899"/>
      <c r="R300" s="1899"/>
      <c r="S300" s="1899"/>
      <c r="T300" s="1900"/>
      <c r="U300" s="892"/>
      <c r="V300" s="892"/>
      <c r="W300" s="892"/>
      <c r="X300" s="892"/>
      <c r="Y300" s="892"/>
      <c r="Z300" s="892"/>
      <c r="AA300" s="892"/>
      <c r="AB300" s="892"/>
      <c r="AC300" s="892"/>
      <c r="AD300" s="892"/>
      <c r="AE300" s="892"/>
      <c r="AF300" s="892"/>
      <c r="AG300" s="892"/>
      <c r="AH300" s="892"/>
      <c r="AI300" s="892"/>
    </row>
    <row r="301" spans="1:35">
      <c r="A301" s="892"/>
      <c r="B301" s="892" t="s">
        <v>523</v>
      </c>
      <c r="C301" s="892"/>
      <c r="D301" s="892"/>
      <c r="E301" s="892"/>
      <c r="F301" s="892"/>
      <c r="G301" s="892"/>
      <c r="H301" s="892"/>
      <c r="I301" s="892"/>
      <c r="J301" s="892"/>
      <c r="K301" s="892"/>
      <c r="L301" s="892"/>
      <c r="M301" s="892"/>
      <c r="N301" s="892"/>
      <c r="O301" s="892"/>
      <c r="P301" s="1901"/>
      <c r="Q301" s="1902"/>
      <c r="R301" s="1902"/>
      <c r="S301" s="1902"/>
      <c r="T301" s="1903"/>
      <c r="U301" s="892"/>
      <c r="V301" s="892"/>
      <c r="W301" s="892"/>
      <c r="X301" s="892"/>
      <c r="Y301" s="892"/>
      <c r="Z301" s="892"/>
      <c r="AA301" s="892"/>
      <c r="AB301" s="892"/>
      <c r="AC301" s="892"/>
      <c r="AD301" s="892"/>
      <c r="AE301" s="892"/>
      <c r="AF301" s="892"/>
      <c r="AG301" s="892"/>
      <c r="AH301" s="892"/>
      <c r="AI301" s="892"/>
    </row>
    <row r="302" spans="1:35" ht="13.5" customHeight="1" thickBot="1">
      <c r="A302" s="892"/>
      <c r="B302" s="892" t="s">
        <v>524</v>
      </c>
      <c r="C302" s="892"/>
      <c r="D302" s="892"/>
      <c r="E302" s="892"/>
      <c r="F302" s="892"/>
      <c r="G302" s="892"/>
      <c r="H302" s="892"/>
      <c r="I302" s="892"/>
      <c r="J302" s="892"/>
      <c r="K302" s="892"/>
      <c r="L302" s="892"/>
      <c r="M302" s="892"/>
      <c r="N302" s="892"/>
      <c r="O302" s="892"/>
      <c r="P302" s="1904">
        <v>0.05</v>
      </c>
      <c r="Q302" s="1905"/>
      <c r="R302" s="1905"/>
      <c r="S302" s="1905"/>
      <c r="T302" s="1906"/>
      <c r="U302" s="892"/>
      <c r="V302" s="892"/>
      <c r="W302" s="892"/>
      <c r="X302" s="892"/>
      <c r="Y302" s="892"/>
      <c r="Z302" s="892"/>
      <c r="AA302" s="892"/>
      <c r="AB302" s="892"/>
      <c r="AC302" s="892"/>
      <c r="AD302" s="892"/>
      <c r="AE302" s="892"/>
      <c r="AF302" s="892"/>
      <c r="AG302" s="892"/>
      <c r="AH302" s="892"/>
      <c r="AI302" s="892"/>
    </row>
    <row r="303" spans="1:35" ht="13.5" customHeight="1" thickTop="1" thickBot="1">
      <c r="A303" s="892"/>
      <c r="B303" s="892" t="s">
        <v>525</v>
      </c>
      <c r="C303" s="892"/>
      <c r="D303" s="892"/>
      <c r="E303" s="892"/>
      <c r="F303" s="892"/>
      <c r="G303" s="892"/>
      <c r="H303" s="892"/>
      <c r="I303" s="892"/>
      <c r="J303" s="892"/>
      <c r="K303" s="892"/>
      <c r="L303" s="892"/>
      <c r="M303" s="892"/>
      <c r="N303" s="892"/>
      <c r="O303" s="892"/>
      <c r="P303" s="1881">
        <f>P300*P302*'GENERAL INFO'!V109/12</f>
        <v>0</v>
      </c>
      <c r="Q303" s="1882"/>
      <c r="R303" s="1882"/>
      <c r="S303" s="1882"/>
      <c r="T303" s="1883"/>
      <c r="U303" s="1884"/>
      <c r="V303" s="1885"/>
      <c r="W303" s="1886"/>
      <c r="X303" s="1887">
        <f>P303*U303</f>
        <v>0</v>
      </c>
      <c r="Y303" s="1737"/>
      <c r="Z303" s="1737"/>
      <c r="AA303" s="1737"/>
      <c r="AB303" s="1738"/>
      <c r="AC303" s="892"/>
      <c r="AD303" s="892"/>
      <c r="AE303" s="892"/>
      <c r="AF303" s="892"/>
      <c r="AG303" s="892"/>
      <c r="AH303" s="892"/>
      <c r="AI303" s="892"/>
    </row>
    <row r="304" spans="1:35" ht="13.5" customHeight="1" thickTop="1" thickBot="1">
      <c r="A304" s="892"/>
      <c r="B304" s="892"/>
      <c r="C304" s="892"/>
      <c r="D304" s="892"/>
      <c r="E304" s="892"/>
      <c r="F304" s="892"/>
      <c r="G304" s="892"/>
      <c r="H304" s="892"/>
      <c r="I304" s="892"/>
      <c r="J304" s="892"/>
      <c r="K304" s="892"/>
      <c r="L304" s="892"/>
      <c r="M304" s="892"/>
      <c r="N304" s="892"/>
      <c r="O304" s="892"/>
      <c r="P304" s="903"/>
      <c r="Q304" s="903"/>
      <c r="R304" s="903"/>
      <c r="S304" s="903"/>
      <c r="T304" s="903"/>
      <c r="U304" s="892"/>
      <c r="V304" s="892"/>
      <c r="W304" s="892"/>
      <c r="X304" s="903"/>
      <c r="Y304" s="903"/>
      <c r="Z304" s="903"/>
      <c r="AA304" s="903"/>
      <c r="AB304" s="903"/>
      <c r="AC304" s="892"/>
      <c r="AD304" s="892"/>
      <c r="AE304" s="892"/>
      <c r="AF304" s="892"/>
      <c r="AG304" s="892"/>
      <c r="AH304" s="892"/>
      <c r="AI304" s="892"/>
    </row>
    <row r="305" spans="1:35" ht="14.25" customHeight="1" thickTop="1" thickBot="1">
      <c r="A305" s="892"/>
      <c r="B305" s="893" t="s">
        <v>526</v>
      </c>
      <c r="C305" s="893"/>
      <c r="D305" s="893"/>
      <c r="E305" s="892"/>
      <c r="F305" s="892"/>
      <c r="G305" s="892"/>
      <c r="H305" s="892"/>
      <c r="I305" s="892"/>
      <c r="J305" s="892"/>
      <c r="K305" s="892"/>
      <c r="L305" s="892"/>
      <c r="M305" s="892"/>
      <c r="N305" s="892"/>
      <c r="O305" s="892"/>
      <c r="P305" s="1895">
        <f>P280-P296-P303</f>
        <v>0</v>
      </c>
      <c r="Q305" s="1896"/>
      <c r="R305" s="1896"/>
      <c r="S305" s="1896"/>
      <c r="T305" s="1897"/>
      <c r="U305" s="892"/>
      <c r="V305" s="892"/>
      <c r="W305" s="892"/>
      <c r="X305" s="1888">
        <f>X280-X296-X303</f>
        <v>0</v>
      </c>
      <c r="Y305" s="1889"/>
      <c r="Z305" s="1889"/>
      <c r="AA305" s="1889"/>
      <c r="AB305" s="1890"/>
      <c r="AC305" s="892"/>
      <c r="AD305" s="892"/>
      <c r="AE305" s="892"/>
      <c r="AF305" s="892"/>
      <c r="AG305" s="892"/>
      <c r="AH305" s="892"/>
      <c r="AI305" s="892"/>
    </row>
    <row r="306" spans="1:35" ht="13.5" customHeight="1" thickTop="1" thickBot="1">
      <c r="A306" s="892"/>
      <c r="B306" s="892"/>
      <c r="C306" s="892"/>
      <c r="D306" s="892"/>
      <c r="E306" s="892"/>
      <c r="F306" s="892"/>
      <c r="G306" s="892"/>
      <c r="H306" s="892"/>
      <c r="I306" s="892"/>
      <c r="J306" s="892"/>
      <c r="K306" s="892"/>
      <c r="L306" s="892"/>
      <c r="M306" s="892"/>
      <c r="N306" s="892"/>
      <c r="O306" s="892"/>
      <c r="P306" s="892"/>
      <c r="Q306" s="892"/>
      <c r="R306" s="892"/>
      <c r="S306" s="892"/>
      <c r="T306" s="892"/>
      <c r="U306" s="892"/>
      <c r="V306" s="892"/>
      <c r="W306" s="892"/>
      <c r="X306" s="903"/>
      <c r="Y306" s="903"/>
      <c r="Z306" s="903"/>
      <c r="AA306" s="903"/>
      <c r="AB306" s="903"/>
      <c r="AC306" s="892"/>
      <c r="AD306" s="892"/>
      <c r="AE306" s="892"/>
      <c r="AF306" s="892"/>
      <c r="AG306" s="892"/>
      <c r="AH306" s="892"/>
      <c r="AI306" s="892"/>
    </row>
    <row r="307" spans="1:35" ht="15" customHeight="1" thickTop="1" thickBot="1">
      <c r="A307" s="892"/>
      <c r="B307" s="893" t="s">
        <v>513</v>
      </c>
      <c r="C307" s="893"/>
      <c r="D307" s="893"/>
      <c r="E307" s="893"/>
      <c r="F307" s="893"/>
      <c r="G307" s="892"/>
      <c r="H307" s="892"/>
      <c r="I307" s="892"/>
      <c r="J307" s="892"/>
      <c r="K307" s="892"/>
      <c r="L307" s="892"/>
      <c r="M307" s="892"/>
      <c r="N307" s="892"/>
      <c r="O307" s="892"/>
      <c r="P307" s="1877"/>
      <c r="Q307" s="1878"/>
      <c r="R307" s="1878"/>
      <c r="S307" s="1878"/>
      <c r="T307" s="1878"/>
      <c r="U307" s="1878"/>
      <c r="V307" s="1878"/>
      <c r="W307" s="1878"/>
      <c r="X307" s="1879">
        <f>P307*U307</f>
        <v>0</v>
      </c>
      <c r="Y307" s="1879"/>
      <c r="Z307" s="1879"/>
      <c r="AA307" s="1879"/>
      <c r="AB307" s="1880"/>
      <c r="AC307" s="892"/>
      <c r="AD307" s="892"/>
      <c r="AE307" s="892"/>
      <c r="AF307" s="892"/>
      <c r="AG307" s="892"/>
      <c r="AH307" s="892"/>
      <c r="AI307" s="892"/>
    </row>
    <row r="308" spans="1:35" ht="15" collapsed="1" customHeight="1" thickTop="1">
      <c r="A308" s="892"/>
      <c r="B308" s="892"/>
      <c r="C308" s="892"/>
      <c r="D308" s="892"/>
      <c r="E308" s="892"/>
      <c r="F308" s="892"/>
      <c r="G308" s="892"/>
      <c r="H308" s="892"/>
      <c r="I308" s="892"/>
      <c r="J308" s="892"/>
      <c r="K308" s="892"/>
      <c r="L308" s="892"/>
      <c r="M308" s="892"/>
      <c r="N308" s="892"/>
      <c r="O308" s="892"/>
      <c r="P308" s="892"/>
      <c r="Q308" s="892"/>
      <c r="R308" s="892"/>
      <c r="S308" s="892"/>
      <c r="T308" s="892"/>
      <c r="U308" s="892"/>
      <c r="V308" s="892"/>
      <c r="W308" s="892"/>
      <c r="X308" s="892"/>
      <c r="Y308" s="892"/>
      <c r="Z308" s="892"/>
      <c r="AA308" s="892"/>
      <c r="AB308" s="892"/>
      <c r="AC308" s="892"/>
      <c r="AD308" s="892"/>
      <c r="AE308" s="892"/>
      <c r="AF308" s="892"/>
      <c r="AG308" s="892"/>
      <c r="AH308" s="892"/>
      <c r="AI308" s="892"/>
    </row>
    <row r="309" spans="1:35" ht="15" customHeight="1" thickBot="1">
      <c r="A309" s="892"/>
      <c r="B309" s="892"/>
      <c r="C309" s="892"/>
      <c r="D309" s="892"/>
      <c r="E309" s="892"/>
      <c r="F309" s="892"/>
      <c r="G309" s="892"/>
      <c r="H309" s="892"/>
      <c r="I309" s="892"/>
      <c r="J309" s="892"/>
      <c r="K309" s="892"/>
      <c r="L309" s="892"/>
      <c r="M309" s="892"/>
      <c r="N309" s="892"/>
      <c r="O309" s="892"/>
      <c r="P309" s="892"/>
      <c r="Q309" s="892"/>
      <c r="R309" s="892"/>
      <c r="S309" s="892"/>
      <c r="T309" s="892"/>
      <c r="U309" s="892"/>
      <c r="V309" s="892"/>
      <c r="W309" s="892"/>
      <c r="X309" s="892"/>
      <c r="Y309" s="892"/>
      <c r="Z309" s="892"/>
      <c r="AA309" s="892"/>
      <c r="AB309" s="892"/>
      <c r="AC309" s="892"/>
      <c r="AD309" s="892"/>
      <c r="AE309" s="892"/>
      <c r="AF309" s="892"/>
      <c r="AG309" s="892"/>
      <c r="AH309" s="892"/>
      <c r="AI309" s="892"/>
    </row>
    <row r="310" spans="1:35" ht="14.25" collapsed="1" customHeight="1" thickTop="1" thickBot="1">
      <c r="A310" s="723" t="s">
        <v>530</v>
      </c>
      <c r="B310" s="723"/>
      <c r="C310" s="724"/>
      <c r="D310" s="724"/>
      <c r="E310" s="724"/>
      <c r="F310" s="724"/>
      <c r="G310" s="724"/>
      <c r="H310" s="724"/>
      <c r="I310" s="724"/>
      <c r="J310" s="724"/>
      <c r="K310" s="1964" t="s">
        <v>295</v>
      </c>
      <c r="L310" s="1965"/>
      <c r="M310" s="1965"/>
      <c r="N310" s="1965"/>
      <c r="O310" s="1966"/>
      <c r="P310" s="725"/>
      <c r="Q310" s="725"/>
      <c r="R310" s="725"/>
      <c r="S310" s="725"/>
      <c r="T310" s="725"/>
      <c r="U310" s="725"/>
      <c r="V310" s="725"/>
      <c r="W310" s="725"/>
      <c r="X310" s="725"/>
      <c r="Y310" s="725"/>
      <c r="Z310" s="725"/>
      <c r="AA310" s="725"/>
      <c r="AB310" s="725"/>
      <c r="AC310" s="725"/>
      <c r="AD310" s="725"/>
      <c r="AE310" s="725"/>
      <c r="AF310" s="725"/>
      <c r="AG310" s="725"/>
      <c r="AH310" s="725"/>
      <c r="AI310" s="725"/>
    </row>
    <row r="311" spans="1:35" ht="13.5" customHeight="1" thickTop="1">
      <c r="A311" s="934"/>
      <c r="B311" s="934"/>
      <c r="C311" s="934"/>
      <c r="D311" s="934"/>
      <c r="E311" s="934"/>
      <c r="F311" s="934"/>
      <c r="G311" s="934"/>
      <c r="H311" s="934"/>
      <c r="I311" s="934"/>
      <c r="J311" s="934"/>
      <c r="K311" s="934"/>
      <c r="L311" s="934"/>
      <c r="M311" s="934"/>
      <c r="N311" s="934"/>
      <c r="O311" s="934"/>
      <c r="P311" s="934"/>
      <c r="Q311" s="934"/>
      <c r="R311" s="934"/>
      <c r="S311" s="934"/>
      <c r="T311" s="934"/>
      <c r="U311" s="934"/>
      <c r="V311" s="934"/>
      <c r="W311" s="934"/>
      <c r="X311" s="934"/>
      <c r="Y311" s="934"/>
      <c r="Z311" s="934"/>
      <c r="AA311" s="934"/>
      <c r="AB311" s="934"/>
      <c r="AC311" s="934"/>
      <c r="AD311" s="934"/>
      <c r="AE311" s="934"/>
      <c r="AF311" s="934"/>
      <c r="AG311" s="934"/>
      <c r="AH311" s="934"/>
      <c r="AI311" s="934"/>
    </row>
    <row r="312" spans="1:35" ht="13.5" customHeight="1">
      <c r="A312" s="934"/>
      <c r="B312" s="935" t="s">
        <v>308</v>
      </c>
      <c r="C312" s="935" t="s">
        <v>494</v>
      </c>
      <c r="D312" s="934"/>
      <c r="E312" s="934"/>
      <c r="F312" s="934"/>
      <c r="G312" s="934"/>
      <c r="H312" s="934"/>
      <c r="I312" s="934"/>
      <c r="J312" s="934"/>
      <c r="K312" s="934"/>
      <c r="L312" s="934"/>
      <c r="M312" s="934"/>
      <c r="N312" s="934"/>
      <c r="O312" s="934"/>
      <c r="P312" s="934"/>
      <c r="Q312" s="934"/>
      <c r="R312" s="936"/>
      <c r="S312" s="936"/>
      <c r="T312" s="936"/>
      <c r="U312" s="936"/>
      <c r="V312" s="936"/>
      <c r="W312" s="934"/>
      <c r="X312" s="934"/>
      <c r="Y312" s="934"/>
      <c r="Z312" s="934"/>
      <c r="AA312" s="934"/>
      <c r="AB312" s="934"/>
      <c r="AC312" s="934"/>
      <c r="AD312" s="934"/>
      <c r="AE312" s="934"/>
      <c r="AF312" s="934"/>
      <c r="AG312" s="934"/>
      <c r="AH312" s="934"/>
      <c r="AI312" s="934"/>
    </row>
    <row r="313" spans="1:35" ht="13.5" customHeight="1" thickBot="1">
      <c r="A313" s="934"/>
      <c r="B313" s="934"/>
      <c r="C313" s="934"/>
      <c r="D313" s="934"/>
      <c r="E313" s="934"/>
      <c r="F313" s="934"/>
      <c r="G313" s="934"/>
      <c r="H313" s="934"/>
      <c r="I313" s="934"/>
      <c r="J313" s="934"/>
      <c r="K313" s="934"/>
      <c r="L313" s="934"/>
      <c r="M313" s="934"/>
      <c r="N313" s="934"/>
      <c r="O313" s="934"/>
      <c r="P313" s="934"/>
      <c r="Q313" s="934"/>
      <c r="R313" s="934"/>
      <c r="S313" s="934"/>
      <c r="T313" s="934"/>
      <c r="U313" s="934"/>
      <c r="V313" s="934"/>
      <c r="W313" s="934"/>
      <c r="X313" s="934"/>
      <c r="Y313" s="934"/>
      <c r="Z313" s="934"/>
      <c r="AA313" s="934"/>
      <c r="AB313" s="934"/>
      <c r="AC313" s="934"/>
      <c r="AD313" s="934"/>
      <c r="AE313" s="934"/>
      <c r="AF313" s="934"/>
      <c r="AG313" s="934"/>
      <c r="AH313" s="934"/>
      <c r="AI313" s="934"/>
    </row>
    <row r="314" spans="1:43" ht="14.25" customHeight="1" thickTop="1" thickBot="1">
      <c r="A314" s="1969" t="s">
        <v>321</v>
      </c>
      <c r="B314" s="1758" t="s">
        <v>495</v>
      </c>
      <c r="C314" s="1958"/>
      <c r="D314" s="1959"/>
      <c r="E314" s="1758" t="s">
        <v>496</v>
      </c>
      <c r="F314" s="1745"/>
      <c r="G314" s="1974" t="s">
        <v>497</v>
      </c>
      <c r="H314" s="1955"/>
      <c r="I314" s="1955"/>
      <c r="J314" s="1955"/>
      <c r="K314" s="1955"/>
      <c r="L314" s="1955"/>
      <c r="M314" s="1955"/>
      <c r="N314" s="1956"/>
      <c r="O314" s="1758" t="s">
        <v>498</v>
      </c>
      <c r="P314" s="1745"/>
      <c r="Q314" s="1974" t="s">
        <v>499</v>
      </c>
      <c r="R314" s="1955"/>
      <c r="S314" s="1955"/>
      <c r="T314" s="1955"/>
      <c r="U314" s="1955"/>
      <c r="V314" s="1955"/>
      <c r="W314" s="1955"/>
      <c r="X314" s="1956"/>
      <c r="Y314" s="1768" t="s">
        <v>500</v>
      </c>
      <c r="Z314" s="1776"/>
      <c r="AA314" s="1768" t="s">
        <v>1310</v>
      </c>
      <c r="AB314" s="1769"/>
      <c r="AC314" s="1770"/>
      <c r="AD314" s="1778"/>
      <c r="AE314" s="1768" t="s">
        <v>501</v>
      </c>
      <c r="AF314" s="1769"/>
      <c r="AG314" s="1770"/>
      <c r="AH314" s="1771"/>
      <c r="AI314" s="934"/>
      <c r="AK314" s="303"/>
      <c r="AN314" s="303"/>
      <c r="AO314" s="303"/>
      <c r="AP314" s="303"/>
      <c r="AQ314" s="303"/>
    </row>
    <row r="315" spans="1:43" ht="27.75" customHeight="1" thickTop="1" thickBot="1">
      <c r="A315" s="1957"/>
      <c r="B315" s="1960"/>
      <c r="C315" s="1961"/>
      <c r="D315" s="1962"/>
      <c r="E315" s="1746"/>
      <c r="F315" s="1747"/>
      <c r="G315" s="1974" t="s">
        <v>502</v>
      </c>
      <c r="H315" s="1955"/>
      <c r="I315" s="1955"/>
      <c r="J315" s="1956"/>
      <c r="K315" s="1974" t="s">
        <v>503</v>
      </c>
      <c r="L315" s="1955"/>
      <c r="M315" s="1955"/>
      <c r="N315" s="1956"/>
      <c r="O315" s="1746"/>
      <c r="P315" s="1747"/>
      <c r="Q315" s="1974" t="s">
        <v>502</v>
      </c>
      <c r="R315" s="1955"/>
      <c r="S315" s="1955"/>
      <c r="T315" s="1956"/>
      <c r="U315" s="1974" t="s">
        <v>503</v>
      </c>
      <c r="V315" s="1955"/>
      <c r="W315" s="1955"/>
      <c r="X315" s="1956"/>
      <c r="Y315" s="1772"/>
      <c r="Z315" s="1777"/>
      <c r="AA315" s="1772"/>
      <c r="AB315" s="1773"/>
      <c r="AC315" s="1774"/>
      <c r="AD315" s="1779"/>
      <c r="AE315" s="1772"/>
      <c r="AF315" s="1773"/>
      <c r="AG315" s="1774"/>
      <c r="AH315" s="1775"/>
      <c r="AI315" s="934"/>
      <c r="AK315" s="303"/>
      <c r="AN315" s="303"/>
      <c r="AO315" s="303"/>
      <c r="AP315" s="303"/>
      <c r="AQ315" s="303"/>
    </row>
    <row r="316" spans="1:43" ht="13.5" customHeight="1" thickTop="1">
      <c r="A316" s="937"/>
      <c r="B316" s="938"/>
      <c r="C316" s="939"/>
      <c r="D316" s="940"/>
      <c r="E316" s="938"/>
      <c r="F316" s="940"/>
      <c r="G316" s="938"/>
      <c r="H316" s="939"/>
      <c r="I316" s="939"/>
      <c r="J316" s="940"/>
      <c r="K316" s="938"/>
      <c r="L316" s="939"/>
      <c r="M316" s="939"/>
      <c r="N316" s="940"/>
      <c r="O316" s="938"/>
      <c r="P316" s="940"/>
      <c r="Q316" s="938"/>
      <c r="R316" s="939"/>
      <c r="S316" s="939"/>
      <c r="T316" s="940"/>
      <c r="U316" s="938"/>
      <c r="V316" s="939"/>
      <c r="W316" s="939"/>
      <c r="X316" s="940"/>
      <c r="Y316" s="1253"/>
      <c r="Z316" s="1254"/>
      <c r="AA316" s="1253"/>
      <c r="AB316" s="1255"/>
      <c r="AC316" s="1255"/>
      <c r="AD316" s="1254"/>
      <c r="AE316" s="1253"/>
      <c r="AF316" s="1255"/>
      <c r="AG316" s="1255"/>
      <c r="AH316" s="1256"/>
      <c r="AI316" s="934"/>
      <c r="AK316" s="303"/>
      <c r="AN316" s="303"/>
      <c r="AO316" s="303"/>
      <c r="AP316" s="303"/>
      <c r="AQ316" s="303"/>
    </row>
    <row r="317" spans="1:43">
      <c r="A317" s="305">
        <v>1</v>
      </c>
      <c r="B317" s="1708"/>
      <c r="C317" s="1709"/>
      <c r="D317" s="1710"/>
      <c r="E317" s="1706"/>
      <c r="F317" s="1707"/>
      <c r="G317" s="1711"/>
      <c r="H317" s="1712"/>
      <c r="I317" s="1712"/>
      <c r="J317" s="1713"/>
      <c r="K317" s="1711"/>
      <c r="L317" s="1712"/>
      <c r="M317" s="1712"/>
      <c r="N317" s="1713"/>
      <c r="O317" s="1711"/>
      <c r="P317" s="1713"/>
      <c r="Q317" s="1714">
        <f t="shared" si="82" ref="Q317:Q332">G317*O317</f>
        <v>0</v>
      </c>
      <c r="R317" s="1715"/>
      <c r="S317" s="1715"/>
      <c r="T317" s="1720"/>
      <c r="U317" s="1714">
        <f t="shared" si="83" ref="U317:U332">K317*O317</f>
        <v>0</v>
      </c>
      <c r="V317" s="1715"/>
      <c r="W317" s="1715"/>
      <c r="X317" s="1720"/>
      <c r="Y317" s="1725"/>
      <c r="Z317" s="1726"/>
      <c r="AA317" s="1727">
        <f>IF(Y317="",U317,Q317*Y317/100)</f>
        <v>0</v>
      </c>
      <c r="AB317" s="1728"/>
      <c r="AC317" s="1728"/>
      <c r="AD317" s="1729"/>
      <c r="AE317" s="1714">
        <f>IF(AA317=0,U317,IF(U317&gt;(VALUE(AA317)),VALUE(AA317),U317))</f>
        <v>0</v>
      </c>
      <c r="AF317" s="1715"/>
      <c r="AG317" s="1715"/>
      <c r="AH317" s="1716"/>
      <c r="AI317" s="934"/>
      <c r="AK317" s="303"/>
      <c r="AN317" s="303"/>
      <c r="AO317" s="303"/>
      <c r="AP317" s="303"/>
      <c r="AQ317" s="303"/>
    </row>
    <row r="318" spans="1:43">
      <c r="A318" s="306">
        <v>2</v>
      </c>
      <c r="B318" s="1708"/>
      <c r="C318" s="1709"/>
      <c r="D318" s="1710"/>
      <c r="E318" s="1706"/>
      <c r="F318" s="1707"/>
      <c r="G318" s="1711"/>
      <c r="H318" s="1712"/>
      <c r="I318" s="1712"/>
      <c r="J318" s="1713"/>
      <c r="K318" s="1711"/>
      <c r="L318" s="1712"/>
      <c r="M318" s="1712"/>
      <c r="N318" s="1713"/>
      <c r="O318" s="1711"/>
      <c r="P318" s="1713"/>
      <c r="Q318" s="1714">
        <f t="shared" si="82">G318*O318</f>
        <v>0</v>
      </c>
      <c r="R318" s="1715"/>
      <c r="S318" s="1715"/>
      <c r="T318" s="1720"/>
      <c r="U318" s="1714">
        <f t="shared" si="83">K318*O318</f>
        <v>0</v>
      </c>
      <c r="V318" s="1715"/>
      <c r="W318" s="1715"/>
      <c r="X318" s="1720"/>
      <c r="Y318" s="1725"/>
      <c r="Z318" s="1726"/>
      <c r="AA318" s="1727">
        <f t="shared" si="84" ref="AA318:AA322">IF(Y318="",U318,Q318*Y318/100)</f>
        <v>0</v>
      </c>
      <c r="AB318" s="1728"/>
      <c r="AC318" s="1728"/>
      <c r="AD318" s="1729"/>
      <c r="AE318" s="1714">
        <f t="shared" si="85" ref="AE318:AE322">IF(AA318=0,U318,IF(U318&gt;(VALUE(AA318)),VALUE(AA318),U318))</f>
        <v>0</v>
      </c>
      <c r="AF318" s="1715"/>
      <c r="AG318" s="1715"/>
      <c r="AH318" s="1716"/>
      <c r="AI318" s="934"/>
      <c r="AK318" s="303"/>
      <c r="AN318" s="303"/>
      <c r="AO318" s="303"/>
      <c r="AP318" s="303"/>
      <c r="AQ318" s="303"/>
    </row>
    <row r="319" spans="1:43">
      <c r="A319" s="305">
        <v>3</v>
      </c>
      <c r="B319" s="1708"/>
      <c r="C319" s="1709"/>
      <c r="D319" s="1710"/>
      <c r="E319" s="1706"/>
      <c r="F319" s="1707"/>
      <c r="G319" s="1711"/>
      <c r="H319" s="1712"/>
      <c r="I319" s="1712"/>
      <c r="J319" s="1713"/>
      <c r="K319" s="1711"/>
      <c r="L319" s="1712"/>
      <c r="M319" s="1712"/>
      <c r="N319" s="1713"/>
      <c r="O319" s="1711"/>
      <c r="P319" s="1713"/>
      <c r="Q319" s="1714">
        <f t="shared" si="82">G319*O319</f>
        <v>0</v>
      </c>
      <c r="R319" s="1715"/>
      <c r="S319" s="1715"/>
      <c r="T319" s="1720"/>
      <c r="U319" s="1714">
        <f t="shared" si="83">K319*O319</f>
        <v>0</v>
      </c>
      <c r="V319" s="1715"/>
      <c r="W319" s="1715"/>
      <c r="X319" s="1720"/>
      <c r="Y319" s="1725"/>
      <c r="Z319" s="1726"/>
      <c r="AA319" s="1727">
        <f t="shared" si="84">IF(Y319="",U319,Q319*Y319/100)</f>
        <v>0</v>
      </c>
      <c r="AB319" s="1728"/>
      <c r="AC319" s="1728"/>
      <c r="AD319" s="1729"/>
      <c r="AE319" s="1714">
        <f t="shared" si="85">IF(AA319=0,U319,IF(U319&gt;(VALUE(AA319)),VALUE(AA319),U319))</f>
        <v>0</v>
      </c>
      <c r="AF319" s="1715"/>
      <c r="AG319" s="1715"/>
      <c r="AH319" s="1716"/>
      <c r="AI319" s="934"/>
      <c r="AK319" s="303"/>
      <c r="AN319" s="303"/>
      <c r="AO319" s="303"/>
      <c r="AP319" s="303"/>
      <c r="AQ319" s="303"/>
    </row>
    <row r="320" spans="1:43">
      <c r="A320" s="306">
        <v>4</v>
      </c>
      <c r="B320" s="1708"/>
      <c r="C320" s="1709"/>
      <c r="D320" s="1710"/>
      <c r="E320" s="1706"/>
      <c r="F320" s="1707"/>
      <c r="G320" s="1711"/>
      <c r="H320" s="1712"/>
      <c r="I320" s="1712"/>
      <c r="J320" s="1713"/>
      <c r="K320" s="1711"/>
      <c r="L320" s="1712"/>
      <c r="M320" s="1712"/>
      <c r="N320" s="1713"/>
      <c r="O320" s="1711"/>
      <c r="P320" s="1713"/>
      <c r="Q320" s="1714">
        <f t="shared" si="82">G320*O320</f>
        <v>0</v>
      </c>
      <c r="R320" s="1715"/>
      <c r="S320" s="1715"/>
      <c r="T320" s="1720"/>
      <c r="U320" s="1714">
        <f t="shared" si="83">K320*O320</f>
        <v>0</v>
      </c>
      <c r="V320" s="1715"/>
      <c r="W320" s="1715"/>
      <c r="X320" s="1720"/>
      <c r="Y320" s="1725"/>
      <c r="Z320" s="1726"/>
      <c r="AA320" s="1727">
        <f t="shared" si="84">IF(Y320="",U320,Q320*Y320/100)</f>
        <v>0</v>
      </c>
      <c r="AB320" s="1728"/>
      <c r="AC320" s="1728"/>
      <c r="AD320" s="1729"/>
      <c r="AE320" s="1714">
        <f t="shared" si="85">IF(AA320=0,U320,IF(U320&gt;(VALUE(AA320)),VALUE(AA320),U320))</f>
        <v>0</v>
      </c>
      <c r="AF320" s="1715"/>
      <c r="AG320" s="1715"/>
      <c r="AH320" s="1716"/>
      <c r="AI320" s="934"/>
      <c r="AK320" s="303"/>
      <c r="AN320" s="303"/>
      <c r="AO320" s="303"/>
      <c r="AP320" s="303"/>
      <c r="AQ320" s="303"/>
    </row>
    <row r="321" spans="1:43">
      <c r="A321" s="305">
        <v>5</v>
      </c>
      <c r="B321" s="1708"/>
      <c r="C321" s="1709"/>
      <c r="D321" s="1710"/>
      <c r="E321" s="1706"/>
      <c r="F321" s="1707"/>
      <c r="G321" s="1711"/>
      <c r="H321" s="1712"/>
      <c r="I321" s="1712"/>
      <c r="J321" s="1713"/>
      <c r="K321" s="1711"/>
      <c r="L321" s="1712"/>
      <c r="M321" s="1712"/>
      <c r="N321" s="1713"/>
      <c r="O321" s="1711"/>
      <c r="P321" s="1713"/>
      <c r="Q321" s="1714">
        <f t="shared" si="82">G321*O321</f>
        <v>0</v>
      </c>
      <c r="R321" s="1715"/>
      <c r="S321" s="1715"/>
      <c r="T321" s="1720"/>
      <c r="U321" s="1714">
        <f t="shared" si="83">K321*O321</f>
        <v>0</v>
      </c>
      <c r="V321" s="1715"/>
      <c r="W321" s="1715"/>
      <c r="X321" s="1720"/>
      <c r="Y321" s="1725"/>
      <c r="Z321" s="1726"/>
      <c r="AA321" s="1727">
        <f t="shared" si="84">IF(Y321="",U321,Q321*Y321/100)</f>
        <v>0</v>
      </c>
      <c r="AB321" s="1728"/>
      <c r="AC321" s="1728"/>
      <c r="AD321" s="1729"/>
      <c r="AE321" s="1714">
        <f t="shared" si="85">IF(AA321=0,U321,IF(U321&gt;(VALUE(AA321)),VALUE(AA321),U321))</f>
        <v>0</v>
      </c>
      <c r="AF321" s="1715"/>
      <c r="AG321" s="1715"/>
      <c r="AH321" s="1716"/>
      <c r="AI321" s="934"/>
      <c r="AK321" s="303"/>
      <c r="AN321" s="303"/>
      <c r="AO321" s="303"/>
      <c r="AP321" s="303"/>
      <c r="AQ321" s="303"/>
    </row>
    <row r="322" spans="1:43">
      <c r="A322" s="306">
        <v>6</v>
      </c>
      <c r="B322" s="1708"/>
      <c r="C322" s="1709"/>
      <c r="D322" s="1710"/>
      <c r="E322" s="1706"/>
      <c r="F322" s="1707"/>
      <c r="G322" s="1711"/>
      <c r="H322" s="1712"/>
      <c r="I322" s="1712"/>
      <c r="J322" s="1713"/>
      <c r="K322" s="1711"/>
      <c r="L322" s="1712"/>
      <c r="M322" s="1712"/>
      <c r="N322" s="1713"/>
      <c r="O322" s="1711"/>
      <c r="P322" s="1713"/>
      <c r="Q322" s="1714">
        <f t="shared" si="86" ref="Q322">G322*O322</f>
        <v>0</v>
      </c>
      <c r="R322" s="1715"/>
      <c r="S322" s="1715"/>
      <c r="T322" s="1720"/>
      <c r="U322" s="1714">
        <f t="shared" si="87" ref="U322">K322*O322</f>
        <v>0</v>
      </c>
      <c r="V322" s="1715"/>
      <c r="W322" s="1715"/>
      <c r="X322" s="1720"/>
      <c r="Y322" s="1725"/>
      <c r="Z322" s="1726"/>
      <c r="AA322" s="1727">
        <f t="shared" si="84">IF(Y322="",U322,Q322*Y322/100)</f>
        <v>0</v>
      </c>
      <c r="AB322" s="1728"/>
      <c r="AC322" s="1728"/>
      <c r="AD322" s="1729"/>
      <c r="AE322" s="1714">
        <f t="shared" si="85">IF(AA322=0,U322,IF(U322&gt;(VALUE(AA322)),VALUE(AA322),U322))</f>
        <v>0</v>
      </c>
      <c r="AF322" s="1715"/>
      <c r="AG322" s="1715"/>
      <c r="AH322" s="1716"/>
      <c r="AI322" s="934"/>
      <c r="AK322" s="303"/>
      <c r="AN322" s="303"/>
      <c r="AO322" s="303"/>
      <c r="AP322" s="303"/>
      <c r="AQ322" s="303"/>
    </row>
    <row r="323" spans="1:43">
      <c r="A323" s="305">
        <v>7</v>
      </c>
      <c r="B323" s="1708"/>
      <c r="C323" s="1709"/>
      <c r="D323" s="1710"/>
      <c r="E323" s="1706"/>
      <c r="F323" s="1707"/>
      <c r="G323" s="1711"/>
      <c r="H323" s="1712"/>
      <c r="I323" s="1712"/>
      <c r="J323" s="1713"/>
      <c r="K323" s="1711"/>
      <c r="L323" s="1712"/>
      <c r="M323" s="1712"/>
      <c r="N323" s="1713"/>
      <c r="O323" s="1711"/>
      <c r="P323" s="1713"/>
      <c r="Q323" s="1714">
        <f t="shared" si="88" ref="Q323:Q326">G323*O323</f>
        <v>0</v>
      </c>
      <c r="R323" s="1715"/>
      <c r="S323" s="1715"/>
      <c r="T323" s="1720"/>
      <c r="U323" s="1714">
        <f t="shared" si="89" ref="U323:U326">K323*O323</f>
        <v>0</v>
      </c>
      <c r="V323" s="1715"/>
      <c r="W323" s="1715"/>
      <c r="X323" s="1720"/>
      <c r="Y323" s="1725"/>
      <c r="Z323" s="1726"/>
      <c r="AA323" s="1727">
        <f t="shared" si="90" ref="AA323:AA326">IF(Y323="",U323,Q323*Y323/100)</f>
        <v>0</v>
      </c>
      <c r="AB323" s="1728"/>
      <c r="AC323" s="1728"/>
      <c r="AD323" s="1729"/>
      <c r="AE323" s="1714">
        <f t="shared" si="91" ref="AE323:AE326">IF(AA323=0,U323,IF(U323&gt;(VALUE(AA323)),VALUE(AA323),U323))</f>
        <v>0</v>
      </c>
      <c r="AF323" s="1715"/>
      <c r="AG323" s="1715"/>
      <c r="AH323" s="1716"/>
      <c r="AI323" s="934"/>
      <c r="AK323" s="303"/>
      <c r="AN323" s="303"/>
      <c r="AO323" s="303"/>
      <c r="AP323" s="303"/>
      <c r="AQ323" s="303"/>
    </row>
    <row r="324" spans="1:43">
      <c r="A324" s="306">
        <v>8</v>
      </c>
      <c r="B324" s="1708"/>
      <c r="C324" s="1709"/>
      <c r="D324" s="1710"/>
      <c r="E324" s="1706"/>
      <c r="F324" s="1707"/>
      <c r="G324" s="1711"/>
      <c r="H324" s="1712"/>
      <c r="I324" s="1712"/>
      <c r="J324" s="1713"/>
      <c r="K324" s="1711"/>
      <c r="L324" s="1712"/>
      <c r="M324" s="1712"/>
      <c r="N324" s="1713"/>
      <c r="O324" s="1711"/>
      <c r="P324" s="1713"/>
      <c r="Q324" s="1714">
        <f t="shared" si="88">G324*O324</f>
        <v>0</v>
      </c>
      <c r="R324" s="1715"/>
      <c r="S324" s="1715"/>
      <c r="T324" s="1720"/>
      <c r="U324" s="1714">
        <f t="shared" si="89">K324*O324</f>
        <v>0</v>
      </c>
      <c r="V324" s="1715"/>
      <c r="W324" s="1715"/>
      <c r="X324" s="1720"/>
      <c r="Y324" s="1725"/>
      <c r="Z324" s="1726"/>
      <c r="AA324" s="1727">
        <f t="shared" si="90">IF(Y324="",U324,Q324*Y324/100)</f>
        <v>0</v>
      </c>
      <c r="AB324" s="1728"/>
      <c r="AC324" s="1728"/>
      <c r="AD324" s="1729"/>
      <c r="AE324" s="1714">
        <f t="shared" si="91">IF(AA324=0,U324,IF(U324&gt;(VALUE(AA324)),VALUE(AA324),U324))</f>
        <v>0</v>
      </c>
      <c r="AF324" s="1715"/>
      <c r="AG324" s="1715"/>
      <c r="AH324" s="1716"/>
      <c r="AI324" s="934"/>
      <c r="AK324" s="303"/>
      <c r="AN324" s="303"/>
      <c r="AO324" s="303"/>
      <c r="AP324" s="303"/>
      <c r="AQ324" s="303"/>
    </row>
    <row r="325" spans="1:43">
      <c r="A325" s="305">
        <v>9</v>
      </c>
      <c r="B325" s="1708"/>
      <c r="C325" s="1709"/>
      <c r="D325" s="1710"/>
      <c r="E325" s="1706"/>
      <c r="F325" s="1707"/>
      <c r="G325" s="1711"/>
      <c r="H325" s="1712"/>
      <c r="I325" s="1712"/>
      <c r="J325" s="1713"/>
      <c r="K325" s="1711"/>
      <c r="L325" s="1712"/>
      <c r="M325" s="1712"/>
      <c r="N325" s="1713"/>
      <c r="O325" s="1711"/>
      <c r="P325" s="1713"/>
      <c r="Q325" s="1714">
        <f t="shared" si="88">G325*O325</f>
        <v>0</v>
      </c>
      <c r="R325" s="1715"/>
      <c r="S325" s="1715"/>
      <c r="T325" s="1720"/>
      <c r="U325" s="1714">
        <f t="shared" si="89">K325*O325</f>
        <v>0</v>
      </c>
      <c r="V325" s="1715"/>
      <c r="W325" s="1715"/>
      <c r="X325" s="1720"/>
      <c r="Y325" s="1725"/>
      <c r="Z325" s="1726"/>
      <c r="AA325" s="1727">
        <f t="shared" si="90">IF(Y325="",U325,Q325*Y325/100)</f>
        <v>0</v>
      </c>
      <c r="AB325" s="1728"/>
      <c r="AC325" s="1728"/>
      <c r="AD325" s="1729"/>
      <c r="AE325" s="1714">
        <f t="shared" si="91">IF(AA325=0,U325,IF(U325&gt;(VALUE(AA325)),VALUE(AA325),U325))</f>
        <v>0</v>
      </c>
      <c r="AF325" s="1715"/>
      <c r="AG325" s="1715"/>
      <c r="AH325" s="1716"/>
      <c r="AI325" s="934"/>
      <c r="AK325" s="303"/>
      <c r="AN325" s="303"/>
      <c r="AO325" s="303"/>
      <c r="AP325" s="303"/>
      <c r="AQ325" s="303"/>
    </row>
    <row r="326" spans="1:43">
      <c r="A326" s="306">
        <v>10</v>
      </c>
      <c r="B326" s="1708"/>
      <c r="C326" s="1709"/>
      <c r="D326" s="1710"/>
      <c r="E326" s="1706"/>
      <c r="F326" s="1707"/>
      <c r="G326" s="1711"/>
      <c r="H326" s="1712"/>
      <c r="I326" s="1712"/>
      <c r="J326" s="1713"/>
      <c r="K326" s="1711"/>
      <c r="L326" s="1712"/>
      <c r="M326" s="1712"/>
      <c r="N326" s="1713"/>
      <c r="O326" s="1711"/>
      <c r="P326" s="1713"/>
      <c r="Q326" s="1714">
        <f t="shared" si="88">G326*O326</f>
        <v>0</v>
      </c>
      <c r="R326" s="1715"/>
      <c r="S326" s="1715"/>
      <c r="T326" s="1720"/>
      <c r="U326" s="1714">
        <f t="shared" si="89">K326*O326</f>
        <v>0</v>
      </c>
      <c r="V326" s="1715"/>
      <c r="W326" s="1715"/>
      <c r="X326" s="1720"/>
      <c r="Y326" s="1725"/>
      <c r="Z326" s="1726"/>
      <c r="AA326" s="1727">
        <f t="shared" si="90">IF(Y326="",U326,Q326*Y326/100)</f>
        <v>0</v>
      </c>
      <c r="AB326" s="1728"/>
      <c r="AC326" s="1728"/>
      <c r="AD326" s="1729"/>
      <c r="AE326" s="1714">
        <f t="shared" si="91">IF(AA326=0,U326,IF(U326&gt;(VALUE(AA326)),VALUE(AA326),U326))</f>
        <v>0</v>
      </c>
      <c r="AF326" s="1715"/>
      <c r="AG326" s="1715"/>
      <c r="AH326" s="1716"/>
      <c r="AI326" s="934"/>
      <c r="AK326" s="303"/>
      <c r="AN326" s="303"/>
      <c r="AO326" s="303"/>
      <c r="AP326" s="303"/>
      <c r="AQ326" s="303"/>
    </row>
    <row r="327" spans="1:43">
      <c r="A327" s="305">
        <v>11</v>
      </c>
      <c r="B327" s="1708"/>
      <c r="C327" s="1709"/>
      <c r="D327" s="1710"/>
      <c r="E327" s="1706"/>
      <c r="F327" s="1707"/>
      <c r="G327" s="1711"/>
      <c r="H327" s="1712"/>
      <c r="I327" s="1712"/>
      <c r="J327" s="1713"/>
      <c r="K327" s="1711"/>
      <c r="L327" s="1712"/>
      <c r="M327" s="1712"/>
      <c r="N327" s="1713"/>
      <c r="O327" s="1711"/>
      <c r="P327" s="1713"/>
      <c r="Q327" s="1714">
        <f t="shared" si="82">G327*O327</f>
        <v>0</v>
      </c>
      <c r="R327" s="1715"/>
      <c r="S327" s="1715"/>
      <c r="T327" s="1720"/>
      <c r="U327" s="1714">
        <f t="shared" si="83">K327*O327</f>
        <v>0</v>
      </c>
      <c r="V327" s="1715"/>
      <c r="W327" s="1715"/>
      <c r="X327" s="1720"/>
      <c r="Y327" s="1725"/>
      <c r="Z327" s="1726"/>
      <c r="AA327" s="1727">
        <f t="shared" si="92" ref="AA327:AA332">IF(Y327="",U327,Q327*Y327/100)</f>
        <v>0</v>
      </c>
      <c r="AB327" s="1728"/>
      <c r="AC327" s="1728"/>
      <c r="AD327" s="1729"/>
      <c r="AE327" s="1714">
        <f t="shared" si="93" ref="AE327:AE332">IF(AA327=0,U327,IF(U327&gt;(VALUE(AA327)),VALUE(AA327),U327))</f>
        <v>0</v>
      </c>
      <c r="AF327" s="1715"/>
      <c r="AG327" s="1715"/>
      <c r="AH327" s="1716"/>
      <c r="AI327" s="934"/>
      <c r="AK327" s="303"/>
      <c r="AN327" s="303"/>
      <c r="AO327" s="303"/>
      <c r="AP327" s="303"/>
      <c r="AQ327" s="303"/>
    </row>
    <row r="328" spans="1:43">
      <c r="A328" s="306">
        <v>12</v>
      </c>
      <c r="B328" s="1708"/>
      <c r="C328" s="1709"/>
      <c r="D328" s="1710"/>
      <c r="E328" s="1706"/>
      <c r="F328" s="1707"/>
      <c r="G328" s="1711"/>
      <c r="H328" s="1712"/>
      <c r="I328" s="1712"/>
      <c r="J328" s="1713"/>
      <c r="K328" s="1711"/>
      <c r="L328" s="1712"/>
      <c r="M328" s="1712"/>
      <c r="N328" s="1713"/>
      <c r="O328" s="1711"/>
      <c r="P328" s="1713"/>
      <c r="Q328" s="1714">
        <f t="shared" si="82">G328*O328</f>
        <v>0</v>
      </c>
      <c r="R328" s="1715"/>
      <c r="S328" s="1715"/>
      <c r="T328" s="1720"/>
      <c r="U328" s="1714">
        <f t="shared" si="83">K328*O328</f>
        <v>0</v>
      </c>
      <c r="V328" s="1715"/>
      <c r="W328" s="1715"/>
      <c r="X328" s="1720"/>
      <c r="Y328" s="1725"/>
      <c r="Z328" s="1726"/>
      <c r="AA328" s="1727">
        <f t="shared" si="92">IF(Y328="",U328,Q328*Y328/100)</f>
        <v>0</v>
      </c>
      <c r="AB328" s="1728"/>
      <c r="AC328" s="1728"/>
      <c r="AD328" s="1729"/>
      <c r="AE328" s="1714">
        <f t="shared" si="93">IF(AA328=0,U328,IF(U328&gt;(VALUE(AA328)),VALUE(AA328),U328))</f>
        <v>0</v>
      </c>
      <c r="AF328" s="1715"/>
      <c r="AG328" s="1715"/>
      <c r="AH328" s="1716"/>
      <c r="AI328" s="934"/>
      <c r="AK328" s="303"/>
      <c r="AN328" s="303"/>
      <c r="AO328" s="303"/>
      <c r="AP328" s="303"/>
      <c r="AQ328" s="303"/>
    </row>
    <row r="329" spans="1:43">
      <c r="A329" s="305">
        <v>13</v>
      </c>
      <c r="B329" s="1708"/>
      <c r="C329" s="1709"/>
      <c r="D329" s="1710"/>
      <c r="E329" s="1706"/>
      <c r="F329" s="1707"/>
      <c r="G329" s="1711"/>
      <c r="H329" s="1712"/>
      <c r="I329" s="1712"/>
      <c r="J329" s="1713"/>
      <c r="K329" s="1711"/>
      <c r="L329" s="1712"/>
      <c r="M329" s="1712"/>
      <c r="N329" s="1713"/>
      <c r="O329" s="1711"/>
      <c r="P329" s="1713"/>
      <c r="Q329" s="1714">
        <f t="shared" si="82">G329*O329</f>
        <v>0</v>
      </c>
      <c r="R329" s="1715"/>
      <c r="S329" s="1715"/>
      <c r="T329" s="1720"/>
      <c r="U329" s="1714">
        <f t="shared" si="83">K329*O329</f>
        <v>0</v>
      </c>
      <c r="V329" s="1715"/>
      <c r="W329" s="1715"/>
      <c r="X329" s="1720"/>
      <c r="Y329" s="1725"/>
      <c r="Z329" s="1726"/>
      <c r="AA329" s="1727">
        <f t="shared" si="92">IF(Y329="",U329,Q329*Y329/100)</f>
        <v>0</v>
      </c>
      <c r="AB329" s="1728"/>
      <c r="AC329" s="1728"/>
      <c r="AD329" s="1729"/>
      <c r="AE329" s="1714">
        <f t="shared" si="93">IF(AA329=0,U329,IF(U329&gt;(VALUE(AA329)),VALUE(AA329),U329))</f>
        <v>0</v>
      </c>
      <c r="AF329" s="1715"/>
      <c r="AG329" s="1715"/>
      <c r="AH329" s="1716"/>
      <c r="AI329" s="934"/>
      <c r="AK329" s="303"/>
      <c r="AN329" s="303"/>
      <c r="AO329" s="303"/>
      <c r="AP329" s="303"/>
      <c r="AQ329" s="303"/>
    </row>
    <row r="330" spans="1:43">
      <c r="A330" s="306">
        <v>14</v>
      </c>
      <c r="B330" s="1708"/>
      <c r="C330" s="1709"/>
      <c r="D330" s="1710"/>
      <c r="E330" s="1706"/>
      <c r="F330" s="1707"/>
      <c r="G330" s="1711"/>
      <c r="H330" s="1712"/>
      <c r="I330" s="1712"/>
      <c r="J330" s="1713"/>
      <c r="K330" s="1711"/>
      <c r="L330" s="1712"/>
      <c r="M330" s="1712"/>
      <c r="N330" s="1713"/>
      <c r="O330" s="1711"/>
      <c r="P330" s="1713"/>
      <c r="Q330" s="1714">
        <f t="shared" si="82">G330*O330</f>
        <v>0</v>
      </c>
      <c r="R330" s="1715"/>
      <c r="S330" s="1715"/>
      <c r="T330" s="1720"/>
      <c r="U330" s="1714">
        <f t="shared" si="83">K330*O330</f>
        <v>0</v>
      </c>
      <c r="V330" s="1715"/>
      <c r="W330" s="1715"/>
      <c r="X330" s="1720"/>
      <c r="Y330" s="1725"/>
      <c r="Z330" s="1726"/>
      <c r="AA330" s="1727">
        <f t="shared" si="92">IF(Y330="",U330,Q330*Y330/100)</f>
        <v>0</v>
      </c>
      <c r="AB330" s="1728"/>
      <c r="AC330" s="1728"/>
      <c r="AD330" s="1729"/>
      <c r="AE330" s="1714">
        <f t="shared" si="93">IF(AA330=0,U330,IF(U330&gt;(VALUE(AA330)),VALUE(AA330),U330))</f>
        <v>0</v>
      </c>
      <c r="AF330" s="1715"/>
      <c r="AG330" s="1715"/>
      <c r="AH330" s="1716"/>
      <c r="AI330" s="934"/>
      <c r="AK330" s="303"/>
      <c r="AN330" s="303"/>
      <c r="AO330" s="303"/>
      <c r="AP330" s="303"/>
      <c r="AQ330" s="303"/>
    </row>
    <row r="331" spans="1:43">
      <c r="A331" s="305">
        <v>15</v>
      </c>
      <c r="B331" s="1708"/>
      <c r="C331" s="1709"/>
      <c r="D331" s="1710"/>
      <c r="E331" s="1706"/>
      <c r="F331" s="1707"/>
      <c r="G331" s="1711"/>
      <c r="H331" s="1712"/>
      <c r="I331" s="1712"/>
      <c r="J331" s="1713"/>
      <c r="K331" s="1711"/>
      <c r="L331" s="1712"/>
      <c r="M331" s="1712"/>
      <c r="N331" s="1713"/>
      <c r="O331" s="1711"/>
      <c r="P331" s="1713"/>
      <c r="Q331" s="1714">
        <f t="shared" si="82">G331*O331</f>
        <v>0</v>
      </c>
      <c r="R331" s="1715"/>
      <c r="S331" s="1715"/>
      <c r="T331" s="1720"/>
      <c r="U331" s="1714">
        <f t="shared" si="83">K331*O331</f>
        <v>0</v>
      </c>
      <c r="V331" s="1715"/>
      <c r="W331" s="1715"/>
      <c r="X331" s="1720"/>
      <c r="Y331" s="1725"/>
      <c r="Z331" s="1726"/>
      <c r="AA331" s="1727">
        <f t="shared" si="92">IF(Y331="",U331,Q331*Y331/100)</f>
        <v>0</v>
      </c>
      <c r="AB331" s="1728"/>
      <c r="AC331" s="1728"/>
      <c r="AD331" s="1729"/>
      <c r="AE331" s="1714">
        <f t="shared" si="93">IF(AA331=0,U331,IF(U331&gt;(VALUE(AA331)),VALUE(AA331),U331))</f>
        <v>0</v>
      </c>
      <c r="AF331" s="1715"/>
      <c r="AG331" s="1715"/>
      <c r="AH331" s="1716"/>
      <c r="AI331" s="934"/>
      <c r="AK331" s="303"/>
      <c r="AN331" s="303"/>
      <c r="AO331" s="303"/>
      <c r="AP331" s="303"/>
      <c r="AQ331" s="303"/>
    </row>
    <row r="332" spans="1:43">
      <c r="A332" s="307" t="s">
        <v>504</v>
      </c>
      <c r="B332" s="1703"/>
      <c r="C332" s="1704"/>
      <c r="D332" s="1705"/>
      <c r="E332" s="1706"/>
      <c r="F332" s="1707"/>
      <c r="G332" s="1706"/>
      <c r="H332" s="1902"/>
      <c r="I332" s="1902"/>
      <c r="J332" s="1707"/>
      <c r="K332" s="1711"/>
      <c r="L332" s="1712"/>
      <c r="M332" s="1712"/>
      <c r="N332" s="1713"/>
      <c r="O332" s="1711"/>
      <c r="P332" s="1713"/>
      <c r="Q332" s="1714">
        <f t="shared" si="82">G332*O332</f>
        <v>0</v>
      </c>
      <c r="R332" s="1715"/>
      <c r="S332" s="1715"/>
      <c r="T332" s="1720"/>
      <c r="U332" s="1714">
        <f t="shared" si="83">K332*O332</f>
        <v>0</v>
      </c>
      <c r="V332" s="1715"/>
      <c r="W332" s="1715"/>
      <c r="X332" s="1720"/>
      <c r="Y332" s="1725"/>
      <c r="Z332" s="1726"/>
      <c r="AA332" s="1727">
        <f t="shared" si="92">IF(Y332="",U332,Q332*Y332/100)</f>
        <v>0</v>
      </c>
      <c r="AB332" s="1728"/>
      <c r="AC332" s="1728"/>
      <c r="AD332" s="1729"/>
      <c r="AE332" s="1714">
        <f t="shared" si="93">IF(AA332=0,U332,IF(U332&gt;(VALUE(AA332)),VALUE(AA332),U332))</f>
        <v>0</v>
      </c>
      <c r="AF332" s="1715"/>
      <c r="AG332" s="1715"/>
      <c r="AH332" s="1716"/>
      <c r="AI332" s="934"/>
      <c r="AK332" s="303"/>
      <c r="AN332" s="303"/>
      <c r="AO332" s="303"/>
      <c r="AP332" s="303"/>
      <c r="AQ332" s="303"/>
    </row>
    <row r="333" spans="1:43" ht="13.5" customHeight="1" thickBot="1">
      <c r="A333" s="941"/>
      <c r="B333" s="942"/>
      <c r="C333" s="943"/>
      <c r="D333" s="944"/>
      <c r="E333" s="942"/>
      <c r="F333" s="944"/>
      <c r="G333" s="942"/>
      <c r="H333" s="943"/>
      <c r="I333" s="943"/>
      <c r="J333" s="944"/>
      <c r="K333" s="942"/>
      <c r="L333" s="943"/>
      <c r="M333" s="943"/>
      <c r="N333" s="944"/>
      <c r="O333" s="942"/>
      <c r="P333" s="944"/>
      <c r="Q333" s="942"/>
      <c r="R333" s="943"/>
      <c r="S333" s="943"/>
      <c r="T333" s="944"/>
      <c r="U333" s="942"/>
      <c r="V333" s="943"/>
      <c r="W333" s="943"/>
      <c r="X333" s="944"/>
      <c r="Y333" s="1257"/>
      <c r="Z333" s="1258"/>
      <c r="AA333" s="1257"/>
      <c r="AB333" s="1259"/>
      <c r="AC333" s="1259"/>
      <c r="AD333" s="1258"/>
      <c r="AE333" s="1257"/>
      <c r="AF333" s="1259"/>
      <c r="AG333" s="1259"/>
      <c r="AH333" s="1260"/>
      <c r="AI333" s="934"/>
      <c r="AK333" s="303"/>
      <c r="AN333" s="303"/>
      <c r="AO333" s="303"/>
      <c r="AP333" s="303"/>
      <c r="AQ333" s="303"/>
    </row>
    <row r="334" spans="1:43" ht="13.5" customHeight="1" thickTop="1" thickBot="1">
      <c r="A334" s="934"/>
      <c r="B334" s="934"/>
      <c r="C334" s="934"/>
      <c r="D334" s="934"/>
      <c r="E334" s="934"/>
      <c r="F334" s="934"/>
      <c r="G334" s="934"/>
      <c r="H334" s="934"/>
      <c r="I334" s="934"/>
      <c r="J334" s="934"/>
      <c r="K334" s="934"/>
      <c r="L334" s="934"/>
      <c r="M334" s="934"/>
      <c r="N334" s="934"/>
      <c r="O334" s="934"/>
      <c r="P334" s="934"/>
      <c r="Q334" s="934"/>
      <c r="R334" s="934"/>
      <c r="S334" s="934"/>
      <c r="T334" s="934"/>
      <c r="U334" s="934"/>
      <c r="V334" s="934"/>
      <c r="W334" s="934"/>
      <c r="X334" s="934"/>
      <c r="Y334" s="1261"/>
      <c r="Z334" s="1261"/>
      <c r="AA334" s="1261"/>
      <c r="AB334" s="1261"/>
      <c r="AC334" s="1261"/>
      <c r="AD334" s="1261"/>
      <c r="AE334" s="1261"/>
      <c r="AF334" s="1261"/>
      <c r="AG334" s="1261"/>
      <c r="AH334" s="1261"/>
      <c r="AI334" s="934"/>
      <c r="AK334" s="303"/>
      <c r="AN334" s="303"/>
      <c r="AO334" s="303"/>
      <c r="AP334" s="303"/>
      <c r="AQ334" s="303"/>
    </row>
    <row r="335" spans="1:43" ht="14.25" customHeight="1" thickTop="1" thickBot="1">
      <c r="A335" s="934"/>
      <c r="B335" s="935" t="s">
        <v>347</v>
      </c>
      <c r="C335" s="934"/>
      <c r="D335" s="934"/>
      <c r="E335" s="934"/>
      <c r="F335" s="934"/>
      <c r="G335" s="1836">
        <f>+SUM(G317:J333)</f>
        <v>0</v>
      </c>
      <c r="H335" s="1837"/>
      <c r="I335" s="1837"/>
      <c r="J335" s="1838"/>
      <c r="K335" s="1836">
        <f>+SUM(K317:N333)</f>
        <v>0</v>
      </c>
      <c r="L335" s="1837"/>
      <c r="M335" s="1837"/>
      <c r="N335" s="1838"/>
      <c r="O335" s="945"/>
      <c r="P335" s="945"/>
      <c r="Q335" s="1736">
        <f>+SUM(Q317:T333)</f>
        <v>0</v>
      </c>
      <c r="R335" s="1737"/>
      <c r="S335" s="1737"/>
      <c r="T335" s="1738"/>
      <c r="U335" s="1736">
        <f>+SUM(U317:X333)</f>
        <v>0</v>
      </c>
      <c r="V335" s="1737"/>
      <c r="W335" s="1737"/>
      <c r="X335" s="1738"/>
      <c r="Y335" s="1261"/>
      <c r="Z335" s="1261"/>
      <c r="AA335" s="1733">
        <f>SUM(AA317:AD333)</f>
        <v>0</v>
      </c>
      <c r="AB335" s="1734"/>
      <c r="AC335" s="1734"/>
      <c r="AD335" s="1735"/>
      <c r="AE335" s="1736">
        <f>+SUM(AE317:AH333)</f>
        <v>0</v>
      </c>
      <c r="AF335" s="1737"/>
      <c r="AG335" s="1737"/>
      <c r="AH335" s="1738"/>
      <c r="AI335" s="934"/>
      <c r="AK335" s="303"/>
      <c r="AN335" s="303"/>
      <c r="AO335" s="303"/>
      <c r="AP335" s="303"/>
      <c r="AQ335" s="303"/>
    </row>
    <row r="336" spans="1:43" ht="13.5" customHeight="1" thickTop="1">
      <c r="A336" s="934"/>
      <c r="B336" s="934"/>
      <c r="C336" s="934"/>
      <c r="D336" s="934"/>
      <c r="E336" s="934"/>
      <c r="F336" s="934"/>
      <c r="G336" s="934"/>
      <c r="H336" s="934"/>
      <c r="I336" s="934"/>
      <c r="J336" s="934"/>
      <c r="K336" s="934"/>
      <c r="L336" s="934"/>
      <c r="M336" s="934"/>
      <c r="N336" s="934"/>
      <c r="O336" s="934"/>
      <c r="P336" s="934"/>
      <c r="Q336" s="934"/>
      <c r="R336" s="934"/>
      <c r="S336" s="934"/>
      <c r="T336" s="934"/>
      <c r="U336" s="934"/>
      <c r="V336" s="934"/>
      <c r="W336" s="934"/>
      <c r="X336" s="934"/>
      <c r="Y336" s="934"/>
      <c r="Z336" s="934"/>
      <c r="AA336" s="934"/>
      <c r="AB336" s="934"/>
      <c r="AC336" s="934"/>
      <c r="AD336" s="934"/>
      <c r="AE336" s="934"/>
      <c r="AF336" s="934"/>
      <c r="AG336" s="934"/>
      <c r="AH336" s="934"/>
      <c r="AI336" s="934"/>
      <c r="AK336" s="303"/>
      <c r="AN336" s="303"/>
      <c r="AO336" s="303"/>
      <c r="AP336" s="303"/>
      <c r="AQ336" s="303"/>
    </row>
    <row r="337" spans="1:43" ht="13.5" customHeight="1">
      <c r="A337" s="934"/>
      <c r="B337" s="935" t="s">
        <v>310</v>
      </c>
      <c r="C337" s="935" t="s">
        <v>505</v>
      </c>
      <c r="D337" s="934"/>
      <c r="E337" s="934"/>
      <c r="F337" s="934"/>
      <c r="G337" s="934"/>
      <c r="H337" s="934"/>
      <c r="I337" s="934"/>
      <c r="J337" s="934"/>
      <c r="K337" s="934"/>
      <c r="L337" s="934"/>
      <c r="M337" s="934"/>
      <c r="N337" s="934"/>
      <c r="O337" s="934"/>
      <c r="P337" s="934"/>
      <c r="Q337" s="934"/>
      <c r="R337" s="934"/>
      <c r="S337" s="934"/>
      <c r="T337" s="934"/>
      <c r="U337" s="934"/>
      <c r="V337" s="934"/>
      <c r="W337" s="934"/>
      <c r="X337" s="934"/>
      <c r="Y337" s="934"/>
      <c r="Z337" s="934"/>
      <c r="AA337" s="934"/>
      <c r="AB337" s="934"/>
      <c r="AC337" s="934"/>
      <c r="AD337" s="934"/>
      <c r="AE337" s="934"/>
      <c r="AF337" s="934"/>
      <c r="AG337" s="934"/>
      <c r="AH337" s="934"/>
      <c r="AI337" s="934"/>
      <c r="AK337" s="303"/>
      <c r="AN337" s="303"/>
      <c r="AO337" s="303"/>
      <c r="AP337" s="303"/>
      <c r="AQ337" s="303"/>
    </row>
    <row r="338" spans="1:43" ht="13.5" customHeight="1" thickBot="1">
      <c r="A338" s="934"/>
      <c r="B338" s="934"/>
      <c r="C338" s="934"/>
      <c r="D338" s="934"/>
      <c r="E338" s="934"/>
      <c r="F338" s="934"/>
      <c r="G338" s="934"/>
      <c r="H338" s="934"/>
      <c r="I338" s="934"/>
      <c r="J338" s="934"/>
      <c r="K338" s="934"/>
      <c r="L338" s="934"/>
      <c r="M338" s="934"/>
      <c r="N338" s="934"/>
      <c r="O338" s="934"/>
      <c r="P338" s="934"/>
      <c r="Q338" s="934"/>
      <c r="R338" s="934"/>
      <c r="S338" s="934"/>
      <c r="T338" s="934"/>
      <c r="U338" s="934"/>
      <c r="V338" s="934"/>
      <c r="W338" s="934"/>
      <c r="X338" s="934"/>
      <c r="Y338" s="934"/>
      <c r="Z338" s="934"/>
      <c r="AA338" s="934"/>
      <c r="AB338" s="934"/>
      <c r="AC338" s="934"/>
      <c r="AD338" s="934"/>
      <c r="AE338" s="934"/>
      <c r="AF338" s="934"/>
      <c r="AG338" s="934"/>
      <c r="AH338" s="934"/>
      <c r="AI338" s="934"/>
      <c r="AK338" s="303"/>
      <c r="AN338" s="303"/>
      <c r="AO338" s="303"/>
      <c r="AP338" s="303"/>
      <c r="AQ338" s="303"/>
    </row>
    <row r="339" spans="1:43" ht="14.25" customHeight="1" thickTop="1" thickBot="1">
      <c r="A339" s="1969" t="s">
        <v>321</v>
      </c>
      <c r="B339" s="1758" t="s">
        <v>495</v>
      </c>
      <c r="C339" s="1958"/>
      <c r="D339" s="1959"/>
      <c r="E339" s="1758" t="s">
        <v>496</v>
      </c>
      <c r="F339" s="1745"/>
      <c r="G339" s="1974" t="s">
        <v>497</v>
      </c>
      <c r="H339" s="1955"/>
      <c r="I339" s="1955"/>
      <c r="J339" s="1955"/>
      <c r="K339" s="1955"/>
      <c r="L339" s="1955"/>
      <c r="M339" s="1955"/>
      <c r="N339" s="1956"/>
      <c r="O339" s="1758" t="s">
        <v>498</v>
      </c>
      <c r="P339" s="1745"/>
      <c r="Q339" s="1974" t="s">
        <v>499</v>
      </c>
      <c r="R339" s="1955"/>
      <c r="S339" s="1955"/>
      <c r="T339" s="1955"/>
      <c r="U339" s="1955"/>
      <c r="V339" s="1955"/>
      <c r="W339" s="1955"/>
      <c r="X339" s="1956"/>
      <c r="Y339" s="1768" t="s">
        <v>500</v>
      </c>
      <c r="Z339" s="1776"/>
      <c r="AA339" s="1768" t="s">
        <v>1310</v>
      </c>
      <c r="AB339" s="1769"/>
      <c r="AC339" s="1770"/>
      <c r="AD339" s="1778"/>
      <c r="AE339" s="1768" t="s">
        <v>501</v>
      </c>
      <c r="AF339" s="1769"/>
      <c r="AG339" s="1770"/>
      <c r="AH339" s="1771"/>
      <c r="AI339" s="934"/>
      <c r="AK339" s="303"/>
      <c r="AN339" s="303"/>
      <c r="AO339" s="303"/>
      <c r="AP339" s="303"/>
      <c r="AQ339" s="303"/>
    </row>
    <row r="340" spans="1:43" ht="32.25" customHeight="1" thickTop="1" thickBot="1">
      <c r="A340" s="1957"/>
      <c r="B340" s="1960"/>
      <c r="C340" s="1961"/>
      <c r="D340" s="1962"/>
      <c r="E340" s="1746"/>
      <c r="F340" s="1747"/>
      <c r="G340" s="1974" t="s">
        <v>502</v>
      </c>
      <c r="H340" s="1955"/>
      <c r="I340" s="1955"/>
      <c r="J340" s="1956"/>
      <c r="K340" s="1974" t="s">
        <v>503</v>
      </c>
      <c r="L340" s="1955"/>
      <c r="M340" s="1955"/>
      <c r="N340" s="1956"/>
      <c r="O340" s="1746"/>
      <c r="P340" s="1747"/>
      <c r="Q340" s="1974" t="s">
        <v>502</v>
      </c>
      <c r="R340" s="1955"/>
      <c r="S340" s="1955"/>
      <c r="T340" s="1956"/>
      <c r="U340" s="1974" t="s">
        <v>503</v>
      </c>
      <c r="V340" s="1955"/>
      <c r="W340" s="1955"/>
      <c r="X340" s="1956"/>
      <c r="Y340" s="1772"/>
      <c r="Z340" s="1777"/>
      <c r="AA340" s="1772"/>
      <c r="AB340" s="1773"/>
      <c r="AC340" s="1774"/>
      <c r="AD340" s="1779"/>
      <c r="AE340" s="1772"/>
      <c r="AF340" s="1773"/>
      <c r="AG340" s="1774"/>
      <c r="AH340" s="1775"/>
      <c r="AI340" s="934"/>
      <c r="AK340" s="303"/>
      <c r="AN340" s="303"/>
      <c r="AO340" s="303"/>
      <c r="AP340" s="303"/>
      <c r="AQ340" s="303"/>
    </row>
    <row r="341" spans="1:43" ht="13.5" customHeight="1" thickTop="1">
      <c r="A341" s="937"/>
      <c r="B341" s="938"/>
      <c r="C341" s="939"/>
      <c r="D341" s="940"/>
      <c r="E341" s="938"/>
      <c r="F341" s="940"/>
      <c r="G341" s="938"/>
      <c r="H341" s="939"/>
      <c r="I341" s="939"/>
      <c r="J341" s="940"/>
      <c r="K341" s="938"/>
      <c r="L341" s="939"/>
      <c r="M341" s="939"/>
      <c r="N341" s="940"/>
      <c r="O341" s="938"/>
      <c r="P341" s="940"/>
      <c r="Q341" s="938"/>
      <c r="R341" s="939"/>
      <c r="S341" s="939"/>
      <c r="T341" s="940"/>
      <c r="U341" s="938"/>
      <c r="V341" s="939"/>
      <c r="W341" s="939"/>
      <c r="X341" s="940"/>
      <c r="Y341" s="1253"/>
      <c r="Z341" s="1254"/>
      <c r="AA341" s="1253"/>
      <c r="AB341" s="1255"/>
      <c r="AC341" s="1255"/>
      <c r="AD341" s="1254"/>
      <c r="AE341" s="1253"/>
      <c r="AF341" s="1255"/>
      <c r="AG341" s="1255"/>
      <c r="AH341" s="1256"/>
      <c r="AI341" s="934"/>
      <c r="AK341" s="303"/>
      <c r="AN341" s="303"/>
      <c r="AO341" s="303"/>
      <c r="AP341" s="303"/>
      <c r="AQ341" s="303"/>
    </row>
    <row r="342" spans="1:43">
      <c r="A342" s="305">
        <v>1</v>
      </c>
      <c r="B342" s="1708"/>
      <c r="C342" s="1709"/>
      <c r="D342" s="1710"/>
      <c r="E342" s="1706"/>
      <c r="F342" s="1707"/>
      <c r="G342" s="1711"/>
      <c r="H342" s="1712"/>
      <c r="I342" s="1712"/>
      <c r="J342" s="1713"/>
      <c r="K342" s="1711"/>
      <c r="L342" s="1712"/>
      <c r="M342" s="1712"/>
      <c r="N342" s="1713"/>
      <c r="O342" s="1711"/>
      <c r="P342" s="1713"/>
      <c r="Q342" s="1714">
        <f t="shared" si="94" ref="Q342:Q357">G342*O342</f>
        <v>0</v>
      </c>
      <c r="R342" s="1715"/>
      <c r="S342" s="1715"/>
      <c r="T342" s="1720"/>
      <c r="U342" s="1714">
        <f t="shared" si="95" ref="U342:U357">K342*O342</f>
        <v>0</v>
      </c>
      <c r="V342" s="1715"/>
      <c r="W342" s="1715"/>
      <c r="X342" s="1720"/>
      <c r="Y342" s="1725"/>
      <c r="Z342" s="1726"/>
      <c r="AA342" s="1727">
        <f>IF(Y342="",U342,Q342*Y342/100)</f>
        <v>0</v>
      </c>
      <c r="AB342" s="1728"/>
      <c r="AC342" s="1728"/>
      <c r="AD342" s="1729"/>
      <c r="AE342" s="1714">
        <f>IF(AA342=0,U342,IF(U342&gt;(VALUE(AA342)),VALUE(AA342),U342))</f>
        <v>0</v>
      </c>
      <c r="AF342" s="1715"/>
      <c r="AG342" s="1715"/>
      <c r="AH342" s="1716"/>
      <c r="AI342" s="934"/>
      <c r="AK342" s="303"/>
      <c r="AN342" s="303"/>
      <c r="AO342" s="303"/>
      <c r="AP342" s="303"/>
      <c r="AQ342" s="303"/>
    </row>
    <row r="343" spans="1:43">
      <c r="A343" s="306">
        <v>2</v>
      </c>
      <c r="B343" s="1708"/>
      <c r="C343" s="1709"/>
      <c r="D343" s="1710"/>
      <c r="E343" s="1706"/>
      <c r="F343" s="1707"/>
      <c r="G343" s="1711"/>
      <c r="H343" s="1712"/>
      <c r="I343" s="1712"/>
      <c r="J343" s="1713"/>
      <c r="K343" s="1711"/>
      <c r="L343" s="1712"/>
      <c r="M343" s="1712"/>
      <c r="N343" s="1713"/>
      <c r="O343" s="1711"/>
      <c r="P343" s="1713"/>
      <c r="Q343" s="1714">
        <f t="shared" si="94">G343*O343</f>
        <v>0</v>
      </c>
      <c r="R343" s="1715"/>
      <c r="S343" s="1715"/>
      <c r="T343" s="1720"/>
      <c r="U343" s="1714">
        <f t="shared" si="95">K343*O343</f>
        <v>0</v>
      </c>
      <c r="V343" s="1715"/>
      <c r="W343" s="1715"/>
      <c r="X343" s="1720"/>
      <c r="Y343" s="1725"/>
      <c r="Z343" s="1726"/>
      <c r="AA343" s="1727">
        <f t="shared" si="96" ref="AA343:AA347">IF(Y343="",U343,Q343*Y343/100)</f>
        <v>0</v>
      </c>
      <c r="AB343" s="1728"/>
      <c r="AC343" s="1728"/>
      <c r="AD343" s="1729"/>
      <c r="AE343" s="1714">
        <f t="shared" si="97" ref="AE343:AE347">IF(AA343=0,U343,IF(U343&gt;(VALUE(AA343)),VALUE(AA343),U343))</f>
        <v>0</v>
      </c>
      <c r="AF343" s="1715"/>
      <c r="AG343" s="1715"/>
      <c r="AH343" s="1716"/>
      <c r="AI343" s="934"/>
      <c r="AK343" s="303"/>
      <c r="AN343" s="303"/>
      <c r="AO343" s="303"/>
      <c r="AP343" s="303"/>
      <c r="AQ343" s="303"/>
    </row>
    <row r="344" spans="1:43">
      <c r="A344" s="305">
        <v>3</v>
      </c>
      <c r="B344" s="1708"/>
      <c r="C344" s="1709"/>
      <c r="D344" s="1710"/>
      <c r="E344" s="1706"/>
      <c r="F344" s="1707"/>
      <c r="G344" s="1711"/>
      <c r="H344" s="1712"/>
      <c r="I344" s="1712"/>
      <c r="J344" s="1713"/>
      <c r="K344" s="1711"/>
      <c r="L344" s="1712"/>
      <c r="M344" s="1712"/>
      <c r="N344" s="1713"/>
      <c r="O344" s="1711"/>
      <c r="P344" s="1713"/>
      <c r="Q344" s="1714">
        <f t="shared" si="94">G344*O344</f>
        <v>0</v>
      </c>
      <c r="R344" s="1715"/>
      <c r="S344" s="1715"/>
      <c r="T344" s="1720"/>
      <c r="U344" s="1714">
        <f t="shared" si="95">K344*O344</f>
        <v>0</v>
      </c>
      <c r="V344" s="1715"/>
      <c r="W344" s="1715"/>
      <c r="X344" s="1720"/>
      <c r="Y344" s="1725"/>
      <c r="Z344" s="1726"/>
      <c r="AA344" s="1727">
        <f t="shared" si="96">IF(Y344="",U344,Q344*Y344/100)</f>
        <v>0</v>
      </c>
      <c r="AB344" s="1728"/>
      <c r="AC344" s="1728"/>
      <c r="AD344" s="1729"/>
      <c r="AE344" s="1714">
        <f t="shared" si="97">IF(AA344=0,U344,IF(U344&gt;(VALUE(AA344)),VALUE(AA344),U344))</f>
        <v>0</v>
      </c>
      <c r="AF344" s="1715"/>
      <c r="AG344" s="1715"/>
      <c r="AH344" s="1716"/>
      <c r="AI344" s="934"/>
      <c r="AK344" s="303"/>
      <c r="AN344" s="303"/>
      <c r="AO344" s="303"/>
      <c r="AP344" s="303"/>
      <c r="AQ344" s="303"/>
    </row>
    <row r="345" spans="1:43">
      <c r="A345" s="306">
        <v>4</v>
      </c>
      <c r="B345" s="1708"/>
      <c r="C345" s="1709"/>
      <c r="D345" s="1710"/>
      <c r="E345" s="1706"/>
      <c r="F345" s="1707"/>
      <c r="G345" s="1711"/>
      <c r="H345" s="1712"/>
      <c r="I345" s="1712"/>
      <c r="J345" s="1713"/>
      <c r="K345" s="1711"/>
      <c r="L345" s="1712"/>
      <c r="M345" s="1712"/>
      <c r="N345" s="1713"/>
      <c r="O345" s="1711"/>
      <c r="P345" s="1713"/>
      <c r="Q345" s="1714">
        <f t="shared" si="94">G345*O345</f>
        <v>0</v>
      </c>
      <c r="R345" s="1715"/>
      <c r="S345" s="1715"/>
      <c r="T345" s="1720"/>
      <c r="U345" s="1714">
        <f t="shared" si="95">K345*O345</f>
        <v>0</v>
      </c>
      <c r="V345" s="1715"/>
      <c r="W345" s="1715"/>
      <c r="X345" s="1720"/>
      <c r="Y345" s="1725"/>
      <c r="Z345" s="1726"/>
      <c r="AA345" s="1727">
        <f t="shared" si="96">IF(Y345="",U345,Q345*Y345/100)</f>
        <v>0</v>
      </c>
      <c r="AB345" s="1728"/>
      <c r="AC345" s="1728"/>
      <c r="AD345" s="1729"/>
      <c r="AE345" s="1714">
        <f t="shared" si="97">IF(AA345=0,U345,IF(U345&gt;(VALUE(AA345)),VALUE(AA345),U345))</f>
        <v>0</v>
      </c>
      <c r="AF345" s="1715"/>
      <c r="AG345" s="1715"/>
      <c r="AH345" s="1716"/>
      <c r="AI345" s="934"/>
      <c r="AK345" s="303"/>
      <c r="AN345" s="303"/>
      <c r="AO345" s="303"/>
      <c r="AP345" s="303"/>
      <c r="AQ345" s="303"/>
    </row>
    <row r="346" spans="1:43">
      <c r="A346" s="305">
        <v>5</v>
      </c>
      <c r="B346" s="1708"/>
      <c r="C346" s="1709"/>
      <c r="D346" s="1710"/>
      <c r="E346" s="1706"/>
      <c r="F346" s="1707"/>
      <c r="G346" s="1711"/>
      <c r="H346" s="1712"/>
      <c r="I346" s="1712"/>
      <c r="J346" s="1713"/>
      <c r="K346" s="1711"/>
      <c r="L346" s="1712"/>
      <c r="M346" s="1712"/>
      <c r="N346" s="1713"/>
      <c r="O346" s="1711"/>
      <c r="P346" s="1713"/>
      <c r="Q346" s="1714">
        <f t="shared" si="94">G346*O346</f>
        <v>0</v>
      </c>
      <c r="R346" s="1715"/>
      <c r="S346" s="1715"/>
      <c r="T346" s="1720"/>
      <c r="U346" s="1714">
        <f t="shared" si="95">K346*O346</f>
        <v>0</v>
      </c>
      <c r="V346" s="1715"/>
      <c r="W346" s="1715"/>
      <c r="X346" s="1720"/>
      <c r="Y346" s="1725"/>
      <c r="Z346" s="1726"/>
      <c r="AA346" s="1727">
        <f t="shared" si="96">IF(Y346="",U346,Q346*Y346/100)</f>
        <v>0</v>
      </c>
      <c r="AB346" s="1728"/>
      <c r="AC346" s="1728"/>
      <c r="AD346" s="1729"/>
      <c r="AE346" s="1714">
        <f t="shared" si="97">IF(AA346=0,U346,IF(U346&gt;(VALUE(AA346)),VALUE(AA346),U346))</f>
        <v>0</v>
      </c>
      <c r="AF346" s="1715"/>
      <c r="AG346" s="1715"/>
      <c r="AH346" s="1716"/>
      <c r="AI346" s="934"/>
      <c r="AK346" s="303"/>
      <c r="AN346" s="303"/>
      <c r="AO346" s="303"/>
      <c r="AP346" s="303"/>
      <c r="AQ346" s="303"/>
    </row>
    <row r="347" spans="1:43">
      <c r="A347" s="306">
        <v>6</v>
      </c>
      <c r="B347" s="1708"/>
      <c r="C347" s="1709"/>
      <c r="D347" s="1710"/>
      <c r="E347" s="1706"/>
      <c r="F347" s="1707"/>
      <c r="G347" s="1711"/>
      <c r="H347" s="1712"/>
      <c r="I347" s="1712"/>
      <c r="J347" s="1713"/>
      <c r="K347" s="1711"/>
      <c r="L347" s="1712"/>
      <c r="M347" s="1712"/>
      <c r="N347" s="1713"/>
      <c r="O347" s="1711"/>
      <c r="P347" s="1713"/>
      <c r="Q347" s="1714">
        <f t="shared" si="98" ref="Q347">G347*O347</f>
        <v>0</v>
      </c>
      <c r="R347" s="1715"/>
      <c r="S347" s="1715"/>
      <c r="T347" s="1720"/>
      <c r="U347" s="1714">
        <f t="shared" si="99" ref="U347">K347*O347</f>
        <v>0</v>
      </c>
      <c r="V347" s="1715"/>
      <c r="W347" s="1715"/>
      <c r="X347" s="1720"/>
      <c r="Y347" s="1725"/>
      <c r="Z347" s="1726"/>
      <c r="AA347" s="1727">
        <f t="shared" si="96">IF(Y347="",U347,Q347*Y347/100)</f>
        <v>0</v>
      </c>
      <c r="AB347" s="1728"/>
      <c r="AC347" s="1728"/>
      <c r="AD347" s="1729"/>
      <c r="AE347" s="1714">
        <f t="shared" si="97">IF(AA347=0,U347,IF(U347&gt;(VALUE(AA347)),VALUE(AA347),U347))</f>
        <v>0</v>
      </c>
      <c r="AF347" s="1715"/>
      <c r="AG347" s="1715"/>
      <c r="AH347" s="1716"/>
      <c r="AI347" s="934"/>
      <c r="AK347" s="303"/>
      <c r="AN347" s="303"/>
      <c r="AO347" s="303"/>
      <c r="AP347" s="303"/>
      <c r="AQ347" s="303"/>
    </row>
    <row r="348" spans="1:43">
      <c r="A348" s="305">
        <v>7</v>
      </c>
      <c r="B348" s="1708"/>
      <c r="C348" s="1709"/>
      <c r="D348" s="1710"/>
      <c r="E348" s="1706"/>
      <c r="F348" s="1707"/>
      <c r="G348" s="1711"/>
      <c r="H348" s="1712"/>
      <c r="I348" s="1712"/>
      <c r="J348" s="1713"/>
      <c r="K348" s="1711"/>
      <c r="L348" s="1712"/>
      <c r="M348" s="1712"/>
      <c r="N348" s="1713"/>
      <c r="O348" s="1711"/>
      <c r="P348" s="1713"/>
      <c r="Q348" s="1714">
        <f t="shared" si="100" ref="Q348:Q351">G348*O348</f>
        <v>0</v>
      </c>
      <c r="R348" s="1715"/>
      <c r="S348" s="1715"/>
      <c r="T348" s="1720"/>
      <c r="U348" s="1714">
        <f t="shared" si="101" ref="U348:U351">K348*O348</f>
        <v>0</v>
      </c>
      <c r="V348" s="1715"/>
      <c r="W348" s="1715"/>
      <c r="X348" s="1720"/>
      <c r="Y348" s="1725"/>
      <c r="Z348" s="1726"/>
      <c r="AA348" s="1727">
        <f t="shared" si="102" ref="AA348:AA351">IF(Y348="",U348,Q348*Y348/100)</f>
        <v>0</v>
      </c>
      <c r="AB348" s="1728"/>
      <c r="AC348" s="1728"/>
      <c r="AD348" s="1729"/>
      <c r="AE348" s="1714">
        <f t="shared" si="103" ref="AE348:AE351">IF(AA348=0,U348,IF(U348&gt;(VALUE(AA348)),VALUE(AA348),U348))</f>
        <v>0</v>
      </c>
      <c r="AF348" s="1715"/>
      <c r="AG348" s="1715"/>
      <c r="AH348" s="1716"/>
      <c r="AI348" s="934"/>
      <c r="AK348" s="303"/>
      <c r="AN348" s="303"/>
      <c r="AO348" s="303"/>
      <c r="AP348" s="303"/>
      <c r="AQ348" s="303"/>
    </row>
    <row r="349" spans="1:43">
      <c r="A349" s="306">
        <v>8</v>
      </c>
      <c r="B349" s="1708"/>
      <c r="C349" s="1709"/>
      <c r="D349" s="1710"/>
      <c r="E349" s="1706"/>
      <c r="F349" s="1707"/>
      <c r="G349" s="1711"/>
      <c r="H349" s="1712"/>
      <c r="I349" s="1712"/>
      <c r="J349" s="1713"/>
      <c r="K349" s="1711"/>
      <c r="L349" s="1712"/>
      <c r="M349" s="1712"/>
      <c r="N349" s="1713"/>
      <c r="O349" s="1711"/>
      <c r="P349" s="1713"/>
      <c r="Q349" s="1714">
        <f t="shared" si="100">G349*O349</f>
        <v>0</v>
      </c>
      <c r="R349" s="1715"/>
      <c r="S349" s="1715"/>
      <c r="T349" s="1720"/>
      <c r="U349" s="1714">
        <f t="shared" si="101">K349*O349</f>
        <v>0</v>
      </c>
      <c r="V349" s="1715"/>
      <c r="W349" s="1715"/>
      <c r="X349" s="1720"/>
      <c r="Y349" s="1725"/>
      <c r="Z349" s="1726"/>
      <c r="AA349" s="1727">
        <f t="shared" si="102">IF(Y349="",U349,Q349*Y349/100)</f>
        <v>0</v>
      </c>
      <c r="AB349" s="1728"/>
      <c r="AC349" s="1728"/>
      <c r="AD349" s="1729"/>
      <c r="AE349" s="1714">
        <f t="shared" si="103">IF(AA349=0,U349,IF(U349&gt;(VALUE(AA349)),VALUE(AA349),U349))</f>
        <v>0</v>
      </c>
      <c r="AF349" s="1715"/>
      <c r="AG349" s="1715"/>
      <c r="AH349" s="1716"/>
      <c r="AI349" s="934"/>
      <c r="AK349" s="303"/>
      <c r="AN349" s="303"/>
      <c r="AO349" s="303"/>
      <c r="AP349" s="303"/>
      <c r="AQ349" s="303"/>
    </row>
    <row r="350" spans="1:43">
      <c r="A350" s="305">
        <v>9</v>
      </c>
      <c r="B350" s="1708"/>
      <c r="C350" s="1709"/>
      <c r="D350" s="1710"/>
      <c r="E350" s="1706"/>
      <c r="F350" s="1707"/>
      <c r="G350" s="1711"/>
      <c r="H350" s="1712"/>
      <c r="I350" s="1712"/>
      <c r="J350" s="1713"/>
      <c r="K350" s="1711"/>
      <c r="L350" s="1712"/>
      <c r="M350" s="1712"/>
      <c r="N350" s="1713"/>
      <c r="O350" s="1711"/>
      <c r="P350" s="1713"/>
      <c r="Q350" s="1714">
        <f t="shared" si="100">G350*O350</f>
        <v>0</v>
      </c>
      <c r="R350" s="1715"/>
      <c r="S350" s="1715"/>
      <c r="T350" s="1720"/>
      <c r="U350" s="1714">
        <f t="shared" si="101">K350*O350</f>
        <v>0</v>
      </c>
      <c r="V350" s="1715"/>
      <c r="W350" s="1715"/>
      <c r="X350" s="1720"/>
      <c r="Y350" s="1725"/>
      <c r="Z350" s="1726"/>
      <c r="AA350" s="1727">
        <f t="shared" si="102">IF(Y350="",U350,Q350*Y350/100)</f>
        <v>0</v>
      </c>
      <c r="AB350" s="1728"/>
      <c r="AC350" s="1728"/>
      <c r="AD350" s="1729"/>
      <c r="AE350" s="1714">
        <f t="shared" si="103">IF(AA350=0,U350,IF(U350&gt;(VALUE(AA350)),VALUE(AA350),U350))</f>
        <v>0</v>
      </c>
      <c r="AF350" s="1715"/>
      <c r="AG350" s="1715"/>
      <c r="AH350" s="1716"/>
      <c r="AI350" s="934"/>
      <c r="AK350" s="303"/>
      <c r="AN350" s="303"/>
      <c r="AO350" s="303"/>
      <c r="AP350" s="303"/>
      <c r="AQ350" s="303"/>
    </row>
    <row r="351" spans="1:43">
      <c r="A351" s="306">
        <v>10</v>
      </c>
      <c r="B351" s="1708"/>
      <c r="C351" s="1709"/>
      <c r="D351" s="1710"/>
      <c r="E351" s="1706"/>
      <c r="F351" s="1707"/>
      <c r="G351" s="1711"/>
      <c r="H351" s="1712"/>
      <c r="I351" s="1712"/>
      <c r="J351" s="1713"/>
      <c r="K351" s="1711"/>
      <c r="L351" s="1712"/>
      <c r="M351" s="1712"/>
      <c r="N351" s="1713"/>
      <c r="O351" s="1711"/>
      <c r="P351" s="1713"/>
      <c r="Q351" s="1714">
        <f t="shared" si="100">G351*O351</f>
        <v>0</v>
      </c>
      <c r="R351" s="1715"/>
      <c r="S351" s="1715"/>
      <c r="T351" s="1720"/>
      <c r="U351" s="1714">
        <f t="shared" si="101">K351*O351</f>
        <v>0</v>
      </c>
      <c r="V351" s="1715"/>
      <c r="W351" s="1715"/>
      <c r="X351" s="1720"/>
      <c r="Y351" s="1725"/>
      <c r="Z351" s="1726"/>
      <c r="AA351" s="1727">
        <f t="shared" si="102">IF(Y351="",U351,Q351*Y351/100)</f>
        <v>0</v>
      </c>
      <c r="AB351" s="1728"/>
      <c r="AC351" s="1728"/>
      <c r="AD351" s="1729"/>
      <c r="AE351" s="1714">
        <f t="shared" si="103">IF(AA351=0,U351,IF(U351&gt;(VALUE(AA351)),VALUE(AA351),U351))</f>
        <v>0</v>
      </c>
      <c r="AF351" s="1715"/>
      <c r="AG351" s="1715"/>
      <c r="AH351" s="1716"/>
      <c r="AI351" s="934"/>
      <c r="AK351" s="303"/>
      <c r="AN351" s="303"/>
      <c r="AO351" s="303"/>
      <c r="AP351" s="303"/>
      <c r="AQ351" s="303"/>
    </row>
    <row r="352" spans="1:43">
      <c r="A352" s="305">
        <v>11</v>
      </c>
      <c r="B352" s="1708"/>
      <c r="C352" s="1709"/>
      <c r="D352" s="1710"/>
      <c r="E352" s="1706"/>
      <c r="F352" s="1707"/>
      <c r="G352" s="1711"/>
      <c r="H352" s="1712"/>
      <c r="I352" s="1712"/>
      <c r="J352" s="1713"/>
      <c r="K352" s="1711"/>
      <c r="L352" s="1712"/>
      <c r="M352" s="1712"/>
      <c r="N352" s="1713"/>
      <c r="O352" s="1711"/>
      <c r="P352" s="1713"/>
      <c r="Q352" s="1714">
        <f t="shared" si="94">G352*O352</f>
        <v>0</v>
      </c>
      <c r="R352" s="1715"/>
      <c r="S352" s="1715"/>
      <c r="T352" s="1720"/>
      <c r="U352" s="1714">
        <f t="shared" si="95">K352*O352</f>
        <v>0</v>
      </c>
      <c r="V352" s="1715"/>
      <c r="W352" s="1715"/>
      <c r="X352" s="1720"/>
      <c r="Y352" s="1725"/>
      <c r="Z352" s="1726"/>
      <c r="AA352" s="1727">
        <f t="shared" si="104" ref="AA352:AA357">IF(Y352="",U352,Q352*Y352/100)</f>
        <v>0</v>
      </c>
      <c r="AB352" s="1728"/>
      <c r="AC352" s="1728"/>
      <c r="AD352" s="1729"/>
      <c r="AE352" s="1714">
        <f t="shared" si="105" ref="AE352:AE357">IF(AA352=0,U352,IF(U352&gt;(VALUE(AA352)),VALUE(AA352),U352))</f>
        <v>0</v>
      </c>
      <c r="AF352" s="1715"/>
      <c r="AG352" s="1715"/>
      <c r="AH352" s="1716"/>
      <c r="AI352" s="934"/>
      <c r="AK352" s="303"/>
      <c r="AN352" s="303"/>
      <c r="AO352" s="303"/>
      <c r="AP352" s="303"/>
      <c r="AQ352" s="303"/>
    </row>
    <row r="353" spans="1:43">
      <c r="A353" s="306">
        <v>12</v>
      </c>
      <c r="B353" s="1708"/>
      <c r="C353" s="1709"/>
      <c r="D353" s="1710"/>
      <c r="E353" s="1706"/>
      <c r="F353" s="1707"/>
      <c r="G353" s="1711"/>
      <c r="H353" s="1712"/>
      <c r="I353" s="1712"/>
      <c r="J353" s="1713"/>
      <c r="K353" s="1711"/>
      <c r="L353" s="1712"/>
      <c r="M353" s="1712"/>
      <c r="N353" s="1713"/>
      <c r="O353" s="1711"/>
      <c r="P353" s="1713"/>
      <c r="Q353" s="1714">
        <f t="shared" si="94">G353*O353</f>
        <v>0</v>
      </c>
      <c r="R353" s="1715"/>
      <c r="S353" s="1715"/>
      <c r="T353" s="1720"/>
      <c r="U353" s="1714">
        <f t="shared" si="95">K353*O353</f>
        <v>0</v>
      </c>
      <c r="V353" s="1715"/>
      <c r="W353" s="1715"/>
      <c r="X353" s="1720"/>
      <c r="Y353" s="1725"/>
      <c r="Z353" s="1726"/>
      <c r="AA353" s="1727">
        <f t="shared" si="104">IF(Y353="",U353,Q353*Y353/100)</f>
        <v>0</v>
      </c>
      <c r="AB353" s="1728"/>
      <c r="AC353" s="1728"/>
      <c r="AD353" s="1729"/>
      <c r="AE353" s="1714">
        <f t="shared" si="105">IF(AA353=0,U353,IF(U353&gt;(VALUE(AA353)),VALUE(AA353),U353))</f>
        <v>0</v>
      </c>
      <c r="AF353" s="1715"/>
      <c r="AG353" s="1715"/>
      <c r="AH353" s="1716"/>
      <c r="AI353" s="934"/>
      <c r="AK353" s="303"/>
      <c r="AN353" s="303"/>
      <c r="AO353" s="303"/>
      <c r="AP353" s="303"/>
      <c r="AQ353" s="303"/>
    </row>
    <row r="354" spans="1:43">
      <c r="A354" s="305">
        <v>13</v>
      </c>
      <c r="B354" s="1708"/>
      <c r="C354" s="1709"/>
      <c r="D354" s="1710"/>
      <c r="E354" s="1706"/>
      <c r="F354" s="1707"/>
      <c r="G354" s="1711"/>
      <c r="H354" s="1712"/>
      <c r="I354" s="1712"/>
      <c r="J354" s="1713"/>
      <c r="K354" s="1711"/>
      <c r="L354" s="1712"/>
      <c r="M354" s="1712"/>
      <c r="N354" s="1713"/>
      <c r="O354" s="1711"/>
      <c r="P354" s="1713"/>
      <c r="Q354" s="1714">
        <f t="shared" si="94">G354*O354</f>
        <v>0</v>
      </c>
      <c r="R354" s="1715"/>
      <c r="S354" s="1715"/>
      <c r="T354" s="1720"/>
      <c r="U354" s="1714">
        <f t="shared" si="95">K354*O354</f>
        <v>0</v>
      </c>
      <c r="V354" s="1715"/>
      <c r="W354" s="1715"/>
      <c r="X354" s="1720"/>
      <c r="Y354" s="1725"/>
      <c r="Z354" s="1726"/>
      <c r="AA354" s="1727">
        <f t="shared" si="104">IF(Y354="",U354,Q354*Y354/100)</f>
        <v>0</v>
      </c>
      <c r="AB354" s="1728"/>
      <c r="AC354" s="1728"/>
      <c r="AD354" s="1729"/>
      <c r="AE354" s="1714">
        <f t="shared" si="105">IF(AA354=0,U354,IF(U354&gt;(VALUE(AA354)),VALUE(AA354),U354))</f>
        <v>0</v>
      </c>
      <c r="AF354" s="1715"/>
      <c r="AG354" s="1715"/>
      <c r="AH354" s="1716"/>
      <c r="AI354" s="934"/>
      <c r="AK354" s="303"/>
      <c r="AN354" s="303"/>
      <c r="AO354" s="303"/>
      <c r="AP354" s="303"/>
      <c r="AQ354" s="303"/>
    </row>
    <row r="355" spans="1:43">
      <c r="A355" s="306">
        <v>14</v>
      </c>
      <c r="B355" s="1708"/>
      <c r="C355" s="1709"/>
      <c r="D355" s="1710"/>
      <c r="E355" s="1706"/>
      <c r="F355" s="1707"/>
      <c r="G355" s="1711"/>
      <c r="H355" s="1712"/>
      <c r="I355" s="1712"/>
      <c r="J355" s="1713"/>
      <c r="K355" s="1711"/>
      <c r="L355" s="1712"/>
      <c r="M355" s="1712"/>
      <c r="N355" s="1713"/>
      <c r="O355" s="1711"/>
      <c r="P355" s="1713"/>
      <c r="Q355" s="1714">
        <f t="shared" si="94">G355*O355</f>
        <v>0</v>
      </c>
      <c r="R355" s="1715"/>
      <c r="S355" s="1715"/>
      <c r="T355" s="1720"/>
      <c r="U355" s="1714">
        <f t="shared" si="95">K355*O355</f>
        <v>0</v>
      </c>
      <c r="V355" s="1715"/>
      <c r="W355" s="1715"/>
      <c r="X355" s="1720"/>
      <c r="Y355" s="1725"/>
      <c r="Z355" s="1726"/>
      <c r="AA355" s="1727">
        <f t="shared" si="104">IF(Y355="",U355,Q355*Y355/100)</f>
        <v>0</v>
      </c>
      <c r="AB355" s="1728"/>
      <c r="AC355" s="1728"/>
      <c r="AD355" s="1729"/>
      <c r="AE355" s="1714">
        <f t="shared" si="105">IF(AA355=0,U355,IF(U355&gt;(VALUE(AA355)),VALUE(AA355),U355))</f>
        <v>0</v>
      </c>
      <c r="AF355" s="1715"/>
      <c r="AG355" s="1715"/>
      <c r="AH355" s="1716"/>
      <c r="AI355" s="934"/>
      <c r="AK355" s="303"/>
      <c r="AN355" s="303"/>
      <c r="AO355" s="303"/>
      <c r="AP355" s="303"/>
      <c r="AQ355" s="303"/>
    </row>
    <row r="356" spans="1:43">
      <c r="A356" s="305">
        <v>15</v>
      </c>
      <c r="B356" s="1708"/>
      <c r="C356" s="1709"/>
      <c r="D356" s="1710"/>
      <c r="E356" s="1706"/>
      <c r="F356" s="1707"/>
      <c r="G356" s="1711"/>
      <c r="H356" s="1712"/>
      <c r="I356" s="1712"/>
      <c r="J356" s="1713"/>
      <c r="K356" s="1711"/>
      <c r="L356" s="1712"/>
      <c r="M356" s="1712"/>
      <c r="N356" s="1713"/>
      <c r="O356" s="1711"/>
      <c r="P356" s="1713"/>
      <c r="Q356" s="1714">
        <f t="shared" si="94">G356*O356</f>
        <v>0</v>
      </c>
      <c r="R356" s="1715"/>
      <c r="S356" s="1715"/>
      <c r="T356" s="1720"/>
      <c r="U356" s="1714">
        <f t="shared" si="95">K356*O356</f>
        <v>0</v>
      </c>
      <c r="V356" s="1715"/>
      <c r="W356" s="1715"/>
      <c r="X356" s="1720"/>
      <c r="Y356" s="1725"/>
      <c r="Z356" s="1726"/>
      <c r="AA356" s="1727">
        <f t="shared" si="104">IF(Y356="",U356,Q356*Y356/100)</f>
        <v>0</v>
      </c>
      <c r="AB356" s="1728"/>
      <c r="AC356" s="1728"/>
      <c r="AD356" s="1729"/>
      <c r="AE356" s="1714">
        <f t="shared" si="105">IF(AA356=0,U356,IF(U356&gt;(VALUE(AA356)),VALUE(AA356),U356))</f>
        <v>0</v>
      </c>
      <c r="AF356" s="1715"/>
      <c r="AG356" s="1715"/>
      <c r="AH356" s="1716"/>
      <c r="AI356" s="934"/>
      <c r="AK356" s="303"/>
      <c r="AN356" s="303"/>
      <c r="AO356" s="303"/>
      <c r="AP356" s="303"/>
      <c r="AQ356" s="303"/>
    </row>
    <row r="357" spans="1:43">
      <c r="A357" s="307" t="s">
        <v>504</v>
      </c>
      <c r="B357" s="1703"/>
      <c r="C357" s="1704"/>
      <c r="D357" s="1705"/>
      <c r="E357" s="1706"/>
      <c r="F357" s="1707"/>
      <c r="G357" s="1706"/>
      <c r="H357" s="1902"/>
      <c r="I357" s="1902"/>
      <c r="J357" s="1707"/>
      <c r="K357" s="1711"/>
      <c r="L357" s="1712"/>
      <c r="M357" s="1712"/>
      <c r="N357" s="1713"/>
      <c r="O357" s="1711"/>
      <c r="P357" s="1713"/>
      <c r="Q357" s="1714">
        <f t="shared" si="94">G357*O357</f>
        <v>0</v>
      </c>
      <c r="R357" s="1715"/>
      <c r="S357" s="1715"/>
      <c r="T357" s="1720"/>
      <c r="U357" s="1714">
        <f t="shared" si="95">K357*O357</f>
        <v>0</v>
      </c>
      <c r="V357" s="1715"/>
      <c r="W357" s="1715"/>
      <c r="X357" s="1720"/>
      <c r="Y357" s="1725"/>
      <c r="Z357" s="1726"/>
      <c r="AA357" s="1727">
        <f t="shared" si="104">IF(Y357="",U357,Q357*Y357/100)</f>
        <v>0</v>
      </c>
      <c r="AB357" s="1728"/>
      <c r="AC357" s="1728"/>
      <c r="AD357" s="1729"/>
      <c r="AE357" s="1714">
        <f t="shared" si="105">IF(AA357=0,U357,IF(U357&gt;(VALUE(AA357)),VALUE(AA357),U357))</f>
        <v>0</v>
      </c>
      <c r="AF357" s="1715"/>
      <c r="AG357" s="1715"/>
      <c r="AH357" s="1716"/>
      <c r="AI357" s="934"/>
      <c r="AK357" s="303"/>
      <c r="AN357" s="303"/>
      <c r="AO357" s="303"/>
      <c r="AP357" s="303"/>
      <c r="AQ357" s="303"/>
    </row>
    <row r="358" spans="1:43" ht="13.5" customHeight="1" thickBot="1">
      <c r="A358" s="941"/>
      <c r="B358" s="942"/>
      <c r="C358" s="943"/>
      <c r="D358" s="944"/>
      <c r="E358" s="942"/>
      <c r="F358" s="944"/>
      <c r="G358" s="942"/>
      <c r="H358" s="943"/>
      <c r="I358" s="943"/>
      <c r="J358" s="944"/>
      <c r="K358" s="942"/>
      <c r="L358" s="943"/>
      <c r="M358" s="943"/>
      <c r="N358" s="944"/>
      <c r="O358" s="942"/>
      <c r="P358" s="944"/>
      <c r="Q358" s="946"/>
      <c r="R358" s="947"/>
      <c r="S358" s="947"/>
      <c r="T358" s="948"/>
      <c r="U358" s="946"/>
      <c r="V358" s="947"/>
      <c r="W358" s="947"/>
      <c r="X358" s="948"/>
      <c r="Y358" s="1257"/>
      <c r="Z358" s="1258"/>
      <c r="AA358" s="1257"/>
      <c r="AB358" s="1259"/>
      <c r="AC358" s="1259"/>
      <c r="AD358" s="1258"/>
      <c r="AE358" s="1257"/>
      <c r="AF358" s="1259"/>
      <c r="AG358" s="1259"/>
      <c r="AH358" s="1260"/>
      <c r="AI358" s="934"/>
      <c r="AK358" s="303"/>
      <c r="AN358" s="303"/>
      <c r="AO358" s="303"/>
      <c r="AP358" s="303"/>
      <c r="AQ358" s="303"/>
    </row>
    <row r="359" spans="1:43" ht="13.5" customHeight="1" thickTop="1" thickBot="1">
      <c r="A359" s="934"/>
      <c r="B359" s="934"/>
      <c r="C359" s="934"/>
      <c r="D359" s="934"/>
      <c r="E359" s="934"/>
      <c r="F359" s="934"/>
      <c r="G359" s="934"/>
      <c r="H359" s="934"/>
      <c r="I359" s="934"/>
      <c r="J359" s="934"/>
      <c r="K359" s="934"/>
      <c r="L359" s="934"/>
      <c r="M359" s="934"/>
      <c r="N359" s="934"/>
      <c r="O359" s="934"/>
      <c r="P359" s="934"/>
      <c r="Q359" s="945"/>
      <c r="R359" s="945"/>
      <c r="S359" s="945"/>
      <c r="T359" s="945"/>
      <c r="U359" s="945"/>
      <c r="V359" s="945"/>
      <c r="W359" s="945"/>
      <c r="X359" s="945"/>
      <c r="Y359" s="1261"/>
      <c r="Z359" s="1261"/>
      <c r="AA359" s="1261"/>
      <c r="AB359" s="1261"/>
      <c r="AC359" s="1261"/>
      <c r="AD359" s="1261"/>
      <c r="AE359" s="1261"/>
      <c r="AF359" s="1261"/>
      <c r="AG359" s="1261"/>
      <c r="AH359" s="1261"/>
      <c r="AI359" s="934"/>
      <c r="AK359" s="303"/>
      <c r="AN359" s="303"/>
      <c r="AO359" s="303"/>
      <c r="AP359" s="303"/>
      <c r="AQ359" s="303"/>
    </row>
    <row r="360" spans="1:43" ht="14.25" customHeight="1" thickTop="1" thickBot="1">
      <c r="A360" s="934"/>
      <c r="B360" s="935" t="s">
        <v>347</v>
      </c>
      <c r="C360" s="934"/>
      <c r="D360" s="934"/>
      <c r="E360" s="934"/>
      <c r="F360" s="934"/>
      <c r="G360" s="1836">
        <f>+SUM(G342:J358)</f>
        <v>0</v>
      </c>
      <c r="H360" s="1837"/>
      <c r="I360" s="1837"/>
      <c r="J360" s="1838"/>
      <c r="K360" s="1836">
        <f>+SUM(K342:N358)</f>
        <v>0</v>
      </c>
      <c r="L360" s="1837"/>
      <c r="M360" s="1837"/>
      <c r="N360" s="1838"/>
      <c r="O360" s="945"/>
      <c r="P360" s="945"/>
      <c r="Q360" s="1736">
        <f>+SUM(Q342:T358)</f>
        <v>0</v>
      </c>
      <c r="R360" s="1737"/>
      <c r="S360" s="1737"/>
      <c r="T360" s="1738"/>
      <c r="U360" s="1736">
        <f>+SUM(U342:X358)</f>
        <v>0</v>
      </c>
      <c r="V360" s="1737"/>
      <c r="W360" s="1737"/>
      <c r="X360" s="1738"/>
      <c r="Y360" s="1261"/>
      <c r="Z360" s="1261"/>
      <c r="AA360" s="1733">
        <f>SUM(AA342:AD358)</f>
        <v>0</v>
      </c>
      <c r="AB360" s="1734"/>
      <c r="AC360" s="1734"/>
      <c r="AD360" s="1735"/>
      <c r="AE360" s="1736">
        <f>+SUM(AE342:AH358)</f>
        <v>0</v>
      </c>
      <c r="AF360" s="1737"/>
      <c r="AG360" s="1737"/>
      <c r="AH360" s="1738"/>
      <c r="AI360" s="934"/>
      <c r="AK360" s="303"/>
      <c r="AN360" s="303"/>
      <c r="AO360" s="303"/>
      <c r="AP360" s="303"/>
      <c r="AQ360" s="303"/>
    </row>
    <row r="361" spans="1:43" ht="13.5" collapsed="1" customHeight="1" thickTop="1">
      <c r="A361" s="934"/>
      <c r="B361" s="934"/>
      <c r="C361" s="934"/>
      <c r="D361" s="934"/>
      <c r="E361" s="934"/>
      <c r="F361" s="934"/>
      <c r="G361" s="934"/>
      <c r="H361" s="934"/>
      <c r="I361" s="934"/>
      <c r="J361" s="934"/>
      <c r="K361" s="934"/>
      <c r="L361" s="934"/>
      <c r="M361" s="934"/>
      <c r="N361" s="934"/>
      <c r="O361" s="934"/>
      <c r="P361" s="934"/>
      <c r="Q361" s="945"/>
      <c r="R361" s="945"/>
      <c r="S361" s="945"/>
      <c r="T361" s="945"/>
      <c r="U361" s="945"/>
      <c r="V361" s="945"/>
      <c r="W361" s="945"/>
      <c r="X361" s="945"/>
      <c r="Y361" s="945"/>
      <c r="Z361" s="945"/>
      <c r="AA361" s="945"/>
      <c r="AB361" s="945"/>
      <c r="AC361" s="945"/>
      <c r="AD361" s="945"/>
      <c r="AE361" s="934"/>
      <c r="AF361" s="934"/>
      <c r="AG361" s="934"/>
      <c r="AH361" s="934"/>
      <c r="AI361" s="934"/>
      <c r="AK361" s="303"/>
      <c r="AN361" s="303"/>
      <c r="AO361" s="303"/>
      <c r="AP361" s="303"/>
      <c r="AQ361" s="303"/>
    </row>
    <row r="362" spans="1:43" ht="13.5" customHeight="1">
      <c r="A362" s="934"/>
      <c r="B362" s="935" t="s">
        <v>311</v>
      </c>
      <c r="C362" s="935" t="s">
        <v>506</v>
      </c>
      <c r="D362" s="934"/>
      <c r="E362" s="934"/>
      <c r="F362" s="934"/>
      <c r="G362" s="934"/>
      <c r="H362" s="934"/>
      <c r="I362" s="934"/>
      <c r="J362" s="934"/>
      <c r="K362" s="934"/>
      <c r="L362" s="934"/>
      <c r="M362" s="934"/>
      <c r="N362" s="934"/>
      <c r="O362" s="934"/>
      <c r="P362" s="934"/>
      <c r="Q362" s="934"/>
      <c r="R362" s="934"/>
      <c r="S362" s="934"/>
      <c r="T362" s="934"/>
      <c r="U362" s="934"/>
      <c r="V362" s="934"/>
      <c r="W362" s="934"/>
      <c r="X362" s="934"/>
      <c r="Y362" s="934"/>
      <c r="Z362" s="934"/>
      <c r="AA362" s="934"/>
      <c r="AB362" s="934"/>
      <c r="AC362" s="934"/>
      <c r="AD362" s="934"/>
      <c r="AE362" s="934"/>
      <c r="AF362" s="934"/>
      <c r="AG362" s="934"/>
      <c r="AH362" s="934"/>
      <c r="AI362" s="934"/>
      <c r="AK362" s="303"/>
      <c r="AN362" s="303"/>
      <c r="AO362" s="303"/>
      <c r="AP362" s="303"/>
      <c r="AQ362" s="303"/>
    </row>
    <row r="363" spans="1:43" ht="13.5" customHeight="1" thickBot="1">
      <c r="A363" s="934"/>
      <c r="B363" s="934"/>
      <c r="C363" s="934"/>
      <c r="D363" s="934"/>
      <c r="E363" s="934"/>
      <c r="F363" s="934"/>
      <c r="G363" s="934"/>
      <c r="H363" s="934"/>
      <c r="I363" s="934"/>
      <c r="J363" s="934"/>
      <c r="K363" s="934"/>
      <c r="L363" s="934"/>
      <c r="M363" s="1975"/>
      <c r="N363" s="1865"/>
      <c r="O363" s="1865"/>
      <c r="P363" s="1865"/>
      <c r="Q363" s="1865"/>
      <c r="R363" s="1865"/>
      <c r="S363" s="1865"/>
      <c r="T363" s="1865"/>
      <c r="U363" s="1865"/>
      <c r="V363" s="1865"/>
      <c r="W363" s="1865"/>
      <c r="X363" s="1865"/>
      <c r="Y363" s="934"/>
      <c r="Z363" s="934"/>
      <c r="AA363" s="934"/>
      <c r="AB363" s="934"/>
      <c r="AC363" s="934"/>
      <c r="AD363" s="934"/>
      <c r="AE363" s="934"/>
      <c r="AF363" s="934"/>
      <c r="AG363" s="934"/>
      <c r="AH363" s="934"/>
      <c r="AI363" s="934"/>
      <c r="AK363" s="303"/>
      <c r="AN363" s="303"/>
      <c r="AO363" s="303"/>
      <c r="AP363" s="303"/>
      <c r="AQ363" s="303"/>
    </row>
    <row r="364" spans="1:43" ht="14.25" customHeight="1" thickTop="1" thickBot="1">
      <c r="A364" s="1969" t="s">
        <v>321</v>
      </c>
      <c r="B364" s="1758" t="s">
        <v>495</v>
      </c>
      <c r="C364" s="1958"/>
      <c r="D364" s="1959"/>
      <c r="E364" s="1758" t="s">
        <v>496</v>
      </c>
      <c r="F364" s="1745"/>
      <c r="G364" s="1974" t="s">
        <v>497</v>
      </c>
      <c r="H364" s="1955"/>
      <c r="I364" s="1955"/>
      <c r="J364" s="1955"/>
      <c r="K364" s="1955"/>
      <c r="L364" s="1955"/>
      <c r="M364" s="1955"/>
      <c r="N364" s="1956"/>
      <c r="O364" s="1758" t="s">
        <v>498</v>
      </c>
      <c r="P364" s="1745"/>
      <c r="Q364" s="1974" t="s">
        <v>499</v>
      </c>
      <c r="R364" s="1955"/>
      <c r="S364" s="1955"/>
      <c r="T364" s="1955"/>
      <c r="U364" s="1955"/>
      <c r="V364" s="1955"/>
      <c r="W364" s="1955"/>
      <c r="X364" s="1956"/>
      <c r="Y364" s="1768" t="s">
        <v>500</v>
      </c>
      <c r="Z364" s="1776"/>
      <c r="AA364" s="1768" t="s">
        <v>1310</v>
      </c>
      <c r="AB364" s="1769"/>
      <c r="AC364" s="1770"/>
      <c r="AD364" s="1778"/>
      <c r="AE364" s="1768" t="s">
        <v>501</v>
      </c>
      <c r="AF364" s="1769"/>
      <c r="AG364" s="1770"/>
      <c r="AH364" s="1771"/>
      <c r="AI364" s="934"/>
      <c r="AK364" s="303"/>
      <c r="AN364" s="303"/>
      <c r="AO364" s="303"/>
      <c r="AP364" s="303"/>
      <c r="AQ364" s="303"/>
    </row>
    <row r="365" spans="1:43" ht="34.5" customHeight="1" thickTop="1" thickBot="1">
      <c r="A365" s="1957"/>
      <c r="B365" s="1960"/>
      <c r="C365" s="1961"/>
      <c r="D365" s="1962"/>
      <c r="E365" s="1746"/>
      <c r="F365" s="1747"/>
      <c r="G365" s="1974" t="s">
        <v>502</v>
      </c>
      <c r="H365" s="1955"/>
      <c r="I365" s="1955"/>
      <c r="J365" s="1956"/>
      <c r="K365" s="1974" t="s">
        <v>503</v>
      </c>
      <c r="L365" s="1955"/>
      <c r="M365" s="1955"/>
      <c r="N365" s="1956"/>
      <c r="O365" s="1746"/>
      <c r="P365" s="1747"/>
      <c r="Q365" s="1974" t="s">
        <v>502</v>
      </c>
      <c r="R365" s="1955"/>
      <c r="S365" s="1955"/>
      <c r="T365" s="1956"/>
      <c r="U365" s="1974" t="s">
        <v>503</v>
      </c>
      <c r="V365" s="1955"/>
      <c r="W365" s="1955"/>
      <c r="X365" s="1956"/>
      <c r="Y365" s="1772"/>
      <c r="Z365" s="1777"/>
      <c r="AA365" s="1772"/>
      <c r="AB365" s="1773"/>
      <c r="AC365" s="1774"/>
      <c r="AD365" s="1779"/>
      <c r="AE365" s="1772"/>
      <c r="AF365" s="1773"/>
      <c r="AG365" s="1774"/>
      <c r="AH365" s="1775"/>
      <c r="AI365" s="934"/>
      <c r="AK365" s="303"/>
      <c r="AN365" s="303"/>
      <c r="AO365" s="303"/>
      <c r="AP365" s="303"/>
      <c r="AQ365" s="303"/>
    </row>
    <row r="366" spans="1:43" ht="13.5" customHeight="1" thickTop="1">
      <c r="A366" s="937"/>
      <c r="B366" s="938"/>
      <c r="C366" s="939"/>
      <c r="D366" s="940"/>
      <c r="E366" s="938"/>
      <c r="F366" s="940"/>
      <c r="G366" s="938"/>
      <c r="H366" s="939"/>
      <c r="I366" s="939"/>
      <c r="J366" s="940"/>
      <c r="K366" s="938"/>
      <c r="L366" s="939"/>
      <c r="M366" s="939"/>
      <c r="N366" s="940"/>
      <c r="O366" s="938"/>
      <c r="P366" s="940"/>
      <c r="Q366" s="938"/>
      <c r="R366" s="939"/>
      <c r="S366" s="939"/>
      <c r="T366" s="940"/>
      <c r="U366" s="938"/>
      <c r="V366" s="939"/>
      <c r="W366" s="939"/>
      <c r="X366" s="940"/>
      <c r="Y366" s="1253"/>
      <c r="Z366" s="1254"/>
      <c r="AA366" s="1253"/>
      <c r="AB366" s="1255"/>
      <c r="AC366" s="1255"/>
      <c r="AD366" s="1254"/>
      <c r="AE366" s="1253"/>
      <c r="AF366" s="1255"/>
      <c r="AG366" s="1255"/>
      <c r="AH366" s="1256"/>
      <c r="AI366" s="934"/>
      <c r="AK366" s="303"/>
      <c r="AN366" s="303"/>
      <c r="AO366" s="303"/>
      <c r="AP366" s="303"/>
      <c r="AQ366" s="303"/>
    </row>
    <row r="367" spans="1:43">
      <c r="A367" s="305">
        <v>1</v>
      </c>
      <c r="B367" s="1708"/>
      <c r="C367" s="1709"/>
      <c r="D367" s="1710"/>
      <c r="E367" s="1706"/>
      <c r="F367" s="1707"/>
      <c r="G367" s="1711"/>
      <c r="H367" s="1712"/>
      <c r="I367" s="1712"/>
      <c r="J367" s="1713"/>
      <c r="K367" s="1711"/>
      <c r="L367" s="1712"/>
      <c r="M367" s="1712"/>
      <c r="N367" s="1713"/>
      <c r="O367" s="1711"/>
      <c r="P367" s="1713"/>
      <c r="Q367" s="1714">
        <f t="shared" si="106" ref="Q367:Q382">G367*O367</f>
        <v>0</v>
      </c>
      <c r="R367" s="1715"/>
      <c r="S367" s="1715"/>
      <c r="T367" s="1720"/>
      <c r="U367" s="1714">
        <f t="shared" si="107" ref="U367:U382">K367*O367</f>
        <v>0</v>
      </c>
      <c r="V367" s="1715"/>
      <c r="W367" s="1715"/>
      <c r="X367" s="1720"/>
      <c r="Y367" s="1725"/>
      <c r="Z367" s="1726"/>
      <c r="AA367" s="1727">
        <f>IF(Y367="",U367,Q367*Y367/100)</f>
        <v>0</v>
      </c>
      <c r="AB367" s="1728"/>
      <c r="AC367" s="1728"/>
      <c r="AD367" s="1729"/>
      <c r="AE367" s="1714">
        <f>IF(AA367=0,U367,IF(U367&gt;(VALUE(AA367)),VALUE(AA367),U367))</f>
        <v>0</v>
      </c>
      <c r="AF367" s="1715"/>
      <c r="AG367" s="1715"/>
      <c r="AH367" s="1716"/>
      <c r="AI367" s="934"/>
      <c r="AK367" s="303"/>
      <c r="AN367" s="303"/>
      <c r="AO367" s="303"/>
      <c r="AP367" s="303"/>
      <c r="AQ367" s="303"/>
    </row>
    <row r="368" spans="1:43">
      <c r="A368" s="306">
        <v>2</v>
      </c>
      <c r="B368" s="1708"/>
      <c r="C368" s="1709"/>
      <c r="D368" s="1710"/>
      <c r="E368" s="1706"/>
      <c r="F368" s="1707"/>
      <c r="G368" s="1711"/>
      <c r="H368" s="1712"/>
      <c r="I368" s="1712"/>
      <c r="J368" s="1713"/>
      <c r="K368" s="1711"/>
      <c r="L368" s="1712"/>
      <c r="M368" s="1712"/>
      <c r="N368" s="1713"/>
      <c r="O368" s="1711"/>
      <c r="P368" s="1713"/>
      <c r="Q368" s="1714">
        <f t="shared" si="106">G368*O368</f>
        <v>0</v>
      </c>
      <c r="R368" s="1715"/>
      <c r="S368" s="1715"/>
      <c r="T368" s="1720"/>
      <c r="U368" s="1714">
        <f t="shared" si="107">K368*O368</f>
        <v>0</v>
      </c>
      <c r="V368" s="1715"/>
      <c r="W368" s="1715"/>
      <c r="X368" s="1720"/>
      <c r="Y368" s="1725"/>
      <c r="Z368" s="1726"/>
      <c r="AA368" s="1727">
        <f t="shared" si="108" ref="AA368:AA382">IF(Y368="",U368,Q368*Y368/100)</f>
        <v>0</v>
      </c>
      <c r="AB368" s="1728"/>
      <c r="AC368" s="1728"/>
      <c r="AD368" s="1729"/>
      <c r="AE368" s="1714">
        <f t="shared" si="109" ref="AE368:AE382">IF(AA368=0,U368,IF(U368&gt;(VALUE(AA368)),VALUE(AA368),U368))</f>
        <v>0</v>
      </c>
      <c r="AF368" s="1715"/>
      <c r="AG368" s="1715"/>
      <c r="AH368" s="1716"/>
      <c r="AI368" s="934"/>
      <c r="AK368" s="303"/>
      <c r="AN368" s="303"/>
      <c r="AO368" s="303"/>
      <c r="AP368" s="303"/>
      <c r="AQ368" s="303"/>
    </row>
    <row r="369" spans="1:43">
      <c r="A369" s="305">
        <v>3</v>
      </c>
      <c r="B369" s="1708"/>
      <c r="C369" s="1709"/>
      <c r="D369" s="1710"/>
      <c r="E369" s="1706"/>
      <c r="F369" s="1707"/>
      <c r="G369" s="1711"/>
      <c r="H369" s="1712"/>
      <c r="I369" s="1712"/>
      <c r="J369" s="1713"/>
      <c r="K369" s="1711"/>
      <c r="L369" s="1712"/>
      <c r="M369" s="1712"/>
      <c r="N369" s="1713"/>
      <c r="O369" s="1711"/>
      <c r="P369" s="1713"/>
      <c r="Q369" s="1714">
        <f t="shared" si="106">G369*O369</f>
        <v>0</v>
      </c>
      <c r="R369" s="1715"/>
      <c r="S369" s="1715"/>
      <c r="T369" s="1720"/>
      <c r="U369" s="1714">
        <f t="shared" si="107">K369*O369</f>
        <v>0</v>
      </c>
      <c r="V369" s="1715"/>
      <c r="W369" s="1715"/>
      <c r="X369" s="1720"/>
      <c r="Y369" s="1725"/>
      <c r="Z369" s="1726"/>
      <c r="AA369" s="1727">
        <f t="shared" si="108">IF(Y369="",U369,Q369*Y369/100)</f>
        <v>0</v>
      </c>
      <c r="AB369" s="1728"/>
      <c r="AC369" s="1728"/>
      <c r="AD369" s="1729"/>
      <c r="AE369" s="1714">
        <f t="shared" si="109">IF(AA369=0,U369,IF(U369&gt;(VALUE(AA369)),VALUE(AA369),U369))</f>
        <v>0</v>
      </c>
      <c r="AF369" s="1715"/>
      <c r="AG369" s="1715"/>
      <c r="AH369" s="1716"/>
      <c r="AI369" s="934"/>
      <c r="AK369" s="303"/>
      <c r="AN369" s="303"/>
      <c r="AO369" s="303"/>
      <c r="AP369" s="303"/>
      <c r="AQ369" s="303"/>
    </row>
    <row r="370" spans="1:43">
      <c r="A370" s="306">
        <v>4</v>
      </c>
      <c r="B370" s="1708"/>
      <c r="C370" s="1709"/>
      <c r="D370" s="1710"/>
      <c r="E370" s="1706"/>
      <c r="F370" s="1707"/>
      <c r="G370" s="1711"/>
      <c r="H370" s="1712"/>
      <c r="I370" s="1712"/>
      <c r="J370" s="1713"/>
      <c r="K370" s="1711"/>
      <c r="L370" s="1712"/>
      <c r="M370" s="1712"/>
      <c r="N370" s="1713"/>
      <c r="O370" s="1711"/>
      <c r="P370" s="1713"/>
      <c r="Q370" s="1714">
        <f t="shared" si="106">G370*O370</f>
        <v>0</v>
      </c>
      <c r="R370" s="1715"/>
      <c r="S370" s="1715"/>
      <c r="T370" s="1720"/>
      <c r="U370" s="1714">
        <f t="shared" si="107">K370*O370</f>
        <v>0</v>
      </c>
      <c r="V370" s="1715"/>
      <c r="W370" s="1715"/>
      <c r="X370" s="1720"/>
      <c r="Y370" s="1725"/>
      <c r="Z370" s="1726"/>
      <c r="AA370" s="1727">
        <f t="shared" si="108">IF(Y370="",U370,Q370*Y370/100)</f>
        <v>0</v>
      </c>
      <c r="AB370" s="1728"/>
      <c r="AC370" s="1728"/>
      <c r="AD370" s="1729"/>
      <c r="AE370" s="1714">
        <f t="shared" si="109">IF(AA370=0,U370,IF(U370&gt;(VALUE(AA370)),VALUE(AA370),U370))</f>
        <v>0</v>
      </c>
      <c r="AF370" s="1715"/>
      <c r="AG370" s="1715"/>
      <c r="AH370" s="1716"/>
      <c r="AI370" s="934"/>
      <c r="AK370" s="303"/>
      <c r="AN370" s="303"/>
      <c r="AO370" s="303"/>
      <c r="AP370" s="303"/>
      <c r="AQ370" s="303"/>
    </row>
    <row r="371" spans="1:43">
      <c r="A371" s="305">
        <v>5</v>
      </c>
      <c r="B371" s="1708"/>
      <c r="C371" s="1709"/>
      <c r="D371" s="1710"/>
      <c r="E371" s="1706"/>
      <c r="F371" s="1707"/>
      <c r="G371" s="1711"/>
      <c r="H371" s="1712"/>
      <c r="I371" s="1712"/>
      <c r="J371" s="1713"/>
      <c r="K371" s="1711"/>
      <c r="L371" s="1712"/>
      <c r="M371" s="1712"/>
      <c r="N371" s="1713"/>
      <c r="O371" s="1711"/>
      <c r="P371" s="1713"/>
      <c r="Q371" s="1714">
        <f t="shared" si="106">G371*O371</f>
        <v>0</v>
      </c>
      <c r="R371" s="1715"/>
      <c r="S371" s="1715"/>
      <c r="T371" s="1720"/>
      <c r="U371" s="1714">
        <f t="shared" si="107">K371*O371</f>
        <v>0</v>
      </c>
      <c r="V371" s="1715"/>
      <c r="W371" s="1715"/>
      <c r="X371" s="1720"/>
      <c r="Y371" s="1725"/>
      <c r="Z371" s="1726"/>
      <c r="AA371" s="1727">
        <f t="shared" si="108">IF(Y371="",U371,Q371*Y371/100)</f>
        <v>0</v>
      </c>
      <c r="AB371" s="1728"/>
      <c r="AC371" s="1728"/>
      <c r="AD371" s="1729"/>
      <c r="AE371" s="1714">
        <f t="shared" si="109">IF(AA371=0,U371,IF(U371&gt;(VALUE(AA371)),VALUE(AA371),U371))</f>
        <v>0</v>
      </c>
      <c r="AF371" s="1715"/>
      <c r="AG371" s="1715"/>
      <c r="AH371" s="1716"/>
      <c r="AI371" s="934"/>
      <c r="AK371" s="303"/>
      <c r="AN371" s="303"/>
      <c r="AO371" s="303"/>
      <c r="AP371" s="303"/>
      <c r="AQ371" s="303"/>
    </row>
    <row r="372" spans="1:43">
      <c r="A372" s="306">
        <v>6</v>
      </c>
      <c r="B372" s="1708"/>
      <c r="C372" s="1709"/>
      <c r="D372" s="1710"/>
      <c r="E372" s="1706"/>
      <c r="F372" s="1707"/>
      <c r="G372" s="1711"/>
      <c r="H372" s="1712"/>
      <c r="I372" s="1712"/>
      <c r="J372" s="1713"/>
      <c r="K372" s="1711"/>
      <c r="L372" s="1712"/>
      <c r="M372" s="1712"/>
      <c r="N372" s="1713"/>
      <c r="O372" s="1711"/>
      <c r="P372" s="1713"/>
      <c r="Q372" s="1714">
        <f t="shared" si="106">G372*O372</f>
        <v>0</v>
      </c>
      <c r="R372" s="1715"/>
      <c r="S372" s="1715"/>
      <c r="T372" s="1720"/>
      <c r="U372" s="1714">
        <f t="shared" si="107">K372*O372</f>
        <v>0</v>
      </c>
      <c r="V372" s="1715"/>
      <c r="W372" s="1715"/>
      <c r="X372" s="1720"/>
      <c r="Y372" s="1725"/>
      <c r="Z372" s="1726"/>
      <c r="AA372" s="1727">
        <f t="shared" si="108">IF(Y372="",U372,Q372*Y372/100)</f>
        <v>0</v>
      </c>
      <c r="AB372" s="1728"/>
      <c r="AC372" s="1728"/>
      <c r="AD372" s="1729"/>
      <c r="AE372" s="1714">
        <f t="shared" si="109">IF(AA372=0,U372,IF(U372&gt;(VALUE(AA372)),VALUE(AA372),U372))</f>
        <v>0</v>
      </c>
      <c r="AF372" s="1715"/>
      <c r="AG372" s="1715"/>
      <c r="AH372" s="1716"/>
      <c r="AI372" s="934"/>
      <c r="AK372" s="303"/>
      <c r="AN372" s="303"/>
      <c r="AO372" s="303"/>
      <c r="AP372" s="303"/>
      <c r="AQ372" s="303"/>
    </row>
    <row r="373" spans="1:43">
      <c r="A373" s="305">
        <v>7</v>
      </c>
      <c r="B373" s="1708"/>
      <c r="C373" s="1709"/>
      <c r="D373" s="1710"/>
      <c r="E373" s="1706"/>
      <c r="F373" s="1707"/>
      <c r="G373" s="1711"/>
      <c r="H373" s="1712"/>
      <c r="I373" s="1712"/>
      <c r="J373" s="1713"/>
      <c r="K373" s="1711"/>
      <c r="L373" s="1712"/>
      <c r="M373" s="1712"/>
      <c r="N373" s="1713"/>
      <c r="O373" s="1711"/>
      <c r="P373" s="1713"/>
      <c r="Q373" s="1714">
        <f t="shared" si="106">G373*O373</f>
        <v>0</v>
      </c>
      <c r="R373" s="1715"/>
      <c r="S373" s="1715"/>
      <c r="T373" s="1720"/>
      <c r="U373" s="1714">
        <f t="shared" si="107">K373*O373</f>
        <v>0</v>
      </c>
      <c r="V373" s="1715"/>
      <c r="W373" s="1715"/>
      <c r="X373" s="1720"/>
      <c r="Y373" s="1725"/>
      <c r="Z373" s="1726"/>
      <c r="AA373" s="1727">
        <f t="shared" si="108">IF(Y373="",U373,Q373*Y373/100)</f>
        <v>0</v>
      </c>
      <c r="AB373" s="1728"/>
      <c r="AC373" s="1728"/>
      <c r="AD373" s="1729"/>
      <c r="AE373" s="1714">
        <f t="shared" si="109">IF(AA373=0,U373,IF(U373&gt;(VALUE(AA373)),VALUE(AA373),U373))</f>
        <v>0</v>
      </c>
      <c r="AF373" s="1715"/>
      <c r="AG373" s="1715"/>
      <c r="AH373" s="1716"/>
      <c r="AI373" s="934"/>
      <c r="AK373" s="303"/>
      <c r="AN373" s="303"/>
      <c r="AO373" s="303"/>
      <c r="AP373" s="303"/>
      <c r="AQ373" s="303"/>
    </row>
    <row r="374" spans="1:43">
      <c r="A374" s="306">
        <v>8</v>
      </c>
      <c r="B374" s="1708"/>
      <c r="C374" s="1709"/>
      <c r="D374" s="1710"/>
      <c r="E374" s="1706"/>
      <c r="F374" s="1707"/>
      <c r="G374" s="1711"/>
      <c r="H374" s="1712"/>
      <c r="I374" s="1712"/>
      <c r="J374" s="1713"/>
      <c r="K374" s="1711"/>
      <c r="L374" s="1712"/>
      <c r="M374" s="1712"/>
      <c r="N374" s="1713"/>
      <c r="O374" s="1711"/>
      <c r="P374" s="1713"/>
      <c r="Q374" s="1714">
        <f t="shared" si="106">G374*O374</f>
        <v>0</v>
      </c>
      <c r="R374" s="1715"/>
      <c r="S374" s="1715"/>
      <c r="T374" s="1720"/>
      <c r="U374" s="1714">
        <f t="shared" si="107">K374*O374</f>
        <v>0</v>
      </c>
      <c r="V374" s="1715"/>
      <c r="W374" s="1715"/>
      <c r="X374" s="1720"/>
      <c r="Y374" s="1725"/>
      <c r="Z374" s="1726"/>
      <c r="AA374" s="1727">
        <f t="shared" si="108">IF(Y374="",U374,Q374*Y374/100)</f>
        <v>0</v>
      </c>
      <c r="AB374" s="1728"/>
      <c r="AC374" s="1728"/>
      <c r="AD374" s="1729"/>
      <c r="AE374" s="1714">
        <f t="shared" si="109">IF(AA374=0,U374,IF(U374&gt;(VALUE(AA374)),VALUE(AA374),U374))</f>
        <v>0</v>
      </c>
      <c r="AF374" s="1715"/>
      <c r="AG374" s="1715"/>
      <c r="AH374" s="1716"/>
      <c r="AI374" s="934"/>
      <c r="AK374" s="303"/>
      <c r="AN374" s="303"/>
      <c r="AO374" s="303"/>
      <c r="AP374" s="303"/>
      <c r="AQ374" s="303"/>
    </row>
    <row r="375" spans="1:43">
      <c r="A375" s="305">
        <v>9</v>
      </c>
      <c r="B375" s="1708"/>
      <c r="C375" s="1709"/>
      <c r="D375" s="1710"/>
      <c r="E375" s="1706"/>
      <c r="F375" s="1707"/>
      <c r="G375" s="1711"/>
      <c r="H375" s="1712"/>
      <c r="I375" s="1712"/>
      <c r="J375" s="1713"/>
      <c r="K375" s="1711"/>
      <c r="L375" s="1712"/>
      <c r="M375" s="1712"/>
      <c r="N375" s="1713"/>
      <c r="O375" s="1711"/>
      <c r="P375" s="1713"/>
      <c r="Q375" s="1714">
        <f t="shared" si="106">G375*O375</f>
        <v>0</v>
      </c>
      <c r="R375" s="1715"/>
      <c r="S375" s="1715"/>
      <c r="T375" s="1720"/>
      <c r="U375" s="1714">
        <f t="shared" si="107">K375*O375</f>
        <v>0</v>
      </c>
      <c r="V375" s="1715"/>
      <c r="W375" s="1715"/>
      <c r="X375" s="1720"/>
      <c r="Y375" s="1725"/>
      <c r="Z375" s="1726"/>
      <c r="AA375" s="1727">
        <f t="shared" si="108">IF(Y375="",U375,Q375*Y375/100)</f>
        <v>0</v>
      </c>
      <c r="AB375" s="1728"/>
      <c r="AC375" s="1728"/>
      <c r="AD375" s="1729"/>
      <c r="AE375" s="1714">
        <f t="shared" si="109">IF(AA375=0,U375,IF(U375&gt;(VALUE(AA375)),VALUE(AA375),U375))</f>
        <v>0</v>
      </c>
      <c r="AF375" s="1715"/>
      <c r="AG375" s="1715"/>
      <c r="AH375" s="1716"/>
      <c r="AI375" s="934"/>
      <c r="AK375" s="303"/>
      <c r="AN375" s="303"/>
      <c r="AO375" s="303"/>
      <c r="AP375" s="303"/>
      <c r="AQ375" s="303"/>
    </row>
    <row r="376" spans="1:43">
      <c r="A376" s="306">
        <v>10</v>
      </c>
      <c r="B376" s="1708"/>
      <c r="C376" s="1709"/>
      <c r="D376" s="1710"/>
      <c r="E376" s="1706"/>
      <c r="F376" s="1707"/>
      <c r="G376" s="1711"/>
      <c r="H376" s="1712"/>
      <c r="I376" s="1712"/>
      <c r="J376" s="1713"/>
      <c r="K376" s="1711"/>
      <c r="L376" s="1712"/>
      <c r="M376" s="1712"/>
      <c r="N376" s="1713"/>
      <c r="O376" s="1711"/>
      <c r="P376" s="1713"/>
      <c r="Q376" s="1714">
        <f t="shared" si="106">G376*O376</f>
        <v>0</v>
      </c>
      <c r="R376" s="1715"/>
      <c r="S376" s="1715"/>
      <c r="T376" s="1720"/>
      <c r="U376" s="1714">
        <f t="shared" si="107">K376*O376</f>
        <v>0</v>
      </c>
      <c r="V376" s="1715"/>
      <c r="W376" s="1715"/>
      <c r="X376" s="1720"/>
      <c r="Y376" s="1725"/>
      <c r="Z376" s="1726"/>
      <c r="AA376" s="1727">
        <f t="shared" si="108">IF(Y376="",U376,Q376*Y376/100)</f>
        <v>0</v>
      </c>
      <c r="AB376" s="1728"/>
      <c r="AC376" s="1728"/>
      <c r="AD376" s="1729"/>
      <c r="AE376" s="1714">
        <f t="shared" si="109">IF(AA376=0,U376,IF(U376&gt;(VALUE(AA376)),VALUE(AA376),U376))</f>
        <v>0</v>
      </c>
      <c r="AF376" s="1715"/>
      <c r="AG376" s="1715"/>
      <c r="AH376" s="1716"/>
      <c r="AI376" s="934"/>
      <c r="AK376" s="303"/>
      <c r="AN376" s="303"/>
      <c r="AO376" s="303"/>
      <c r="AP376" s="303"/>
      <c r="AQ376" s="303"/>
    </row>
    <row r="377" spans="1:43">
      <c r="A377" s="305">
        <v>11</v>
      </c>
      <c r="B377" s="1708"/>
      <c r="C377" s="1709"/>
      <c r="D377" s="1710"/>
      <c r="E377" s="1706"/>
      <c r="F377" s="1707"/>
      <c r="G377" s="1711"/>
      <c r="H377" s="1712"/>
      <c r="I377" s="1712"/>
      <c r="J377" s="1713"/>
      <c r="K377" s="1711"/>
      <c r="L377" s="1712"/>
      <c r="M377" s="1712"/>
      <c r="N377" s="1713"/>
      <c r="O377" s="1711"/>
      <c r="P377" s="1713"/>
      <c r="Q377" s="1714">
        <f t="shared" si="106">G377*O377</f>
        <v>0</v>
      </c>
      <c r="R377" s="1715"/>
      <c r="S377" s="1715"/>
      <c r="T377" s="1720"/>
      <c r="U377" s="1714">
        <f t="shared" si="107">K377*O377</f>
        <v>0</v>
      </c>
      <c r="V377" s="1715"/>
      <c r="W377" s="1715"/>
      <c r="X377" s="1720"/>
      <c r="Y377" s="1725"/>
      <c r="Z377" s="1726"/>
      <c r="AA377" s="1727">
        <f t="shared" si="108">IF(Y377="",U377,Q377*Y377/100)</f>
        <v>0</v>
      </c>
      <c r="AB377" s="1728"/>
      <c r="AC377" s="1728"/>
      <c r="AD377" s="1729"/>
      <c r="AE377" s="1714">
        <f t="shared" si="109">IF(AA377=0,U377,IF(U377&gt;(VALUE(AA377)),VALUE(AA377),U377))</f>
        <v>0</v>
      </c>
      <c r="AF377" s="1715"/>
      <c r="AG377" s="1715"/>
      <c r="AH377" s="1716"/>
      <c r="AI377" s="934"/>
      <c r="AK377" s="303"/>
      <c r="AN377" s="303"/>
      <c r="AO377" s="303"/>
      <c r="AP377" s="303"/>
      <c r="AQ377" s="303"/>
    </row>
    <row r="378" spans="1:43">
      <c r="A378" s="306">
        <v>12</v>
      </c>
      <c r="B378" s="1708"/>
      <c r="C378" s="1709"/>
      <c r="D378" s="1710"/>
      <c r="E378" s="1706"/>
      <c r="F378" s="1707"/>
      <c r="G378" s="1711"/>
      <c r="H378" s="1712"/>
      <c r="I378" s="1712"/>
      <c r="J378" s="1713"/>
      <c r="K378" s="1711"/>
      <c r="L378" s="1712"/>
      <c r="M378" s="1712"/>
      <c r="N378" s="1713"/>
      <c r="O378" s="1711"/>
      <c r="P378" s="1713"/>
      <c r="Q378" s="1714">
        <f t="shared" si="106">G378*O378</f>
        <v>0</v>
      </c>
      <c r="R378" s="1715"/>
      <c r="S378" s="1715"/>
      <c r="T378" s="1720"/>
      <c r="U378" s="1714">
        <f t="shared" si="107">K378*O378</f>
        <v>0</v>
      </c>
      <c r="V378" s="1715"/>
      <c r="W378" s="1715"/>
      <c r="X378" s="1720"/>
      <c r="Y378" s="1725"/>
      <c r="Z378" s="1726"/>
      <c r="AA378" s="1727">
        <f t="shared" si="108">IF(Y378="",U378,Q378*Y378/100)</f>
        <v>0</v>
      </c>
      <c r="AB378" s="1728"/>
      <c r="AC378" s="1728"/>
      <c r="AD378" s="1729"/>
      <c r="AE378" s="1714">
        <f t="shared" si="109">IF(AA378=0,U378,IF(U378&gt;(VALUE(AA378)),VALUE(AA378),U378))</f>
        <v>0</v>
      </c>
      <c r="AF378" s="1715"/>
      <c r="AG378" s="1715"/>
      <c r="AH378" s="1716"/>
      <c r="AI378" s="934"/>
      <c r="AK378" s="303"/>
      <c r="AN378" s="303"/>
      <c r="AO378" s="303"/>
      <c r="AP378" s="303"/>
      <c r="AQ378" s="303"/>
    </row>
    <row r="379" spans="1:43">
      <c r="A379" s="305">
        <v>13</v>
      </c>
      <c r="B379" s="1708"/>
      <c r="C379" s="1709"/>
      <c r="D379" s="1710"/>
      <c r="E379" s="1706"/>
      <c r="F379" s="1707"/>
      <c r="G379" s="1711"/>
      <c r="H379" s="1712"/>
      <c r="I379" s="1712"/>
      <c r="J379" s="1713"/>
      <c r="K379" s="1711"/>
      <c r="L379" s="1712"/>
      <c r="M379" s="1712"/>
      <c r="N379" s="1713"/>
      <c r="O379" s="1711"/>
      <c r="P379" s="1713"/>
      <c r="Q379" s="1714">
        <f t="shared" si="106">G379*O379</f>
        <v>0</v>
      </c>
      <c r="R379" s="1715"/>
      <c r="S379" s="1715"/>
      <c r="T379" s="1720"/>
      <c r="U379" s="1714">
        <f t="shared" si="107">K379*O379</f>
        <v>0</v>
      </c>
      <c r="V379" s="1715"/>
      <c r="W379" s="1715"/>
      <c r="X379" s="1720"/>
      <c r="Y379" s="1725"/>
      <c r="Z379" s="1726"/>
      <c r="AA379" s="1727">
        <f t="shared" si="108">IF(Y379="",U379,Q379*Y379/100)</f>
        <v>0</v>
      </c>
      <c r="AB379" s="1728"/>
      <c r="AC379" s="1728"/>
      <c r="AD379" s="1729"/>
      <c r="AE379" s="1714">
        <f t="shared" si="109">IF(AA379=0,U379,IF(U379&gt;(VALUE(AA379)),VALUE(AA379),U379))</f>
        <v>0</v>
      </c>
      <c r="AF379" s="1715"/>
      <c r="AG379" s="1715"/>
      <c r="AH379" s="1716"/>
      <c r="AI379" s="934"/>
      <c r="AK379" s="303"/>
      <c r="AN379" s="303"/>
      <c r="AO379" s="303"/>
      <c r="AP379" s="303"/>
      <c r="AQ379" s="303"/>
    </row>
    <row r="380" spans="1:43">
      <c r="A380" s="306">
        <v>14</v>
      </c>
      <c r="B380" s="1708"/>
      <c r="C380" s="1709"/>
      <c r="D380" s="1710"/>
      <c r="E380" s="1706"/>
      <c r="F380" s="1707"/>
      <c r="G380" s="1711"/>
      <c r="H380" s="1712"/>
      <c r="I380" s="1712"/>
      <c r="J380" s="1713"/>
      <c r="K380" s="1711"/>
      <c r="L380" s="1712"/>
      <c r="M380" s="1712"/>
      <c r="N380" s="1713"/>
      <c r="O380" s="1711"/>
      <c r="P380" s="1713"/>
      <c r="Q380" s="1714">
        <f t="shared" si="110" ref="Q380">G380*O380</f>
        <v>0</v>
      </c>
      <c r="R380" s="1715"/>
      <c r="S380" s="1715"/>
      <c r="T380" s="1720"/>
      <c r="U380" s="1714">
        <f t="shared" si="111" ref="U380">K380*O380</f>
        <v>0</v>
      </c>
      <c r="V380" s="1715"/>
      <c r="W380" s="1715"/>
      <c r="X380" s="1720"/>
      <c r="Y380" s="1725"/>
      <c r="Z380" s="1726"/>
      <c r="AA380" s="1727">
        <f t="shared" si="112" ref="AA380">IF(Y380="",U380,Q380*Y380/100)</f>
        <v>0</v>
      </c>
      <c r="AB380" s="1728"/>
      <c r="AC380" s="1728"/>
      <c r="AD380" s="1729"/>
      <c r="AE380" s="1714">
        <f t="shared" si="113" ref="AE380">IF(AA380=0,U380,IF(U380&gt;(VALUE(AA380)),VALUE(AA380),U380))</f>
        <v>0</v>
      </c>
      <c r="AF380" s="1715"/>
      <c r="AG380" s="1715"/>
      <c r="AH380" s="1716"/>
      <c r="AI380" s="934"/>
      <c r="AK380" s="303"/>
      <c r="AN380" s="303"/>
      <c r="AO380" s="303"/>
      <c r="AP380" s="303"/>
      <c r="AQ380" s="303"/>
    </row>
    <row r="381" spans="1:43">
      <c r="A381" s="305">
        <v>15</v>
      </c>
      <c r="B381" s="1708"/>
      <c r="C381" s="1709"/>
      <c r="D381" s="1710"/>
      <c r="E381" s="1706"/>
      <c r="F381" s="1707"/>
      <c r="G381" s="1711"/>
      <c r="H381" s="1712"/>
      <c r="I381" s="1712"/>
      <c r="J381" s="1713"/>
      <c r="K381" s="1711"/>
      <c r="L381" s="1712"/>
      <c r="M381" s="1712"/>
      <c r="N381" s="1713"/>
      <c r="O381" s="1711"/>
      <c r="P381" s="1713"/>
      <c r="Q381" s="1714">
        <f t="shared" si="106">G381*O381</f>
        <v>0</v>
      </c>
      <c r="R381" s="1715"/>
      <c r="S381" s="1715"/>
      <c r="T381" s="1720"/>
      <c r="U381" s="1714">
        <f t="shared" si="107">K381*O381</f>
        <v>0</v>
      </c>
      <c r="V381" s="1715"/>
      <c r="W381" s="1715"/>
      <c r="X381" s="1720"/>
      <c r="Y381" s="1725"/>
      <c r="Z381" s="1726"/>
      <c r="AA381" s="1727">
        <f t="shared" si="108">IF(Y381="",U381,Q381*Y381/100)</f>
        <v>0</v>
      </c>
      <c r="AB381" s="1728"/>
      <c r="AC381" s="1728"/>
      <c r="AD381" s="1729"/>
      <c r="AE381" s="1714">
        <f t="shared" si="109">IF(AA381=0,U381,IF(U381&gt;(VALUE(AA381)),VALUE(AA381),U381))</f>
        <v>0</v>
      </c>
      <c r="AF381" s="1715"/>
      <c r="AG381" s="1715"/>
      <c r="AH381" s="1716"/>
      <c r="AI381" s="934"/>
      <c r="AK381" s="303"/>
      <c r="AN381" s="303"/>
      <c r="AO381" s="303"/>
      <c r="AP381" s="303"/>
      <c r="AQ381" s="303"/>
    </row>
    <row r="382" spans="1:43">
      <c r="A382" s="307" t="s">
        <v>504</v>
      </c>
      <c r="B382" s="1703"/>
      <c r="C382" s="1704"/>
      <c r="D382" s="1705"/>
      <c r="E382" s="1706"/>
      <c r="F382" s="1707"/>
      <c r="G382" s="1706"/>
      <c r="H382" s="1902"/>
      <c r="I382" s="1902"/>
      <c r="J382" s="1707"/>
      <c r="K382" s="1711"/>
      <c r="L382" s="1712"/>
      <c r="M382" s="1712"/>
      <c r="N382" s="1713"/>
      <c r="O382" s="1711"/>
      <c r="P382" s="1713"/>
      <c r="Q382" s="1714">
        <f t="shared" si="106">G382*O382</f>
        <v>0</v>
      </c>
      <c r="R382" s="1715"/>
      <c r="S382" s="1715"/>
      <c r="T382" s="1720"/>
      <c r="U382" s="1714">
        <f t="shared" si="107">K382*O382</f>
        <v>0</v>
      </c>
      <c r="V382" s="1715"/>
      <c r="W382" s="1715"/>
      <c r="X382" s="1720"/>
      <c r="Y382" s="1725"/>
      <c r="Z382" s="1726"/>
      <c r="AA382" s="1727">
        <f t="shared" si="108">IF(Y382="",U382,Q382*Y382/100)</f>
        <v>0</v>
      </c>
      <c r="AB382" s="1728"/>
      <c r="AC382" s="1728"/>
      <c r="AD382" s="1729"/>
      <c r="AE382" s="1714">
        <f t="shared" si="109">IF(AA382=0,U382,IF(U382&gt;(VALUE(AA382)),VALUE(AA382),U382))</f>
        <v>0</v>
      </c>
      <c r="AF382" s="1715"/>
      <c r="AG382" s="1715"/>
      <c r="AH382" s="1716"/>
      <c r="AI382" s="934"/>
      <c r="AK382" s="303"/>
      <c r="AN382" s="303"/>
      <c r="AO382" s="303"/>
      <c r="AP382" s="303"/>
      <c r="AQ382" s="303"/>
    </row>
    <row r="383" spans="1:43" ht="13.5" customHeight="1" thickBot="1">
      <c r="A383" s="941"/>
      <c r="B383" s="942"/>
      <c r="C383" s="943"/>
      <c r="D383" s="944"/>
      <c r="E383" s="942"/>
      <c r="F383" s="944"/>
      <c r="G383" s="942"/>
      <c r="H383" s="943"/>
      <c r="I383" s="943"/>
      <c r="J383" s="944"/>
      <c r="K383" s="942"/>
      <c r="L383" s="943"/>
      <c r="M383" s="943"/>
      <c r="N383" s="944"/>
      <c r="O383" s="942"/>
      <c r="P383" s="944"/>
      <c r="Q383" s="942"/>
      <c r="R383" s="943"/>
      <c r="S383" s="943"/>
      <c r="T383" s="944"/>
      <c r="U383" s="942"/>
      <c r="V383" s="943"/>
      <c r="W383" s="943"/>
      <c r="X383" s="944"/>
      <c r="Y383" s="1257"/>
      <c r="Z383" s="1258"/>
      <c r="AA383" s="1257"/>
      <c r="AB383" s="1259"/>
      <c r="AC383" s="1259"/>
      <c r="AD383" s="1258"/>
      <c r="AE383" s="1257"/>
      <c r="AF383" s="1259"/>
      <c r="AG383" s="1259"/>
      <c r="AH383" s="1260"/>
      <c r="AI383" s="934"/>
      <c r="AK383" s="303"/>
      <c r="AN383" s="303"/>
      <c r="AO383" s="303"/>
      <c r="AP383" s="303"/>
      <c r="AQ383" s="303"/>
    </row>
    <row r="384" spans="1:43" ht="13.5" customHeight="1" thickTop="1" thickBot="1">
      <c r="A384" s="934"/>
      <c r="B384" s="934"/>
      <c r="C384" s="934"/>
      <c r="D384" s="934"/>
      <c r="E384" s="934"/>
      <c r="F384" s="934"/>
      <c r="G384" s="934"/>
      <c r="H384" s="934"/>
      <c r="I384" s="934"/>
      <c r="J384" s="934"/>
      <c r="K384" s="934"/>
      <c r="L384" s="934"/>
      <c r="M384" s="934"/>
      <c r="N384" s="934"/>
      <c r="O384" s="934"/>
      <c r="P384" s="934"/>
      <c r="Q384" s="934"/>
      <c r="R384" s="934"/>
      <c r="S384" s="934"/>
      <c r="T384" s="934"/>
      <c r="U384" s="934"/>
      <c r="V384" s="934"/>
      <c r="W384" s="934"/>
      <c r="X384" s="934"/>
      <c r="Y384" s="1261"/>
      <c r="Z384" s="1261"/>
      <c r="AA384" s="1261"/>
      <c r="AB384" s="1261"/>
      <c r="AC384" s="1261"/>
      <c r="AD384" s="1261"/>
      <c r="AE384" s="1261"/>
      <c r="AF384" s="1261"/>
      <c r="AG384" s="1261"/>
      <c r="AH384" s="1261"/>
      <c r="AI384" s="934"/>
      <c r="AK384" s="303"/>
      <c r="AN384" s="303"/>
      <c r="AO384" s="303"/>
      <c r="AP384" s="303"/>
      <c r="AQ384" s="303"/>
    </row>
    <row r="385" spans="1:43" ht="14.25" customHeight="1" thickTop="1" thickBot="1">
      <c r="A385" s="934"/>
      <c r="B385" s="935" t="s">
        <v>347</v>
      </c>
      <c r="C385" s="934"/>
      <c r="D385" s="934"/>
      <c r="E385" s="934"/>
      <c r="F385" s="934"/>
      <c r="G385" s="1973">
        <f>SUM(G367:J383)</f>
        <v>0</v>
      </c>
      <c r="H385" s="1834"/>
      <c r="I385" s="1834"/>
      <c r="J385" s="1835"/>
      <c r="K385" s="1973">
        <f>SUM(K367:N383)</f>
        <v>0</v>
      </c>
      <c r="L385" s="1834"/>
      <c r="M385" s="1834"/>
      <c r="N385" s="1835"/>
      <c r="O385" s="945"/>
      <c r="P385" s="945"/>
      <c r="Q385" s="1972">
        <f>SUM(Q367:T383)</f>
        <v>0</v>
      </c>
      <c r="R385" s="1949"/>
      <c r="S385" s="1949"/>
      <c r="T385" s="1950"/>
      <c r="U385" s="1972">
        <f>SUM(U367:X383)</f>
        <v>0</v>
      </c>
      <c r="V385" s="1949"/>
      <c r="W385" s="1949"/>
      <c r="X385" s="1950"/>
      <c r="Y385" s="1261"/>
      <c r="Z385" s="1261"/>
      <c r="AA385" s="1733">
        <f>SUM(AA367:AD383)</f>
        <v>0</v>
      </c>
      <c r="AB385" s="1734"/>
      <c r="AC385" s="1734"/>
      <c r="AD385" s="1735"/>
      <c r="AE385" s="1736">
        <f>+SUM(AE367:AH383)</f>
        <v>0</v>
      </c>
      <c r="AF385" s="1737"/>
      <c r="AG385" s="1737"/>
      <c r="AH385" s="1738"/>
      <c r="AI385" s="934"/>
      <c r="AK385" s="303"/>
      <c r="AN385" s="303"/>
      <c r="AO385" s="303"/>
      <c r="AP385" s="303"/>
      <c r="AQ385" s="303"/>
    </row>
    <row r="386" spans="1:43" ht="13.5" collapsed="1" customHeight="1" thickTop="1">
      <c r="A386" s="934"/>
      <c r="B386" s="934"/>
      <c r="C386" s="934"/>
      <c r="D386" s="934"/>
      <c r="E386" s="934"/>
      <c r="F386" s="934"/>
      <c r="G386" s="934"/>
      <c r="H386" s="934"/>
      <c r="I386" s="934"/>
      <c r="J386" s="934"/>
      <c r="K386" s="934"/>
      <c r="L386" s="934"/>
      <c r="M386" s="934"/>
      <c r="N386" s="934"/>
      <c r="O386" s="934"/>
      <c r="P386" s="934"/>
      <c r="Q386" s="934"/>
      <c r="R386" s="934"/>
      <c r="S386" s="934"/>
      <c r="T386" s="934"/>
      <c r="U386" s="934"/>
      <c r="V386" s="934"/>
      <c r="W386" s="934"/>
      <c r="X386" s="934"/>
      <c r="Y386" s="934"/>
      <c r="Z386" s="934"/>
      <c r="AA386" s="934"/>
      <c r="AB386" s="934"/>
      <c r="AC386" s="934"/>
      <c r="AD386" s="934"/>
      <c r="AE386" s="934"/>
      <c r="AF386" s="934"/>
      <c r="AG386" s="934"/>
      <c r="AH386" s="934"/>
      <c r="AI386" s="934"/>
      <c r="AK386" s="303"/>
      <c r="AN386" s="303"/>
      <c r="AO386" s="303"/>
      <c r="AP386" s="303"/>
      <c r="AQ386" s="303"/>
    </row>
    <row r="387" spans="1:35" ht="13.5" customHeight="1">
      <c r="A387" s="934"/>
      <c r="B387" s="935" t="s">
        <v>313</v>
      </c>
      <c r="C387" s="935" t="s">
        <v>507</v>
      </c>
      <c r="D387" s="934"/>
      <c r="E387" s="934"/>
      <c r="F387" s="934"/>
      <c r="G387" s="934"/>
      <c r="H387" s="934"/>
      <c r="I387" s="934"/>
      <c r="J387" s="934"/>
      <c r="K387" s="934"/>
      <c r="L387" s="934"/>
      <c r="M387" s="934"/>
      <c r="N387" s="934"/>
      <c r="O387" s="934"/>
      <c r="P387" s="934"/>
      <c r="Q387" s="934"/>
      <c r="R387" s="934"/>
      <c r="S387" s="934"/>
      <c r="T387" s="934"/>
      <c r="U387" s="934"/>
      <c r="V387" s="934"/>
      <c r="W387" s="934"/>
      <c r="X387" s="934"/>
      <c r="Y387" s="934"/>
      <c r="Z387" s="934"/>
      <c r="AA387" s="934"/>
      <c r="AB387" s="934"/>
      <c r="AC387" s="934"/>
      <c r="AD387" s="934"/>
      <c r="AE387" s="934"/>
      <c r="AF387" s="934"/>
      <c r="AG387" s="934"/>
      <c r="AH387" s="934"/>
      <c r="AI387" s="934"/>
    </row>
    <row r="388" spans="1:35" ht="13.5" customHeight="1" thickBot="1">
      <c r="A388" s="934"/>
      <c r="B388" s="934"/>
      <c r="C388" s="934"/>
      <c r="D388" s="934"/>
      <c r="E388" s="934"/>
      <c r="F388" s="934"/>
      <c r="G388" s="934"/>
      <c r="H388" s="934"/>
      <c r="I388" s="934"/>
      <c r="J388" s="934"/>
      <c r="K388" s="934"/>
      <c r="L388" s="934"/>
      <c r="M388" s="934"/>
      <c r="N388" s="934"/>
      <c r="O388" s="934"/>
      <c r="P388" s="934"/>
      <c r="Q388" s="934"/>
      <c r="R388" s="934"/>
      <c r="S388" s="934"/>
      <c r="T388" s="934"/>
      <c r="U388" s="934"/>
      <c r="V388" s="934"/>
      <c r="W388" s="934"/>
      <c r="X388" s="934"/>
      <c r="Y388" s="934"/>
      <c r="Z388" s="934"/>
      <c r="AA388" s="934"/>
      <c r="AB388" s="934"/>
      <c r="AC388" s="934"/>
      <c r="AD388" s="934"/>
      <c r="AE388" s="934"/>
      <c r="AF388" s="934"/>
      <c r="AG388" s="934"/>
      <c r="AH388" s="934"/>
      <c r="AI388" s="934"/>
    </row>
    <row r="389" spans="1:35" s="308" customFormat="1" ht="13.5" customHeight="1" thickTop="1">
      <c r="A389" s="1970" t="s">
        <v>321</v>
      </c>
      <c r="B389" s="1758" t="s">
        <v>508</v>
      </c>
      <c r="C389" s="1740"/>
      <c r="D389" s="1740"/>
      <c r="E389" s="1745"/>
      <c r="F389" s="1971" t="s">
        <v>496</v>
      </c>
      <c r="G389" s="1947"/>
      <c r="H389" s="1971" t="s">
        <v>509</v>
      </c>
      <c r="I389" s="1947"/>
      <c r="J389" s="1947"/>
      <c r="K389" s="1759" t="s">
        <v>528</v>
      </c>
      <c r="L389" s="1760"/>
      <c r="M389" s="1760"/>
      <c r="N389" s="1760"/>
      <c r="O389" s="1760"/>
      <c r="P389" s="1760"/>
      <c r="Q389" s="1760"/>
      <c r="R389" s="1760"/>
      <c r="S389" s="1760"/>
      <c r="T389" s="1760"/>
      <c r="U389" s="1760"/>
      <c r="V389" s="1760"/>
      <c r="W389" s="1760"/>
      <c r="X389" s="1760"/>
      <c r="Y389" s="1787"/>
      <c r="Z389" s="1758" t="s">
        <v>498</v>
      </c>
      <c r="AA389" s="1745"/>
      <c r="AB389" s="1759" t="s">
        <v>529</v>
      </c>
      <c r="AC389" s="1760"/>
      <c r="AD389" s="1760"/>
      <c r="AE389" s="1760"/>
      <c r="AF389" s="1760"/>
      <c r="AG389" s="1760"/>
      <c r="AH389" s="1760"/>
      <c r="AI389" s="1761"/>
    </row>
    <row r="390" spans="1:35" s="308" customFormat="1" ht="13.5" customHeight="1" thickBot="1">
      <c r="A390" s="1945"/>
      <c r="B390" s="1746"/>
      <c r="C390" s="1784"/>
      <c r="D390" s="1784"/>
      <c r="E390" s="1747"/>
      <c r="F390" s="1766"/>
      <c r="G390" s="1766"/>
      <c r="H390" s="1766"/>
      <c r="I390" s="1766"/>
      <c r="J390" s="1766"/>
      <c r="K390" s="1765" t="s">
        <v>510</v>
      </c>
      <c r="L390" s="1766"/>
      <c r="M390" s="1766"/>
      <c r="N390" s="1766"/>
      <c r="O390" s="1762" t="s">
        <v>511</v>
      </c>
      <c r="P390" s="1763"/>
      <c r="Q390" s="1764"/>
      <c r="R390" s="1765" t="s">
        <v>512</v>
      </c>
      <c r="S390" s="1766"/>
      <c r="T390" s="1766"/>
      <c r="U390" s="1766"/>
      <c r="V390" s="1765" t="s">
        <v>513</v>
      </c>
      <c r="W390" s="1766"/>
      <c r="X390" s="1766"/>
      <c r="Y390" s="1766"/>
      <c r="Z390" s="1746"/>
      <c r="AA390" s="1747"/>
      <c r="AB390" s="1762" t="s">
        <v>514</v>
      </c>
      <c r="AC390" s="1763"/>
      <c r="AD390" s="1763"/>
      <c r="AE390" s="1764"/>
      <c r="AF390" s="1765" t="s">
        <v>513</v>
      </c>
      <c r="AG390" s="1766"/>
      <c r="AH390" s="1766"/>
      <c r="AI390" s="1767"/>
    </row>
    <row r="391" spans="1:35" ht="13.5" customHeight="1" thickTop="1">
      <c r="A391" s="937"/>
      <c r="B391" s="938"/>
      <c r="C391" s="939"/>
      <c r="D391" s="939"/>
      <c r="E391" s="940"/>
      <c r="F391" s="1749"/>
      <c r="G391" s="1750"/>
      <c r="H391" s="1749"/>
      <c r="I391" s="739"/>
      <c r="J391" s="1750"/>
      <c r="K391" s="1749"/>
      <c r="L391" s="739"/>
      <c r="M391" s="739"/>
      <c r="N391" s="1750"/>
      <c r="O391" s="938"/>
      <c r="P391" s="939"/>
      <c r="Q391" s="940"/>
      <c r="R391" s="1749"/>
      <c r="S391" s="739"/>
      <c r="T391" s="739"/>
      <c r="U391" s="1750"/>
      <c r="V391" s="1749"/>
      <c r="W391" s="739"/>
      <c r="X391" s="739"/>
      <c r="Y391" s="1750"/>
      <c r="Z391" s="949"/>
      <c r="AA391" s="949"/>
      <c r="AB391" s="938"/>
      <c r="AC391" s="939"/>
      <c r="AD391" s="939"/>
      <c r="AE391" s="940"/>
      <c r="AF391" s="1749"/>
      <c r="AG391" s="739"/>
      <c r="AH391" s="739"/>
      <c r="AI391" s="1757"/>
    </row>
    <row r="392" spans="1:35">
      <c r="A392" s="309">
        <v>1</v>
      </c>
      <c r="B392" s="1703"/>
      <c r="C392" s="1704"/>
      <c r="D392" s="1704"/>
      <c r="E392" s="1705"/>
      <c r="F392" s="1706"/>
      <c r="G392" s="1707"/>
      <c r="H392" s="1708"/>
      <c r="I392" s="1709"/>
      <c r="J392" s="1710"/>
      <c r="K392" s="1711"/>
      <c r="L392" s="1712"/>
      <c r="M392" s="1712"/>
      <c r="N392" s="1713"/>
      <c r="O392" s="1722"/>
      <c r="P392" s="1723"/>
      <c r="Q392" s="1724"/>
      <c r="R392" s="1717">
        <f t="shared" si="114" ref="R392:R407">K392-O392</f>
        <v>0</v>
      </c>
      <c r="S392" s="1718"/>
      <c r="T392" s="1718"/>
      <c r="U392" s="1719"/>
      <c r="V392" s="1711"/>
      <c r="W392" s="1712"/>
      <c r="X392" s="1712"/>
      <c r="Y392" s="1713"/>
      <c r="Z392" s="1711"/>
      <c r="AA392" s="1713"/>
      <c r="AB392" s="1714">
        <f t="shared" si="115" ref="AB392:AB407">R392*Z392</f>
        <v>0</v>
      </c>
      <c r="AC392" s="1715"/>
      <c r="AD392" s="1715"/>
      <c r="AE392" s="1720"/>
      <c r="AF392" s="1622">
        <f t="shared" si="116" ref="AF392:AF407">V392*Z392</f>
        <v>0</v>
      </c>
      <c r="AG392" s="1623"/>
      <c r="AH392" s="1623"/>
      <c r="AI392" s="1721"/>
    </row>
    <row r="393" spans="1:35">
      <c r="A393" s="309">
        <v>2</v>
      </c>
      <c r="B393" s="1703"/>
      <c r="C393" s="1704"/>
      <c r="D393" s="1704"/>
      <c r="E393" s="1705"/>
      <c r="F393" s="1706"/>
      <c r="G393" s="1707"/>
      <c r="H393" s="1708"/>
      <c r="I393" s="1709"/>
      <c r="J393" s="1710"/>
      <c r="K393" s="1711"/>
      <c r="L393" s="1712"/>
      <c r="M393" s="1712"/>
      <c r="N393" s="1713"/>
      <c r="O393" s="1722"/>
      <c r="P393" s="1723"/>
      <c r="Q393" s="1724"/>
      <c r="R393" s="1717">
        <f t="shared" si="114">K393-O393</f>
        <v>0</v>
      </c>
      <c r="S393" s="1718"/>
      <c r="T393" s="1718"/>
      <c r="U393" s="1719"/>
      <c r="V393" s="1711"/>
      <c r="W393" s="1712"/>
      <c r="X393" s="1712"/>
      <c r="Y393" s="1713"/>
      <c r="Z393" s="1711"/>
      <c r="AA393" s="1713"/>
      <c r="AB393" s="1714">
        <f t="shared" si="115">R393*Z393</f>
        <v>0</v>
      </c>
      <c r="AC393" s="1715"/>
      <c r="AD393" s="1715"/>
      <c r="AE393" s="1720"/>
      <c r="AF393" s="1622">
        <f t="shared" si="116">V393*Z393</f>
        <v>0</v>
      </c>
      <c r="AG393" s="1623"/>
      <c r="AH393" s="1623"/>
      <c r="AI393" s="1721"/>
    </row>
    <row r="394" spans="1:35">
      <c r="A394" s="309">
        <v>3</v>
      </c>
      <c r="B394" s="1703"/>
      <c r="C394" s="1704"/>
      <c r="D394" s="1704"/>
      <c r="E394" s="1705"/>
      <c r="F394" s="1706"/>
      <c r="G394" s="1707"/>
      <c r="H394" s="1708"/>
      <c r="I394" s="1709"/>
      <c r="J394" s="1710"/>
      <c r="K394" s="1711"/>
      <c r="L394" s="1712"/>
      <c r="M394" s="1712"/>
      <c r="N394" s="1713"/>
      <c r="O394" s="1722"/>
      <c r="P394" s="1723"/>
      <c r="Q394" s="1724"/>
      <c r="R394" s="1717">
        <f t="shared" si="114">K394-O394</f>
        <v>0</v>
      </c>
      <c r="S394" s="1718"/>
      <c r="T394" s="1718"/>
      <c r="U394" s="1719"/>
      <c r="V394" s="1711"/>
      <c r="W394" s="1712"/>
      <c r="X394" s="1712"/>
      <c r="Y394" s="1713"/>
      <c r="Z394" s="1711"/>
      <c r="AA394" s="1713"/>
      <c r="AB394" s="1714">
        <f t="shared" si="115">R394*Z394</f>
        <v>0</v>
      </c>
      <c r="AC394" s="1715"/>
      <c r="AD394" s="1715"/>
      <c r="AE394" s="1720"/>
      <c r="AF394" s="1622">
        <f t="shared" si="116">V394*Z394</f>
        <v>0</v>
      </c>
      <c r="AG394" s="1623"/>
      <c r="AH394" s="1623"/>
      <c r="AI394" s="1721"/>
    </row>
    <row r="395" spans="1:35">
      <c r="A395" s="309">
        <v>4</v>
      </c>
      <c r="B395" s="1703"/>
      <c r="C395" s="1704"/>
      <c r="D395" s="1704"/>
      <c r="E395" s="1705"/>
      <c r="F395" s="1706"/>
      <c r="G395" s="1707"/>
      <c r="H395" s="1708"/>
      <c r="I395" s="1709"/>
      <c r="J395" s="1710"/>
      <c r="K395" s="1711"/>
      <c r="L395" s="1712"/>
      <c r="M395" s="1712"/>
      <c r="N395" s="1713"/>
      <c r="O395" s="1722"/>
      <c r="P395" s="1723"/>
      <c r="Q395" s="1724"/>
      <c r="R395" s="1717">
        <f t="shared" si="114">K395-O395</f>
        <v>0</v>
      </c>
      <c r="S395" s="1718"/>
      <c r="T395" s="1718"/>
      <c r="U395" s="1719"/>
      <c r="V395" s="1711"/>
      <c r="W395" s="1712"/>
      <c r="X395" s="1712"/>
      <c r="Y395" s="1713"/>
      <c r="Z395" s="1711"/>
      <c r="AA395" s="1713"/>
      <c r="AB395" s="1714">
        <f t="shared" si="115">R395*Z395</f>
        <v>0</v>
      </c>
      <c r="AC395" s="1715"/>
      <c r="AD395" s="1715"/>
      <c r="AE395" s="1720"/>
      <c r="AF395" s="1622">
        <f t="shared" si="116">V395*Z395</f>
        <v>0</v>
      </c>
      <c r="AG395" s="1623"/>
      <c r="AH395" s="1623"/>
      <c r="AI395" s="1721"/>
    </row>
    <row r="396" spans="1:35">
      <c r="A396" s="309">
        <v>5</v>
      </c>
      <c r="B396" s="1703"/>
      <c r="C396" s="1704"/>
      <c r="D396" s="1704"/>
      <c r="E396" s="1705"/>
      <c r="F396" s="1706"/>
      <c r="G396" s="1707"/>
      <c r="H396" s="1708"/>
      <c r="I396" s="1709"/>
      <c r="J396" s="1710"/>
      <c r="K396" s="1711"/>
      <c r="L396" s="1712"/>
      <c r="M396" s="1712"/>
      <c r="N396" s="1713"/>
      <c r="O396" s="1722"/>
      <c r="P396" s="1723"/>
      <c r="Q396" s="1724"/>
      <c r="R396" s="1717">
        <f t="shared" si="114">K396-O396</f>
        <v>0</v>
      </c>
      <c r="S396" s="1718"/>
      <c r="T396" s="1718"/>
      <c r="U396" s="1719"/>
      <c r="V396" s="1711"/>
      <c r="W396" s="1712"/>
      <c r="X396" s="1712"/>
      <c r="Y396" s="1713"/>
      <c r="Z396" s="1711"/>
      <c r="AA396" s="1713"/>
      <c r="AB396" s="1714">
        <f t="shared" si="115">R396*Z396</f>
        <v>0</v>
      </c>
      <c r="AC396" s="1715"/>
      <c r="AD396" s="1715"/>
      <c r="AE396" s="1720"/>
      <c r="AF396" s="1622">
        <f t="shared" si="116">V396*Z396</f>
        <v>0</v>
      </c>
      <c r="AG396" s="1623"/>
      <c r="AH396" s="1623"/>
      <c r="AI396" s="1721"/>
    </row>
    <row r="397" spans="1:35">
      <c r="A397" s="309">
        <v>6</v>
      </c>
      <c r="B397" s="1703"/>
      <c r="C397" s="1704"/>
      <c r="D397" s="1704"/>
      <c r="E397" s="1705"/>
      <c r="F397" s="1706"/>
      <c r="G397" s="1707"/>
      <c r="H397" s="1708"/>
      <c r="I397" s="1709"/>
      <c r="J397" s="1710"/>
      <c r="K397" s="1711"/>
      <c r="L397" s="1712"/>
      <c r="M397" s="1712"/>
      <c r="N397" s="1713"/>
      <c r="O397" s="1722"/>
      <c r="P397" s="1723"/>
      <c r="Q397" s="1724"/>
      <c r="R397" s="1717">
        <f t="shared" si="117" ref="R397">K397-O397</f>
        <v>0</v>
      </c>
      <c r="S397" s="1718"/>
      <c r="T397" s="1718"/>
      <c r="U397" s="1719"/>
      <c r="V397" s="1711"/>
      <c r="W397" s="1712"/>
      <c r="X397" s="1712"/>
      <c r="Y397" s="1713"/>
      <c r="Z397" s="1711"/>
      <c r="AA397" s="1713"/>
      <c r="AB397" s="1714">
        <f t="shared" si="118" ref="AB397">R397*Z397</f>
        <v>0</v>
      </c>
      <c r="AC397" s="1715"/>
      <c r="AD397" s="1715"/>
      <c r="AE397" s="1720"/>
      <c r="AF397" s="1622">
        <f t="shared" si="119" ref="AF397">V397*Z397</f>
        <v>0</v>
      </c>
      <c r="AG397" s="1623"/>
      <c r="AH397" s="1623"/>
      <c r="AI397" s="1721"/>
    </row>
    <row r="398" spans="1:35">
      <c r="A398" s="309">
        <v>7</v>
      </c>
      <c r="B398" s="1703"/>
      <c r="C398" s="1704"/>
      <c r="D398" s="1704"/>
      <c r="E398" s="1705"/>
      <c r="F398" s="1706"/>
      <c r="G398" s="1707"/>
      <c r="H398" s="1708"/>
      <c r="I398" s="1709"/>
      <c r="J398" s="1710"/>
      <c r="K398" s="1711"/>
      <c r="L398" s="1712"/>
      <c r="M398" s="1712"/>
      <c r="N398" s="1713"/>
      <c r="O398" s="1722"/>
      <c r="P398" s="1723"/>
      <c r="Q398" s="1724"/>
      <c r="R398" s="1717">
        <f t="shared" si="120" ref="R398:R401">K398-O398</f>
        <v>0</v>
      </c>
      <c r="S398" s="1718"/>
      <c r="T398" s="1718"/>
      <c r="U398" s="1719"/>
      <c r="V398" s="1711"/>
      <c r="W398" s="1712"/>
      <c r="X398" s="1712"/>
      <c r="Y398" s="1713"/>
      <c r="Z398" s="1711"/>
      <c r="AA398" s="1713"/>
      <c r="AB398" s="1714">
        <f t="shared" si="121" ref="AB398:AB401">R398*Z398</f>
        <v>0</v>
      </c>
      <c r="AC398" s="1715"/>
      <c r="AD398" s="1715"/>
      <c r="AE398" s="1720"/>
      <c r="AF398" s="1622">
        <f t="shared" si="122" ref="AF398:AF401">V398*Z398</f>
        <v>0</v>
      </c>
      <c r="AG398" s="1623"/>
      <c r="AH398" s="1623"/>
      <c r="AI398" s="1721"/>
    </row>
    <row r="399" spans="1:35">
      <c r="A399" s="309">
        <v>8</v>
      </c>
      <c r="B399" s="1703"/>
      <c r="C399" s="1704"/>
      <c r="D399" s="1704"/>
      <c r="E399" s="1705"/>
      <c r="F399" s="1706"/>
      <c r="G399" s="1707"/>
      <c r="H399" s="1708"/>
      <c r="I399" s="1709"/>
      <c r="J399" s="1710"/>
      <c r="K399" s="1711"/>
      <c r="L399" s="1712"/>
      <c r="M399" s="1712"/>
      <c r="N399" s="1713"/>
      <c r="O399" s="1722"/>
      <c r="P399" s="1723"/>
      <c r="Q399" s="1724"/>
      <c r="R399" s="1717">
        <f t="shared" si="120">K399-O399</f>
        <v>0</v>
      </c>
      <c r="S399" s="1718"/>
      <c r="T399" s="1718"/>
      <c r="U399" s="1719"/>
      <c r="V399" s="1711"/>
      <c r="W399" s="1712"/>
      <c r="X399" s="1712"/>
      <c r="Y399" s="1713"/>
      <c r="Z399" s="1711"/>
      <c r="AA399" s="1713"/>
      <c r="AB399" s="1714">
        <f t="shared" si="121">R399*Z399</f>
        <v>0</v>
      </c>
      <c r="AC399" s="1715"/>
      <c r="AD399" s="1715"/>
      <c r="AE399" s="1720"/>
      <c r="AF399" s="1622">
        <f t="shared" si="122">V399*Z399</f>
        <v>0</v>
      </c>
      <c r="AG399" s="1623"/>
      <c r="AH399" s="1623"/>
      <c r="AI399" s="1721"/>
    </row>
    <row r="400" spans="1:35">
      <c r="A400" s="309">
        <v>9</v>
      </c>
      <c r="B400" s="1703"/>
      <c r="C400" s="1704"/>
      <c r="D400" s="1704"/>
      <c r="E400" s="1705"/>
      <c r="F400" s="1706"/>
      <c r="G400" s="1707"/>
      <c r="H400" s="1708"/>
      <c r="I400" s="1709"/>
      <c r="J400" s="1710"/>
      <c r="K400" s="1711"/>
      <c r="L400" s="1712"/>
      <c r="M400" s="1712"/>
      <c r="N400" s="1713"/>
      <c r="O400" s="1722"/>
      <c r="P400" s="1723"/>
      <c r="Q400" s="1724"/>
      <c r="R400" s="1717">
        <f t="shared" si="120">K400-O400</f>
        <v>0</v>
      </c>
      <c r="S400" s="1718"/>
      <c r="T400" s="1718"/>
      <c r="U400" s="1719"/>
      <c r="V400" s="1711"/>
      <c r="W400" s="1712"/>
      <c r="X400" s="1712"/>
      <c r="Y400" s="1713"/>
      <c r="Z400" s="1711"/>
      <c r="AA400" s="1713"/>
      <c r="AB400" s="1714">
        <f t="shared" si="121">R400*Z400</f>
        <v>0</v>
      </c>
      <c r="AC400" s="1715"/>
      <c r="AD400" s="1715"/>
      <c r="AE400" s="1720"/>
      <c r="AF400" s="1622">
        <f t="shared" si="122">V400*Z400</f>
        <v>0</v>
      </c>
      <c r="AG400" s="1623"/>
      <c r="AH400" s="1623"/>
      <c r="AI400" s="1721"/>
    </row>
    <row r="401" spans="1:35">
      <c r="A401" s="309">
        <v>10</v>
      </c>
      <c r="B401" s="1703"/>
      <c r="C401" s="1704"/>
      <c r="D401" s="1704"/>
      <c r="E401" s="1705"/>
      <c r="F401" s="1706"/>
      <c r="G401" s="1707"/>
      <c r="H401" s="1708"/>
      <c r="I401" s="1709"/>
      <c r="J401" s="1710"/>
      <c r="K401" s="1711"/>
      <c r="L401" s="1712"/>
      <c r="M401" s="1712"/>
      <c r="N401" s="1713"/>
      <c r="O401" s="1722"/>
      <c r="P401" s="1723"/>
      <c r="Q401" s="1724"/>
      <c r="R401" s="1717">
        <f t="shared" si="120">K401-O401</f>
        <v>0</v>
      </c>
      <c r="S401" s="1718"/>
      <c r="T401" s="1718"/>
      <c r="U401" s="1719"/>
      <c r="V401" s="1711"/>
      <c r="W401" s="1712"/>
      <c r="X401" s="1712"/>
      <c r="Y401" s="1713"/>
      <c r="Z401" s="1711"/>
      <c r="AA401" s="1713"/>
      <c r="AB401" s="1714">
        <f t="shared" si="121">R401*Z401</f>
        <v>0</v>
      </c>
      <c r="AC401" s="1715"/>
      <c r="AD401" s="1715"/>
      <c r="AE401" s="1720"/>
      <c r="AF401" s="1622">
        <f t="shared" si="122">V401*Z401</f>
        <v>0</v>
      </c>
      <c r="AG401" s="1623"/>
      <c r="AH401" s="1623"/>
      <c r="AI401" s="1721"/>
    </row>
    <row r="402" spans="1:35">
      <c r="A402" s="309">
        <v>11</v>
      </c>
      <c r="B402" s="1703"/>
      <c r="C402" s="1704"/>
      <c r="D402" s="1704"/>
      <c r="E402" s="1705"/>
      <c r="F402" s="1706"/>
      <c r="G402" s="1707"/>
      <c r="H402" s="1708"/>
      <c r="I402" s="1709"/>
      <c r="J402" s="1710"/>
      <c r="K402" s="1711"/>
      <c r="L402" s="1712"/>
      <c r="M402" s="1712"/>
      <c r="N402" s="1713"/>
      <c r="O402" s="1722"/>
      <c r="P402" s="1723"/>
      <c r="Q402" s="1724"/>
      <c r="R402" s="1717">
        <f t="shared" si="114">K402-O402</f>
        <v>0</v>
      </c>
      <c r="S402" s="1718"/>
      <c r="T402" s="1718"/>
      <c r="U402" s="1719"/>
      <c r="V402" s="1711"/>
      <c r="W402" s="1712"/>
      <c r="X402" s="1712"/>
      <c r="Y402" s="1713"/>
      <c r="Z402" s="1711"/>
      <c r="AA402" s="1713"/>
      <c r="AB402" s="1714">
        <f t="shared" si="115">R402*Z402</f>
        <v>0</v>
      </c>
      <c r="AC402" s="1715"/>
      <c r="AD402" s="1715"/>
      <c r="AE402" s="1720"/>
      <c r="AF402" s="1622">
        <f t="shared" si="116">V402*Z402</f>
        <v>0</v>
      </c>
      <c r="AG402" s="1623"/>
      <c r="AH402" s="1623"/>
      <c r="AI402" s="1721"/>
    </row>
    <row r="403" spans="1:35">
      <c r="A403" s="309">
        <v>12</v>
      </c>
      <c r="B403" s="1703"/>
      <c r="C403" s="1704"/>
      <c r="D403" s="1704"/>
      <c r="E403" s="1705"/>
      <c r="F403" s="1706"/>
      <c r="G403" s="1707"/>
      <c r="H403" s="1708"/>
      <c r="I403" s="1709"/>
      <c r="J403" s="1710"/>
      <c r="K403" s="1711"/>
      <c r="L403" s="1712"/>
      <c r="M403" s="1712"/>
      <c r="N403" s="1713"/>
      <c r="O403" s="1722"/>
      <c r="P403" s="1723"/>
      <c r="Q403" s="1724"/>
      <c r="R403" s="1717">
        <f t="shared" si="114">K403-O403</f>
        <v>0</v>
      </c>
      <c r="S403" s="1718"/>
      <c r="T403" s="1718"/>
      <c r="U403" s="1719"/>
      <c r="V403" s="1711"/>
      <c r="W403" s="1712"/>
      <c r="X403" s="1712"/>
      <c r="Y403" s="1713"/>
      <c r="Z403" s="1711"/>
      <c r="AA403" s="1713"/>
      <c r="AB403" s="1714">
        <f t="shared" si="115">R403*Z403</f>
        <v>0</v>
      </c>
      <c r="AC403" s="1715"/>
      <c r="AD403" s="1715"/>
      <c r="AE403" s="1720"/>
      <c r="AF403" s="1622">
        <f t="shared" si="116">V403*Z403</f>
        <v>0</v>
      </c>
      <c r="AG403" s="1623"/>
      <c r="AH403" s="1623"/>
      <c r="AI403" s="1721"/>
    </row>
    <row r="404" spans="1:35">
      <c r="A404" s="309">
        <v>13</v>
      </c>
      <c r="B404" s="1703"/>
      <c r="C404" s="1704"/>
      <c r="D404" s="1704"/>
      <c r="E404" s="1705"/>
      <c r="F404" s="1706"/>
      <c r="G404" s="1707"/>
      <c r="H404" s="1708"/>
      <c r="I404" s="1709"/>
      <c r="J404" s="1710"/>
      <c r="K404" s="1711"/>
      <c r="L404" s="1712"/>
      <c r="M404" s="1712"/>
      <c r="N404" s="1713"/>
      <c r="O404" s="1722"/>
      <c r="P404" s="1723"/>
      <c r="Q404" s="1724"/>
      <c r="R404" s="1717">
        <f t="shared" si="114">K404-O404</f>
        <v>0</v>
      </c>
      <c r="S404" s="1718"/>
      <c r="T404" s="1718"/>
      <c r="U404" s="1719"/>
      <c r="V404" s="1711"/>
      <c r="W404" s="1712"/>
      <c r="X404" s="1712"/>
      <c r="Y404" s="1713"/>
      <c r="Z404" s="1711"/>
      <c r="AA404" s="1713"/>
      <c r="AB404" s="1714">
        <f t="shared" si="115">R404*Z404</f>
        <v>0</v>
      </c>
      <c r="AC404" s="1715"/>
      <c r="AD404" s="1715"/>
      <c r="AE404" s="1720"/>
      <c r="AF404" s="1622">
        <f t="shared" si="116">V404*Z404</f>
        <v>0</v>
      </c>
      <c r="AG404" s="1623"/>
      <c r="AH404" s="1623"/>
      <c r="AI404" s="1721"/>
    </row>
    <row r="405" spans="1:35">
      <c r="A405" s="309">
        <v>14</v>
      </c>
      <c r="B405" s="1703"/>
      <c r="C405" s="1704"/>
      <c r="D405" s="1704"/>
      <c r="E405" s="1705"/>
      <c r="F405" s="1706"/>
      <c r="G405" s="1707"/>
      <c r="H405" s="1708"/>
      <c r="I405" s="1709"/>
      <c r="J405" s="1710"/>
      <c r="K405" s="1711"/>
      <c r="L405" s="1712"/>
      <c r="M405" s="1712"/>
      <c r="N405" s="1713"/>
      <c r="O405" s="1722"/>
      <c r="P405" s="1723"/>
      <c r="Q405" s="1724"/>
      <c r="R405" s="1717">
        <f t="shared" si="114">K405-O405</f>
        <v>0</v>
      </c>
      <c r="S405" s="1718"/>
      <c r="T405" s="1718"/>
      <c r="U405" s="1719"/>
      <c r="V405" s="1711"/>
      <c r="W405" s="1712"/>
      <c r="X405" s="1712"/>
      <c r="Y405" s="1713"/>
      <c r="Z405" s="1711"/>
      <c r="AA405" s="1713"/>
      <c r="AB405" s="1714">
        <f t="shared" si="115">R405*Z405</f>
        <v>0</v>
      </c>
      <c r="AC405" s="1715"/>
      <c r="AD405" s="1715"/>
      <c r="AE405" s="1720"/>
      <c r="AF405" s="1622">
        <f t="shared" si="116">V405*Z405</f>
        <v>0</v>
      </c>
      <c r="AG405" s="1623"/>
      <c r="AH405" s="1623"/>
      <c r="AI405" s="1721"/>
    </row>
    <row r="406" spans="1:35">
      <c r="A406" s="309">
        <v>15</v>
      </c>
      <c r="B406" s="1703"/>
      <c r="C406" s="1704"/>
      <c r="D406" s="1704"/>
      <c r="E406" s="1705"/>
      <c r="F406" s="1706"/>
      <c r="G406" s="1707"/>
      <c r="H406" s="1708"/>
      <c r="I406" s="1709"/>
      <c r="J406" s="1710"/>
      <c r="K406" s="1711"/>
      <c r="L406" s="1712"/>
      <c r="M406" s="1712"/>
      <c r="N406" s="1713"/>
      <c r="O406" s="1722"/>
      <c r="P406" s="1723"/>
      <c r="Q406" s="1724"/>
      <c r="R406" s="1717">
        <f t="shared" si="114">K406-O406</f>
        <v>0</v>
      </c>
      <c r="S406" s="1718"/>
      <c r="T406" s="1718"/>
      <c r="U406" s="1719"/>
      <c r="V406" s="1711"/>
      <c r="W406" s="1712"/>
      <c r="X406" s="1712"/>
      <c r="Y406" s="1713"/>
      <c r="Z406" s="1711"/>
      <c r="AA406" s="1713"/>
      <c r="AB406" s="1714">
        <f t="shared" si="115">R406*Z406</f>
        <v>0</v>
      </c>
      <c r="AC406" s="1715"/>
      <c r="AD406" s="1715"/>
      <c r="AE406" s="1720"/>
      <c r="AF406" s="1622">
        <f t="shared" si="116">V406*Z406</f>
        <v>0</v>
      </c>
      <c r="AG406" s="1623"/>
      <c r="AH406" s="1623"/>
      <c r="AI406" s="1721"/>
    </row>
    <row r="407" spans="1:35">
      <c r="A407" s="310" t="s">
        <v>504</v>
      </c>
      <c r="B407" s="1703"/>
      <c r="C407" s="1704"/>
      <c r="D407" s="1704"/>
      <c r="E407" s="1705"/>
      <c r="F407" s="1706"/>
      <c r="G407" s="1707"/>
      <c r="H407" s="1708"/>
      <c r="I407" s="1709"/>
      <c r="J407" s="1710"/>
      <c r="K407" s="1711"/>
      <c r="L407" s="1712"/>
      <c r="M407" s="1712"/>
      <c r="N407" s="1713"/>
      <c r="O407" s="1722"/>
      <c r="P407" s="1723"/>
      <c r="Q407" s="1724"/>
      <c r="R407" s="1717">
        <f t="shared" si="114">K407-O407</f>
        <v>0</v>
      </c>
      <c r="S407" s="1718"/>
      <c r="T407" s="1718"/>
      <c r="U407" s="1719"/>
      <c r="V407" s="1711"/>
      <c r="W407" s="1712"/>
      <c r="X407" s="1712"/>
      <c r="Y407" s="1713"/>
      <c r="Z407" s="1711"/>
      <c r="AA407" s="1713"/>
      <c r="AB407" s="1714">
        <f t="shared" si="115">R407*Z407</f>
        <v>0</v>
      </c>
      <c r="AC407" s="1715"/>
      <c r="AD407" s="1715"/>
      <c r="AE407" s="1720"/>
      <c r="AF407" s="1622">
        <f t="shared" si="116">V407*Z407</f>
        <v>0</v>
      </c>
      <c r="AG407" s="1623"/>
      <c r="AH407" s="1623"/>
      <c r="AI407" s="1721"/>
    </row>
    <row r="408" spans="1:35" ht="13.5" customHeight="1" thickBot="1">
      <c r="A408" s="941"/>
      <c r="B408" s="942"/>
      <c r="C408" s="943"/>
      <c r="D408" s="943"/>
      <c r="E408" s="944"/>
      <c r="F408" s="1968"/>
      <c r="G408" s="1934"/>
      <c r="H408" s="1968"/>
      <c r="I408" s="740"/>
      <c r="J408" s="1934"/>
      <c r="K408" s="1968"/>
      <c r="L408" s="740"/>
      <c r="M408" s="740"/>
      <c r="N408" s="1934"/>
      <c r="O408" s="942"/>
      <c r="P408" s="943"/>
      <c r="Q408" s="944"/>
      <c r="R408" s="1968"/>
      <c r="S408" s="740"/>
      <c r="T408" s="740"/>
      <c r="U408" s="1934"/>
      <c r="V408" s="1968"/>
      <c r="W408" s="740"/>
      <c r="X408" s="740"/>
      <c r="Y408" s="1934"/>
      <c r="Z408" s="950"/>
      <c r="AA408" s="950"/>
      <c r="AB408" s="942"/>
      <c r="AC408" s="943"/>
      <c r="AD408" s="943"/>
      <c r="AE408" s="944"/>
      <c r="AF408" s="1968"/>
      <c r="AG408" s="740"/>
      <c r="AH408" s="740"/>
      <c r="AI408" s="1935"/>
    </row>
    <row r="409" spans="1:35" ht="13.5" customHeight="1" thickTop="1" thickBot="1">
      <c r="A409" s="934"/>
      <c r="B409" s="934"/>
      <c r="C409" s="934"/>
      <c r="D409" s="934"/>
      <c r="E409" s="934"/>
      <c r="F409" s="934"/>
      <c r="G409" s="934"/>
      <c r="H409" s="934"/>
      <c r="I409" s="934"/>
      <c r="J409" s="934"/>
      <c r="K409" s="934"/>
      <c r="L409" s="934"/>
      <c r="M409" s="934"/>
      <c r="N409" s="934"/>
      <c r="O409" s="934"/>
      <c r="P409" s="934"/>
      <c r="Q409" s="934"/>
      <c r="R409" s="934"/>
      <c r="S409" s="934"/>
      <c r="T409" s="934"/>
      <c r="U409" s="934"/>
      <c r="V409" s="934"/>
      <c r="W409" s="934"/>
      <c r="X409" s="934"/>
      <c r="Y409" s="934"/>
      <c r="Z409" s="934"/>
      <c r="AA409" s="934"/>
      <c r="AB409" s="934"/>
      <c r="AC409" s="934"/>
      <c r="AD409" s="934"/>
      <c r="AE409" s="934"/>
      <c r="AF409" s="934"/>
      <c r="AG409" s="934"/>
      <c r="AH409" s="934"/>
      <c r="AI409" s="934"/>
    </row>
    <row r="410" spans="1:35" ht="14.25" customHeight="1" thickTop="1" thickBot="1">
      <c r="A410" s="934"/>
      <c r="B410" s="935" t="s">
        <v>347</v>
      </c>
      <c r="C410" s="934"/>
      <c r="D410" s="934"/>
      <c r="E410" s="934"/>
      <c r="F410" s="934"/>
      <c r="G410" s="934"/>
      <c r="H410" s="934"/>
      <c r="I410" s="934"/>
      <c r="J410" s="934"/>
      <c r="K410" s="934"/>
      <c r="L410" s="934"/>
      <c r="M410" s="934"/>
      <c r="N410" s="934"/>
      <c r="O410" s="934"/>
      <c r="P410" s="934"/>
      <c r="Q410" s="934"/>
      <c r="R410" s="1836">
        <f>SUM(R392:U408)</f>
        <v>0</v>
      </c>
      <c r="S410" s="1837"/>
      <c r="T410" s="1837"/>
      <c r="U410" s="1838"/>
      <c r="V410" s="1836">
        <f>SUM(V392:Y408)</f>
        <v>0</v>
      </c>
      <c r="W410" s="1837"/>
      <c r="X410" s="1837"/>
      <c r="Y410" s="1838"/>
      <c r="Z410" s="945"/>
      <c r="AA410" s="945"/>
      <c r="AB410" s="1657">
        <f>SUM(AB392:AE408)</f>
        <v>0</v>
      </c>
      <c r="AC410" s="1658"/>
      <c r="AD410" s="1658"/>
      <c r="AE410" s="1659"/>
      <c r="AF410" s="1657">
        <f>SUM(AF392:AI408)</f>
        <v>0</v>
      </c>
      <c r="AG410" s="1658"/>
      <c r="AH410" s="1658"/>
      <c r="AI410" s="1659"/>
    </row>
    <row r="411" spans="1:35" ht="13.5" collapsed="1" customHeight="1" thickTop="1">
      <c r="A411" s="934"/>
      <c r="B411" s="934"/>
      <c r="C411" s="934"/>
      <c r="D411" s="934"/>
      <c r="E411" s="934"/>
      <c r="F411" s="934"/>
      <c r="G411" s="934"/>
      <c r="H411" s="934"/>
      <c r="I411" s="934"/>
      <c r="J411" s="934"/>
      <c r="K411" s="934"/>
      <c r="L411" s="934"/>
      <c r="M411" s="934"/>
      <c r="N411" s="934"/>
      <c r="O411" s="934"/>
      <c r="P411" s="934"/>
      <c r="Q411" s="934"/>
      <c r="R411" s="934"/>
      <c r="S411" s="934"/>
      <c r="T411" s="934"/>
      <c r="U411" s="934"/>
      <c r="V411" s="934"/>
      <c r="W411" s="934"/>
      <c r="X411" s="934"/>
      <c r="Y411" s="934"/>
      <c r="Z411" s="934"/>
      <c r="AA411" s="934"/>
      <c r="AB411" s="934"/>
      <c r="AC411" s="934"/>
      <c r="AD411" s="934"/>
      <c r="AE411" s="934"/>
      <c r="AF411" s="934"/>
      <c r="AG411" s="934"/>
      <c r="AH411" s="934"/>
      <c r="AI411" s="934"/>
    </row>
    <row r="412" spans="1:35" ht="13.5" customHeight="1">
      <c r="A412" s="934"/>
      <c r="B412" s="951" t="s">
        <v>314</v>
      </c>
      <c r="C412" s="935" t="s">
        <v>515</v>
      </c>
      <c r="D412" s="934"/>
      <c r="E412" s="934"/>
      <c r="F412" s="934"/>
      <c r="G412" s="934"/>
      <c r="H412" s="934"/>
      <c r="I412" s="934"/>
      <c r="J412" s="934"/>
      <c r="K412" s="934"/>
      <c r="L412" s="934"/>
      <c r="M412" s="934"/>
      <c r="N412" s="934"/>
      <c r="O412" s="934"/>
      <c r="P412" s="934"/>
      <c r="Q412" s="934"/>
      <c r="R412" s="934"/>
      <c r="S412" s="934"/>
      <c r="T412" s="934"/>
      <c r="U412" s="934"/>
      <c r="V412" s="934"/>
      <c r="W412" s="934"/>
      <c r="X412" s="934"/>
      <c r="Y412" s="934"/>
      <c r="Z412" s="934"/>
      <c r="AA412" s="934"/>
      <c r="AB412" s="934"/>
      <c r="AC412" s="934"/>
      <c r="AD412" s="934"/>
      <c r="AE412" s="934"/>
      <c r="AF412" s="934"/>
      <c r="AG412" s="934"/>
      <c r="AH412" s="934"/>
      <c r="AI412" s="934"/>
    </row>
    <row r="413" spans="1:35" ht="13.5" customHeight="1" thickBot="1">
      <c r="A413" s="934"/>
      <c r="B413" s="934"/>
      <c r="C413" s="934"/>
      <c r="D413" s="934" t="s">
        <v>295</v>
      </c>
      <c r="E413" s="934"/>
      <c r="F413" s="934"/>
      <c r="G413" s="934"/>
      <c r="H413" s="934"/>
      <c r="I413" s="934"/>
      <c r="J413" s="934"/>
      <c r="K413" s="934"/>
      <c r="L413" s="934"/>
      <c r="M413" s="934"/>
      <c r="N413" s="934"/>
      <c r="O413" s="934"/>
      <c r="P413" s="934"/>
      <c r="Q413" s="934"/>
      <c r="R413" s="934"/>
      <c r="S413" s="934"/>
      <c r="T413" s="934"/>
      <c r="U413" s="934"/>
      <c r="V413" s="934"/>
      <c r="W413" s="934"/>
      <c r="X413" s="934"/>
      <c r="Y413" s="934"/>
      <c r="Z413" s="934"/>
      <c r="AA413" s="934"/>
      <c r="AB413" s="934"/>
      <c r="AC413" s="934"/>
      <c r="AD413" s="934"/>
      <c r="AE413" s="934"/>
      <c r="AF413" s="934"/>
      <c r="AG413" s="934"/>
      <c r="AH413" s="934"/>
      <c r="AI413" s="934"/>
    </row>
    <row r="414" spans="1:35" s="311" customFormat="1" ht="13.5" customHeight="1" thickTop="1">
      <c r="A414" s="935"/>
      <c r="B414" s="1969" t="s">
        <v>321</v>
      </c>
      <c r="C414" s="1967" t="s">
        <v>516</v>
      </c>
      <c r="D414" s="1939"/>
      <c r="E414" s="1939"/>
      <c r="F414" s="1939"/>
      <c r="G414" s="1939"/>
      <c r="H414" s="1939"/>
      <c r="I414" s="1939"/>
      <c r="J414" s="1939"/>
      <c r="K414" s="1967" t="s">
        <v>496</v>
      </c>
      <c r="L414" s="1939"/>
      <c r="M414" s="1967" t="s">
        <v>206</v>
      </c>
      <c r="N414" s="1939"/>
      <c r="O414" s="1939"/>
      <c r="P414" s="1967" t="s">
        <v>497</v>
      </c>
      <c r="Q414" s="1939"/>
      <c r="R414" s="1939"/>
      <c r="S414" s="1939"/>
      <c r="T414" s="1939"/>
      <c r="U414" s="1967" t="s">
        <v>498</v>
      </c>
      <c r="V414" s="1939"/>
      <c r="W414" s="1939"/>
      <c r="X414" s="1967" t="s">
        <v>499</v>
      </c>
      <c r="Y414" s="1939"/>
      <c r="Z414" s="1939"/>
      <c r="AA414" s="1939"/>
      <c r="AB414" s="1941"/>
      <c r="AC414" s="935"/>
      <c r="AD414" s="935"/>
      <c r="AE414" s="935"/>
      <c r="AF414" s="935"/>
      <c r="AG414" s="935"/>
      <c r="AH414" s="935"/>
      <c r="AI414" s="935"/>
    </row>
    <row r="415" spans="1:35" s="311" customFormat="1" ht="13.5" customHeight="1" thickBot="1">
      <c r="A415" s="935"/>
      <c r="B415" s="1937"/>
      <c r="C415" s="1940"/>
      <c r="D415" s="1940"/>
      <c r="E415" s="1940"/>
      <c r="F415" s="1940"/>
      <c r="G415" s="1940"/>
      <c r="H415" s="1940"/>
      <c r="I415" s="1940"/>
      <c r="J415" s="1940"/>
      <c r="K415" s="1940"/>
      <c r="L415" s="1940"/>
      <c r="M415" s="1940"/>
      <c r="N415" s="1940"/>
      <c r="O415" s="1940"/>
      <c r="P415" s="1940"/>
      <c r="Q415" s="1940"/>
      <c r="R415" s="1940"/>
      <c r="S415" s="1940"/>
      <c r="T415" s="1940"/>
      <c r="U415" s="1940"/>
      <c r="V415" s="1940"/>
      <c r="W415" s="1940"/>
      <c r="X415" s="1940"/>
      <c r="Y415" s="1940"/>
      <c r="Z415" s="1940"/>
      <c r="AA415" s="1940"/>
      <c r="AB415" s="1942"/>
      <c r="AC415" s="935"/>
      <c r="AD415" s="935"/>
      <c r="AE415" s="935"/>
      <c r="AF415" s="935"/>
      <c r="AG415" s="935"/>
      <c r="AH415" s="935"/>
      <c r="AI415" s="935"/>
    </row>
    <row r="416" spans="1:35" ht="13.5" customHeight="1" thickTop="1">
      <c r="A416" s="934"/>
      <c r="B416" s="934"/>
      <c r="C416" s="934"/>
      <c r="D416" s="934"/>
      <c r="E416" s="934"/>
      <c r="F416" s="934"/>
      <c r="G416" s="934"/>
      <c r="H416" s="934"/>
      <c r="I416" s="934"/>
      <c r="J416" s="934"/>
      <c r="K416" s="934"/>
      <c r="L416" s="934"/>
      <c r="M416" s="934"/>
      <c r="N416" s="934"/>
      <c r="O416" s="934"/>
      <c r="P416" s="934"/>
      <c r="Q416" s="934"/>
      <c r="R416" s="934"/>
      <c r="S416" s="934"/>
      <c r="T416" s="934"/>
      <c r="U416" s="934"/>
      <c r="V416" s="934"/>
      <c r="W416" s="934"/>
      <c r="X416" s="934"/>
      <c r="Y416" s="934"/>
      <c r="Z416" s="934"/>
      <c r="AA416" s="934"/>
      <c r="AB416" s="934"/>
      <c r="AC416" s="934"/>
      <c r="AD416" s="934"/>
      <c r="AE416" s="934"/>
      <c r="AF416" s="934"/>
      <c r="AG416" s="934"/>
      <c r="AH416" s="934"/>
      <c r="AI416" s="934"/>
    </row>
    <row r="417" spans="1:35" ht="13.5" customHeight="1">
      <c r="A417" s="934"/>
      <c r="B417" s="935" t="s">
        <v>517</v>
      </c>
      <c r="C417" s="934"/>
      <c r="D417" s="934"/>
      <c r="E417" s="934"/>
      <c r="F417" s="934"/>
      <c r="G417" s="934"/>
      <c r="H417" s="934"/>
      <c r="I417" s="934"/>
      <c r="J417" s="934"/>
      <c r="K417" s="934"/>
      <c r="L417" s="934"/>
      <c r="M417" s="934"/>
      <c r="N417" s="934"/>
      <c r="O417" s="934"/>
      <c r="P417" s="934"/>
      <c r="Q417" s="934"/>
      <c r="R417" s="934"/>
      <c r="S417" s="934"/>
      <c r="T417" s="934"/>
      <c r="U417" s="934"/>
      <c r="V417" s="934"/>
      <c r="W417" s="934"/>
      <c r="X417" s="934"/>
      <c r="Y417" s="934"/>
      <c r="Z417" s="934"/>
      <c r="AA417" s="934"/>
      <c r="AB417" s="934"/>
      <c r="AC417" s="934"/>
      <c r="AD417" s="934"/>
      <c r="AE417" s="934"/>
      <c r="AF417" s="934"/>
      <c r="AG417" s="934"/>
      <c r="AH417" s="934"/>
      <c r="AI417" s="934"/>
    </row>
    <row r="418" spans="1:35" ht="13.5" customHeight="1" thickBot="1">
      <c r="A418" s="934"/>
      <c r="B418" s="934"/>
      <c r="C418" s="934"/>
      <c r="D418" s="934"/>
      <c r="E418" s="934"/>
      <c r="F418" s="934"/>
      <c r="G418" s="934"/>
      <c r="H418" s="934"/>
      <c r="I418" s="934"/>
      <c r="J418" s="934"/>
      <c r="K418" s="934"/>
      <c r="L418" s="934"/>
      <c r="M418" s="934"/>
      <c r="N418" s="934"/>
      <c r="O418" s="934"/>
      <c r="P418" s="934"/>
      <c r="Q418" s="934"/>
      <c r="R418" s="934"/>
      <c r="S418" s="934"/>
      <c r="T418" s="934"/>
      <c r="U418" s="934"/>
      <c r="V418" s="934"/>
      <c r="W418" s="934"/>
      <c r="X418" s="934"/>
      <c r="Y418" s="934"/>
      <c r="Z418" s="934"/>
      <c r="AA418" s="934"/>
      <c r="AB418" s="934"/>
      <c r="AC418" s="934"/>
      <c r="AD418" s="934"/>
      <c r="AE418" s="934"/>
      <c r="AF418" s="934"/>
      <c r="AG418" s="934"/>
      <c r="AH418" s="934"/>
      <c r="AI418" s="934"/>
    </row>
    <row r="419" spans="1:35" ht="13.5" customHeight="1" thickTop="1">
      <c r="A419" s="934"/>
      <c r="B419" s="312">
        <v>1</v>
      </c>
      <c r="C419" s="1925"/>
      <c r="D419" s="1926"/>
      <c r="E419" s="1926"/>
      <c r="F419" s="1926"/>
      <c r="G419" s="1926"/>
      <c r="H419" s="1926"/>
      <c r="I419" s="1926"/>
      <c r="J419" s="1927"/>
      <c r="K419" s="1928"/>
      <c r="L419" s="1929"/>
      <c r="M419" s="1930"/>
      <c r="N419" s="1931"/>
      <c r="O419" s="1932"/>
      <c r="P419" s="1908"/>
      <c r="Q419" s="1899"/>
      <c r="R419" s="1899"/>
      <c r="S419" s="1899"/>
      <c r="T419" s="1909"/>
      <c r="U419" s="1908"/>
      <c r="V419" s="1899"/>
      <c r="W419" s="1909"/>
      <c r="X419" s="1910">
        <f t="shared" si="123" ref="X419:X429">P419*U419</f>
        <v>0</v>
      </c>
      <c r="Y419" s="1911"/>
      <c r="Z419" s="1911"/>
      <c r="AA419" s="1911"/>
      <c r="AB419" s="1912"/>
      <c r="AC419" s="934"/>
      <c r="AD419" s="934"/>
      <c r="AE419" s="934"/>
      <c r="AF419" s="934"/>
      <c r="AG419" s="934"/>
      <c r="AH419" s="934"/>
      <c r="AI419" s="934"/>
    </row>
    <row r="420" spans="1:35">
      <c r="A420" s="934"/>
      <c r="B420" s="313">
        <v>2</v>
      </c>
      <c r="C420" s="1703"/>
      <c r="D420" s="1704"/>
      <c r="E420" s="1704"/>
      <c r="F420" s="1704"/>
      <c r="G420" s="1704"/>
      <c r="H420" s="1704"/>
      <c r="I420" s="1704"/>
      <c r="J420" s="1705"/>
      <c r="K420" s="1706"/>
      <c r="L420" s="1707"/>
      <c r="M420" s="1708"/>
      <c r="N420" s="1709"/>
      <c r="O420" s="1710"/>
      <c r="P420" s="1711"/>
      <c r="Q420" s="1712"/>
      <c r="R420" s="1712"/>
      <c r="S420" s="1712"/>
      <c r="T420" s="1713"/>
      <c r="U420" s="1711"/>
      <c r="V420" s="1712"/>
      <c r="W420" s="1713"/>
      <c r="X420" s="1714">
        <f t="shared" si="123">P420*U420</f>
        <v>0</v>
      </c>
      <c r="Y420" s="1715"/>
      <c r="Z420" s="1715"/>
      <c r="AA420" s="1715"/>
      <c r="AB420" s="1716"/>
      <c r="AC420" s="934"/>
      <c r="AD420" s="934"/>
      <c r="AE420" s="934"/>
      <c r="AF420" s="934"/>
      <c r="AG420" s="934"/>
      <c r="AH420" s="934"/>
      <c r="AI420" s="934"/>
    </row>
    <row r="421" spans="1:35">
      <c r="A421" s="934"/>
      <c r="B421" s="313">
        <v>3</v>
      </c>
      <c r="C421" s="1703" t="s">
        <v>295</v>
      </c>
      <c r="D421" s="1704"/>
      <c r="E421" s="1704"/>
      <c r="F421" s="1704"/>
      <c r="G421" s="1704"/>
      <c r="H421" s="1704"/>
      <c r="I421" s="1704"/>
      <c r="J421" s="1705"/>
      <c r="K421" s="1706"/>
      <c r="L421" s="1707"/>
      <c r="M421" s="1708"/>
      <c r="N421" s="1709"/>
      <c r="O421" s="1710"/>
      <c r="P421" s="1711"/>
      <c r="Q421" s="1712"/>
      <c r="R421" s="1712"/>
      <c r="S421" s="1712"/>
      <c r="T421" s="1713"/>
      <c r="U421" s="1711"/>
      <c r="V421" s="1712"/>
      <c r="W421" s="1713"/>
      <c r="X421" s="1714">
        <f t="shared" si="123">P421*U421</f>
        <v>0</v>
      </c>
      <c r="Y421" s="1715"/>
      <c r="Z421" s="1715"/>
      <c r="AA421" s="1715"/>
      <c r="AB421" s="1716"/>
      <c r="AC421" s="934"/>
      <c r="AD421" s="934"/>
      <c r="AE421" s="934"/>
      <c r="AF421" s="934"/>
      <c r="AG421" s="934"/>
      <c r="AH421" s="934"/>
      <c r="AI421" s="934"/>
    </row>
    <row r="422" spans="1:35">
      <c r="A422" s="934"/>
      <c r="B422" s="1465">
        <v>4</v>
      </c>
      <c r="C422" s="1703" t="s">
        <v>295</v>
      </c>
      <c r="D422" s="1704"/>
      <c r="E422" s="1704"/>
      <c r="F422" s="1704"/>
      <c r="G422" s="1704"/>
      <c r="H422" s="1704"/>
      <c r="I422" s="1704"/>
      <c r="J422" s="1705"/>
      <c r="K422" s="1706"/>
      <c r="L422" s="1707"/>
      <c r="M422" s="1708"/>
      <c r="N422" s="1709"/>
      <c r="O422" s="1710"/>
      <c r="P422" s="1711"/>
      <c r="Q422" s="1712"/>
      <c r="R422" s="1712"/>
      <c r="S422" s="1712"/>
      <c r="T422" s="1713"/>
      <c r="U422" s="1711"/>
      <c r="V422" s="1712"/>
      <c r="W422" s="1713"/>
      <c r="X422" s="1714">
        <f t="shared" si="123">P422*U422</f>
        <v>0</v>
      </c>
      <c r="Y422" s="1715"/>
      <c r="Z422" s="1715"/>
      <c r="AA422" s="1715"/>
      <c r="AB422" s="1716"/>
      <c r="AC422" s="934"/>
      <c r="AD422" s="934"/>
      <c r="AE422" s="934"/>
      <c r="AF422" s="934"/>
      <c r="AG422" s="934"/>
      <c r="AH422" s="934"/>
      <c r="AI422" s="934"/>
    </row>
    <row r="423" spans="1:35">
      <c r="A423" s="934"/>
      <c r="B423" s="313">
        <v>5</v>
      </c>
      <c r="C423" s="1703"/>
      <c r="D423" s="1704"/>
      <c r="E423" s="1704"/>
      <c r="F423" s="1704"/>
      <c r="G423" s="1704"/>
      <c r="H423" s="1704"/>
      <c r="I423" s="1704"/>
      <c r="J423" s="1705"/>
      <c r="K423" s="1706"/>
      <c r="L423" s="1707"/>
      <c r="M423" s="1708"/>
      <c r="N423" s="1709"/>
      <c r="O423" s="1710"/>
      <c r="P423" s="1711"/>
      <c r="Q423" s="1712"/>
      <c r="R423" s="1712"/>
      <c r="S423" s="1712"/>
      <c r="T423" s="1713"/>
      <c r="U423" s="1711"/>
      <c r="V423" s="1712"/>
      <c r="W423" s="1713"/>
      <c r="X423" s="1714">
        <f t="shared" si="123">P423*U423</f>
        <v>0</v>
      </c>
      <c r="Y423" s="1715"/>
      <c r="Z423" s="1715"/>
      <c r="AA423" s="1715"/>
      <c r="AB423" s="1716"/>
      <c r="AC423" s="934"/>
      <c r="AD423" s="934"/>
      <c r="AE423" s="934"/>
      <c r="AF423" s="934"/>
      <c r="AG423" s="934"/>
      <c r="AH423" s="934"/>
      <c r="AI423" s="934"/>
    </row>
    <row r="424" spans="1:35">
      <c r="A424" s="934"/>
      <c r="B424" s="313">
        <v>6</v>
      </c>
      <c r="C424" s="1703" t="s">
        <v>295</v>
      </c>
      <c r="D424" s="1704"/>
      <c r="E424" s="1704"/>
      <c r="F424" s="1704"/>
      <c r="G424" s="1704"/>
      <c r="H424" s="1704"/>
      <c r="I424" s="1704"/>
      <c r="J424" s="1705"/>
      <c r="K424" s="1706"/>
      <c r="L424" s="1707"/>
      <c r="M424" s="1708"/>
      <c r="N424" s="1709"/>
      <c r="O424" s="1710"/>
      <c r="P424" s="1711"/>
      <c r="Q424" s="1712"/>
      <c r="R424" s="1712"/>
      <c r="S424" s="1712"/>
      <c r="T424" s="1713"/>
      <c r="U424" s="1711"/>
      <c r="V424" s="1712"/>
      <c r="W424" s="1713"/>
      <c r="X424" s="1714">
        <f t="shared" si="123">P424*U424</f>
        <v>0</v>
      </c>
      <c r="Y424" s="1715"/>
      <c r="Z424" s="1715"/>
      <c r="AA424" s="1715"/>
      <c r="AB424" s="1716"/>
      <c r="AC424" s="934"/>
      <c r="AD424" s="934"/>
      <c r="AE424" s="934"/>
      <c r="AF424" s="934"/>
      <c r="AG424" s="934"/>
      <c r="AH424" s="934"/>
      <c r="AI424" s="934"/>
    </row>
    <row r="425" spans="1:35">
      <c r="A425" s="934"/>
      <c r="B425" s="1465">
        <v>7</v>
      </c>
      <c r="C425" s="1703" t="s">
        <v>295</v>
      </c>
      <c r="D425" s="1704"/>
      <c r="E425" s="1704"/>
      <c r="F425" s="1704"/>
      <c r="G425" s="1704"/>
      <c r="H425" s="1704"/>
      <c r="I425" s="1704"/>
      <c r="J425" s="1705"/>
      <c r="K425" s="1706"/>
      <c r="L425" s="1707"/>
      <c r="M425" s="1708"/>
      <c r="N425" s="1709"/>
      <c r="O425" s="1710"/>
      <c r="P425" s="1711"/>
      <c r="Q425" s="1712"/>
      <c r="R425" s="1712"/>
      <c r="S425" s="1712"/>
      <c r="T425" s="1713"/>
      <c r="U425" s="1711"/>
      <c r="V425" s="1712"/>
      <c r="W425" s="1713"/>
      <c r="X425" s="1714">
        <f t="shared" si="123">P425*U425</f>
        <v>0</v>
      </c>
      <c r="Y425" s="1715"/>
      <c r="Z425" s="1715"/>
      <c r="AA425" s="1715"/>
      <c r="AB425" s="1716"/>
      <c r="AC425" s="934"/>
      <c r="AD425" s="934"/>
      <c r="AE425" s="934"/>
      <c r="AF425" s="934"/>
      <c r="AG425" s="934"/>
      <c r="AH425" s="934"/>
      <c r="AI425" s="934"/>
    </row>
    <row r="426" spans="1:35">
      <c r="A426" s="934"/>
      <c r="B426" s="313">
        <v>8</v>
      </c>
      <c r="C426" s="1703"/>
      <c r="D426" s="1704"/>
      <c r="E426" s="1704"/>
      <c r="F426" s="1704"/>
      <c r="G426" s="1704"/>
      <c r="H426" s="1704"/>
      <c r="I426" s="1704"/>
      <c r="J426" s="1705"/>
      <c r="K426" s="1706"/>
      <c r="L426" s="1707"/>
      <c r="M426" s="1708"/>
      <c r="N426" s="1709"/>
      <c r="O426" s="1710"/>
      <c r="P426" s="1711"/>
      <c r="Q426" s="1712"/>
      <c r="R426" s="1712"/>
      <c r="S426" s="1712"/>
      <c r="T426" s="1713"/>
      <c r="U426" s="1711"/>
      <c r="V426" s="1712"/>
      <c r="W426" s="1713"/>
      <c r="X426" s="1714">
        <f t="shared" si="123">P426*U426</f>
        <v>0</v>
      </c>
      <c r="Y426" s="1715"/>
      <c r="Z426" s="1715"/>
      <c r="AA426" s="1715"/>
      <c r="AB426" s="1716"/>
      <c r="AC426" s="934"/>
      <c r="AD426" s="934"/>
      <c r="AE426" s="934"/>
      <c r="AF426" s="934"/>
      <c r="AG426" s="934"/>
      <c r="AH426" s="934"/>
      <c r="AI426" s="934"/>
    </row>
    <row r="427" spans="1:35">
      <c r="A427" s="934"/>
      <c r="B427" s="313">
        <v>9</v>
      </c>
      <c r="C427" s="1703" t="s">
        <v>295</v>
      </c>
      <c r="D427" s="1704"/>
      <c r="E427" s="1704"/>
      <c r="F427" s="1704"/>
      <c r="G427" s="1704"/>
      <c r="H427" s="1704"/>
      <c r="I427" s="1704"/>
      <c r="J427" s="1705"/>
      <c r="K427" s="1706"/>
      <c r="L427" s="1707"/>
      <c r="M427" s="1708"/>
      <c r="N427" s="1709"/>
      <c r="O427" s="1710"/>
      <c r="P427" s="1711"/>
      <c r="Q427" s="1712"/>
      <c r="R427" s="1712"/>
      <c r="S427" s="1712"/>
      <c r="T427" s="1713"/>
      <c r="U427" s="1711"/>
      <c r="V427" s="1712"/>
      <c r="W427" s="1713"/>
      <c r="X427" s="1714">
        <f t="shared" si="123">P427*U427</f>
        <v>0</v>
      </c>
      <c r="Y427" s="1715"/>
      <c r="Z427" s="1715"/>
      <c r="AA427" s="1715"/>
      <c r="AB427" s="1716"/>
      <c r="AC427" s="934"/>
      <c r="AD427" s="934"/>
      <c r="AE427" s="934"/>
      <c r="AF427" s="934"/>
      <c r="AG427" s="934"/>
      <c r="AH427" s="934"/>
      <c r="AI427" s="934"/>
    </row>
    <row r="428" spans="1:35">
      <c r="A428" s="934"/>
      <c r="B428" s="1465">
        <v>10</v>
      </c>
      <c r="C428" s="1703" t="s">
        <v>295</v>
      </c>
      <c r="D428" s="1704"/>
      <c r="E428" s="1704"/>
      <c r="F428" s="1704"/>
      <c r="G428" s="1704"/>
      <c r="H428" s="1704"/>
      <c r="I428" s="1704"/>
      <c r="J428" s="1705"/>
      <c r="K428" s="1706"/>
      <c r="L428" s="1707"/>
      <c r="M428" s="1708"/>
      <c r="N428" s="1709"/>
      <c r="O428" s="1710"/>
      <c r="P428" s="1711"/>
      <c r="Q428" s="1712"/>
      <c r="R428" s="1712"/>
      <c r="S428" s="1712"/>
      <c r="T428" s="1713"/>
      <c r="U428" s="1711"/>
      <c r="V428" s="1712"/>
      <c r="W428" s="1713"/>
      <c r="X428" s="1714">
        <f t="shared" si="123">P428*U428</f>
        <v>0</v>
      </c>
      <c r="Y428" s="1715"/>
      <c r="Z428" s="1715"/>
      <c r="AA428" s="1715"/>
      <c r="AB428" s="1716"/>
      <c r="AC428" s="934"/>
      <c r="AD428" s="934"/>
      <c r="AE428" s="934"/>
      <c r="AF428" s="934"/>
      <c r="AG428" s="934"/>
      <c r="AH428" s="934"/>
      <c r="AI428" s="934"/>
    </row>
    <row r="429" spans="1:35" ht="13.5" customHeight="1" thickBot="1">
      <c r="A429" s="934"/>
      <c r="B429" s="314" t="s">
        <v>504</v>
      </c>
      <c r="C429" s="1917" t="s">
        <v>295</v>
      </c>
      <c r="D429" s="1918"/>
      <c r="E429" s="1918"/>
      <c r="F429" s="1918"/>
      <c r="G429" s="1918"/>
      <c r="H429" s="1918"/>
      <c r="I429" s="1918"/>
      <c r="J429" s="1919"/>
      <c r="K429" s="1920"/>
      <c r="L429" s="1921"/>
      <c r="M429" s="1922"/>
      <c r="N429" s="1923"/>
      <c r="O429" s="1924"/>
      <c r="P429" s="1751"/>
      <c r="Q429" s="1752"/>
      <c r="R429" s="1752"/>
      <c r="S429" s="1752"/>
      <c r="T429" s="1753"/>
      <c r="U429" s="1751"/>
      <c r="V429" s="1752"/>
      <c r="W429" s="1753"/>
      <c r="X429" s="1754">
        <f t="shared" si="123">P429*U429</f>
        <v>0</v>
      </c>
      <c r="Y429" s="1755"/>
      <c r="Z429" s="1755"/>
      <c r="AA429" s="1755"/>
      <c r="AB429" s="1756"/>
      <c r="AC429" s="934"/>
      <c r="AD429" s="934"/>
      <c r="AE429" s="934"/>
      <c r="AF429" s="934"/>
      <c r="AG429" s="934"/>
      <c r="AH429" s="934"/>
      <c r="AI429" s="934"/>
    </row>
    <row r="430" spans="1:35" ht="13.5" customHeight="1" thickTop="1" thickBot="1">
      <c r="A430" s="934"/>
      <c r="B430" s="934"/>
      <c r="C430" s="934"/>
      <c r="D430" s="934"/>
      <c r="E430" s="934"/>
      <c r="F430" s="934"/>
      <c r="G430" s="934"/>
      <c r="H430" s="934"/>
      <c r="I430" s="934"/>
      <c r="J430" s="934"/>
      <c r="K430" s="934"/>
      <c r="L430" s="934"/>
      <c r="M430" s="952"/>
      <c r="N430" s="952"/>
      <c r="O430" s="952"/>
      <c r="P430" s="936"/>
      <c r="Q430" s="936"/>
      <c r="R430" s="936"/>
      <c r="S430" s="936"/>
      <c r="T430" s="936"/>
      <c r="U430" s="953"/>
      <c r="V430" s="953"/>
      <c r="W430" s="953"/>
      <c r="X430" s="953"/>
      <c r="Y430" s="953"/>
      <c r="Z430" s="953"/>
      <c r="AA430" s="953"/>
      <c r="AB430" s="953"/>
      <c r="AC430" s="934"/>
      <c r="AD430" s="934"/>
      <c r="AE430" s="934"/>
      <c r="AF430" s="934"/>
      <c r="AG430" s="934"/>
      <c r="AH430" s="934"/>
      <c r="AI430" s="934"/>
    </row>
    <row r="431" spans="1:35" ht="13.5" customHeight="1" thickTop="1" thickBot="1">
      <c r="A431" s="934"/>
      <c r="B431" s="934" t="s">
        <v>518</v>
      </c>
      <c r="C431" s="934"/>
      <c r="D431" s="934"/>
      <c r="E431" s="934"/>
      <c r="F431" s="934"/>
      <c r="G431" s="934"/>
      <c r="H431" s="934"/>
      <c r="I431" s="934"/>
      <c r="J431" s="934"/>
      <c r="K431" s="934"/>
      <c r="L431" s="934"/>
      <c r="M431" s="952"/>
      <c r="N431" s="952"/>
      <c r="O431" s="952"/>
      <c r="P431" s="1836">
        <f>SUM(P419:T429)</f>
        <v>0</v>
      </c>
      <c r="Q431" s="1837"/>
      <c r="R431" s="1837"/>
      <c r="S431" s="1837"/>
      <c r="T431" s="1838"/>
      <c r="U431" s="954"/>
      <c r="V431" s="954"/>
      <c r="W431" s="954"/>
      <c r="X431" s="1657">
        <f>SUM(X419:AB429)</f>
        <v>0</v>
      </c>
      <c r="Y431" s="1658"/>
      <c r="Z431" s="1658"/>
      <c r="AA431" s="1658"/>
      <c r="AB431" s="1659"/>
      <c r="AC431" s="934"/>
      <c r="AD431" s="934"/>
      <c r="AE431" s="934"/>
      <c r="AF431" s="934"/>
      <c r="AG431" s="934"/>
      <c r="AH431" s="934"/>
      <c r="AI431" s="934"/>
    </row>
    <row r="432" spans="1:35" ht="13.5" customHeight="1" thickTop="1">
      <c r="A432" s="934"/>
      <c r="B432" s="934"/>
      <c r="C432" s="934"/>
      <c r="D432" s="934"/>
      <c r="E432" s="934"/>
      <c r="F432" s="934"/>
      <c r="G432" s="934"/>
      <c r="H432" s="934"/>
      <c r="I432" s="934"/>
      <c r="J432" s="934"/>
      <c r="K432" s="934"/>
      <c r="L432" s="934"/>
      <c r="M432" s="952"/>
      <c r="N432" s="952"/>
      <c r="O432" s="952"/>
      <c r="P432" s="936"/>
      <c r="Q432" s="936"/>
      <c r="R432" s="936"/>
      <c r="S432" s="936"/>
      <c r="T432" s="936"/>
      <c r="U432" s="953"/>
      <c r="V432" s="953"/>
      <c r="W432" s="953"/>
      <c r="X432" s="953"/>
      <c r="Y432" s="953"/>
      <c r="Z432" s="953"/>
      <c r="AA432" s="953"/>
      <c r="AB432" s="953"/>
      <c r="AC432" s="934"/>
      <c r="AD432" s="934"/>
      <c r="AE432" s="934"/>
      <c r="AF432" s="934"/>
      <c r="AG432" s="934"/>
      <c r="AH432" s="934"/>
      <c r="AI432" s="934"/>
    </row>
    <row r="433" spans="1:35" ht="13.5" customHeight="1">
      <c r="A433" s="934"/>
      <c r="B433" s="935" t="s">
        <v>519</v>
      </c>
      <c r="C433" s="934"/>
      <c r="D433" s="934"/>
      <c r="E433" s="934"/>
      <c r="F433" s="934"/>
      <c r="G433" s="934"/>
      <c r="H433" s="934"/>
      <c r="I433" s="934"/>
      <c r="J433" s="934"/>
      <c r="K433" s="934"/>
      <c r="L433" s="934"/>
      <c r="M433" s="952"/>
      <c r="N433" s="952"/>
      <c r="O433" s="952"/>
      <c r="P433" s="936"/>
      <c r="Q433" s="936"/>
      <c r="R433" s="936"/>
      <c r="S433" s="936"/>
      <c r="T433" s="936"/>
      <c r="U433" s="953"/>
      <c r="V433" s="953"/>
      <c r="W433" s="953"/>
      <c r="X433" s="953"/>
      <c r="Y433" s="953"/>
      <c r="Z433" s="953"/>
      <c r="AA433" s="953"/>
      <c r="AB433" s="953"/>
      <c r="AC433" s="934"/>
      <c r="AD433" s="934"/>
      <c r="AE433" s="934"/>
      <c r="AF433" s="934"/>
      <c r="AG433" s="934"/>
      <c r="AH433" s="934"/>
      <c r="AI433" s="934"/>
    </row>
    <row r="434" spans="1:35" ht="13.5" customHeight="1" thickBot="1">
      <c r="A434" s="934"/>
      <c r="B434" s="934"/>
      <c r="C434" s="934"/>
      <c r="D434" s="934"/>
      <c r="E434" s="934"/>
      <c r="F434" s="934"/>
      <c r="G434" s="934"/>
      <c r="H434" s="934"/>
      <c r="I434" s="934"/>
      <c r="J434" s="934"/>
      <c r="K434" s="934"/>
      <c r="L434" s="934"/>
      <c r="M434" s="952"/>
      <c r="N434" s="952"/>
      <c r="O434" s="952"/>
      <c r="P434" s="936"/>
      <c r="Q434" s="936"/>
      <c r="R434" s="936"/>
      <c r="S434" s="936"/>
      <c r="T434" s="936"/>
      <c r="U434" s="953"/>
      <c r="V434" s="953"/>
      <c r="W434" s="953"/>
      <c r="X434" s="953"/>
      <c r="Y434" s="953"/>
      <c r="Z434" s="953"/>
      <c r="AA434" s="953"/>
      <c r="AB434" s="953"/>
      <c r="AC434" s="934"/>
      <c r="AD434" s="934"/>
      <c r="AE434" s="934"/>
      <c r="AF434" s="934"/>
      <c r="AG434" s="934"/>
      <c r="AH434" s="934"/>
      <c r="AI434" s="934"/>
    </row>
    <row r="435" spans="1:35" ht="13.5" customHeight="1" thickTop="1">
      <c r="A435" s="934"/>
      <c r="B435" s="312">
        <v>1</v>
      </c>
      <c r="C435" s="1925"/>
      <c r="D435" s="1926"/>
      <c r="E435" s="1926"/>
      <c r="F435" s="1926"/>
      <c r="G435" s="1926"/>
      <c r="H435" s="1926"/>
      <c r="I435" s="1926"/>
      <c r="J435" s="1927"/>
      <c r="K435" s="1928"/>
      <c r="L435" s="1929"/>
      <c r="M435" s="1930"/>
      <c r="N435" s="1931"/>
      <c r="O435" s="1932"/>
      <c r="P435" s="1908"/>
      <c r="Q435" s="1899"/>
      <c r="R435" s="1899"/>
      <c r="S435" s="1899"/>
      <c r="T435" s="1909"/>
      <c r="U435" s="1908"/>
      <c r="V435" s="1899"/>
      <c r="W435" s="1909"/>
      <c r="X435" s="1910">
        <f t="shared" si="124" ref="X435:X445">P435*U435</f>
        <v>0</v>
      </c>
      <c r="Y435" s="1911"/>
      <c r="Z435" s="1911"/>
      <c r="AA435" s="1911"/>
      <c r="AB435" s="1912"/>
      <c r="AC435" s="934"/>
      <c r="AD435" s="934"/>
      <c r="AE435" s="934"/>
      <c r="AF435" s="934"/>
      <c r="AG435" s="934"/>
      <c r="AH435" s="934"/>
      <c r="AI435" s="934"/>
    </row>
    <row r="436" spans="1:35">
      <c r="A436" s="934"/>
      <c r="B436" s="313">
        <v>2</v>
      </c>
      <c r="C436" s="1703" t="s">
        <v>295</v>
      </c>
      <c r="D436" s="1704"/>
      <c r="E436" s="1704"/>
      <c r="F436" s="1704"/>
      <c r="G436" s="1704"/>
      <c r="H436" s="1704"/>
      <c r="I436" s="1704"/>
      <c r="J436" s="1705"/>
      <c r="K436" s="1706"/>
      <c r="L436" s="1707"/>
      <c r="M436" s="1708"/>
      <c r="N436" s="1709"/>
      <c r="O436" s="1710"/>
      <c r="P436" s="1711"/>
      <c r="Q436" s="1712"/>
      <c r="R436" s="1712"/>
      <c r="S436" s="1712"/>
      <c r="T436" s="1713"/>
      <c r="U436" s="1711"/>
      <c r="V436" s="1712"/>
      <c r="W436" s="1713"/>
      <c r="X436" s="1714">
        <f t="shared" si="124">P436*U436</f>
        <v>0</v>
      </c>
      <c r="Y436" s="1715"/>
      <c r="Z436" s="1715"/>
      <c r="AA436" s="1715"/>
      <c r="AB436" s="1716"/>
      <c r="AC436" s="934"/>
      <c r="AD436" s="934"/>
      <c r="AE436" s="934"/>
      <c r="AF436" s="934"/>
      <c r="AG436" s="934"/>
      <c r="AH436" s="934"/>
      <c r="AI436" s="934"/>
    </row>
    <row r="437" spans="1:35">
      <c r="A437" s="934"/>
      <c r="B437" s="1465">
        <v>3</v>
      </c>
      <c r="C437" s="1703" t="s">
        <v>295</v>
      </c>
      <c r="D437" s="1704"/>
      <c r="E437" s="1704"/>
      <c r="F437" s="1704"/>
      <c r="G437" s="1704"/>
      <c r="H437" s="1704"/>
      <c r="I437" s="1704"/>
      <c r="J437" s="1705"/>
      <c r="K437" s="1706"/>
      <c r="L437" s="1707"/>
      <c r="M437" s="1708"/>
      <c r="N437" s="1709"/>
      <c r="O437" s="1710"/>
      <c r="P437" s="1711"/>
      <c r="Q437" s="1712"/>
      <c r="R437" s="1712"/>
      <c r="S437" s="1712"/>
      <c r="T437" s="1713"/>
      <c r="U437" s="1711"/>
      <c r="V437" s="1712"/>
      <c r="W437" s="1713"/>
      <c r="X437" s="1714">
        <f t="shared" si="124">P437*U437</f>
        <v>0</v>
      </c>
      <c r="Y437" s="1715"/>
      <c r="Z437" s="1715"/>
      <c r="AA437" s="1715"/>
      <c r="AB437" s="1716"/>
      <c r="AC437" s="934"/>
      <c r="AD437" s="934"/>
      <c r="AE437" s="934"/>
      <c r="AF437" s="934"/>
      <c r="AG437" s="934"/>
      <c r="AH437" s="934"/>
      <c r="AI437" s="934"/>
    </row>
    <row r="438" spans="1:35">
      <c r="A438" s="934"/>
      <c r="B438" s="313">
        <v>4</v>
      </c>
      <c r="C438" s="1703" t="s">
        <v>295</v>
      </c>
      <c r="D438" s="1704"/>
      <c r="E438" s="1704"/>
      <c r="F438" s="1704"/>
      <c r="G438" s="1704"/>
      <c r="H438" s="1704"/>
      <c r="I438" s="1704"/>
      <c r="J438" s="1705"/>
      <c r="K438" s="1706"/>
      <c r="L438" s="1707"/>
      <c r="M438" s="1708"/>
      <c r="N438" s="1709"/>
      <c r="O438" s="1710"/>
      <c r="P438" s="1711"/>
      <c r="Q438" s="1712"/>
      <c r="R438" s="1712"/>
      <c r="S438" s="1712"/>
      <c r="T438" s="1713"/>
      <c r="U438" s="1711"/>
      <c r="V438" s="1712"/>
      <c r="W438" s="1713"/>
      <c r="X438" s="1714">
        <f t="shared" si="124">P438*U438</f>
        <v>0</v>
      </c>
      <c r="Y438" s="1715"/>
      <c r="Z438" s="1715"/>
      <c r="AA438" s="1715"/>
      <c r="AB438" s="1716"/>
      <c r="AC438" s="934"/>
      <c r="AD438" s="934"/>
      <c r="AE438" s="934"/>
      <c r="AF438" s="934"/>
      <c r="AG438" s="934"/>
      <c r="AH438" s="934"/>
      <c r="AI438" s="934"/>
    </row>
    <row r="439" spans="1:35">
      <c r="A439" s="934"/>
      <c r="B439" s="1465">
        <v>5</v>
      </c>
      <c r="C439" s="1703" t="s">
        <v>295</v>
      </c>
      <c r="D439" s="1704"/>
      <c r="E439" s="1704"/>
      <c r="F439" s="1704"/>
      <c r="G439" s="1704"/>
      <c r="H439" s="1704"/>
      <c r="I439" s="1704"/>
      <c r="J439" s="1705"/>
      <c r="K439" s="1706"/>
      <c r="L439" s="1707"/>
      <c r="M439" s="1708"/>
      <c r="N439" s="1709"/>
      <c r="O439" s="1710"/>
      <c r="P439" s="1711"/>
      <c r="Q439" s="1712"/>
      <c r="R439" s="1712"/>
      <c r="S439" s="1712"/>
      <c r="T439" s="1713"/>
      <c r="U439" s="1711"/>
      <c r="V439" s="1712"/>
      <c r="W439" s="1713"/>
      <c r="X439" s="1714">
        <f t="shared" si="124">P439*U439</f>
        <v>0</v>
      </c>
      <c r="Y439" s="1715"/>
      <c r="Z439" s="1715"/>
      <c r="AA439" s="1715"/>
      <c r="AB439" s="1716"/>
      <c r="AC439" s="934"/>
      <c r="AD439" s="934"/>
      <c r="AE439" s="934"/>
      <c r="AF439" s="934"/>
      <c r="AG439" s="934"/>
      <c r="AH439" s="934"/>
      <c r="AI439" s="934"/>
    </row>
    <row r="440" spans="1:35">
      <c r="A440" s="934"/>
      <c r="B440" s="313">
        <v>6</v>
      </c>
      <c r="C440" s="1703" t="s">
        <v>295</v>
      </c>
      <c r="D440" s="1704"/>
      <c r="E440" s="1704"/>
      <c r="F440" s="1704"/>
      <c r="G440" s="1704"/>
      <c r="H440" s="1704"/>
      <c r="I440" s="1704"/>
      <c r="J440" s="1705"/>
      <c r="K440" s="1706"/>
      <c r="L440" s="1707"/>
      <c r="M440" s="1708"/>
      <c r="N440" s="1709"/>
      <c r="O440" s="1710"/>
      <c r="P440" s="1711"/>
      <c r="Q440" s="1712"/>
      <c r="R440" s="1712"/>
      <c r="S440" s="1712"/>
      <c r="T440" s="1713"/>
      <c r="U440" s="1711"/>
      <c r="V440" s="1712"/>
      <c r="W440" s="1713"/>
      <c r="X440" s="1714">
        <f t="shared" si="124">P440*U440</f>
        <v>0</v>
      </c>
      <c r="Y440" s="1715"/>
      <c r="Z440" s="1715"/>
      <c r="AA440" s="1715"/>
      <c r="AB440" s="1716"/>
      <c r="AC440" s="934"/>
      <c r="AD440" s="934"/>
      <c r="AE440" s="934"/>
      <c r="AF440" s="934"/>
      <c r="AG440" s="934"/>
      <c r="AH440" s="934"/>
      <c r="AI440" s="934"/>
    </row>
    <row r="441" spans="1:35">
      <c r="A441" s="934"/>
      <c r="B441" s="1465">
        <v>7</v>
      </c>
      <c r="C441" s="1703" t="s">
        <v>295</v>
      </c>
      <c r="D441" s="1704"/>
      <c r="E441" s="1704"/>
      <c r="F441" s="1704"/>
      <c r="G441" s="1704"/>
      <c r="H441" s="1704"/>
      <c r="I441" s="1704"/>
      <c r="J441" s="1705"/>
      <c r="K441" s="1706"/>
      <c r="L441" s="1707"/>
      <c r="M441" s="1708"/>
      <c r="N441" s="1709"/>
      <c r="O441" s="1710"/>
      <c r="P441" s="1711"/>
      <c r="Q441" s="1712"/>
      <c r="R441" s="1712"/>
      <c r="S441" s="1712"/>
      <c r="T441" s="1713"/>
      <c r="U441" s="1711"/>
      <c r="V441" s="1712"/>
      <c r="W441" s="1713"/>
      <c r="X441" s="1714">
        <f t="shared" si="124">P441*U441</f>
        <v>0</v>
      </c>
      <c r="Y441" s="1715"/>
      <c r="Z441" s="1715"/>
      <c r="AA441" s="1715"/>
      <c r="AB441" s="1716"/>
      <c r="AC441" s="934"/>
      <c r="AD441" s="934"/>
      <c r="AE441" s="934"/>
      <c r="AF441" s="934"/>
      <c r="AG441" s="934"/>
      <c r="AH441" s="934"/>
      <c r="AI441" s="934"/>
    </row>
    <row r="442" spans="1:35">
      <c r="A442" s="934"/>
      <c r="B442" s="313">
        <v>8</v>
      </c>
      <c r="C442" s="1703" t="s">
        <v>295</v>
      </c>
      <c r="D442" s="1704"/>
      <c r="E442" s="1704"/>
      <c r="F442" s="1704"/>
      <c r="G442" s="1704"/>
      <c r="H442" s="1704"/>
      <c r="I442" s="1704"/>
      <c r="J442" s="1705"/>
      <c r="K442" s="1706"/>
      <c r="L442" s="1707"/>
      <c r="M442" s="1708"/>
      <c r="N442" s="1709"/>
      <c r="O442" s="1710"/>
      <c r="P442" s="1711"/>
      <c r="Q442" s="1712"/>
      <c r="R442" s="1712"/>
      <c r="S442" s="1712"/>
      <c r="T442" s="1713"/>
      <c r="U442" s="1711"/>
      <c r="V442" s="1712"/>
      <c r="W442" s="1713"/>
      <c r="X442" s="1714">
        <f t="shared" si="124">P442*U442</f>
        <v>0</v>
      </c>
      <c r="Y442" s="1715"/>
      <c r="Z442" s="1715"/>
      <c r="AA442" s="1715"/>
      <c r="AB442" s="1716"/>
      <c r="AC442" s="934"/>
      <c r="AD442" s="934"/>
      <c r="AE442" s="934"/>
      <c r="AF442" s="934"/>
      <c r="AG442" s="934"/>
      <c r="AH442" s="934"/>
      <c r="AI442" s="934"/>
    </row>
    <row r="443" spans="1:35">
      <c r="A443" s="934"/>
      <c r="B443" s="1465">
        <v>9</v>
      </c>
      <c r="C443" s="1703" t="s">
        <v>295</v>
      </c>
      <c r="D443" s="1704"/>
      <c r="E443" s="1704"/>
      <c r="F443" s="1704"/>
      <c r="G443" s="1704"/>
      <c r="H443" s="1704"/>
      <c r="I443" s="1704"/>
      <c r="J443" s="1705"/>
      <c r="K443" s="1706"/>
      <c r="L443" s="1707"/>
      <c r="M443" s="1708"/>
      <c r="N443" s="1709"/>
      <c r="O443" s="1710"/>
      <c r="P443" s="1711"/>
      <c r="Q443" s="1712"/>
      <c r="R443" s="1712"/>
      <c r="S443" s="1712"/>
      <c r="T443" s="1713"/>
      <c r="U443" s="1711"/>
      <c r="V443" s="1712"/>
      <c r="W443" s="1713"/>
      <c r="X443" s="1714">
        <f t="shared" si="124">P443*U443</f>
        <v>0</v>
      </c>
      <c r="Y443" s="1715"/>
      <c r="Z443" s="1715"/>
      <c r="AA443" s="1715"/>
      <c r="AB443" s="1716"/>
      <c r="AC443" s="934"/>
      <c r="AD443" s="934"/>
      <c r="AE443" s="934"/>
      <c r="AF443" s="934"/>
      <c r="AG443" s="934"/>
      <c r="AH443" s="934"/>
      <c r="AI443" s="934"/>
    </row>
    <row r="444" spans="1:35">
      <c r="A444" s="934"/>
      <c r="B444" s="313">
        <v>10</v>
      </c>
      <c r="C444" s="1703" t="s">
        <v>295</v>
      </c>
      <c r="D444" s="1704"/>
      <c r="E444" s="1704"/>
      <c r="F444" s="1704"/>
      <c r="G444" s="1704"/>
      <c r="H444" s="1704"/>
      <c r="I444" s="1704"/>
      <c r="J444" s="1705"/>
      <c r="K444" s="1706"/>
      <c r="L444" s="1707"/>
      <c r="M444" s="1708"/>
      <c r="N444" s="1709"/>
      <c r="O444" s="1710"/>
      <c r="P444" s="1711"/>
      <c r="Q444" s="1712"/>
      <c r="R444" s="1712"/>
      <c r="S444" s="1712"/>
      <c r="T444" s="1713"/>
      <c r="U444" s="1711"/>
      <c r="V444" s="1712"/>
      <c r="W444" s="1713"/>
      <c r="X444" s="1714">
        <f t="shared" si="124">P444*U444</f>
        <v>0</v>
      </c>
      <c r="Y444" s="1715"/>
      <c r="Z444" s="1715"/>
      <c r="AA444" s="1715"/>
      <c r="AB444" s="1716"/>
      <c r="AC444" s="934"/>
      <c r="AD444" s="934"/>
      <c r="AE444" s="934"/>
      <c r="AF444" s="934"/>
      <c r="AG444" s="934"/>
      <c r="AH444" s="934"/>
      <c r="AI444" s="934"/>
    </row>
    <row r="445" spans="1:35" ht="13.5" customHeight="1" thickBot="1">
      <c r="A445" s="934"/>
      <c r="B445" s="314" t="s">
        <v>504</v>
      </c>
      <c r="C445" s="1917" t="s">
        <v>295</v>
      </c>
      <c r="D445" s="1918"/>
      <c r="E445" s="1918"/>
      <c r="F445" s="1918"/>
      <c r="G445" s="1918"/>
      <c r="H445" s="1918"/>
      <c r="I445" s="1918"/>
      <c r="J445" s="1919"/>
      <c r="K445" s="1920"/>
      <c r="L445" s="1921"/>
      <c r="M445" s="1922"/>
      <c r="N445" s="1923"/>
      <c r="O445" s="1924"/>
      <c r="P445" s="1751"/>
      <c r="Q445" s="1752"/>
      <c r="R445" s="1752"/>
      <c r="S445" s="1752"/>
      <c r="T445" s="1753"/>
      <c r="U445" s="1751"/>
      <c r="V445" s="1752"/>
      <c r="W445" s="1753"/>
      <c r="X445" s="1754">
        <f t="shared" si="124">P445*U445</f>
        <v>0</v>
      </c>
      <c r="Y445" s="1755"/>
      <c r="Z445" s="1755"/>
      <c r="AA445" s="1755"/>
      <c r="AB445" s="1756"/>
      <c r="AC445" s="934"/>
      <c r="AD445" s="934"/>
      <c r="AE445" s="934"/>
      <c r="AF445" s="934"/>
      <c r="AG445" s="934"/>
      <c r="AH445" s="934"/>
      <c r="AI445" s="934"/>
    </row>
    <row r="446" spans="1:35" ht="13.5" customHeight="1" thickTop="1" thickBot="1">
      <c r="A446" s="934"/>
      <c r="B446" s="934"/>
      <c r="C446" s="934"/>
      <c r="D446" s="934"/>
      <c r="E446" s="934"/>
      <c r="F446" s="934"/>
      <c r="G446" s="934"/>
      <c r="H446" s="934"/>
      <c r="I446" s="934"/>
      <c r="J446" s="934"/>
      <c r="K446" s="934"/>
      <c r="L446" s="934"/>
      <c r="M446" s="934"/>
      <c r="N446" s="934"/>
      <c r="O446" s="934"/>
      <c r="P446" s="934"/>
      <c r="Q446" s="934"/>
      <c r="R446" s="934"/>
      <c r="S446" s="934"/>
      <c r="T446" s="934"/>
      <c r="U446" s="934"/>
      <c r="V446" s="934"/>
      <c r="W446" s="934"/>
      <c r="X446" s="953"/>
      <c r="Y446" s="953"/>
      <c r="Z446" s="953"/>
      <c r="AA446" s="953"/>
      <c r="AB446" s="953"/>
      <c r="AC446" s="934"/>
      <c r="AD446" s="934"/>
      <c r="AE446" s="934"/>
      <c r="AF446" s="934"/>
      <c r="AG446" s="934"/>
      <c r="AH446" s="934"/>
      <c r="AI446" s="934"/>
    </row>
    <row r="447" spans="1:35" ht="13.5" customHeight="1" thickTop="1" thickBot="1">
      <c r="A447" s="934"/>
      <c r="B447" s="934" t="s">
        <v>520</v>
      </c>
      <c r="C447" s="934"/>
      <c r="D447" s="934"/>
      <c r="E447" s="934"/>
      <c r="F447" s="934"/>
      <c r="G447" s="934"/>
      <c r="H447" s="934"/>
      <c r="I447" s="934"/>
      <c r="J447" s="934"/>
      <c r="K447" s="934"/>
      <c r="L447" s="934"/>
      <c r="M447" s="934"/>
      <c r="N447" s="934"/>
      <c r="O447" s="934"/>
      <c r="P447" s="1836">
        <f>SUM(P435:T445)</f>
        <v>0</v>
      </c>
      <c r="Q447" s="1837"/>
      <c r="R447" s="1837"/>
      <c r="S447" s="1837"/>
      <c r="T447" s="1838"/>
      <c r="U447" s="945"/>
      <c r="V447" s="945"/>
      <c r="W447" s="945"/>
      <c r="X447" s="1657">
        <f>SUM(X435:AB445)</f>
        <v>0</v>
      </c>
      <c r="Y447" s="1658"/>
      <c r="Z447" s="1658"/>
      <c r="AA447" s="1658"/>
      <c r="AB447" s="1659"/>
      <c r="AC447" s="934"/>
      <c r="AD447" s="934"/>
      <c r="AE447" s="934"/>
      <c r="AF447" s="934"/>
      <c r="AG447" s="934"/>
      <c r="AH447" s="934"/>
      <c r="AI447" s="934"/>
    </row>
    <row r="448" spans="1:35" ht="13.5" customHeight="1" thickTop="1">
      <c r="A448" s="934"/>
      <c r="B448" s="934"/>
      <c r="C448" s="934"/>
      <c r="D448" s="934"/>
      <c r="E448" s="934"/>
      <c r="F448" s="934"/>
      <c r="G448" s="934"/>
      <c r="H448" s="934"/>
      <c r="I448" s="934"/>
      <c r="J448" s="934"/>
      <c r="K448" s="934"/>
      <c r="L448" s="934"/>
      <c r="M448" s="934"/>
      <c r="N448" s="934"/>
      <c r="O448" s="934"/>
      <c r="P448" s="934"/>
      <c r="Q448" s="934"/>
      <c r="R448" s="934"/>
      <c r="S448" s="934"/>
      <c r="T448" s="934"/>
      <c r="U448" s="934"/>
      <c r="V448" s="934"/>
      <c r="W448" s="934"/>
      <c r="X448" s="934"/>
      <c r="Y448" s="934"/>
      <c r="Z448" s="934"/>
      <c r="AA448" s="934"/>
      <c r="AB448" s="934"/>
      <c r="AC448" s="934"/>
      <c r="AD448" s="934"/>
      <c r="AE448" s="934"/>
      <c r="AF448" s="934"/>
      <c r="AG448" s="934"/>
      <c r="AH448" s="934"/>
      <c r="AI448" s="934"/>
    </row>
    <row r="449" spans="1:35" ht="13.5" customHeight="1">
      <c r="A449" s="934"/>
      <c r="B449" s="935" t="s">
        <v>521</v>
      </c>
      <c r="C449" s="934"/>
      <c r="D449" s="934"/>
      <c r="E449" s="934"/>
      <c r="F449" s="934"/>
      <c r="G449" s="934"/>
      <c r="H449" s="934"/>
      <c r="I449" s="934"/>
      <c r="J449" s="934"/>
      <c r="K449" s="934"/>
      <c r="L449" s="934"/>
      <c r="M449" s="934"/>
      <c r="N449" s="934"/>
      <c r="O449" s="934"/>
      <c r="P449" s="934"/>
      <c r="Q449" s="934"/>
      <c r="R449" s="934"/>
      <c r="S449" s="934"/>
      <c r="T449" s="934"/>
      <c r="U449" s="934"/>
      <c r="V449" s="934"/>
      <c r="W449" s="934"/>
      <c r="X449" s="934"/>
      <c r="Y449" s="934"/>
      <c r="Z449" s="934"/>
      <c r="AA449" s="934"/>
      <c r="AB449" s="934"/>
      <c r="AC449" s="934"/>
      <c r="AD449" s="934"/>
      <c r="AE449" s="934"/>
      <c r="AF449" s="934"/>
      <c r="AG449" s="934"/>
      <c r="AH449" s="934"/>
      <c r="AI449" s="934"/>
    </row>
    <row r="450" spans="1:35" ht="13.5" customHeight="1" thickBot="1">
      <c r="A450" s="934"/>
      <c r="B450" s="934"/>
      <c r="C450" s="934"/>
      <c r="D450" s="934"/>
      <c r="E450" s="934"/>
      <c r="F450" s="934"/>
      <c r="G450" s="934"/>
      <c r="H450" s="934"/>
      <c r="I450" s="934"/>
      <c r="J450" s="934"/>
      <c r="K450" s="934"/>
      <c r="L450" s="934"/>
      <c r="M450" s="934"/>
      <c r="N450" s="934"/>
      <c r="O450" s="934"/>
      <c r="P450" s="934"/>
      <c r="Q450" s="934"/>
      <c r="R450" s="934"/>
      <c r="S450" s="934"/>
      <c r="T450" s="934"/>
      <c r="U450" s="934"/>
      <c r="V450" s="934"/>
      <c r="W450" s="934"/>
      <c r="X450" s="934"/>
      <c r="Y450" s="934"/>
      <c r="Z450" s="934"/>
      <c r="AA450" s="934"/>
      <c r="AB450" s="934"/>
      <c r="AC450" s="934"/>
      <c r="AD450" s="934"/>
      <c r="AE450" s="934"/>
      <c r="AF450" s="934"/>
      <c r="AG450" s="934"/>
      <c r="AH450" s="934"/>
      <c r="AI450" s="934"/>
    </row>
    <row r="451" spans="1:35" ht="13.5" customHeight="1" thickTop="1">
      <c r="A451" s="934"/>
      <c r="B451" s="934" t="s">
        <v>522</v>
      </c>
      <c r="C451" s="934"/>
      <c r="D451" s="934"/>
      <c r="E451" s="934"/>
      <c r="F451" s="934"/>
      <c r="G451" s="934"/>
      <c r="H451" s="934"/>
      <c r="I451" s="934"/>
      <c r="J451" s="934"/>
      <c r="K451" s="934"/>
      <c r="L451" s="934"/>
      <c r="M451" s="934"/>
      <c r="N451" s="934"/>
      <c r="O451" s="934"/>
      <c r="P451" s="1898"/>
      <c r="Q451" s="1899"/>
      <c r="R451" s="1899"/>
      <c r="S451" s="1899"/>
      <c r="T451" s="1900"/>
      <c r="U451" s="934"/>
      <c r="V451" s="934"/>
      <c r="W451" s="934"/>
      <c r="X451" s="934"/>
      <c r="Y451" s="934"/>
      <c r="Z451" s="934"/>
      <c r="AA451" s="934"/>
      <c r="AB451" s="934"/>
      <c r="AC451" s="934"/>
      <c r="AD451" s="934"/>
      <c r="AE451" s="934"/>
      <c r="AF451" s="934"/>
      <c r="AG451" s="934"/>
      <c r="AH451" s="934"/>
      <c r="AI451" s="934"/>
    </row>
    <row r="452" spans="1:35">
      <c r="A452" s="934"/>
      <c r="B452" s="934" t="s">
        <v>523</v>
      </c>
      <c r="C452" s="934"/>
      <c r="D452" s="934"/>
      <c r="E452" s="934"/>
      <c r="F452" s="934"/>
      <c r="G452" s="934"/>
      <c r="H452" s="934"/>
      <c r="I452" s="934"/>
      <c r="J452" s="934"/>
      <c r="K452" s="934"/>
      <c r="L452" s="934"/>
      <c r="M452" s="934"/>
      <c r="N452" s="934"/>
      <c r="O452" s="934"/>
      <c r="P452" s="1901"/>
      <c r="Q452" s="1902"/>
      <c r="R452" s="1902"/>
      <c r="S452" s="1902"/>
      <c r="T452" s="1903"/>
      <c r="U452" s="934"/>
      <c r="V452" s="934"/>
      <c r="W452" s="934"/>
      <c r="X452" s="934"/>
      <c r="Y452" s="934"/>
      <c r="Z452" s="934"/>
      <c r="AA452" s="934"/>
      <c r="AB452" s="934"/>
      <c r="AC452" s="934"/>
      <c r="AD452" s="934"/>
      <c r="AE452" s="934"/>
      <c r="AF452" s="934"/>
      <c r="AG452" s="934"/>
      <c r="AH452" s="934"/>
      <c r="AI452" s="934"/>
    </row>
    <row r="453" spans="1:35" ht="13.5" customHeight="1" thickBot="1">
      <c r="A453" s="934"/>
      <c r="B453" s="934" t="s">
        <v>524</v>
      </c>
      <c r="C453" s="934"/>
      <c r="D453" s="934"/>
      <c r="E453" s="934"/>
      <c r="F453" s="934"/>
      <c r="G453" s="934"/>
      <c r="H453" s="934"/>
      <c r="I453" s="934"/>
      <c r="J453" s="934"/>
      <c r="K453" s="934"/>
      <c r="L453" s="934"/>
      <c r="M453" s="934"/>
      <c r="N453" s="934"/>
      <c r="O453" s="934"/>
      <c r="P453" s="1904">
        <v>0.05</v>
      </c>
      <c r="Q453" s="1905"/>
      <c r="R453" s="1905"/>
      <c r="S453" s="1905"/>
      <c r="T453" s="1906"/>
      <c r="U453" s="934"/>
      <c r="V453" s="934"/>
      <c r="W453" s="934"/>
      <c r="X453" s="934"/>
      <c r="Y453" s="934"/>
      <c r="Z453" s="934"/>
      <c r="AA453" s="934"/>
      <c r="AB453" s="934"/>
      <c r="AC453" s="934"/>
      <c r="AD453" s="934"/>
      <c r="AE453" s="934"/>
      <c r="AF453" s="934"/>
      <c r="AG453" s="934"/>
      <c r="AH453" s="934"/>
      <c r="AI453" s="934"/>
    </row>
    <row r="454" spans="1:35" ht="13.5" customHeight="1" thickTop="1" thickBot="1">
      <c r="A454" s="934"/>
      <c r="B454" s="934" t="s">
        <v>525</v>
      </c>
      <c r="C454" s="934"/>
      <c r="D454" s="934"/>
      <c r="E454" s="934"/>
      <c r="F454" s="934"/>
      <c r="G454" s="934"/>
      <c r="H454" s="934"/>
      <c r="I454" s="934"/>
      <c r="J454" s="934"/>
      <c r="K454" s="934"/>
      <c r="L454" s="934"/>
      <c r="M454" s="934"/>
      <c r="N454" s="934"/>
      <c r="O454" s="934"/>
      <c r="P454" s="1881">
        <f>P451*P453*'GENERAL INFO'!V109/12</f>
        <v>0</v>
      </c>
      <c r="Q454" s="1882"/>
      <c r="R454" s="1882"/>
      <c r="S454" s="1882"/>
      <c r="T454" s="1883"/>
      <c r="U454" s="1884"/>
      <c r="V454" s="1885"/>
      <c r="W454" s="1886"/>
      <c r="X454" s="1887">
        <f>P454*U454</f>
        <v>0</v>
      </c>
      <c r="Y454" s="1737"/>
      <c r="Z454" s="1737"/>
      <c r="AA454" s="1737"/>
      <c r="AB454" s="1738"/>
      <c r="AC454" s="934"/>
      <c r="AD454" s="934"/>
      <c r="AE454" s="934"/>
      <c r="AF454" s="934"/>
      <c r="AG454" s="934"/>
      <c r="AH454" s="934"/>
      <c r="AI454" s="934"/>
    </row>
    <row r="455" spans="1:35" ht="13.5" customHeight="1" thickTop="1" thickBot="1">
      <c r="A455" s="934"/>
      <c r="B455" s="934"/>
      <c r="C455" s="934"/>
      <c r="D455" s="934"/>
      <c r="E455" s="934"/>
      <c r="F455" s="934"/>
      <c r="G455" s="934"/>
      <c r="H455" s="934"/>
      <c r="I455" s="934"/>
      <c r="J455" s="934"/>
      <c r="K455" s="934"/>
      <c r="L455" s="934"/>
      <c r="M455" s="934"/>
      <c r="N455" s="934"/>
      <c r="O455" s="934"/>
      <c r="P455" s="945"/>
      <c r="Q455" s="945"/>
      <c r="R455" s="945"/>
      <c r="S455" s="945"/>
      <c r="T455" s="945"/>
      <c r="U455" s="934"/>
      <c r="V455" s="934"/>
      <c r="W455" s="934"/>
      <c r="X455" s="945"/>
      <c r="Y455" s="945"/>
      <c r="Z455" s="945"/>
      <c r="AA455" s="945"/>
      <c r="AB455" s="945"/>
      <c r="AC455" s="934"/>
      <c r="AD455" s="934"/>
      <c r="AE455" s="934"/>
      <c r="AF455" s="934"/>
      <c r="AG455" s="934"/>
      <c r="AH455" s="934"/>
      <c r="AI455" s="934"/>
    </row>
    <row r="456" spans="1:35" ht="14.25" customHeight="1" thickTop="1" thickBot="1">
      <c r="A456" s="934"/>
      <c r="B456" s="935" t="s">
        <v>526</v>
      </c>
      <c r="C456" s="935"/>
      <c r="D456" s="935"/>
      <c r="E456" s="934"/>
      <c r="F456" s="934"/>
      <c r="G456" s="934"/>
      <c r="H456" s="934"/>
      <c r="I456" s="934"/>
      <c r="J456" s="934"/>
      <c r="K456" s="934"/>
      <c r="L456" s="934"/>
      <c r="M456" s="934"/>
      <c r="N456" s="934"/>
      <c r="O456" s="934"/>
      <c r="P456" s="1895">
        <f>P431-P447-P454</f>
        <v>0</v>
      </c>
      <c r="Q456" s="1896"/>
      <c r="R456" s="1896"/>
      <c r="S456" s="1896"/>
      <c r="T456" s="1897"/>
      <c r="U456" s="934"/>
      <c r="V456" s="934"/>
      <c r="W456" s="934"/>
      <c r="X456" s="1888">
        <f>X431-X447-X454</f>
        <v>0</v>
      </c>
      <c r="Y456" s="1889"/>
      <c r="Z456" s="1889"/>
      <c r="AA456" s="1889"/>
      <c r="AB456" s="1890"/>
      <c r="AC456" s="934"/>
      <c r="AD456" s="934"/>
      <c r="AE456" s="934"/>
      <c r="AF456" s="934"/>
      <c r="AG456" s="934"/>
      <c r="AH456" s="934"/>
      <c r="AI456" s="934"/>
    </row>
    <row r="457" spans="1:35" ht="13.5" customHeight="1" thickTop="1" thickBot="1">
      <c r="A457" s="934"/>
      <c r="B457" s="934"/>
      <c r="C457" s="934"/>
      <c r="D457" s="934"/>
      <c r="E457" s="934"/>
      <c r="F457" s="934"/>
      <c r="G457" s="934"/>
      <c r="H457" s="934"/>
      <c r="I457" s="934"/>
      <c r="J457" s="934"/>
      <c r="K457" s="934"/>
      <c r="L457" s="934"/>
      <c r="M457" s="934"/>
      <c r="N457" s="934"/>
      <c r="O457" s="934"/>
      <c r="P457" s="934"/>
      <c r="Q457" s="934"/>
      <c r="R457" s="934"/>
      <c r="S457" s="934"/>
      <c r="T457" s="934"/>
      <c r="U457" s="934"/>
      <c r="V457" s="934"/>
      <c r="W457" s="934"/>
      <c r="X457" s="945"/>
      <c r="Y457" s="945"/>
      <c r="Z457" s="945"/>
      <c r="AA457" s="945"/>
      <c r="AB457" s="945"/>
      <c r="AC457" s="934"/>
      <c r="AD457" s="934"/>
      <c r="AE457" s="934"/>
      <c r="AF457" s="934"/>
      <c r="AG457" s="934"/>
      <c r="AH457" s="934"/>
      <c r="AI457" s="934"/>
    </row>
    <row r="458" spans="1:35" ht="14.25" customHeight="1" thickTop="1" thickBot="1">
      <c r="A458" s="934"/>
      <c r="B458" s="935" t="s">
        <v>513</v>
      </c>
      <c r="C458" s="935"/>
      <c r="D458" s="935"/>
      <c r="E458" s="935"/>
      <c r="F458" s="935"/>
      <c r="G458" s="934"/>
      <c r="H458" s="934"/>
      <c r="I458" s="934"/>
      <c r="J458" s="934"/>
      <c r="K458" s="934"/>
      <c r="L458" s="934"/>
      <c r="M458" s="934"/>
      <c r="N458" s="934"/>
      <c r="O458" s="934"/>
      <c r="P458" s="1877"/>
      <c r="Q458" s="1878"/>
      <c r="R458" s="1878"/>
      <c r="S458" s="1878"/>
      <c r="T458" s="1878"/>
      <c r="U458" s="1878"/>
      <c r="V458" s="1878"/>
      <c r="W458" s="1878"/>
      <c r="X458" s="1879">
        <f>P458*U458</f>
        <v>0</v>
      </c>
      <c r="Y458" s="1879"/>
      <c r="Z458" s="1879"/>
      <c r="AA458" s="1879"/>
      <c r="AB458" s="1880"/>
      <c r="AC458" s="934"/>
      <c r="AD458" s="934"/>
      <c r="AE458" s="934"/>
      <c r="AF458" s="934"/>
      <c r="AG458" s="934"/>
      <c r="AH458" s="934"/>
      <c r="AI458" s="934"/>
    </row>
    <row r="459" spans="1:35" ht="13.5" collapsed="1" customHeight="1" thickTop="1">
      <c r="A459" s="934"/>
      <c r="B459" s="934"/>
      <c r="C459" s="934"/>
      <c r="D459" s="934"/>
      <c r="E459" s="934"/>
      <c r="F459" s="934"/>
      <c r="G459" s="934"/>
      <c r="H459" s="934"/>
      <c r="I459" s="934"/>
      <c r="J459" s="934"/>
      <c r="K459" s="934"/>
      <c r="L459" s="934"/>
      <c r="M459" s="934"/>
      <c r="N459" s="934"/>
      <c r="O459" s="934"/>
      <c r="P459" s="934"/>
      <c r="Q459" s="934"/>
      <c r="R459" s="934"/>
      <c r="S459" s="934"/>
      <c r="T459" s="934"/>
      <c r="U459" s="934"/>
      <c r="V459" s="934"/>
      <c r="W459" s="934"/>
      <c r="X459" s="934"/>
      <c r="Y459" s="934"/>
      <c r="Z459" s="934"/>
      <c r="AA459" s="934"/>
      <c r="AB459" s="934"/>
      <c r="AC459" s="934"/>
      <c r="AD459" s="934"/>
      <c r="AE459" s="934"/>
      <c r="AF459" s="934"/>
      <c r="AG459" s="934"/>
      <c r="AH459" s="934"/>
      <c r="AI459" s="934"/>
    </row>
    <row r="460" spans="1:35" ht="13.5" customHeight="1" thickBot="1">
      <c r="A460" s="934"/>
      <c r="B460" s="934"/>
      <c r="C460" s="934"/>
      <c r="D460" s="934"/>
      <c r="E460" s="934"/>
      <c r="F460" s="934"/>
      <c r="G460" s="934"/>
      <c r="H460" s="934"/>
      <c r="I460" s="934"/>
      <c r="J460" s="934"/>
      <c r="K460" s="934"/>
      <c r="L460" s="934"/>
      <c r="M460" s="934"/>
      <c r="N460" s="934"/>
      <c r="O460" s="934"/>
      <c r="P460" s="934"/>
      <c r="Q460" s="934"/>
      <c r="R460" s="934"/>
      <c r="S460" s="934"/>
      <c r="T460" s="934"/>
      <c r="U460" s="934"/>
      <c r="V460" s="934"/>
      <c r="W460" s="934"/>
      <c r="X460" s="934"/>
      <c r="Y460" s="934"/>
      <c r="Z460" s="934"/>
      <c r="AA460" s="934"/>
      <c r="AB460" s="934"/>
      <c r="AC460" s="934"/>
      <c r="AD460" s="934"/>
      <c r="AE460" s="934"/>
      <c r="AF460" s="934"/>
      <c r="AG460" s="934"/>
      <c r="AH460" s="934"/>
      <c r="AI460" s="934"/>
    </row>
    <row r="461" spans="1:35" ht="14.25" collapsed="1" customHeight="1" thickTop="1" thickBot="1">
      <c r="A461" s="723" t="s">
        <v>531</v>
      </c>
      <c r="B461" s="723"/>
      <c r="C461" s="724"/>
      <c r="D461" s="724"/>
      <c r="E461" s="724"/>
      <c r="F461" s="724"/>
      <c r="G461" s="724"/>
      <c r="H461" s="724"/>
      <c r="I461" s="724"/>
      <c r="J461" s="724"/>
      <c r="K461" s="1964" t="s">
        <v>295</v>
      </c>
      <c r="L461" s="1965"/>
      <c r="M461" s="1965"/>
      <c r="N461" s="1965"/>
      <c r="O461" s="1966"/>
      <c r="P461" s="725"/>
      <c r="Q461" s="725"/>
      <c r="R461" s="725"/>
      <c r="S461" s="725"/>
      <c r="T461" s="725"/>
      <c r="U461" s="725"/>
      <c r="V461" s="725"/>
      <c r="W461" s="725"/>
      <c r="X461" s="725"/>
      <c r="Y461" s="725"/>
      <c r="Z461" s="725"/>
      <c r="AA461" s="725"/>
      <c r="AB461" s="725"/>
      <c r="AC461" s="725"/>
      <c r="AD461" s="725"/>
      <c r="AE461" s="725"/>
      <c r="AF461" s="725"/>
      <c r="AG461" s="725"/>
      <c r="AH461" s="725"/>
      <c r="AI461" s="725"/>
    </row>
    <row r="462" spans="1:35" ht="13.5" customHeight="1" thickTop="1">
      <c r="A462" s="913"/>
      <c r="B462" s="913"/>
      <c r="C462" s="913"/>
      <c r="D462" s="913"/>
      <c r="E462" s="913"/>
      <c r="F462" s="913"/>
      <c r="G462" s="913"/>
      <c r="H462" s="913"/>
      <c r="I462" s="913"/>
      <c r="J462" s="913"/>
      <c r="K462" s="913"/>
      <c r="L462" s="913"/>
      <c r="M462" s="913"/>
      <c r="N462" s="913"/>
      <c r="O462" s="913"/>
      <c r="P462" s="913"/>
      <c r="Q462" s="913"/>
      <c r="R462" s="913"/>
      <c r="S462" s="913"/>
      <c r="T462" s="913"/>
      <c r="U462" s="913"/>
      <c r="V462" s="913"/>
      <c r="W462" s="913"/>
      <c r="X462" s="913"/>
      <c r="Y462" s="913"/>
      <c r="Z462" s="913"/>
      <c r="AA462" s="913"/>
      <c r="AB462" s="913"/>
      <c r="AC462" s="913"/>
      <c r="AD462" s="913"/>
      <c r="AE462" s="913"/>
      <c r="AF462" s="913"/>
      <c r="AG462" s="913"/>
      <c r="AH462" s="913"/>
      <c r="AI462" s="913"/>
    </row>
    <row r="463" spans="1:35" ht="13.5" customHeight="1">
      <c r="A463" s="913"/>
      <c r="B463" s="914" t="s">
        <v>308</v>
      </c>
      <c r="C463" s="914" t="s">
        <v>494</v>
      </c>
      <c r="D463" s="913"/>
      <c r="E463" s="913"/>
      <c r="F463" s="913"/>
      <c r="G463" s="913"/>
      <c r="H463" s="913"/>
      <c r="I463" s="913"/>
      <c r="J463" s="913"/>
      <c r="K463" s="913"/>
      <c r="L463" s="913"/>
      <c r="M463" s="913"/>
      <c r="N463" s="913"/>
      <c r="O463" s="913"/>
      <c r="P463" s="913"/>
      <c r="Q463" s="913"/>
      <c r="R463" s="915"/>
      <c r="S463" s="915"/>
      <c r="T463" s="915"/>
      <c r="U463" s="915"/>
      <c r="V463" s="915"/>
      <c r="W463" s="913"/>
      <c r="X463" s="913"/>
      <c r="Y463" s="913"/>
      <c r="Z463" s="913"/>
      <c r="AA463" s="913"/>
      <c r="AB463" s="913"/>
      <c r="AC463" s="913"/>
      <c r="AD463" s="913"/>
      <c r="AE463" s="913"/>
      <c r="AF463" s="913"/>
      <c r="AG463" s="913"/>
      <c r="AH463" s="913"/>
      <c r="AI463" s="913"/>
    </row>
    <row r="464" spans="1:35" ht="13.5" customHeight="1" thickBot="1">
      <c r="A464" s="913"/>
      <c r="B464" s="913"/>
      <c r="C464" s="913"/>
      <c r="D464" s="913"/>
      <c r="E464" s="913"/>
      <c r="F464" s="913"/>
      <c r="G464" s="913"/>
      <c r="H464" s="913"/>
      <c r="I464" s="913"/>
      <c r="J464" s="913"/>
      <c r="K464" s="913"/>
      <c r="L464" s="913"/>
      <c r="M464" s="913"/>
      <c r="N464" s="913"/>
      <c r="O464" s="913"/>
      <c r="P464" s="913"/>
      <c r="Q464" s="913"/>
      <c r="R464" s="913"/>
      <c r="S464" s="913"/>
      <c r="T464" s="913"/>
      <c r="U464" s="913"/>
      <c r="V464" s="913"/>
      <c r="W464" s="913"/>
      <c r="X464" s="913"/>
      <c r="Y464" s="913"/>
      <c r="Z464" s="913"/>
      <c r="AA464" s="913"/>
      <c r="AB464" s="913"/>
      <c r="AC464" s="913"/>
      <c r="AD464" s="913"/>
      <c r="AE464" s="913"/>
      <c r="AF464" s="913"/>
      <c r="AG464" s="913"/>
      <c r="AH464" s="913"/>
      <c r="AI464" s="913"/>
    </row>
    <row r="465" spans="1:43" ht="14.25" customHeight="1" thickTop="1" thickBot="1">
      <c r="A465" s="1936" t="s">
        <v>321</v>
      </c>
      <c r="B465" s="1739" t="s">
        <v>495</v>
      </c>
      <c r="C465" s="1958"/>
      <c r="D465" s="1959"/>
      <c r="E465" s="1739" t="s">
        <v>496</v>
      </c>
      <c r="F465" s="1745"/>
      <c r="G465" s="1954" t="s">
        <v>497</v>
      </c>
      <c r="H465" s="1955"/>
      <c r="I465" s="1955"/>
      <c r="J465" s="1955"/>
      <c r="K465" s="1955"/>
      <c r="L465" s="1955"/>
      <c r="M465" s="1955"/>
      <c r="N465" s="1956"/>
      <c r="O465" s="1739" t="s">
        <v>498</v>
      </c>
      <c r="P465" s="1745"/>
      <c r="Q465" s="1954" t="s">
        <v>499</v>
      </c>
      <c r="R465" s="1955"/>
      <c r="S465" s="1955"/>
      <c r="T465" s="1955"/>
      <c r="U465" s="1955"/>
      <c r="V465" s="1955"/>
      <c r="W465" s="1955"/>
      <c r="X465" s="1956"/>
      <c r="Y465" s="1739" t="s">
        <v>500</v>
      </c>
      <c r="Z465" s="1745"/>
      <c r="AA465" s="1739" t="s">
        <v>1310</v>
      </c>
      <c r="AB465" s="1740"/>
      <c r="AC465" s="1740"/>
      <c r="AD465" s="1745"/>
      <c r="AE465" s="1739" t="s">
        <v>501</v>
      </c>
      <c r="AF465" s="1740"/>
      <c r="AG465" s="1740"/>
      <c r="AH465" s="1741"/>
      <c r="AI465" s="913"/>
      <c r="AK465" s="303"/>
      <c r="AN465" s="303"/>
      <c r="AO465" s="303"/>
      <c r="AP465" s="303"/>
      <c r="AQ465" s="303"/>
    </row>
    <row r="466" spans="1:43" ht="29.25" customHeight="1" thickTop="1" thickBot="1">
      <c r="A466" s="1957"/>
      <c r="B466" s="1960"/>
      <c r="C466" s="1961"/>
      <c r="D466" s="1962"/>
      <c r="E466" s="1746"/>
      <c r="F466" s="1747"/>
      <c r="G466" s="1954" t="s">
        <v>502</v>
      </c>
      <c r="H466" s="1955"/>
      <c r="I466" s="1955"/>
      <c r="J466" s="1956"/>
      <c r="K466" s="1954" t="s">
        <v>503</v>
      </c>
      <c r="L466" s="1955"/>
      <c r="M466" s="1955"/>
      <c r="N466" s="1956"/>
      <c r="O466" s="1746"/>
      <c r="P466" s="1747"/>
      <c r="Q466" s="1954" t="s">
        <v>502</v>
      </c>
      <c r="R466" s="1955"/>
      <c r="S466" s="1955"/>
      <c r="T466" s="1956"/>
      <c r="U466" s="1954" t="s">
        <v>503</v>
      </c>
      <c r="V466" s="1955"/>
      <c r="W466" s="1955"/>
      <c r="X466" s="1956"/>
      <c r="Y466" s="1746"/>
      <c r="Z466" s="1747"/>
      <c r="AA466" s="1742"/>
      <c r="AB466" s="1743"/>
      <c r="AC466" s="1743"/>
      <c r="AD466" s="1748"/>
      <c r="AE466" s="1742"/>
      <c r="AF466" s="1743"/>
      <c r="AG466" s="1743"/>
      <c r="AH466" s="1744"/>
      <c r="AI466" s="913"/>
      <c r="AK466" s="303"/>
      <c r="AN466" s="303"/>
      <c r="AO466" s="303"/>
      <c r="AP466" s="303"/>
      <c r="AQ466" s="303"/>
    </row>
    <row r="467" spans="1:43" ht="13.5" customHeight="1" thickTop="1">
      <c r="A467" s="916"/>
      <c r="B467" s="917"/>
      <c r="C467" s="918"/>
      <c r="D467" s="919"/>
      <c r="E467" s="917"/>
      <c r="F467" s="919"/>
      <c r="G467" s="917"/>
      <c r="H467" s="918"/>
      <c r="I467" s="918"/>
      <c r="J467" s="919"/>
      <c r="K467" s="917"/>
      <c r="L467" s="918"/>
      <c r="M467" s="918"/>
      <c r="N467" s="919"/>
      <c r="O467" s="917"/>
      <c r="P467" s="919"/>
      <c r="Q467" s="917"/>
      <c r="R467" s="918"/>
      <c r="S467" s="918"/>
      <c r="T467" s="919"/>
      <c r="U467" s="917"/>
      <c r="V467" s="918"/>
      <c r="W467" s="918"/>
      <c r="X467" s="919"/>
      <c r="Y467" s="918"/>
      <c r="Z467" s="919"/>
      <c r="AA467" s="918"/>
      <c r="AB467" s="918"/>
      <c r="AC467" s="918"/>
      <c r="AD467" s="919"/>
      <c r="AE467" s="917"/>
      <c r="AF467" s="918"/>
      <c r="AG467" s="918"/>
      <c r="AH467" s="1262"/>
      <c r="AI467" s="913"/>
      <c r="AK467" s="303"/>
      <c r="AN467" s="303"/>
      <c r="AO467" s="303"/>
      <c r="AP467" s="303"/>
      <c r="AQ467" s="303"/>
    </row>
    <row r="468" spans="1:43">
      <c r="A468" s="305">
        <v>1</v>
      </c>
      <c r="B468" s="1708"/>
      <c r="C468" s="1709"/>
      <c r="D468" s="1710"/>
      <c r="E468" s="1706"/>
      <c r="F468" s="1707"/>
      <c r="G468" s="1711"/>
      <c r="H468" s="1712"/>
      <c r="I468" s="1712"/>
      <c r="J468" s="1713"/>
      <c r="K468" s="1711"/>
      <c r="L468" s="1712"/>
      <c r="M468" s="1712"/>
      <c r="N468" s="1713"/>
      <c r="O468" s="1711"/>
      <c r="P468" s="1713"/>
      <c r="Q468" s="1714">
        <f t="shared" si="125" ref="Q468:Q483">G468*O468</f>
        <v>0</v>
      </c>
      <c r="R468" s="1715"/>
      <c r="S468" s="1715"/>
      <c r="T468" s="1720"/>
      <c r="U468" s="1714">
        <f t="shared" si="126" ref="U468:U483">K468*O468</f>
        <v>0</v>
      </c>
      <c r="V468" s="1715"/>
      <c r="W468" s="1715"/>
      <c r="X468" s="1720"/>
      <c r="Y468" s="1725"/>
      <c r="Z468" s="1726"/>
      <c r="AA468" s="1727">
        <f>IF(Y468="",U468,Q468*Y468/100)</f>
        <v>0</v>
      </c>
      <c r="AB468" s="1728"/>
      <c r="AC468" s="1728"/>
      <c r="AD468" s="1729"/>
      <c r="AE468" s="1714">
        <f>IF(AA468=0,U468,IF(U468&gt;(VALUE(AA468)),VALUE(AA468),U468))</f>
        <v>0</v>
      </c>
      <c r="AF468" s="1715"/>
      <c r="AG468" s="1715"/>
      <c r="AH468" s="1716"/>
      <c r="AI468" s="913"/>
      <c r="AK468" s="303"/>
      <c r="AN468" s="303"/>
      <c r="AO468" s="303"/>
      <c r="AP468" s="303"/>
      <c r="AQ468" s="303"/>
    </row>
    <row r="469" spans="1:43">
      <c r="A469" s="306">
        <v>2</v>
      </c>
      <c r="B469" s="1708"/>
      <c r="C469" s="1709"/>
      <c r="D469" s="1710"/>
      <c r="E469" s="1706"/>
      <c r="F469" s="1707"/>
      <c r="G469" s="1711"/>
      <c r="H469" s="1712"/>
      <c r="I469" s="1712"/>
      <c r="J469" s="1713"/>
      <c r="K469" s="1711"/>
      <c r="L469" s="1712"/>
      <c r="M469" s="1712"/>
      <c r="N469" s="1713"/>
      <c r="O469" s="1711"/>
      <c r="P469" s="1713"/>
      <c r="Q469" s="1714">
        <f t="shared" si="125">G469*O469</f>
        <v>0</v>
      </c>
      <c r="R469" s="1715"/>
      <c r="S469" s="1715"/>
      <c r="T469" s="1720"/>
      <c r="U469" s="1714">
        <f t="shared" si="126">K469*O469</f>
        <v>0</v>
      </c>
      <c r="V469" s="1715"/>
      <c r="W469" s="1715"/>
      <c r="X469" s="1720"/>
      <c r="Y469" s="1725"/>
      <c r="Z469" s="1726"/>
      <c r="AA469" s="1727">
        <f t="shared" si="127" ref="AA469:AA483">IF(Y469="",U469,Q469*Y469/100)</f>
        <v>0</v>
      </c>
      <c r="AB469" s="1728"/>
      <c r="AC469" s="1728"/>
      <c r="AD469" s="1729"/>
      <c r="AE469" s="1714">
        <f t="shared" si="128" ref="AE469:AE483">IF(AA469=0,U469,IF(U469&gt;(VALUE(AA469)),VALUE(AA469),U469))</f>
        <v>0</v>
      </c>
      <c r="AF469" s="1715"/>
      <c r="AG469" s="1715"/>
      <c r="AH469" s="1716"/>
      <c r="AI469" s="913"/>
      <c r="AK469" s="303"/>
      <c r="AN469" s="303"/>
      <c r="AO469" s="303"/>
      <c r="AP469" s="303"/>
      <c r="AQ469" s="303"/>
    </row>
    <row r="470" spans="1:43">
      <c r="A470" s="305">
        <v>3</v>
      </c>
      <c r="B470" s="1708"/>
      <c r="C470" s="1709"/>
      <c r="D470" s="1710"/>
      <c r="E470" s="1706"/>
      <c r="F470" s="1707"/>
      <c r="G470" s="1711"/>
      <c r="H470" s="1712"/>
      <c r="I470" s="1712"/>
      <c r="J470" s="1713"/>
      <c r="K470" s="1711"/>
      <c r="L470" s="1712"/>
      <c r="M470" s="1712"/>
      <c r="N470" s="1713"/>
      <c r="O470" s="1711"/>
      <c r="P470" s="1713"/>
      <c r="Q470" s="1714">
        <f t="shared" si="125">G470*O470</f>
        <v>0</v>
      </c>
      <c r="R470" s="1715"/>
      <c r="S470" s="1715"/>
      <c r="T470" s="1720"/>
      <c r="U470" s="1714">
        <f t="shared" si="126">K470*O470</f>
        <v>0</v>
      </c>
      <c r="V470" s="1715"/>
      <c r="W470" s="1715"/>
      <c r="X470" s="1720"/>
      <c r="Y470" s="1725"/>
      <c r="Z470" s="1726"/>
      <c r="AA470" s="1727">
        <f t="shared" si="127">IF(Y470="",U470,Q470*Y470/100)</f>
        <v>0</v>
      </c>
      <c r="AB470" s="1728"/>
      <c r="AC470" s="1728"/>
      <c r="AD470" s="1729"/>
      <c r="AE470" s="1714">
        <f t="shared" si="128">IF(AA470=0,U470,IF(U470&gt;(VALUE(AA470)),VALUE(AA470),U470))</f>
        <v>0</v>
      </c>
      <c r="AF470" s="1715"/>
      <c r="AG470" s="1715"/>
      <c r="AH470" s="1716"/>
      <c r="AI470" s="913"/>
      <c r="AK470" s="303"/>
      <c r="AN470" s="303"/>
      <c r="AO470" s="303"/>
      <c r="AP470" s="303"/>
      <c r="AQ470" s="303"/>
    </row>
    <row r="471" spans="1:43">
      <c r="A471" s="306">
        <v>4</v>
      </c>
      <c r="B471" s="1708"/>
      <c r="C471" s="1709"/>
      <c r="D471" s="1710"/>
      <c r="E471" s="1706"/>
      <c r="F471" s="1707"/>
      <c r="G471" s="1711"/>
      <c r="H471" s="1712"/>
      <c r="I471" s="1712"/>
      <c r="J471" s="1713"/>
      <c r="K471" s="1711"/>
      <c r="L471" s="1712"/>
      <c r="M471" s="1712"/>
      <c r="N471" s="1713"/>
      <c r="O471" s="1711"/>
      <c r="P471" s="1713"/>
      <c r="Q471" s="1714">
        <f t="shared" si="125">G471*O471</f>
        <v>0</v>
      </c>
      <c r="R471" s="1715"/>
      <c r="S471" s="1715"/>
      <c r="T471" s="1720"/>
      <c r="U471" s="1714">
        <f t="shared" si="126">K471*O471</f>
        <v>0</v>
      </c>
      <c r="V471" s="1715"/>
      <c r="W471" s="1715"/>
      <c r="X471" s="1720"/>
      <c r="Y471" s="1725"/>
      <c r="Z471" s="1726"/>
      <c r="AA471" s="1727">
        <f t="shared" si="127">IF(Y471="",U471,Q471*Y471/100)</f>
        <v>0</v>
      </c>
      <c r="AB471" s="1728"/>
      <c r="AC471" s="1728"/>
      <c r="AD471" s="1729"/>
      <c r="AE471" s="1714">
        <f t="shared" si="128">IF(AA471=0,U471,IF(U471&gt;(VALUE(AA471)),VALUE(AA471),U471))</f>
        <v>0</v>
      </c>
      <c r="AF471" s="1715"/>
      <c r="AG471" s="1715"/>
      <c r="AH471" s="1716"/>
      <c r="AI471" s="913"/>
      <c r="AK471" s="303"/>
      <c r="AN471" s="303"/>
      <c r="AO471" s="303"/>
      <c r="AP471" s="303"/>
      <c r="AQ471" s="303"/>
    </row>
    <row r="472" spans="1:43">
      <c r="A472" s="305">
        <v>5</v>
      </c>
      <c r="B472" s="1708"/>
      <c r="C472" s="1709"/>
      <c r="D472" s="1710"/>
      <c r="E472" s="1706"/>
      <c r="F472" s="1707"/>
      <c r="G472" s="1711"/>
      <c r="H472" s="1712"/>
      <c r="I472" s="1712"/>
      <c r="J472" s="1713"/>
      <c r="K472" s="1711"/>
      <c r="L472" s="1712"/>
      <c r="M472" s="1712"/>
      <c r="N472" s="1713"/>
      <c r="O472" s="1711"/>
      <c r="P472" s="1713"/>
      <c r="Q472" s="1714">
        <f t="shared" si="125">G472*O472</f>
        <v>0</v>
      </c>
      <c r="R472" s="1715"/>
      <c r="S472" s="1715"/>
      <c r="T472" s="1720"/>
      <c r="U472" s="1714">
        <f t="shared" si="126">K472*O472</f>
        <v>0</v>
      </c>
      <c r="V472" s="1715"/>
      <c r="W472" s="1715"/>
      <c r="X472" s="1720"/>
      <c r="Y472" s="1725"/>
      <c r="Z472" s="1726"/>
      <c r="AA472" s="1727">
        <f t="shared" si="127">IF(Y472="",U472,Q472*Y472/100)</f>
        <v>0</v>
      </c>
      <c r="AB472" s="1728"/>
      <c r="AC472" s="1728"/>
      <c r="AD472" s="1729"/>
      <c r="AE472" s="1714">
        <f t="shared" si="128">IF(AA472=0,U472,IF(U472&gt;(VALUE(AA472)),VALUE(AA472),U472))</f>
        <v>0</v>
      </c>
      <c r="AF472" s="1715"/>
      <c r="AG472" s="1715"/>
      <c r="AH472" s="1716"/>
      <c r="AI472" s="913"/>
      <c r="AK472" s="303"/>
      <c r="AN472" s="303"/>
      <c r="AO472" s="303"/>
      <c r="AP472" s="303"/>
      <c r="AQ472" s="303"/>
    </row>
    <row r="473" spans="1:43">
      <c r="A473" s="306">
        <v>6</v>
      </c>
      <c r="B473" s="1708"/>
      <c r="C473" s="1709"/>
      <c r="D473" s="1710"/>
      <c r="E473" s="1706"/>
      <c r="F473" s="1707"/>
      <c r="G473" s="1711"/>
      <c r="H473" s="1712"/>
      <c r="I473" s="1712"/>
      <c r="J473" s="1713"/>
      <c r="K473" s="1711"/>
      <c r="L473" s="1712"/>
      <c r="M473" s="1712"/>
      <c r="N473" s="1713"/>
      <c r="O473" s="1711"/>
      <c r="P473" s="1713"/>
      <c r="Q473" s="1714">
        <f t="shared" si="125">G473*O473</f>
        <v>0</v>
      </c>
      <c r="R473" s="1715"/>
      <c r="S473" s="1715"/>
      <c r="T473" s="1720"/>
      <c r="U473" s="1714">
        <f t="shared" si="126">K473*O473</f>
        <v>0</v>
      </c>
      <c r="V473" s="1715"/>
      <c r="W473" s="1715"/>
      <c r="X473" s="1720"/>
      <c r="Y473" s="1725"/>
      <c r="Z473" s="1726"/>
      <c r="AA473" s="1727">
        <f t="shared" si="127">IF(Y473="",U473,Q473*Y473/100)</f>
        <v>0</v>
      </c>
      <c r="AB473" s="1728"/>
      <c r="AC473" s="1728"/>
      <c r="AD473" s="1729"/>
      <c r="AE473" s="1714">
        <f t="shared" si="128">IF(AA473=0,U473,IF(U473&gt;(VALUE(AA473)),VALUE(AA473),U473))</f>
        <v>0</v>
      </c>
      <c r="AF473" s="1715"/>
      <c r="AG473" s="1715"/>
      <c r="AH473" s="1716"/>
      <c r="AI473" s="913"/>
      <c r="AK473" s="303"/>
      <c r="AN473" s="303"/>
      <c r="AO473" s="303"/>
      <c r="AP473" s="303"/>
      <c r="AQ473" s="303"/>
    </row>
    <row r="474" spans="1:43">
      <c r="A474" s="305">
        <v>7</v>
      </c>
      <c r="B474" s="1708"/>
      <c r="C474" s="1709"/>
      <c r="D474" s="1710"/>
      <c r="E474" s="1706"/>
      <c r="F474" s="1707"/>
      <c r="G474" s="1711"/>
      <c r="H474" s="1712"/>
      <c r="I474" s="1712"/>
      <c r="J474" s="1713"/>
      <c r="K474" s="1711"/>
      <c r="L474" s="1712"/>
      <c r="M474" s="1712"/>
      <c r="N474" s="1713"/>
      <c r="O474" s="1711"/>
      <c r="P474" s="1713"/>
      <c r="Q474" s="1714">
        <f t="shared" si="129" ref="Q474">G474*O474</f>
        <v>0</v>
      </c>
      <c r="R474" s="1715"/>
      <c r="S474" s="1715"/>
      <c r="T474" s="1720"/>
      <c r="U474" s="1714">
        <f t="shared" si="130" ref="U474">K474*O474</f>
        <v>0</v>
      </c>
      <c r="V474" s="1715"/>
      <c r="W474" s="1715"/>
      <c r="X474" s="1720"/>
      <c r="Y474" s="1725"/>
      <c r="Z474" s="1726"/>
      <c r="AA474" s="1727">
        <f t="shared" si="131" ref="AA474">IF(Y474="",U474,Q474*Y474/100)</f>
        <v>0</v>
      </c>
      <c r="AB474" s="1728"/>
      <c r="AC474" s="1728"/>
      <c r="AD474" s="1729"/>
      <c r="AE474" s="1714">
        <f t="shared" si="132" ref="AE474">IF(AA474=0,U474,IF(U474&gt;(VALUE(AA474)),VALUE(AA474),U474))</f>
        <v>0</v>
      </c>
      <c r="AF474" s="1715"/>
      <c r="AG474" s="1715"/>
      <c r="AH474" s="1716"/>
      <c r="AI474" s="913"/>
      <c r="AK474" s="303"/>
      <c r="AN474" s="303"/>
      <c r="AO474" s="303"/>
      <c r="AP474" s="303"/>
      <c r="AQ474" s="303"/>
    </row>
    <row r="475" spans="1:43">
      <c r="A475" s="306">
        <v>8</v>
      </c>
      <c r="B475" s="1708"/>
      <c r="C475" s="1709"/>
      <c r="D475" s="1710"/>
      <c r="E475" s="1706"/>
      <c r="F475" s="1707"/>
      <c r="G475" s="1711"/>
      <c r="H475" s="1712"/>
      <c r="I475" s="1712"/>
      <c r="J475" s="1713"/>
      <c r="K475" s="1711"/>
      <c r="L475" s="1712"/>
      <c r="M475" s="1712"/>
      <c r="N475" s="1713"/>
      <c r="O475" s="1711"/>
      <c r="P475" s="1713"/>
      <c r="Q475" s="1714">
        <f t="shared" si="133" ref="Q475:Q478">G475*O475</f>
        <v>0</v>
      </c>
      <c r="R475" s="1715"/>
      <c r="S475" s="1715"/>
      <c r="T475" s="1720"/>
      <c r="U475" s="1714">
        <f t="shared" si="134" ref="U475:U478">K475*O475</f>
        <v>0</v>
      </c>
      <c r="V475" s="1715"/>
      <c r="W475" s="1715"/>
      <c r="X475" s="1720"/>
      <c r="Y475" s="1725"/>
      <c r="Z475" s="1726"/>
      <c r="AA475" s="1727">
        <f t="shared" si="135" ref="AA475:AA478">IF(Y475="",U475,Q475*Y475/100)</f>
        <v>0</v>
      </c>
      <c r="AB475" s="1728"/>
      <c r="AC475" s="1728"/>
      <c r="AD475" s="1729"/>
      <c r="AE475" s="1714">
        <f t="shared" si="136" ref="AE475:AE478">IF(AA475=0,U475,IF(U475&gt;(VALUE(AA475)),VALUE(AA475),U475))</f>
        <v>0</v>
      </c>
      <c r="AF475" s="1715"/>
      <c r="AG475" s="1715"/>
      <c r="AH475" s="1716"/>
      <c r="AI475" s="913"/>
      <c r="AK475" s="303"/>
      <c r="AN475" s="303"/>
      <c r="AO475" s="303"/>
      <c r="AP475" s="303"/>
      <c r="AQ475" s="303"/>
    </row>
    <row r="476" spans="1:43">
      <c r="A476" s="305">
        <v>9</v>
      </c>
      <c r="B476" s="1708"/>
      <c r="C476" s="1709"/>
      <c r="D476" s="1710"/>
      <c r="E476" s="1706"/>
      <c r="F476" s="1707"/>
      <c r="G476" s="1711"/>
      <c r="H476" s="1712"/>
      <c r="I476" s="1712"/>
      <c r="J476" s="1713"/>
      <c r="K476" s="1711"/>
      <c r="L476" s="1712"/>
      <c r="M476" s="1712"/>
      <c r="N476" s="1713"/>
      <c r="O476" s="1711"/>
      <c r="P476" s="1713"/>
      <c r="Q476" s="1714">
        <f t="shared" si="133">G476*O476</f>
        <v>0</v>
      </c>
      <c r="R476" s="1715"/>
      <c r="S476" s="1715"/>
      <c r="T476" s="1720"/>
      <c r="U476" s="1714">
        <f t="shared" si="134">K476*O476</f>
        <v>0</v>
      </c>
      <c r="V476" s="1715"/>
      <c r="W476" s="1715"/>
      <c r="X476" s="1720"/>
      <c r="Y476" s="1725"/>
      <c r="Z476" s="1726"/>
      <c r="AA476" s="1727">
        <f t="shared" si="135">IF(Y476="",U476,Q476*Y476/100)</f>
        <v>0</v>
      </c>
      <c r="AB476" s="1728"/>
      <c r="AC476" s="1728"/>
      <c r="AD476" s="1729"/>
      <c r="AE476" s="1714">
        <f t="shared" si="136">IF(AA476=0,U476,IF(U476&gt;(VALUE(AA476)),VALUE(AA476),U476))</f>
        <v>0</v>
      </c>
      <c r="AF476" s="1715"/>
      <c r="AG476" s="1715"/>
      <c r="AH476" s="1716"/>
      <c r="AI476" s="913"/>
      <c r="AK476" s="303"/>
      <c r="AN476" s="303"/>
      <c r="AO476" s="303"/>
      <c r="AP476" s="303"/>
      <c r="AQ476" s="303"/>
    </row>
    <row r="477" spans="1:43">
      <c r="A477" s="306">
        <v>10</v>
      </c>
      <c r="B477" s="1708"/>
      <c r="C477" s="1709"/>
      <c r="D477" s="1710"/>
      <c r="E477" s="1706"/>
      <c r="F477" s="1707"/>
      <c r="G477" s="1711"/>
      <c r="H477" s="1712"/>
      <c r="I477" s="1712"/>
      <c r="J477" s="1713"/>
      <c r="K477" s="1711"/>
      <c r="L477" s="1712"/>
      <c r="M477" s="1712"/>
      <c r="N477" s="1713"/>
      <c r="O477" s="1711"/>
      <c r="P477" s="1713"/>
      <c r="Q477" s="1714">
        <f t="shared" si="133">G477*O477</f>
        <v>0</v>
      </c>
      <c r="R477" s="1715"/>
      <c r="S477" s="1715"/>
      <c r="T477" s="1720"/>
      <c r="U477" s="1714">
        <f t="shared" si="134">K477*O477</f>
        <v>0</v>
      </c>
      <c r="V477" s="1715"/>
      <c r="W477" s="1715"/>
      <c r="X477" s="1720"/>
      <c r="Y477" s="1725"/>
      <c r="Z477" s="1726"/>
      <c r="AA477" s="1727">
        <f t="shared" si="135">IF(Y477="",U477,Q477*Y477/100)</f>
        <v>0</v>
      </c>
      <c r="AB477" s="1728"/>
      <c r="AC477" s="1728"/>
      <c r="AD477" s="1729"/>
      <c r="AE477" s="1714">
        <f t="shared" si="136">IF(AA477=0,U477,IF(U477&gt;(VALUE(AA477)),VALUE(AA477),U477))</f>
        <v>0</v>
      </c>
      <c r="AF477" s="1715"/>
      <c r="AG477" s="1715"/>
      <c r="AH477" s="1716"/>
      <c r="AI477" s="913"/>
      <c r="AK477" s="303"/>
      <c r="AN477" s="303"/>
      <c r="AO477" s="303"/>
      <c r="AP477" s="303"/>
      <c r="AQ477" s="303"/>
    </row>
    <row r="478" spans="1:43">
      <c r="A478" s="305">
        <v>11</v>
      </c>
      <c r="B478" s="1708"/>
      <c r="C478" s="1709"/>
      <c r="D478" s="1710"/>
      <c r="E478" s="1706"/>
      <c r="F478" s="1707"/>
      <c r="G478" s="1711"/>
      <c r="H478" s="1712"/>
      <c r="I478" s="1712"/>
      <c r="J478" s="1713"/>
      <c r="K478" s="1711"/>
      <c r="L478" s="1712"/>
      <c r="M478" s="1712"/>
      <c r="N478" s="1713"/>
      <c r="O478" s="1711"/>
      <c r="P478" s="1713"/>
      <c r="Q478" s="1714">
        <f t="shared" si="133">G478*O478</f>
        <v>0</v>
      </c>
      <c r="R478" s="1715"/>
      <c r="S478" s="1715"/>
      <c r="T478" s="1720"/>
      <c r="U478" s="1714">
        <f t="shared" si="134">K478*O478</f>
        <v>0</v>
      </c>
      <c r="V478" s="1715"/>
      <c r="W478" s="1715"/>
      <c r="X478" s="1720"/>
      <c r="Y478" s="1725"/>
      <c r="Z478" s="1726"/>
      <c r="AA478" s="1727">
        <f t="shared" si="135">IF(Y478="",U478,Q478*Y478/100)</f>
        <v>0</v>
      </c>
      <c r="AB478" s="1728"/>
      <c r="AC478" s="1728"/>
      <c r="AD478" s="1729"/>
      <c r="AE478" s="1714">
        <f t="shared" si="136">IF(AA478=0,U478,IF(U478&gt;(VALUE(AA478)),VALUE(AA478),U478))</f>
        <v>0</v>
      </c>
      <c r="AF478" s="1715"/>
      <c r="AG478" s="1715"/>
      <c r="AH478" s="1716"/>
      <c r="AI478" s="913"/>
      <c r="AK478" s="303"/>
      <c r="AN478" s="303"/>
      <c r="AO478" s="303"/>
      <c r="AP478" s="303"/>
      <c r="AQ478" s="303"/>
    </row>
    <row r="479" spans="1:43">
      <c r="A479" s="306">
        <v>12</v>
      </c>
      <c r="B479" s="1708"/>
      <c r="C479" s="1709"/>
      <c r="D479" s="1710"/>
      <c r="E479" s="1706"/>
      <c r="F479" s="1707"/>
      <c r="G479" s="1711"/>
      <c r="H479" s="1712"/>
      <c r="I479" s="1712"/>
      <c r="J479" s="1713"/>
      <c r="K479" s="1711"/>
      <c r="L479" s="1712"/>
      <c r="M479" s="1712"/>
      <c r="N479" s="1713"/>
      <c r="O479" s="1711"/>
      <c r="P479" s="1713"/>
      <c r="Q479" s="1714">
        <f t="shared" si="125">G479*O479</f>
        <v>0</v>
      </c>
      <c r="R479" s="1715"/>
      <c r="S479" s="1715"/>
      <c r="T479" s="1720"/>
      <c r="U479" s="1714">
        <f t="shared" si="126">K479*O479</f>
        <v>0</v>
      </c>
      <c r="V479" s="1715"/>
      <c r="W479" s="1715"/>
      <c r="X479" s="1720"/>
      <c r="Y479" s="1725"/>
      <c r="Z479" s="1726"/>
      <c r="AA479" s="1727">
        <f t="shared" si="127">IF(Y479="",U479,Q479*Y479/100)</f>
        <v>0</v>
      </c>
      <c r="AB479" s="1728"/>
      <c r="AC479" s="1728"/>
      <c r="AD479" s="1729"/>
      <c r="AE479" s="1714">
        <f t="shared" si="128">IF(AA479=0,U479,IF(U479&gt;(VALUE(AA479)),VALUE(AA479),U479))</f>
        <v>0</v>
      </c>
      <c r="AF479" s="1715"/>
      <c r="AG479" s="1715"/>
      <c r="AH479" s="1716"/>
      <c r="AI479" s="913"/>
      <c r="AK479" s="303"/>
      <c r="AN479" s="303"/>
      <c r="AO479" s="303"/>
      <c r="AP479" s="303"/>
      <c r="AQ479" s="303"/>
    </row>
    <row r="480" spans="1:43">
      <c r="A480" s="305">
        <v>13</v>
      </c>
      <c r="B480" s="1708"/>
      <c r="C480" s="1709"/>
      <c r="D480" s="1710"/>
      <c r="E480" s="1706"/>
      <c r="F480" s="1707"/>
      <c r="G480" s="1711"/>
      <c r="H480" s="1712"/>
      <c r="I480" s="1712"/>
      <c r="J480" s="1713"/>
      <c r="K480" s="1711"/>
      <c r="L480" s="1712"/>
      <c r="M480" s="1712"/>
      <c r="N480" s="1713"/>
      <c r="O480" s="1711"/>
      <c r="P480" s="1713"/>
      <c r="Q480" s="1714">
        <f t="shared" si="125">G480*O480</f>
        <v>0</v>
      </c>
      <c r="R480" s="1715"/>
      <c r="S480" s="1715"/>
      <c r="T480" s="1720"/>
      <c r="U480" s="1714">
        <f t="shared" si="126">K480*O480</f>
        <v>0</v>
      </c>
      <c r="V480" s="1715"/>
      <c r="W480" s="1715"/>
      <c r="X480" s="1720"/>
      <c r="Y480" s="1725"/>
      <c r="Z480" s="1726"/>
      <c r="AA480" s="1727">
        <f t="shared" si="127">IF(Y480="",U480,Q480*Y480/100)</f>
        <v>0</v>
      </c>
      <c r="AB480" s="1728"/>
      <c r="AC480" s="1728"/>
      <c r="AD480" s="1729"/>
      <c r="AE480" s="1714">
        <f t="shared" si="128">IF(AA480=0,U480,IF(U480&gt;(VALUE(AA480)),VALUE(AA480),U480))</f>
        <v>0</v>
      </c>
      <c r="AF480" s="1715"/>
      <c r="AG480" s="1715"/>
      <c r="AH480" s="1716"/>
      <c r="AI480" s="913"/>
      <c r="AK480" s="303"/>
      <c r="AN480" s="303"/>
      <c r="AO480" s="303"/>
      <c r="AP480" s="303"/>
      <c r="AQ480" s="303"/>
    </row>
    <row r="481" spans="1:43">
      <c r="A481" s="306">
        <v>14</v>
      </c>
      <c r="B481" s="1708"/>
      <c r="C481" s="1709"/>
      <c r="D481" s="1710"/>
      <c r="E481" s="1706"/>
      <c r="F481" s="1707"/>
      <c r="G481" s="1711"/>
      <c r="H481" s="1712"/>
      <c r="I481" s="1712"/>
      <c r="J481" s="1713"/>
      <c r="K481" s="1711"/>
      <c r="L481" s="1712"/>
      <c r="M481" s="1712"/>
      <c r="N481" s="1713"/>
      <c r="O481" s="1711"/>
      <c r="P481" s="1713"/>
      <c r="Q481" s="1714">
        <f t="shared" si="125">G481*O481</f>
        <v>0</v>
      </c>
      <c r="R481" s="1715"/>
      <c r="S481" s="1715"/>
      <c r="T481" s="1720"/>
      <c r="U481" s="1714">
        <f t="shared" si="126">K481*O481</f>
        <v>0</v>
      </c>
      <c r="V481" s="1715"/>
      <c r="W481" s="1715"/>
      <c r="X481" s="1720"/>
      <c r="Y481" s="1725"/>
      <c r="Z481" s="1726"/>
      <c r="AA481" s="1727">
        <f t="shared" si="127">IF(Y481="",U481,Q481*Y481/100)</f>
        <v>0</v>
      </c>
      <c r="AB481" s="1728"/>
      <c r="AC481" s="1728"/>
      <c r="AD481" s="1729"/>
      <c r="AE481" s="1714">
        <f t="shared" si="128">IF(AA481=0,U481,IF(U481&gt;(VALUE(AA481)),VALUE(AA481),U481))</f>
        <v>0</v>
      </c>
      <c r="AF481" s="1715"/>
      <c r="AG481" s="1715"/>
      <c r="AH481" s="1716"/>
      <c r="AI481" s="913"/>
      <c r="AK481" s="303"/>
      <c r="AN481" s="303"/>
      <c r="AO481" s="303"/>
      <c r="AP481" s="303"/>
      <c r="AQ481" s="303"/>
    </row>
    <row r="482" spans="1:43">
      <c r="A482" s="305">
        <v>15</v>
      </c>
      <c r="B482" s="1708"/>
      <c r="C482" s="1709"/>
      <c r="D482" s="1710"/>
      <c r="E482" s="1706"/>
      <c r="F482" s="1707"/>
      <c r="G482" s="1711"/>
      <c r="H482" s="1712"/>
      <c r="I482" s="1712"/>
      <c r="J482" s="1713"/>
      <c r="K482" s="1711"/>
      <c r="L482" s="1712"/>
      <c r="M482" s="1712"/>
      <c r="N482" s="1713"/>
      <c r="O482" s="1711"/>
      <c r="P482" s="1713"/>
      <c r="Q482" s="1714">
        <f t="shared" si="125">G482*O482</f>
        <v>0</v>
      </c>
      <c r="R482" s="1715"/>
      <c r="S482" s="1715"/>
      <c r="T482" s="1720"/>
      <c r="U482" s="1714">
        <f t="shared" si="126">K482*O482</f>
        <v>0</v>
      </c>
      <c r="V482" s="1715"/>
      <c r="W482" s="1715"/>
      <c r="X482" s="1720"/>
      <c r="Y482" s="1725"/>
      <c r="Z482" s="1726"/>
      <c r="AA482" s="1727">
        <f t="shared" si="127">IF(Y482="",U482,Q482*Y482/100)</f>
        <v>0</v>
      </c>
      <c r="AB482" s="1728"/>
      <c r="AC482" s="1728"/>
      <c r="AD482" s="1729"/>
      <c r="AE482" s="1714">
        <f t="shared" si="128">IF(AA482=0,U482,IF(U482&gt;(VALUE(AA482)),VALUE(AA482),U482))</f>
        <v>0</v>
      </c>
      <c r="AF482" s="1715"/>
      <c r="AG482" s="1715"/>
      <c r="AH482" s="1716"/>
      <c r="AI482" s="913"/>
      <c r="AK482" s="303"/>
      <c r="AN482" s="303"/>
      <c r="AO482" s="303"/>
      <c r="AP482" s="303"/>
      <c r="AQ482" s="303"/>
    </row>
    <row r="483" spans="1:43">
      <c r="A483" s="307" t="s">
        <v>504</v>
      </c>
      <c r="B483" s="1703"/>
      <c r="C483" s="1704"/>
      <c r="D483" s="1705"/>
      <c r="E483" s="1706"/>
      <c r="F483" s="1707"/>
      <c r="G483" s="1706"/>
      <c r="H483" s="1902"/>
      <c r="I483" s="1902"/>
      <c r="J483" s="1707"/>
      <c r="K483" s="1711"/>
      <c r="L483" s="1712"/>
      <c r="M483" s="1712"/>
      <c r="N483" s="1713"/>
      <c r="O483" s="1711"/>
      <c r="P483" s="1713"/>
      <c r="Q483" s="1714">
        <f t="shared" si="125">G483*O483</f>
        <v>0</v>
      </c>
      <c r="R483" s="1715"/>
      <c r="S483" s="1715"/>
      <c r="T483" s="1720"/>
      <c r="U483" s="1714">
        <f t="shared" si="126">K483*O483</f>
        <v>0</v>
      </c>
      <c r="V483" s="1715"/>
      <c r="W483" s="1715"/>
      <c r="X483" s="1720"/>
      <c r="Y483" s="1725"/>
      <c r="Z483" s="1726"/>
      <c r="AA483" s="1727">
        <f t="shared" si="127">IF(Y483="",U483,Q483*Y483/100)</f>
        <v>0</v>
      </c>
      <c r="AB483" s="1728"/>
      <c r="AC483" s="1728"/>
      <c r="AD483" s="1729"/>
      <c r="AE483" s="1714">
        <f t="shared" si="128">IF(AA483=0,U483,IF(U483&gt;(VALUE(AA483)),VALUE(AA483),U483))</f>
        <v>0</v>
      </c>
      <c r="AF483" s="1715"/>
      <c r="AG483" s="1715"/>
      <c r="AH483" s="1716"/>
      <c r="AI483" s="913"/>
      <c r="AK483" s="303"/>
      <c r="AN483" s="303"/>
      <c r="AO483" s="303"/>
      <c r="AP483" s="303"/>
      <c r="AQ483" s="303"/>
    </row>
    <row r="484" spans="1:43" ht="13.5" customHeight="1" thickBot="1">
      <c r="A484" s="920"/>
      <c r="B484" s="921"/>
      <c r="C484" s="922"/>
      <c r="D484" s="923"/>
      <c r="E484" s="921"/>
      <c r="F484" s="923"/>
      <c r="G484" s="921"/>
      <c r="H484" s="922"/>
      <c r="I484" s="922"/>
      <c r="J484" s="923"/>
      <c r="K484" s="921"/>
      <c r="L484" s="922"/>
      <c r="M484" s="922"/>
      <c r="N484" s="923"/>
      <c r="O484" s="921"/>
      <c r="P484" s="923"/>
      <c r="Q484" s="921"/>
      <c r="R484" s="922"/>
      <c r="S484" s="922"/>
      <c r="T484" s="923"/>
      <c r="U484" s="921"/>
      <c r="V484" s="922"/>
      <c r="W484" s="922"/>
      <c r="X484" s="923"/>
      <c r="Y484" s="921"/>
      <c r="Z484" s="923"/>
      <c r="AA484" s="921"/>
      <c r="AB484" s="922"/>
      <c r="AC484" s="922"/>
      <c r="AD484" s="923"/>
      <c r="AE484" s="921"/>
      <c r="AF484" s="922"/>
      <c r="AG484" s="922"/>
      <c r="AH484" s="1263"/>
      <c r="AI484" s="913"/>
      <c r="AK484" s="303"/>
      <c r="AN484" s="303"/>
      <c r="AO484" s="303"/>
      <c r="AP484" s="303"/>
      <c r="AQ484" s="303"/>
    </row>
    <row r="485" spans="1:43" ht="13.5" customHeight="1" thickTop="1" thickBot="1">
      <c r="A485" s="913"/>
      <c r="B485" s="913"/>
      <c r="C485" s="913"/>
      <c r="D485" s="913"/>
      <c r="E485" s="913"/>
      <c r="F485" s="913"/>
      <c r="G485" s="913"/>
      <c r="H485" s="913"/>
      <c r="I485" s="913"/>
      <c r="J485" s="913"/>
      <c r="K485" s="913"/>
      <c r="L485" s="913"/>
      <c r="M485" s="913"/>
      <c r="N485" s="913"/>
      <c r="O485" s="913"/>
      <c r="P485" s="913"/>
      <c r="Q485" s="913"/>
      <c r="R485" s="913"/>
      <c r="S485" s="913"/>
      <c r="T485" s="913"/>
      <c r="U485" s="913"/>
      <c r="V485" s="913"/>
      <c r="W485" s="913"/>
      <c r="X485" s="913"/>
      <c r="Y485" s="913"/>
      <c r="Z485" s="913"/>
      <c r="AA485" s="913"/>
      <c r="AB485" s="913"/>
      <c r="AC485" s="913"/>
      <c r="AD485" s="913"/>
      <c r="AE485" s="913"/>
      <c r="AF485" s="913"/>
      <c r="AG485" s="913"/>
      <c r="AH485" s="913"/>
      <c r="AI485" s="913"/>
      <c r="AK485" s="303"/>
      <c r="AN485" s="303"/>
      <c r="AO485" s="303"/>
      <c r="AP485" s="303"/>
      <c r="AQ485" s="303"/>
    </row>
    <row r="486" spans="1:43" ht="14.25" customHeight="1" thickTop="1" thickBot="1">
      <c r="A486" s="913"/>
      <c r="B486" s="914" t="s">
        <v>347</v>
      </c>
      <c r="C486" s="913"/>
      <c r="D486" s="913"/>
      <c r="E486" s="913"/>
      <c r="F486" s="913"/>
      <c r="G486" s="1836">
        <f>+SUM(G468:J484)</f>
        <v>0</v>
      </c>
      <c r="H486" s="1837"/>
      <c r="I486" s="1837"/>
      <c r="J486" s="1838"/>
      <c r="K486" s="1836">
        <f>+SUM(K468:N484)</f>
        <v>0</v>
      </c>
      <c r="L486" s="1837"/>
      <c r="M486" s="1837"/>
      <c r="N486" s="1838"/>
      <c r="O486" s="924"/>
      <c r="P486" s="924"/>
      <c r="Q486" s="1736">
        <f>+SUM(Q468:T484)</f>
        <v>0</v>
      </c>
      <c r="R486" s="1737"/>
      <c r="S486" s="1737"/>
      <c r="T486" s="1738"/>
      <c r="U486" s="1736">
        <f>+SUM(U468:X484)</f>
        <v>0</v>
      </c>
      <c r="V486" s="1737"/>
      <c r="W486" s="1737"/>
      <c r="X486" s="1738"/>
      <c r="Y486" s="913"/>
      <c r="Z486" s="913"/>
      <c r="AA486" s="1733">
        <f>SUM(AA468:AD484)</f>
        <v>0</v>
      </c>
      <c r="AB486" s="1734"/>
      <c r="AC486" s="1734"/>
      <c r="AD486" s="1735"/>
      <c r="AE486" s="1736">
        <f>+SUM(AE468:AH484)</f>
        <v>0</v>
      </c>
      <c r="AF486" s="1737"/>
      <c r="AG486" s="1737"/>
      <c r="AH486" s="1738"/>
      <c r="AI486" s="913"/>
      <c r="AK486" s="303"/>
      <c r="AN486" s="303"/>
      <c r="AO486" s="303"/>
      <c r="AP486" s="303"/>
      <c r="AQ486" s="303"/>
    </row>
    <row r="487" spans="1:43" ht="13.5" customHeight="1" thickTop="1">
      <c r="A487" s="913"/>
      <c r="B487" s="913"/>
      <c r="C487" s="913"/>
      <c r="D487" s="913"/>
      <c r="E487" s="913"/>
      <c r="F487" s="913"/>
      <c r="G487" s="913"/>
      <c r="H487" s="913"/>
      <c r="I487" s="913"/>
      <c r="J487" s="913"/>
      <c r="K487" s="913"/>
      <c r="L487" s="913"/>
      <c r="M487" s="913"/>
      <c r="N487" s="913"/>
      <c r="O487" s="913"/>
      <c r="P487" s="913"/>
      <c r="Q487" s="913"/>
      <c r="R487" s="913"/>
      <c r="S487" s="913"/>
      <c r="T487" s="913"/>
      <c r="U487" s="913"/>
      <c r="V487" s="913"/>
      <c r="W487" s="913"/>
      <c r="X487" s="913"/>
      <c r="Y487" s="913"/>
      <c r="Z487" s="913"/>
      <c r="AA487" s="913"/>
      <c r="AB487" s="913"/>
      <c r="AC487" s="913"/>
      <c r="AD487" s="913"/>
      <c r="AE487" s="913"/>
      <c r="AF487" s="913"/>
      <c r="AG487" s="913"/>
      <c r="AH487" s="913"/>
      <c r="AI487" s="913"/>
      <c r="AK487" s="303"/>
      <c r="AN487" s="303"/>
      <c r="AO487" s="303"/>
      <c r="AP487" s="303"/>
      <c r="AQ487" s="303"/>
    </row>
    <row r="488" spans="1:43" ht="13.5" customHeight="1">
      <c r="A488" s="913"/>
      <c r="B488" s="914" t="s">
        <v>310</v>
      </c>
      <c r="C488" s="914" t="s">
        <v>505</v>
      </c>
      <c r="D488" s="913"/>
      <c r="E488" s="913"/>
      <c r="F488" s="913"/>
      <c r="G488" s="913"/>
      <c r="H488" s="913"/>
      <c r="I488" s="913"/>
      <c r="J488" s="913"/>
      <c r="K488" s="913"/>
      <c r="L488" s="913"/>
      <c r="M488" s="913"/>
      <c r="N488" s="913"/>
      <c r="O488" s="913"/>
      <c r="P488" s="913"/>
      <c r="Q488" s="913"/>
      <c r="R488" s="913"/>
      <c r="S488" s="913"/>
      <c r="T488" s="913"/>
      <c r="U488" s="913"/>
      <c r="V488" s="913"/>
      <c r="W488" s="913"/>
      <c r="X488" s="913"/>
      <c r="Y488" s="913"/>
      <c r="Z488" s="913"/>
      <c r="AA488" s="913"/>
      <c r="AB488" s="913"/>
      <c r="AC488" s="913"/>
      <c r="AD488" s="913"/>
      <c r="AE488" s="913"/>
      <c r="AF488" s="913"/>
      <c r="AG488" s="913"/>
      <c r="AH488" s="913"/>
      <c r="AI488" s="913"/>
      <c r="AK488" s="303"/>
      <c r="AN488" s="303"/>
      <c r="AO488" s="303"/>
      <c r="AP488" s="303"/>
      <c r="AQ488" s="303"/>
    </row>
    <row r="489" spans="1:43" ht="13.5" customHeight="1" thickBot="1">
      <c r="A489" s="913"/>
      <c r="B489" s="913"/>
      <c r="C489" s="913"/>
      <c r="D489" s="913"/>
      <c r="E489" s="913"/>
      <c r="F489" s="913"/>
      <c r="G489" s="913"/>
      <c r="H489" s="913"/>
      <c r="I489" s="913"/>
      <c r="J489" s="913"/>
      <c r="K489" s="913"/>
      <c r="L489" s="913"/>
      <c r="M489" s="913"/>
      <c r="N489" s="913"/>
      <c r="O489" s="913"/>
      <c r="P489" s="913"/>
      <c r="Q489" s="913"/>
      <c r="R489" s="913"/>
      <c r="S489" s="913"/>
      <c r="T489" s="913"/>
      <c r="U489" s="913"/>
      <c r="V489" s="913"/>
      <c r="W489" s="913"/>
      <c r="X489" s="913"/>
      <c r="Y489" s="913"/>
      <c r="Z489" s="913"/>
      <c r="AA489" s="913"/>
      <c r="AB489" s="913"/>
      <c r="AC489" s="913"/>
      <c r="AD489" s="913"/>
      <c r="AE489" s="913"/>
      <c r="AF489" s="913"/>
      <c r="AG489" s="913"/>
      <c r="AH489" s="913"/>
      <c r="AI489" s="913"/>
      <c r="AK489" s="303"/>
      <c r="AN489" s="303"/>
      <c r="AO489" s="303"/>
      <c r="AP489" s="303"/>
      <c r="AQ489" s="303"/>
    </row>
    <row r="490" spans="1:43" ht="14.25" customHeight="1" thickTop="1" thickBot="1">
      <c r="A490" s="1936" t="s">
        <v>321</v>
      </c>
      <c r="B490" s="1739" t="s">
        <v>495</v>
      </c>
      <c r="C490" s="1958"/>
      <c r="D490" s="1959"/>
      <c r="E490" s="1739" t="s">
        <v>496</v>
      </c>
      <c r="F490" s="1745"/>
      <c r="G490" s="1954" t="s">
        <v>497</v>
      </c>
      <c r="H490" s="1955"/>
      <c r="I490" s="1955"/>
      <c r="J490" s="1955"/>
      <c r="K490" s="1955"/>
      <c r="L490" s="1955"/>
      <c r="M490" s="1955"/>
      <c r="N490" s="1956"/>
      <c r="O490" s="1739" t="s">
        <v>498</v>
      </c>
      <c r="P490" s="1745"/>
      <c r="Q490" s="1954" t="s">
        <v>499</v>
      </c>
      <c r="R490" s="1955"/>
      <c r="S490" s="1955"/>
      <c r="T490" s="1955"/>
      <c r="U490" s="1955"/>
      <c r="V490" s="1955"/>
      <c r="W490" s="1955"/>
      <c r="X490" s="1956"/>
      <c r="Y490" s="1739" t="s">
        <v>500</v>
      </c>
      <c r="Z490" s="1745"/>
      <c r="AA490" s="1739" t="s">
        <v>1310</v>
      </c>
      <c r="AB490" s="1740"/>
      <c r="AC490" s="1740"/>
      <c r="AD490" s="1745"/>
      <c r="AE490" s="1739" t="s">
        <v>501</v>
      </c>
      <c r="AF490" s="1740"/>
      <c r="AG490" s="1740"/>
      <c r="AH490" s="1741"/>
      <c r="AI490" s="913"/>
      <c r="AK490" s="303"/>
      <c r="AN490" s="303"/>
      <c r="AO490" s="303"/>
      <c r="AP490" s="303"/>
      <c r="AQ490" s="303"/>
    </row>
    <row r="491" spans="1:43" ht="33" customHeight="1" thickTop="1" thickBot="1">
      <c r="A491" s="1957"/>
      <c r="B491" s="1960"/>
      <c r="C491" s="1961"/>
      <c r="D491" s="1962"/>
      <c r="E491" s="1746"/>
      <c r="F491" s="1747"/>
      <c r="G491" s="1954" t="s">
        <v>502</v>
      </c>
      <c r="H491" s="1955"/>
      <c r="I491" s="1955"/>
      <c r="J491" s="1956"/>
      <c r="K491" s="1954" t="s">
        <v>503</v>
      </c>
      <c r="L491" s="1955"/>
      <c r="M491" s="1955"/>
      <c r="N491" s="1956"/>
      <c r="O491" s="1746"/>
      <c r="P491" s="1747"/>
      <c r="Q491" s="1954" t="s">
        <v>502</v>
      </c>
      <c r="R491" s="1955"/>
      <c r="S491" s="1955"/>
      <c r="T491" s="1956"/>
      <c r="U491" s="1954" t="s">
        <v>503</v>
      </c>
      <c r="V491" s="1955"/>
      <c r="W491" s="1955"/>
      <c r="X491" s="1956"/>
      <c r="Y491" s="1746"/>
      <c r="Z491" s="1747"/>
      <c r="AA491" s="1742"/>
      <c r="AB491" s="1743"/>
      <c r="AC491" s="1743"/>
      <c r="AD491" s="1748"/>
      <c r="AE491" s="1742"/>
      <c r="AF491" s="1743"/>
      <c r="AG491" s="1743"/>
      <c r="AH491" s="1744"/>
      <c r="AI491" s="913"/>
      <c r="AK491" s="303"/>
      <c r="AN491" s="303"/>
      <c r="AO491" s="303"/>
      <c r="AP491" s="303"/>
      <c r="AQ491" s="303"/>
    </row>
    <row r="492" spans="1:43" ht="13.5" customHeight="1" thickTop="1">
      <c r="A492" s="916"/>
      <c r="B492" s="917"/>
      <c r="C492" s="918"/>
      <c r="D492" s="919"/>
      <c r="E492" s="917"/>
      <c r="F492" s="919"/>
      <c r="G492" s="917"/>
      <c r="H492" s="918"/>
      <c r="I492" s="918"/>
      <c r="J492" s="919"/>
      <c r="K492" s="917"/>
      <c r="L492" s="918"/>
      <c r="M492" s="918"/>
      <c r="N492" s="919"/>
      <c r="O492" s="917"/>
      <c r="P492" s="919"/>
      <c r="Q492" s="917"/>
      <c r="R492" s="918"/>
      <c r="S492" s="918"/>
      <c r="T492" s="919"/>
      <c r="U492" s="917"/>
      <c r="V492" s="918"/>
      <c r="W492" s="918"/>
      <c r="X492" s="919"/>
      <c r="Y492" s="918"/>
      <c r="Z492" s="919"/>
      <c r="AA492" s="918"/>
      <c r="AB492" s="918"/>
      <c r="AC492" s="918"/>
      <c r="AD492" s="919"/>
      <c r="AE492" s="917"/>
      <c r="AF492" s="918"/>
      <c r="AG492" s="918"/>
      <c r="AH492" s="1262"/>
      <c r="AI492" s="913"/>
      <c r="AK492" s="303"/>
      <c r="AN492" s="303"/>
      <c r="AO492" s="303"/>
      <c r="AP492" s="303"/>
      <c r="AQ492" s="303"/>
    </row>
    <row r="493" spans="1:43">
      <c r="A493" s="305">
        <v>1</v>
      </c>
      <c r="B493" s="1708"/>
      <c r="C493" s="1709"/>
      <c r="D493" s="1710"/>
      <c r="E493" s="1706"/>
      <c r="F493" s="1707"/>
      <c r="G493" s="1711"/>
      <c r="H493" s="1712"/>
      <c r="I493" s="1712"/>
      <c r="J493" s="1713"/>
      <c r="K493" s="1711"/>
      <c r="L493" s="1712"/>
      <c r="M493" s="1712"/>
      <c r="N493" s="1713"/>
      <c r="O493" s="1711"/>
      <c r="P493" s="1713"/>
      <c r="Q493" s="1714">
        <f t="shared" si="137" ref="Q493:Q508">G493*O493</f>
        <v>0</v>
      </c>
      <c r="R493" s="1715"/>
      <c r="S493" s="1715"/>
      <c r="T493" s="1720"/>
      <c r="U493" s="1714">
        <f t="shared" si="138" ref="U493:U508">K493*O493</f>
        <v>0</v>
      </c>
      <c r="V493" s="1715"/>
      <c r="W493" s="1715"/>
      <c r="X493" s="1720"/>
      <c r="Y493" s="1725"/>
      <c r="Z493" s="1726"/>
      <c r="AA493" s="1727">
        <f>IF(Y493="",U493,Q493*Y493/100)</f>
        <v>0</v>
      </c>
      <c r="AB493" s="1728"/>
      <c r="AC493" s="1728"/>
      <c r="AD493" s="1729"/>
      <c r="AE493" s="1714">
        <f>IF(AA493=0,U493,IF(U493&gt;(VALUE(AA493)),VALUE(AA493),U493))</f>
        <v>0</v>
      </c>
      <c r="AF493" s="1715"/>
      <c r="AG493" s="1715"/>
      <c r="AH493" s="1716"/>
      <c r="AI493" s="913"/>
      <c r="AK493" s="303"/>
      <c r="AN493" s="303"/>
      <c r="AO493" s="303"/>
      <c r="AP493" s="303"/>
      <c r="AQ493" s="303"/>
    </row>
    <row r="494" spans="1:43">
      <c r="A494" s="306">
        <v>2</v>
      </c>
      <c r="B494" s="1708"/>
      <c r="C494" s="1709"/>
      <c r="D494" s="1710"/>
      <c r="E494" s="1706"/>
      <c r="F494" s="1707"/>
      <c r="G494" s="1711"/>
      <c r="H494" s="1712"/>
      <c r="I494" s="1712"/>
      <c r="J494" s="1713"/>
      <c r="K494" s="1711"/>
      <c r="L494" s="1712"/>
      <c r="M494" s="1712"/>
      <c r="N494" s="1713"/>
      <c r="O494" s="1711"/>
      <c r="P494" s="1713"/>
      <c r="Q494" s="1714">
        <f t="shared" si="139" ref="Q494:Q502">G494*O494</f>
        <v>0</v>
      </c>
      <c r="R494" s="1715"/>
      <c r="S494" s="1715"/>
      <c r="T494" s="1720"/>
      <c r="U494" s="1714">
        <f t="shared" si="140" ref="U494:U502">K494*O494</f>
        <v>0</v>
      </c>
      <c r="V494" s="1715"/>
      <c r="W494" s="1715"/>
      <c r="X494" s="1720"/>
      <c r="Y494" s="1725"/>
      <c r="Z494" s="1726"/>
      <c r="AA494" s="1727">
        <f t="shared" si="141" ref="AA494:AA502">IF(Y494="",U494,Q494*Y494/100)</f>
        <v>0</v>
      </c>
      <c r="AB494" s="1728"/>
      <c r="AC494" s="1728"/>
      <c r="AD494" s="1729"/>
      <c r="AE494" s="1714">
        <f t="shared" si="142" ref="AE494:AE502">IF(AA494=0,U494,IF(U494&gt;(VALUE(AA494)),VALUE(AA494),U494))</f>
        <v>0</v>
      </c>
      <c r="AF494" s="1715"/>
      <c r="AG494" s="1715"/>
      <c r="AH494" s="1716"/>
      <c r="AI494" s="913"/>
      <c r="AK494" s="303"/>
      <c r="AN494" s="303"/>
      <c r="AO494" s="303"/>
      <c r="AP494" s="303"/>
      <c r="AQ494" s="303"/>
    </row>
    <row r="495" spans="1:43">
      <c r="A495" s="305">
        <v>3</v>
      </c>
      <c r="B495" s="1708"/>
      <c r="C495" s="1709"/>
      <c r="D495" s="1710"/>
      <c r="E495" s="1706"/>
      <c r="F495" s="1707"/>
      <c r="G495" s="1711"/>
      <c r="H495" s="1712"/>
      <c r="I495" s="1712"/>
      <c r="J495" s="1713"/>
      <c r="K495" s="1711"/>
      <c r="L495" s="1712"/>
      <c r="M495" s="1712"/>
      <c r="N495" s="1713"/>
      <c r="O495" s="1711"/>
      <c r="P495" s="1713"/>
      <c r="Q495" s="1714">
        <f t="shared" si="139">G495*O495</f>
        <v>0</v>
      </c>
      <c r="R495" s="1715"/>
      <c r="S495" s="1715"/>
      <c r="T495" s="1720"/>
      <c r="U495" s="1714">
        <f t="shared" si="140">K495*O495</f>
        <v>0</v>
      </c>
      <c r="V495" s="1715"/>
      <c r="W495" s="1715"/>
      <c r="X495" s="1720"/>
      <c r="Y495" s="1725"/>
      <c r="Z495" s="1726"/>
      <c r="AA495" s="1727">
        <f t="shared" si="141">IF(Y495="",U495,Q495*Y495/100)</f>
        <v>0</v>
      </c>
      <c r="AB495" s="1728"/>
      <c r="AC495" s="1728"/>
      <c r="AD495" s="1729"/>
      <c r="AE495" s="1714">
        <f t="shared" si="142">IF(AA495=0,U495,IF(U495&gt;(VALUE(AA495)),VALUE(AA495),U495))</f>
        <v>0</v>
      </c>
      <c r="AF495" s="1715"/>
      <c r="AG495" s="1715"/>
      <c r="AH495" s="1716"/>
      <c r="AI495" s="913"/>
      <c r="AK495" s="303"/>
      <c r="AN495" s="303"/>
      <c r="AO495" s="303"/>
      <c r="AP495" s="303"/>
      <c r="AQ495" s="303"/>
    </row>
    <row r="496" spans="1:43">
      <c r="A496" s="306">
        <v>4</v>
      </c>
      <c r="B496" s="1708"/>
      <c r="C496" s="1709"/>
      <c r="D496" s="1710"/>
      <c r="E496" s="1706"/>
      <c r="F496" s="1707"/>
      <c r="G496" s="1711"/>
      <c r="H496" s="1712"/>
      <c r="I496" s="1712"/>
      <c r="J496" s="1713"/>
      <c r="K496" s="1711"/>
      <c r="L496" s="1712"/>
      <c r="M496" s="1712"/>
      <c r="N496" s="1713"/>
      <c r="O496" s="1711"/>
      <c r="P496" s="1713"/>
      <c r="Q496" s="1714">
        <f t="shared" si="139">G496*O496</f>
        <v>0</v>
      </c>
      <c r="R496" s="1715"/>
      <c r="S496" s="1715"/>
      <c r="T496" s="1720"/>
      <c r="U496" s="1714">
        <f t="shared" si="140">K496*O496</f>
        <v>0</v>
      </c>
      <c r="V496" s="1715"/>
      <c r="W496" s="1715"/>
      <c r="X496" s="1720"/>
      <c r="Y496" s="1725"/>
      <c r="Z496" s="1726"/>
      <c r="AA496" s="1727">
        <f t="shared" si="141">IF(Y496="",U496,Q496*Y496/100)</f>
        <v>0</v>
      </c>
      <c r="AB496" s="1728"/>
      <c r="AC496" s="1728"/>
      <c r="AD496" s="1729"/>
      <c r="AE496" s="1714">
        <f t="shared" si="142">IF(AA496=0,U496,IF(U496&gt;(VALUE(AA496)),VALUE(AA496),U496))</f>
        <v>0</v>
      </c>
      <c r="AF496" s="1715"/>
      <c r="AG496" s="1715"/>
      <c r="AH496" s="1716"/>
      <c r="AI496" s="913"/>
      <c r="AK496" s="303"/>
      <c r="AN496" s="303"/>
      <c r="AO496" s="303"/>
      <c r="AP496" s="303"/>
      <c r="AQ496" s="303"/>
    </row>
    <row r="497" spans="1:43">
      <c r="A497" s="305">
        <v>5</v>
      </c>
      <c r="B497" s="1708"/>
      <c r="C497" s="1709"/>
      <c r="D497" s="1710"/>
      <c r="E497" s="1706"/>
      <c r="F497" s="1707"/>
      <c r="G497" s="1711"/>
      <c r="H497" s="1712"/>
      <c r="I497" s="1712"/>
      <c r="J497" s="1713"/>
      <c r="K497" s="1711"/>
      <c r="L497" s="1712"/>
      <c r="M497" s="1712"/>
      <c r="N497" s="1713"/>
      <c r="O497" s="1711"/>
      <c r="P497" s="1713"/>
      <c r="Q497" s="1714">
        <f t="shared" si="143" ref="Q497:Q501">G497*O497</f>
        <v>0</v>
      </c>
      <c r="R497" s="1715"/>
      <c r="S497" s="1715"/>
      <c r="T497" s="1720"/>
      <c r="U497" s="1714">
        <f t="shared" si="144" ref="U497:U501">K497*O497</f>
        <v>0</v>
      </c>
      <c r="V497" s="1715"/>
      <c r="W497" s="1715"/>
      <c r="X497" s="1720"/>
      <c r="Y497" s="1725"/>
      <c r="Z497" s="1726"/>
      <c r="AA497" s="1727">
        <f t="shared" si="145" ref="AA497:AA501">IF(Y497="",U497,Q497*Y497/100)</f>
        <v>0</v>
      </c>
      <c r="AB497" s="1728"/>
      <c r="AC497" s="1728"/>
      <c r="AD497" s="1729"/>
      <c r="AE497" s="1714">
        <f t="shared" si="146" ref="AE497:AE501">IF(AA497=0,U497,IF(U497&gt;(VALUE(AA497)),VALUE(AA497),U497))</f>
        <v>0</v>
      </c>
      <c r="AF497" s="1715"/>
      <c r="AG497" s="1715"/>
      <c r="AH497" s="1716"/>
      <c r="AI497" s="913"/>
      <c r="AK497" s="303"/>
      <c r="AN497" s="303"/>
      <c r="AO497" s="303"/>
      <c r="AP497" s="303"/>
      <c r="AQ497" s="303"/>
    </row>
    <row r="498" spans="1:43">
      <c r="A498" s="306">
        <v>6</v>
      </c>
      <c r="B498" s="1708"/>
      <c r="C498" s="1709"/>
      <c r="D498" s="1710"/>
      <c r="E498" s="1706"/>
      <c r="F498" s="1707"/>
      <c r="G498" s="1711"/>
      <c r="H498" s="1712"/>
      <c r="I498" s="1712"/>
      <c r="J498" s="1713"/>
      <c r="K498" s="1711"/>
      <c r="L498" s="1712"/>
      <c r="M498" s="1712"/>
      <c r="N498" s="1713"/>
      <c r="O498" s="1711"/>
      <c r="P498" s="1713"/>
      <c r="Q498" s="1714">
        <f t="shared" si="143">G498*O498</f>
        <v>0</v>
      </c>
      <c r="R498" s="1715"/>
      <c r="S498" s="1715"/>
      <c r="T498" s="1720"/>
      <c r="U498" s="1714">
        <f t="shared" si="144">K498*O498</f>
        <v>0</v>
      </c>
      <c r="V498" s="1715"/>
      <c r="W498" s="1715"/>
      <c r="X498" s="1720"/>
      <c r="Y498" s="1725"/>
      <c r="Z498" s="1726"/>
      <c r="AA498" s="1727">
        <f t="shared" si="145">IF(Y498="",U498,Q498*Y498/100)</f>
        <v>0</v>
      </c>
      <c r="AB498" s="1728"/>
      <c r="AC498" s="1728"/>
      <c r="AD498" s="1729"/>
      <c r="AE498" s="1714">
        <f t="shared" si="146">IF(AA498=0,U498,IF(U498&gt;(VALUE(AA498)),VALUE(AA498),U498))</f>
        <v>0</v>
      </c>
      <c r="AF498" s="1715"/>
      <c r="AG498" s="1715"/>
      <c r="AH498" s="1716"/>
      <c r="AI498" s="913"/>
      <c r="AK498" s="303"/>
      <c r="AN498" s="303"/>
      <c r="AO498" s="303"/>
      <c r="AP498" s="303"/>
      <c r="AQ498" s="303"/>
    </row>
    <row r="499" spans="1:43">
      <c r="A499" s="305">
        <v>7</v>
      </c>
      <c r="B499" s="1708"/>
      <c r="C499" s="1709"/>
      <c r="D499" s="1710"/>
      <c r="E499" s="1706"/>
      <c r="F499" s="1707"/>
      <c r="G499" s="1711"/>
      <c r="H499" s="1712"/>
      <c r="I499" s="1712"/>
      <c r="J499" s="1713"/>
      <c r="K499" s="1711"/>
      <c r="L499" s="1712"/>
      <c r="M499" s="1712"/>
      <c r="N499" s="1713"/>
      <c r="O499" s="1711"/>
      <c r="P499" s="1713"/>
      <c r="Q499" s="1714">
        <f t="shared" si="143">G499*O499</f>
        <v>0</v>
      </c>
      <c r="R499" s="1715"/>
      <c r="S499" s="1715"/>
      <c r="T499" s="1720"/>
      <c r="U499" s="1714">
        <f t="shared" si="144">K499*O499</f>
        <v>0</v>
      </c>
      <c r="V499" s="1715"/>
      <c r="W499" s="1715"/>
      <c r="X499" s="1720"/>
      <c r="Y499" s="1725"/>
      <c r="Z499" s="1726"/>
      <c r="AA499" s="1727">
        <f t="shared" si="145">IF(Y499="",U499,Q499*Y499/100)</f>
        <v>0</v>
      </c>
      <c r="AB499" s="1728"/>
      <c r="AC499" s="1728"/>
      <c r="AD499" s="1729"/>
      <c r="AE499" s="1714">
        <f t="shared" si="146">IF(AA499=0,U499,IF(U499&gt;(VALUE(AA499)),VALUE(AA499),U499))</f>
        <v>0</v>
      </c>
      <c r="AF499" s="1715"/>
      <c r="AG499" s="1715"/>
      <c r="AH499" s="1716"/>
      <c r="AI499" s="913"/>
      <c r="AK499" s="303"/>
      <c r="AN499" s="303"/>
      <c r="AO499" s="303"/>
      <c r="AP499" s="303"/>
      <c r="AQ499" s="303"/>
    </row>
    <row r="500" spans="1:43">
      <c r="A500" s="306">
        <v>8</v>
      </c>
      <c r="B500" s="1708"/>
      <c r="C500" s="1709"/>
      <c r="D500" s="1710"/>
      <c r="E500" s="1706"/>
      <c r="F500" s="1707"/>
      <c r="G500" s="1711"/>
      <c r="H500" s="1712"/>
      <c r="I500" s="1712"/>
      <c r="J500" s="1713"/>
      <c r="K500" s="1711"/>
      <c r="L500" s="1712"/>
      <c r="M500" s="1712"/>
      <c r="N500" s="1713"/>
      <c r="O500" s="1711"/>
      <c r="P500" s="1713"/>
      <c r="Q500" s="1714">
        <f t="shared" si="143">G500*O500</f>
        <v>0</v>
      </c>
      <c r="R500" s="1715"/>
      <c r="S500" s="1715"/>
      <c r="T500" s="1720"/>
      <c r="U500" s="1714">
        <f t="shared" si="144">K500*O500</f>
        <v>0</v>
      </c>
      <c r="V500" s="1715"/>
      <c r="W500" s="1715"/>
      <c r="X500" s="1720"/>
      <c r="Y500" s="1725"/>
      <c r="Z500" s="1726"/>
      <c r="AA500" s="1727">
        <f t="shared" si="145">IF(Y500="",U500,Q500*Y500/100)</f>
        <v>0</v>
      </c>
      <c r="AB500" s="1728"/>
      <c r="AC500" s="1728"/>
      <c r="AD500" s="1729"/>
      <c r="AE500" s="1714">
        <f t="shared" si="146">IF(AA500=0,U500,IF(U500&gt;(VALUE(AA500)),VALUE(AA500),U500))</f>
        <v>0</v>
      </c>
      <c r="AF500" s="1715"/>
      <c r="AG500" s="1715"/>
      <c r="AH500" s="1716"/>
      <c r="AI500" s="913"/>
      <c r="AK500" s="303"/>
      <c r="AN500" s="303"/>
      <c r="AO500" s="303"/>
      <c r="AP500" s="303"/>
      <c r="AQ500" s="303"/>
    </row>
    <row r="501" spans="1:43">
      <c r="A501" s="305">
        <v>9</v>
      </c>
      <c r="B501" s="1708"/>
      <c r="C501" s="1709"/>
      <c r="D501" s="1710"/>
      <c r="E501" s="1706"/>
      <c r="F501" s="1707"/>
      <c r="G501" s="1711"/>
      <c r="H501" s="1712"/>
      <c r="I501" s="1712"/>
      <c r="J501" s="1713"/>
      <c r="K501" s="1711"/>
      <c r="L501" s="1712"/>
      <c r="M501" s="1712"/>
      <c r="N501" s="1713"/>
      <c r="O501" s="1711"/>
      <c r="P501" s="1713"/>
      <c r="Q501" s="1714">
        <f t="shared" si="143">G501*O501</f>
        <v>0</v>
      </c>
      <c r="R501" s="1715"/>
      <c r="S501" s="1715"/>
      <c r="T501" s="1720"/>
      <c r="U501" s="1714">
        <f t="shared" si="144">K501*O501</f>
        <v>0</v>
      </c>
      <c r="V501" s="1715"/>
      <c r="W501" s="1715"/>
      <c r="X501" s="1720"/>
      <c r="Y501" s="1725"/>
      <c r="Z501" s="1726"/>
      <c r="AA501" s="1727">
        <f t="shared" si="145">IF(Y501="",U501,Q501*Y501/100)</f>
        <v>0</v>
      </c>
      <c r="AB501" s="1728"/>
      <c r="AC501" s="1728"/>
      <c r="AD501" s="1729"/>
      <c r="AE501" s="1714">
        <f t="shared" si="146">IF(AA501=0,U501,IF(U501&gt;(VALUE(AA501)),VALUE(AA501),U501))</f>
        <v>0</v>
      </c>
      <c r="AF501" s="1715"/>
      <c r="AG501" s="1715"/>
      <c r="AH501" s="1716"/>
      <c r="AI501" s="913"/>
      <c r="AK501" s="303"/>
      <c r="AN501" s="303"/>
      <c r="AO501" s="303"/>
      <c r="AP501" s="303"/>
      <c r="AQ501" s="303"/>
    </row>
    <row r="502" spans="1:43">
      <c r="A502" s="306">
        <v>10</v>
      </c>
      <c r="B502" s="1708"/>
      <c r="C502" s="1709"/>
      <c r="D502" s="1710"/>
      <c r="E502" s="1706"/>
      <c r="F502" s="1707"/>
      <c r="G502" s="1711"/>
      <c r="H502" s="1712"/>
      <c r="I502" s="1712"/>
      <c r="J502" s="1713"/>
      <c r="K502" s="1711"/>
      <c r="L502" s="1712"/>
      <c r="M502" s="1712"/>
      <c r="N502" s="1713"/>
      <c r="O502" s="1711"/>
      <c r="P502" s="1713"/>
      <c r="Q502" s="1714">
        <f t="shared" si="139">G502*O502</f>
        <v>0</v>
      </c>
      <c r="R502" s="1715"/>
      <c r="S502" s="1715"/>
      <c r="T502" s="1720"/>
      <c r="U502" s="1714">
        <f t="shared" si="140">K502*O502</f>
        <v>0</v>
      </c>
      <c r="V502" s="1715"/>
      <c r="W502" s="1715"/>
      <c r="X502" s="1720"/>
      <c r="Y502" s="1725"/>
      <c r="Z502" s="1726"/>
      <c r="AA502" s="1727">
        <f t="shared" si="141">IF(Y502="",U502,Q502*Y502/100)</f>
        <v>0</v>
      </c>
      <c r="AB502" s="1728"/>
      <c r="AC502" s="1728"/>
      <c r="AD502" s="1729"/>
      <c r="AE502" s="1714">
        <f t="shared" si="142">IF(AA502=0,U502,IF(U502&gt;(VALUE(AA502)),VALUE(AA502),U502))</f>
        <v>0</v>
      </c>
      <c r="AF502" s="1715"/>
      <c r="AG502" s="1715"/>
      <c r="AH502" s="1716"/>
      <c r="AI502" s="913"/>
      <c r="AK502" s="303"/>
      <c r="AN502" s="303"/>
      <c r="AO502" s="303"/>
      <c r="AP502" s="303"/>
      <c r="AQ502" s="303"/>
    </row>
    <row r="503" spans="1:43">
      <c r="A503" s="305">
        <v>11</v>
      </c>
      <c r="B503" s="1708"/>
      <c r="C503" s="1709"/>
      <c r="D503" s="1710"/>
      <c r="E503" s="1706"/>
      <c r="F503" s="1707"/>
      <c r="G503" s="1711"/>
      <c r="H503" s="1712"/>
      <c r="I503" s="1712"/>
      <c r="J503" s="1713"/>
      <c r="K503" s="1711"/>
      <c r="L503" s="1712"/>
      <c r="M503" s="1712"/>
      <c r="N503" s="1713"/>
      <c r="O503" s="1711"/>
      <c r="P503" s="1713"/>
      <c r="Q503" s="1714">
        <f t="shared" si="137">G503*O503</f>
        <v>0</v>
      </c>
      <c r="R503" s="1715"/>
      <c r="S503" s="1715"/>
      <c r="T503" s="1720"/>
      <c r="U503" s="1714">
        <f t="shared" si="138">K503*O503</f>
        <v>0</v>
      </c>
      <c r="V503" s="1715"/>
      <c r="W503" s="1715"/>
      <c r="X503" s="1720"/>
      <c r="Y503" s="1725"/>
      <c r="Z503" s="1726"/>
      <c r="AA503" s="1727">
        <f t="shared" si="147" ref="AA503:AA508">IF(Y503="",U503,Q503*Y503/100)</f>
        <v>0</v>
      </c>
      <c r="AB503" s="1728"/>
      <c r="AC503" s="1728"/>
      <c r="AD503" s="1729"/>
      <c r="AE503" s="1714">
        <f t="shared" si="148" ref="AE503:AE508">IF(AA503=0,U503,IF(U503&gt;(VALUE(AA503)),VALUE(AA503),U503))</f>
        <v>0</v>
      </c>
      <c r="AF503" s="1715"/>
      <c r="AG503" s="1715"/>
      <c r="AH503" s="1716"/>
      <c r="AI503" s="913"/>
      <c r="AK503" s="303"/>
      <c r="AN503" s="303"/>
      <c r="AO503" s="303"/>
      <c r="AP503" s="303"/>
      <c r="AQ503" s="303"/>
    </row>
    <row r="504" spans="1:43">
      <c r="A504" s="306">
        <v>12</v>
      </c>
      <c r="B504" s="1708"/>
      <c r="C504" s="1709"/>
      <c r="D504" s="1710"/>
      <c r="E504" s="1706"/>
      <c r="F504" s="1707"/>
      <c r="G504" s="1711"/>
      <c r="H504" s="1712"/>
      <c r="I504" s="1712"/>
      <c r="J504" s="1713"/>
      <c r="K504" s="1711"/>
      <c r="L504" s="1712"/>
      <c r="M504" s="1712"/>
      <c r="N504" s="1713"/>
      <c r="O504" s="1711"/>
      <c r="P504" s="1713"/>
      <c r="Q504" s="1714">
        <f t="shared" si="137">G504*O504</f>
        <v>0</v>
      </c>
      <c r="R504" s="1715"/>
      <c r="S504" s="1715"/>
      <c r="T504" s="1720"/>
      <c r="U504" s="1714">
        <f t="shared" si="138">K504*O504</f>
        <v>0</v>
      </c>
      <c r="V504" s="1715"/>
      <c r="W504" s="1715"/>
      <c r="X504" s="1720"/>
      <c r="Y504" s="1725"/>
      <c r="Z504" s="1726"/>
      <c r="AA504" s="1727">
        <f t="shared" si="147">IF(Y504="",U504,Q504*Y504/100)</f>
        <v>0</v>
      </c>
      <c r="AB504" s="1728"/>
      <c r="AC504" s="1728"/>
      <c r="AD504" s="1729"/>
      <c r="AE504" s="1714">
        <f t="shared" si="148">IF(AA504=0,U504,IF(U504&gt;(VALUE(AA504)),VALUE(AA504),U504))</f>
        <v>0</v>
      </c>
      <c r="AF504" s="1715"/>
      <c r="AG504" s="1715"/>
      <c r="AH504" s="1716"/>
      <c r="AI504" s="913"/>
      <c r="AK504" s="303"/>
      <c r="AN504" s="303"/>
      <c r="AO504" s="303"/>
      <c r="AP504" s="303"/>
      <c r="AQ504" s="303"/>
    </row>
    <row r="505" spans="1:43">
      <c r="A505" s="305">
        <v>13</v>
      </c>
      <c r="B505" s="1708"/>
      <c r="C505" s="1709"/>
      <c r="D505" s="1710"/>
      <c r="E505" s="1706"/>
      <c r="F505" s="1707"/>
      <c r="G505" s="1711"/>
      <c r="H505" s="1712"/>
      <c r="I505" s="1712"/>
      <c r="J505" s="1713"/>
      <c r="K505" s="1711"/>
      <c r="L505" s="1712"/>
      <c r="M505" s="1712"/>
      <c r="N505" s="1713"/>
      <c r="O505" s="1711"/>
      <c r="P505" s="1713"/>
      <c r="Q505" s="1714">
        <f t="shared" si="137">G505*O505</f>
        <v>0</v>
      </c>
      <c r="R505" s="1715"/>
      <c r="S505" s="1715"/>
      <c r="T505" s="1720"/>
      <c r="U505" s="1714">
        <f t="shared" si="138">K505*O505</f>
        <v>0</v>
      </c>
      <c r="V505" s="1715"/>
      <c r="W505" s="1715"/>
      <c r="X505" s="1720"/>
      <c r="Y505" s="1725"/>
      <c r="Z505" s="1726"/>
      <c r="AA505" s="1727">
        <f t="shared" si="147">IF(Y505="",U505,Q505*Y505/100)</f>
        <v>0</v>
      </c>
      <c r="AB505" s="1728"/>
      <c r="AC505" s="1728"/>
      <c r="AD505" s="1729"/>
      <c r="AE505" s="1714">
        <f t="shared" si="148">IF(AA505=0,U505,IF(U505&gt;(VALUE(AA505)),VALUE(AA505),U505))</f>
        <v>0</v>
      </c>
      <c r="AF505" s="1715"/>
      <c r="AG505" s="1715"/>
      <c r="AH505" s="1716"/>
      <c r="AI505" s="913"/>
      <c r="AK505" s="303"/>
      <c r="AN505" s="303"/>
      <c r="AO505" s="303"/>
      <c r="AP505" s="303"/>
      <c r="AQ505" s="303"/>
    </row>
    <row r="506" spans="1:43">
      <c r="A506" s="306">
        <v>14</v>
      </c>
      <c r="B506" s="1708"/>
      <c r="C506" s="1709"/>
      <c r="D506" s="1710"/>
      <c r="E506" s="1706"/>
      <c r="F506" s="1707"/>
      <c r="G506" s="1711"/>
      <c r="H506" s="1712"/>
      <c r="I506" s="1712"/>
      <c r="J506" s="1713"/>
      <c r="K506" s="1711"/>
      <c r="L506" s="1712"/>
      <c r="M506" s="1712"/>
      <c r="N506" s="1713"/>
      <c r="O506" s="1711"/>
      <c r="P506" s="1713"/>
      <c r="Q506" s="1714">
        <f t="shared" si="137">G506*O506</f>
        <v>0</v>
      </c>
      <c r="R506" s="1715"/>
      <c r="S506" s="1715"/>
      <c r="T506" s="1720"/>
      <c r="U506" s="1714">
        <f t="shared" si="138">K506*O506</f>
        <v>0</v>
      </c>
      <c r="V506" s="1715"/>
      <c r="W506" s="1715"/>
      <c r="X506" s="1720"/>
      <c r="Y506" s="1725"/>
      <c r="Z506" s="1726"/>
      <c r="AA506" s="1727">
        <f t="shared" si="147">IF(Y506="",U506,Q506*Y506/100)</f>
        <v>0</v>
      </c>
      <c r="AB506" s="1728"/>
      <c r="AC506" s="1728"/>
      <c r="AD506" s="1729"/>
      <c r="AE506" s="1714">
        <f t="shared" si="148">IF(AA506=0,U506,IF(U506&gt;(VALUE(AA506)),VALUE(AA506),U506))</f>
        <v>0</v>
      </c>
      <c r="AF506" s="1715"/>
      <c r="AG506" s="1715"/>
      <c r="AH506" s="1716"/>
      <c r="AI506" s="913"/>
      <c r="AK506" s="303"/>
      <c r="AN506" s="303"/>
      <c r="AO506" s="303"/>
      <c r="AP506" s="303"/>
      <c r="AQ506" s="303"/>
    </row>
    <row r="507" spans="1:43">
      <c r="A507" s="305">
        <v>15</v>
      </c>
      <c r="B507" s="1708"/>
      <c r="C507" s="1709"/>
      <c r="D507" s="1710"/>
      <c r="E507" s="1706"/>
      <c r="F507" s="1707"/>
      <c r="G507" s="1711"/>
      <c r="H507" s="1712"/>
      <c r="I507" s="1712"/>
      <c r="J507" s="1713"/>
      <c r="K507" s="1711"/>
      <c r="L507" s="1712"/>
      <c r="M507" s="1712"/>
      <c r="N507" s="1713"/>
      <c r="O507" s="1711"/>
      <c r="P507" s="1713"/>
      <c r="Q507" s="1714">
        <f t="shared" si="137">G507*O507</f>
        <v>0</v>
      </c>
      <c r="R507" s="1715"/>
      <c r="S507" s="1715"/>
      <c r="T507" s="1720"/>
      <c r="U507" s="1714">
        <f t="shared" si="138">K507*O507</f>
        <v>0</v>
      </c>
      <c r="V507" s="1715"/>
      <c r="W507" s="1715"/>
      <c r="X507" s="1720"/>
      <c r="Y507" s="1725"/>
      <c r="Z507" s="1726"/>
      <c r="AA507" s="1727">
        <f t="shared" si="147">IF(Y507="",U507,Q507*Y507/100)</f>
        <v>0</v>
      </c>
      <c r="AB507" s="1728"/>
      <c r="AC507" s="1728"/>
      <c r="AD507" s="1729"/>
      <c r="AE507" s="1714">
        <f t="shared" si="148">IF(AA507=0,U507,IF(U507&gt;(VALUE(AA507)),VALUE(AA507),U507))</f>
        <v>0</v>
      </c>
      <c r="AF507" s="1715"/>
      <c r="AG507" s="1715"/>
      <c r="AH507" s="1716"/>
      <c r="AI507" s="913"/>
      <c r="AK507" s="303"/>
      <c r="AN507" s="303"/>
      <c r="AO507" s="303"/>
      <c r="AP507" s="303"/>
      <c r="AQ507" s="303"/>
    </row>
    <row r="508" spans="1:43">
      <c r="A508" s="307" t="s">
        <v>504</v>
      </c>
      <c r="B508" s="1703"/>
      <c r="C508" s="1704"/>
      <c r="D508" s="1705"/>
      <c r="E508" s="1706"/>
      <c r="F508" s="1707"/>
      <c r="G508" s="1706"/>
      <c r="H508" s="1902"/>
      <c r="I508" s="1902"/>
      <c r="J508" s="1707"/>
      <c r="K508" s="1711"/>
      <c r="L508" s="1712"/>
      <c r="M508" s="1712"/>
      <c r="N508" s="1713"/>
      <c r="O508" s="1711"/>
      <c r="P508" s="1713"/>
      <c r="Q508" s="1714">
        <f t="shared" si="137">G508*O508</f>
        <v>0</v>
      </c>
      <c r="R508" s="1715"/>
      <c r="S508" s="1715"/>
      <c r="T508" s="1720"/>
      <c r="U508" s="1714">
        <f t="shared" si="138">K508*O508</f>
        <v>0</v>
      </c>
      <c r="V508" s="1715"/>
      <c r="W508" s="1715"/>
      <c r="X508" s="1720"/>
      <c r="Y508" s="1725"/>
      <c r="Z508" s="1726"/>
      <c r="AA508" s="1727">
        <f t="shared" si="147">IF(Y508="",U508,Q508*Y508/100)</f>
        <v>0</v>
      </c>
      <c r="AB508" s="1728"/>
      <c r="AC508" s="1728"/>
      <c r="AD508" s="1729"/>
      <c r="AE508" s="1714">
        <f t="shared" si="148">IF(AA508=0,U508,IF(U508&gt;(VALUE(AA508)),VALUE(AA508),U508))</f>
        <v>0</v>
      </c>
      <c r="AF508" s="1715"/>
      <c r="AG508" s="1715"/>
      <c r="AH508" s="1716"/>
      <c r="AI508" s="913"/>
      <c r="AK508" s="303"/>
      <c r="AN508" s="303"/>
      <c r="AO508" s="303"/>
      <c r="AP508" s="303"/>
      <c r="AQ508" s="303"/>
    </row>
    <row r="509" spans="1:43" ht="13.5" customHeight="1" thickBot="1">
      <c r="A509" s="920"/>
      <c r="B509" s="921"/>
      <c r="C509" s="922"/>
      <c r="D509" s="923"/>
      <c r="E509" s="921"/>
      <c r="F509" s="923"/>
      <c r="G509" s="921"/>
      <c r="H509" s="922"/>
      <c r="I509" s="922"/>
      <c r="J509" s="923"/>
      <c r="K509" s="921"/>
      <c r="L509" s="922"/>
      <c r="M509" s="922"/>
      <c r="N509" s="923"/>
      <c r="O509" s="921"/>
      <c r="P509" s="923"/>
      <c r="Q509" s="925"/>
      <c r="R509" s="926"/>
      <c r="S509" s="926"/>
      <c r="T509" s="927"/>
      <c r="U509" s="925"/>
      <c r="V509" s="926"/>
      <c r="W509" s="926"/>
      <c r="X509" s="927"/>
      <c r="Y509" s="921"/>
      <c r="Z509" s="923"/>
      <c r="AA509" s="921"/>
      <c r="AB509" s="922"/>
      <c r="AC509" s="922"/>
      <c r="AD509" s="923"/>
      <c r="AE509" s="921"/>
      <c r="AF509" s="922"/>
      <c r="AG509" s="922"/>
      <c r="AH509" s="1263"/>
      <c r="AI509" s="913"/>
      <c r="AK509" s="303"/>
      <c r="AN509" s="303"/>
      <c r="AO509" s="303"/>
      <c r="AP509" s="303"/>
      <c r="AQ509" s="303"/>
    </row>
    <row r="510" spans="1:43" ht="13.5" customHeight="1" thickTop="1" thickBot="1">
      <c r="A510" s="913"/>
      <c r="B510" s="913"/>
      <c r="C510" s="913"/>
      <c r="D510" s="913"/>
      <c r="E510" s="913"/>
      <c r="F510" s="913"/>
      <c r="G510" s="913"/>
      <c r="H510" s="913"/>
      <c r="I510" s="913"/>
      <c r="J510" s="913"/>
      <c r="K510" s="913"/>
      <c r="L510" s="913"/>
      <c r="M510" s="913"/>
      <c r="N510" s="913"/>
      <c r="O510" s="913"/>
      <c r="P510" s="913"/>
      <c r="Q510" s="924"/>
      <c r="R510" s="924"/>
      <c r="S510" s="924"/>
      <c r="T510" s="924"/>
      <c r="U510" s="924"/>
      <c r="V510" s="924"/>
      <c r="W510" s="924"/>
      <c r="X510" s="924"/>
      <c r="Y510" s="913"/>
      <c r="Z510" s="913"/>
      <c r="AA510" s="913"/>
      <c r="AB510" s="913"/>
      <c r="AC510" s="913"/>
      <c r="AD510" s="913"/>
      <c r="AE510" s="913"/>
      <c r="AF510" s="913"/>
      <c r="AG510" s="913"/>
      <c r="AH510" s="913"/>
      <c r="AI510" s="913"/>
      <c r="AK510" s="303"/>
      <c r="AN510" s="303"/>
      <c r="AO510" s="303"/>
      <c r="AP510" s="303"/>
      <c r="AQ510" s="303"/>
    </row>
    <row r="511" spans="1:43" ht="14.25" customHeight="1" thickTop="1" thickBot="1">
      <c r="A511" s="913"/>
      <c r="B511" s="914" t="s">
        <v>347</v>
      </c>
      <c r="C511" s="913"/>
      <c r="D511" s="913"/>
      <c r="E511" s="913"/>
      <c r="F511" s="913"/>
      <c r="G511" s="1836">
        <f>+SUM(G493:J509)</f>
        <v>0</v>
      </c>
      <c r="H511" s="1837"/>
      <c r="I511" s="1837"/>
      <c r="J511" s="1838"/>
      <c r="K511" s="1836">
        <f>+SUM(K493:N509)</f>
        <v>0</v>
      </c>
      <c r="L511" s="1837"/>
      <c r="M511" s="1837"/>
      <c r="N511" s="1838"/>
      <c r="O511" s="924"/>
      <c r="P511" s="924"/>
      <c r="Q511" s="1736">
        <f>+SUM(Q493:T509)</f>
        <v>0</v>
      </c>
      <c r="R511" s="1737"/>
      <c r="S511" s="1737"/>
      <c r="T511" s="1738"/>
      <c r="U511" s="1736">
        <f>+SUM(U493:X509)</f>
        <v>0</v>
      </c>
      <c r="V511" s="1737"/>
      <c r="W511" s="1737"/>
      <c r="X511" s="1738"/>
      <c r="Y511" s="913"/>
      <c r="Z511" s="913"/>
      <c r="AA511" s="1733">
        <f>SUM(AA493:AD509)</f>
        <v>0</v>
      </c>
      <c r="AB511" s="1734"/>
      <c r="AC511" s="1734"/>
      <c r="AD511" s="1735"/>
      <c r="AE511" s="1736">
        <f>+SUM(AE493:AH509)</f>
        <v>0</v>
      </c>
      <c r="AF511" s="1737"/>
      <c r="AG511" s="1737"/>
      <c r="AH511" s="1738"/>
      <c r="AI511" s="913"/>
      <c r="AK511" s="303"/>
      <c r="AN511" s="303"/>
      <c r="AO511" s="303"/>
      <c r="AP511" s="303"/>
      <c r="AQ511" s="303"/>
    </row>
    <row r="512" spans="1:43" ht="13.5" collapsed="1" customHeight="1" thickTop="1">
      <c r="A512" s="913"/>
      <c r="B512" s="913"/>
      <c r="C512" s="913"/>
      <c r="D512" s="913"/>
      <c r="E512" s="913"/>
      <c r="F512" s="913"/>
      <c r="G512" s="913"/>
      <c r="H512" s="913"/>
      <c r="I512" s="913"/>
      <c r="J512" s="913"/>
      <c r="K512" s="913"/>
      <c r="L512" s="913"/>
      <c r="M512" s="913"/>
      <c r="N512" s="913"/>
      <c r="O512" s="913"/>
      <c r="P512" s="913"/>
      <c r="Q512" s="924"/>
      <c r="R512" s="924"/>
      <c r="S512" s="924"/>
      <c r="T512" s="924"/>
      <c r="U512" s="924"/>
      <c r="V512" s="924"/>
      <c r="W512" s="924"/>
      <c r="X512" s="924"/>
      <c r="Y512" s="924"/>
      <c r="Z512" s="924"/>
      <c r="AA512" s="924"/>
      <c r="AB512" s="924"/>
      <c r="AC512" s="924"/>
      <c r="AD512" s="924"/>
      <c r="AE512" s="913"/>
      <c r="AF512" s="913"/>
      <c r="AG512" s="913"/>
      <c r="AH512" s="913"/>
      <c r="AI512" s="913"/>
      <c r="AK512" s="303"/>
      <c r="AN512" s="303"/>
      <c r="AO512" s="303"/>
      <c r="AP512" s="303"/>
      <c r="AQ512" s="303"/>
    </row>
    <row r="513" spans="1:43" ht="13.5" customHeight="1">
      <c r="A513" s="913"/>
      <c r="B513" s="914" t="s">
        <v>311</v>
      </c>
      <c r="C513" s="914" t="s">
        <v>506</v>
      </c>
      <c r="D513" s="913"/>
      <c r="E513" s="913"/>
      <c r="F513" s="913"/>
      <c r="G513" s="913"/>
      <c r="H513" s="913"/>
      <c r="I513" s="913"/>
      <c r="J513" s="913"/>
      <c r="K513" s="913"/>
      <c r="L513" s="913"/>
      <c r="M513" s="913"/>
      <c r="N513" s="913"/>
      <c r="O513" s="913"/>
      <c r="P513" s="913"/>
      <c r="Q513" s="913"/>
      <c r="R513" s="913"/>
      <c r="S513" s="913"/>
      <c r="T513" s="913"/>
      <c r="U513" s="913"/>
      <c r="V513" s="913"/>
      <c r="W513" s="913"/>
      <c r="X513" s="913"/>
      <c r="Y513" s="913"/>
      <c r="Z513" s="913"/>
      <c r="AA513" s="913"/>
      <c r="AB513" s="913"/>
      <c r="AC513" s="913"/>
      <c r="AD513" s="913"/>
      <c r="AE513" s="913"/>
      <c r="AF513" s="913"/>
      <c r="AG513" s="913"/>
      <c r="AH513" s="913"/>
      <c r="AI513" s="913"/>
      <c r="AK513" s="303"/>
      <c r="AN513" s="303"/>
      <c r="AO513" s="303"/>
      <c r="AP513" s="303"/>
      <c r="AQ513" s="303"/>
    </row>
    <row r="514" spans="1:43" ht="13.5" customHeight="1" thickBot="1">
      <c r="A514" s="913"/>
      <c r="B514" s="913"/>
      <c r="C514" s="913"/>
      <c r="D514" s="913"/>
      <c r="E514" s="913"/>
      <c r="F514" s="913"/>
      <c r="G514" s="913"/>
      <c r="H514" s="913"/>
      <c r="I514" s="913"/>
      <c r="J514" s="913"/>
      <c r="K514" s="913"/>
      <c r="L514" s="913"/>
      <c r="M514" s="1963"/>
      <c r="N514" s="1865"/>
      <c r="O514" s="1865"/>
      <c r="P514" s="1865"/>
      <c r="Q514" s="1865"/>
      <c r="R514" s="1865"/>
      <c r="S514" s="1865"/>
      <c r="T514" s="1865"/>
      <c r="U514" s="1865"/>
      <c r="V514" s="1865"/>
      <c r="W514" s="1865"/>
      <c r="X514" s="1865"/>
      <c r="Y514" s="913"/>
      <c r="Z514" s="913"/>
      <c r="AA514" s="913"/>
      <c r="AB514" s="913"/>
      <c r="AC514" s="913"/>
      <c r="AD514" s="913"/>
      <c r="AE514" s="913"/>
      <c r="AF514" s="913"/>
      <c r="AG514" s="913"/>
      <c r="AH514" s="913"/>
      <c r="AI514" s="913"/>
      <c r="AK514" s="303"/>
      <c r="AN514" s="303"/>
      <c r="AO514" s="303"/>
      <c r="AP514" s="303"/>
      <c r="AQ514" s="303"/>
    </row>
    <row r="515" spans="1:43" ht="14.25" customHeight="1" thickTop="1" thickBot="1">
      <c r="A515" s="1936" t="s">
        <v>321</v>
      </c>
      <c r="B515" s="1739" t="s">
        <v>495</v>
      </c>
      <c r="C515" s="1958"/>
      <c r="D515" s="1959"/>
      <c r="E515" s="1739" t="s">
        <v>496</v>
      </c>
      <c r="F515" s="1745"/>
      <c r="G515" s="1954" t="s">
        <v>497</v>
      </c>
      <c r="H515" s="1955"/>
      <c r="I515" s="1955"/>
      <c r="J515" s="1955"/>
      <c r="K515" s="1955"/>
      <c r="L515" s="1955"/>
      <c r="M515" s="1955"/>
      <c r="N515" s="1956"/>
      <c r="O515" s="1739" t="s">
        <v>498</v>
      </c>
      <c r="P515" s="1745"/>
      <c r="Q515" s="1954" t="s">
        <v>499</v>
      </c>
      <c r="R515" s="1955"/>
      <c r="S515" s="1955"/>
      <c r="T515" s="1955"/>
      <c r="U515" s="1955"/>
      <c r="V515" s="1955"/>
      <c r="W515" s="1955"/>
      <c r="X515" s="1956"/>
      <c r="Y515" s="1739" t="s">
        <v>500</v>
      </c>
      <c r="Z515" s="1745"/>
      <c r="AA515" s="1739" t="s">
        <v>1310</v>
      </c>
      <c r="AB515" s="1740"/>
      <c r="AC515" s="1740"/>
      <c r="AD515" s="1745"/>
      <c r="AE515" s="1739" t="s">
        <v>501</v>
      </c>
      <c r="AF515" s="1740"/>
      <c r="AG515" s="1740"/>
      <c r="AH515" s="1741"/>
      <c r="AI515" s="913"/>
      <c r="AK515" s="303"/>
      <c r="AN515" s="303"/>
      <c r="AO515" s="303"/>
      <c r="AP515" s="303"/>
      <c r="AQ515" s="303"/>
    </row>
    <row r="516" spans="1:43" ht="14.25" customHeight="1" thickTop="1" thickBot="1">
      <c r="A516" s="1957"/>
      <c r="B516" s="1960"/>
      <c r="C516" s="1961"/>
      <c r="D516" s="1962"/>
      <c r="E516" s="1746"/>
      <c r="F516" s="1747"/>
      <c r="G516" s="1954" t="s">
        <v>502</v>
      </c>
      <c r="H516" s="1955"/>
      <c r="I516" s="1955"/>
      <c r="J516" s="1956"/>
      <c r="K516" s="1954" t="s">
        <v>503</v>
      </c>
      <c r="L516" s="1955"/>
      <c r="M516" s="1955"/>
      <c r="N516" s="1956"/>
      <c r="O516" s="1746"/>
      <c r="P516" s="1747"/>
      <c r="Q516" s="1954" t="s">
        <v>502</v>
      </c>
      <c r="R516" s="1955"/>
      <c r="S516" s="1955"/>
      <c r="T516" s="1956"/>
      <c r="U516" s="1954" t="s">
        <v>503</v>
      </c>
      <c r="V516" s="1955"/>
      <c r="W516" s="1955"/>
      <c r="X516" s="1956"/>
      <c r="Y516" s="1746"/>
      <c r="Z516" s="1747"/>
      <c r="AA516" s="1742"/>
      <c r="AB516" s="1743"/>
      <c r="AC516" s="1743"/>
      <c r="AD516" s="1748"/>
      <c r="AE516" s="1742"/>
      <c r="AF516" s="1743"/>
      <c r="AG516" s="1743"/>
      <c r="AH516" s="1744"/>
      <c r="AI516" s="913"/>
      <c r="AK516" s="303"/>
      <c r="AN516" s="303"/>
      <c r="AO516" s="303"/>
      <c r="AP516" s="303"/>
      <c r="AQ516" s="303"/>
    </row>
    <row r="517" spans="1:43" ht="13.5" customHeight="1" thickTop="1">
      <c r="A517" s="916"/>
      <c r="B517" s="917"/>
      <c r="C517" s="918"/>
      <c r="D517" s="919"/>
      <c r="E517" s="917"/>
      <c r="F517" s="919"/>
      <c r="G517" s="917"/>
      <c r="H517" s="918"/>
      <c r="I517" s="918"/>
      <c r="J517" s="919"/>
      <c r="K517" s="917"/>
      <c r="L517" s="918"/>
      <c r="M517" s="918"/>
      <c r="N517" s="919"/>
      <c r="O517" s="917"/>
      <c r="P517" s="919"/>
      <c r="Q517" s="917"/>
      <c r="R517" s="918"/>
      <c r="S517" s="918"/>
      <c r="T517" s="919"/>
      <c r="U517" s="917"/>
      <c r="V517" s="918"/>
      <c r="W517" s="918"/>
      <c r="X517" s="919"/>
      <c r="Y517" s="918"/>
      <c r="Z517" s="919"/>
      <c r="AA517" s="918"/>
      <c r="AB517" s="918"/>
      <c r="AC517" s="918"/>
      <c r="AD517" s="919"/>
      <c r="AE517" s="917"/>
      <c r="AF517" s="918"/>
      <c r="AG517" s="918"/>
      <c r="AH517" s="1262"/>
      <c r="AI517" s="913"/>
      <c r="AK517" s="303"/>
      <c r="AN517" s="303"/>
      <c r="AO517" s="303"/>
      <c r="AP517" s="303"/>
      <c r="AQ517" s="303"/>
    </row>
    <row r="518" spans="1:43">
      <c r="A518" s="305">
        <v>1</v>
      </c>
      <c r="B518" s="1708"/>
      <c r="C518" s="1709"/>
      <c r="D518" s="1710"/>
      <c r="E518" s="1706"/>
      <c r="F518" s="1707"/>
      <c r="G518" s="1711"/>
      <c r="H518" s="1712"/>
      <c r="I518" s="1712"/>
      <c r="J518" s="1713"/>
      <c r="K518" s="1711"/>
      <c r="L518" s="1712"/>
      <c r="M518" s="1712"/>
      <c r="N518" s="1713"/>
      <c r="O518" s="1711"/>
      <c r="P518" s="1713"/>
      <c r="Q518" s="1714">
        <f t="shared" si="149" ref="Q518:Q533">G518*O518</f>
        <v>0</v>
      </c>
      <c r="R518" s="1715"/>
      <c r="S518" s="1715"/>
      <c r="T518" s="1720"/>
      <c r="U518" s="1714">
        <f t="shared" si="150" ref="U518:U533">K518*O518</f>
        <v>0</v>
      </c>
      <c r="V518" s="1715"/>
      <c r="W518" s="1715"/>
      <c r="X518" s="1720"/>
      <c r="Y518" s="1725"/>
      <c r="Z518" s="1726"/>
      <c r="AA518" s="1727">
        <f>IF(Y518="",U518,Q518*Y518/100)</f>
        <v>0</v>
      </c>
      <c r="AB518" s="1728"/>
      <c r="AC518" s="1728"/>
      <c r="AD518" s="1729"/>
      <c r="AE518" s="1714">
        <f>IF(AA518=0,U518,IF(U518&gt;(VALUE(AA518)),VALUE(AA518),U518))</f>
        <v>0</v>
      </c>
      <c r="AF518" s="1715"/>
      <c r="AG518" s="1715"/>
      <c r="AH518" s="1716"/>
      <c r="AI518" s="913"/>
      <c r="AK518" s="303"/>
      <c r="AN518" s="303"/>
      <c r="AO518" s="303"/>
      <c r="AP518" s="303"/>
      <c r="AQ518" s="303"/>
    </row>
    <row r="519" spans="1:43">
      <c r="A519" s="306">
        <v>2</v>
      </c>
      <c r="B519" s="1708"/>
      <c r="C519" s="1709"/>
      <c r="D519" s="1710"/>
      <c r="E519" s="1706"/>
      <c r="F519" s="1707"/>
      <c r="G519" s="1711"/>
      <c r="H519" s="1712"/>
      <c r="I519" s="1712"/>
      <c r="J519" s="1713"/>
      <c r="K519" s="1711"/>
      <c r="L519" s="1712"/>
      <c r="M519" s="1712"/>
      <c r="N519" s="1713"/>
      <c r="O519" s="1711"/>
      <c r="P519" s="1713"/>
      <c r="Q519" s="1714">
        <f t="shared" si="149">G519*O519</f>
        <v>0</v>
      </c>
      <c r="R519" s="1715"/>
      <c r="S519" s="1715"/>
      <c r="T519" s="1720"/>
      <c r="U519" s="1714">
        <f t="shared" si="150">K519*O519</f>
        <v>0</v>
      </c>
      <c r="V519" s="1715"/>
      <c r="W519" s="1715"/>
      <c r="X519" s="1720"/>
      <c r="Y519" s="1725"/>
      <c r="Z519" s="1726"/>
      <c r="AA519" s="1727">
        <f t="shared" si="151" ref="AA519:AA533">IF(Y519="",U519,Q519*Y519/100)</f>
        <v>0</v>
      </c>
      <c r="AB519" s="1728"/>
      <c r="AC519" s="1728"/>
      <c r="AD519" s="1729"/>
      <c r="AE519" s="1714">
        <f t="shared" si="152" ref="AE519:AE533">IF(AA519=0,U519,IF(U519&gt;(VALUE(AA519)),VALUE(AA519),U519))</f>
        <v>0</v>
      </c>
      <c r="AF519" s="1715"/>
      <c r="AG519" s="1715"/>
      <c r="AH519" s="1716"/>
      <c r="AI519" s="913"/>
      <c r="AK519" s="303"/>
      <c r="AN519" s="303"/>
      <c r="AO519" s="303"/>
      <c r="AP519" s="303"/>
      <c r="AQ519" s="303"/>
    </row>
    <row r="520" spans="1:43">
      <c r="A520" s="305">
        <v>3</v>
      </c>
      <c r="B520" s="1708"/>
      <c r="C520" s="1709"/>
      <c r="D520" s="1710"/>
      <c r="E520" s="1706"/>
      <c r="F520" s="1707"/>
      <c r="G520" s="1711"/>
      <c r="H520" s="1712"/>
      <c r="I520" s="1712"/>
      <c r="J520" s="1713"/>
      <c r="K520" s="1711"/>
      <c r="L520" s="1712"/>
      <c r="M520" s="1712"/>
      <c r="N520" s="1713"/>
      <c r="O520" s="1711"/>
      <c r="P520" s="1713"/>
      <c r="Q520" s="1714">
        <f t="shared" si="149">G520*O520</f>
        <v>0</v>
      </c>
      <c r="R520" s="1715"/>
      <c r="S520" s="1715"/>
      <c r="T520" s="1720"/>
      <c r="U520" s="1714">
        <f t="shared" si="150">K520*O520</f>
        <v>0</v>
      </c>
      <c r="V520" s="1715"/>
      <c r="W520" s="1715"/>
      <c r="X520" s="1720"/>
      <c r="Y520" s="1725"/>
      <c r="Z520" s="1726"/>
      <c r="AA520" s="1727">
        <f t="shared" si="151">IF(Y520="",U520,Q520*Y520/100)</f>
        <v>0</v>
      </c>
      <c r="AB520" s="1728"/>
      <c r="AC520" s="1728"/>
      <c r="AD520" s="1729"/>
      <c r="AE520" s="1714">
        <f t="shared" si="152">IF(AA520=0,U520,IF(U520&gt;(VALUE(AA520)),VALUE(AA520),U520))</f>
        <v>0</v>
      </c>
      <c r="AF520" s="1715"/>
      <c r="AG520" s="1715"/>
      <c r="AH520" s="1716"/>
      <c r="AI520" s="913"/>
      <c r="AK520" s="303"/>
      <c r="AN520" s="303"/>
      <c r="AO520" s="303"/>
      <c r="AP520" s="303"/>
      <c r="AQ520" s="303"/>
    </row>
    <row r="521" spans="1:43">
      <c r="A521" s="306">
        <v>4</v>
      </c>
      <c r="B521" s="1708"/>
      <c r="C521" s="1709"/>
      <c r="D521" s="1710"/>
      <c r="E521" s="1706"/>
      <c r="F521" s="1707"/>
      <c r="G521" s="1711"/>
      <c r="H521" s="1712"/>
      <c r="I521" s="1712"/>
      <c r="J521" s="1713"/>
      <c r="K521" s="1711"/>
      <c r="L521" s="1712"/>
      <c r="M521" s="1712"/>
      <c r="N521" s="1713"/>
      <c r="O521" s="1711"/>
      <c r="P521" s="1713"/>
      <c r="Q521" s="1714">
        <f t="shared" si="149">G521*O521</f>
        <v>0</v>
      </c>
      <c r="R521" s="1715"/>
      <c r="S521" s="1715"/>
      <c r="T521" s="1720"/>
      <c r="U521" s="1714">
        <f t="shared" si="150">K521*O521</f>
        <v>0</v>
      </c>
      <c r="V521" s="1715"/>
      <c r="W521" s="1715"/>
      <c r="X521" s="1720"/>
      <c r="Y521" s="1725"/>
      <c r="Z521" s="1726"/>
      <c r="AA521" s="1727">
        <f t="shared" si="151">IF(Y521="",U521,Q521*Y521/100)</f>
        <v>0</v>
      </c>
      <c r="AB521" s="1728"/>
      <c r="AC521" s="1728"/>
      <c r="AD521" s="1729"/>
      <c r="AE521" s="1714">
        <f t="shared" si="152">IF(AA521=0,U521,IF(U521&gt;(VALUE(AA521)),VALUE(AA521),U521))</f>
        <v>0</v>
      </c>
      <c r="AF521" s="1715"/>
      <c r="AG521" s="1715"/>
      <c r="AH521" s="1716"/>
      <c r="AI521" s="913"/>
      <c r="AK521" s="303"/>
      <c r="AN521" s="303"/>
      <c r="AO521" s="303"/>
      <c r="AP521" s="303"/>
      <c r="AQ521" s="303"/>
    </row>
    <row r="522" spans="1:43">
      <c r="A522" s="305">
        <v>5</v>
      </c>
      <c r="B522" s="1708"/>
      <c r="C522" s="1709"/>
      <c r="D522" s="1710"/>
      <c r="E522" s="1706"/>
      <c r="F522" s="1707"/>
      <c r="G522" s="1711"/>
      <c r="H522" s="1712"/>
      <c r="I522" s="1712"/>
      <c r="J522" s="1713"/>
      <c r="K522" s="1711"/>
      <c r="L522" s="1712"/>
      <c r="M522" s="1712"/>
      <c r="N522" s="1713"/>
      <c r="O522" s="1711"/>
      <c r="P522" s="1713"/>
      <c r="Q522" s="1714">
        <f t="shared" si="149">G522*O522</f>
        <v>0</v>
      </c>
      <c r="R522" s="1715"/>
      <c r="S522" s="1715"/>
      <c r="T522" s="1720"/>
      <c r="U522" s="1714">
        <f t="shared" si="150">K522*O522</f>
        <v>0</v>
      </c>
      <c r="V522" s="1715"/>
      <c r="W522" s="1715"/>
      <c r="X522" s="1720"/>
      <c r="Y522" s="1725"/>
      <c r="Z522" s="1726"/>
      <c r="AA522" s="1727">
        <f t="shared" si="151">IF(Y522="",U522,Q522*Y522/100)</f>
        <v>0</v>
      </c>
      <c r="AB522" s="1728"/>
      <c r="AC522" s="1728"/>
      <c r="AD522" s="1729"/>
      <c r="AE522" s="1714">
        <f t="shared" si="152">IF(AA522=0,U522,IF(U522&gt;(VALUE(AA522)),VALUE(AA522),U522))</f>
        <v>0</v>
      </c>
      <c r="AF522" s="1715"/>
      <c r="AG522" s="1715"/>
      <c r="AH522" s="1716"/>
      <c r="AI522" s="913"/>
      <c r="AK522" s="303"/>
      <c r="AN522" s="303"/>
      <c r="AO522" s="303"/>
      <c r="AP522" s="303"/>
      <c r="AQ522" s="303"/>
    </row>
    <row r="523" spans="1:43">
      <c r="A523" s="306">
        <v>6</v>
      </c>
      <c r="B523" s="1708"/>
      <c r="C523" s="1709"/>
      <c r="D523" s="1710"/>
      <c r="E523" s="1706"/>
      <c r="F523" s="1707"/>
      <c r="G523" s="1711"/>
      <c r="H523" s="1712"/>
      <c r="I523" s="1712"/>
      <c r="J523" s="1713"/>
      <c r="K523" s="1711"/>
      <c r="L523" s="1712"/>
      <c r="M523" s="1712"/>
      <c r="N523" s="1713"/>
      <c r="O523" s="1711"/>
      <c r="P523" s="1713"/>
      <c r="Q523" s="1714">
        <f t="shared" si="149">G523*O523</f>
        <v>0</v>
      </c>
      <c r="R523" s="1715"/>
      <c r="S523" s="1715"/>
      <c r="T523" s="1720"/>
      <c r="U523" s="1714">
        <f t="shared" si="150">K523*O523</f>
        <v>0</v>
      </c>
      <c r="V523" s="1715"/>
      <c r="W523" s="1715"/>
      <c r="X523" s="1720"/>
      <c r="Y523" s="1725"/>
      <c r="Z523" s="1726"/>
      <c r="AA523" s="1727">
        <f t="shared" si="151">IF(Y523="",U523,Q523*Y523/100)</f>
        <v>0</v>
      </c>
      <c r="AB523" s="1728"/>
      <c r="AC523" s="1728"/>
      <c r="AD523" s="1729"/>
      <c r="AE523" s="1714">
        <f t="shared" si="152">IF(AA523=0,U523,IF(U523&gt;(VALUE(AA523)),VALUE(AA523),U523))</f>
        <v>0</v>
      </c>
      <c r="AF523" s="1715"/>
      <c r="AG523" s="1715"/>
      <c r="AH523" s="1716"/>
      <c r="AI523" s="913"/>
      <c r="AK523" s="303"/>
      <c r="AN523" s="303"/>
      <c r="AO523" s="303"/>
      <c r="AP523" s="303"/>
      <c r="AQ523" s="303"/>
    </row>
    <row r="524" spans="1:43">
      <c r="A524" s="305">
        <v>7</v>
      </c>
      <c r="B524" s="1708"/>
      <c r="C524" s="1709"/>
      <c r="D524" s="1710"/>
      <c r="E524" s="1706"/>
      <c r="F524" s="1707"/>
      <c r="G524" s="1711"/>
      <c r="H524" s="1712"/>
      <c r="I524" s="1712"/>
      <c r="J524" s="1713"/>
      <c r="K524" s="1711"/>
      <c r="L524" s="1712"/>
      <c r="M524" s="1712"/>
      <c r="N524" s="1713"/>
      <c r="O524" s="1711"/>
      <c r="P524" s="1713"/>
      <c r="Q524" s="1714">
        <f t="shared" si="149">G524*O524</f>
        <v>0</v>
      </c>
      <c r="R524" s="1715"/>
      <c r="S524" s="1715"/>
      <c r="T524" s="1720"/>
      <c r="U524" s="1714">
        <f t="shared" si="150">K524*O524</f>
        <v>0</v>
      </c>
      <c r="V524" s="1715"/>
      <c r="W524" s="1715"/>
      <c r="X524" s="1720"/>
      <c r="Y524" s="1725"/>
      <c r="Z524" s="1726"/>
      <c r="AA524" s="1727">
        <f t="shared" si="151">IF(Y524="",U524,Q524*Y524/100)</f>
        <v>0</v>
      </c>
      <c r="AB524" s="1728"/>
      <c r="AC524" s="1728"/>
      <c r="AD524" s="1729"/>
      <c r="AE524" s="1714">
        <f t="shared" si="152">IF(AA524=0,U524,IF(U524&gt;(VALUE(AA524)),VALUE(AA524),U524))</f>
        <v>0</v>
      </c>
      <c r="AF524" s="1715"/>
      <c r="AG524" s="1715"/>
      <c r="AH524" s="1716"/>
      <c r="AI524" s="913"/>
      <c r="AK524" s="303"/>
      <c r="AN524" s="303"/>
      <c r="AO524" s="303"/>
      <c r="AP524" s="303"/>
      <c r="AQ524" s="303"/>
    </row>
    <row r="525" spans="1:43">
      <c r="A525" s="306">
        <v>8</v>
      </c>
      <c r="B525" s="1708"/>
      <c r="C525" s="1709"/>
      <c r="D525" s="1710"/>
      <c r="E525" s="1706"/>
      <c r="F525" s="1707"/>
      <c r="G525" s="1711"/>
      <c r="H525" s="1712"/>
      <c r="I525" s="1712"/>
      <c r="J525" s="1713"/>
      <c r="K525" s="1711"/>
      <c r="L525" s="1712"/>
      <c r="M525" s="1712"/>
      <c r="N525" s="1713"/>
      <c r="O525" s="1711"/>
      <c r="P525" s="1713"/>
      <c r="Q525" s="1714">
        <f t="shared" si="149">G525*O525</f>
        <v>0</v>
      </c>
      <c r="R525" s="1715"/>
      <c r="S525" s="1715"/>
      <c r="T525" s="1720"/>
      <c r="U525" s="1714">
        <f t="shared" si="150">K525*O525</f>
        <v>0</v>
      </c>
      <c r="V525" s="1715"/>
      <c r="W525" s="1715"/>
      <c r="X525" s="1720"/>
      <c r="Y525" s="1725"/>
      <c r="Z525" s="1726"/>
      <c r="AA525" s="1727">
        <f t="shared" si="151">IF(Y525="",U525,Q525*Y525/100)</f>
        <v>0</v>
      </c>
      <c r="AB525" s="1728"/>
      <c r="AC525" s="1728"/>
      <c r="AD525" s="1729"/>
      <c r="AE525" s="1714">
        <f t="shared" si="152">IF(AA525=0,U525,IF(U525&gt;(VALUE(AA525)),VALUE(AA525),U525))</f>
        <v>0</v>
      </c>
      <c r="AF525" s="1715"/>
      <c r="AG525" s="1715"/>
      <c r="AH525" s="1716"/>
      <c r="AI525" s="913"/>
      <c r="AK525" s="303"/>
      <c r="AN525" s="303"/>
      <c r="AO525" s="303"/>
      <c r="AP525" s="303"/>
      <c r="AQ525" s="303"/>
    </row>
    <row r="526" spans="1:43">
      <c r="A526" s="305">
        <v>9</v>
      </c>
      <c r="B526" s="1708"/>
      <c r="C526" s="1709"/>
      <c r="D526" s="1710"/>
      <c r="E526" s="1706"/>
      <c r="F526" s="1707"/>
      <c r="G526" s="1711"/>
      <c r="H526" s="1712"/>
      <c r="I526" s="1712"/>
      <c r="J526" s="1713"/>
      <c r="K526" s="1711"/>
      <c r="L526" s="1712"/>
      <c r="M526" s="1712"/>
      <c r="N526" s="1713"/>
      <c r="O526" s="1711"/>
      <c r="P526" s="1713"/>
      <c r="Q526" s="1714">
        <f t="shared" si="149">G526*O526</f>
        <v>0</v>
      </c>
      <c r="R526" s="1715"/>
      <c r="S526" s="1715"/>
      <c r="T526" s="1720"/>
      <c r="U526" s="1714">
        <f t="shared" si="150">K526*O526</f>
        <v>0</v>
      </c>
      <c r="V526" s="1715"/>
      <c r="W526" s="1715"/>
      <c r="X526" s="1720"/>
      <c r="Y526" s="1725"/>
      <c r="Z526" s="1726"/>
      <c r="AA526" s="1727">
        <f t="shared" si="151">IF(Y526="",U526,Q526*Y526/100)</f>
        <v>0</v>
      </c>
      <c r="AB526" s="1728"/>
      <c r="AC526" s="1728"/>
      <c r="AD526" s="1729"/>
      <c r="AE526" s="1714">
        <f t="shared" si="152">IF(AA526=0,U526,IF(U526&gt;(VALUE(AA526)),VALUE(AA526),U526))</f>
        <v>0</v>
      </c>
      <c r="AF526" s="1715"/>
      <c r="AG526" s="1715"/>
      <c r="AH526" s="1716"/>
      <c r="AI526" s="913"/>
      <c r="AK526" s="303"/>
      <c r="AN526" s="303"/>
      <c r="AO526" s="303"/>
      <c r="AP526" s="303"/>
      <c r="AQ526" s="303"/>
    </row>
    <row r="527" spans="1:43">
      <c r="A527" s="306">
        <v>10</v>
      </c>
      <c r="B527" s="1708"/>
      <c r="C527" s="1709"/>
      <c r="D527" s="1710"/>
      <c r="E527" s="1706"/>
      <c r="F527" s="1707"/>
      <c r="G527" s="1711"/>
      <c r="H527" s="1712"/>
      <c r="I527" s="1712"/>
      <c r="J527" s="1713"/>
      <c r="K527" s="1711"/>
      <c r="L527" s="1712"/>
      <c r="M527" s="1712"/>
      <c r="N527" s="1713"/>
      <c r="O527" s="1711"/>
      <c r="P527" s="1713"/>
      <c r="Q527" s="1714">
        <f t="shared" si="149">G527*O527</f>
        <v>0</v>
      </c>
      <c r="R527" s="1715"/>
      <c r="S527" s="1715"/>
      <c r="T527" s="1720"/>
      <c r="U527" s="1714">
        <f t="shared" si="150">K527*O527</f>
        <v>0</v>
      </c>
      <c r="V527" s="1715"/>
      <c r="W527" s="1715"/>
      <c r="X527" s="1720"/>
      <c r="Y527" s="1725"/>
      <c r="Z527" s="1726"/>
      <c r="AA527" s="1727">
        <f t="shared" si="151">IF(Y527="",U527,Q527*Y527/100)</f>
        <v>0</v>
      </c>
      <c r="AB527" s="1728"/>
      <c r="AC527" s="1728"/>
      <c r="AD527" s="1729"/>
      <c r="AE527" s="1714">
        <f t="shared" si="152">IF(AA527=0,U527,IF(U527&gt;(VALUE(AA527)),VALUE(AA527),U527))</f>
        <v>0</v>
      </c>
      <c r="AF527" s="1715"/>
      <c r="AG527" s="1715"/>
      <c r="AH527" s="1716"/>
      <c r="AI527" s="913"/>
      <c r="AK527" s="303"/>
      <c r="AN527" s="303"/>
      <c r="AO527" s="303"/>
      <c r="AP527" s="303"/>
      <c r="AQ527" s="303"/>
    </row>
    <row r="528" spans="1:43">
      <c r="A528" s="305">
        <v>11</v>
      </c>
      <c r="B528" s="1708"/>
      <c r="C528" s="1709"/>
      <c r="D528" s="1710"/>
      <c r="E528" s="1706"/>
      <c r="F528" s="1707"/>
      <c r="G528" s="1711"/>
      <c r="H528" s="1712"/>
      <c r="I528" s="1712"/>
      <c r="J528" s="1713"/>
      <c r="K528" s="1711"/>
      <c r="L528" s="1712"/>
      <c r="M528" s="1712"/>
      <c r="N528" s="1713"/>
      <c r="O528" s="1711"/>
      <c r="P528" s="1713"/>
      <c r="Q528" s="1714">
        <f t="shared" si="149">G528*O528</f>
        <v>0</v>
      </c>
      <c r="R528" s="1715"/>
      <c r="S528" s="1715"/>
      <c r="T528" s="1720"/>
      <c r="U528" s="1714">
        <f t="shared" si="150">K528*O528</f>
        <v>0</v>
      </c>
      <c r="V528" s="1715"/>
      <c r="W528" s="1715"/>
      <c r="X528" s="1720"/>
      <c r="Y528" s="1725"/>
      <c r="Z528" s="1726"/>
      <c r="AA528" s="1727">
        <f t="shared" si="151">IF(Y528="",U528,Q528*Y528/100)</f>
        <v>0</v>
      </c>
      <c r="AB528" s="1728"/>
      <c r="AC528" s="1728"/>
      <c r="AD528" s="1729"/>
      <c r="AE528" s="1714">
        <f t="shared" si="152">IF(AA528=0,U528,IF(U528&gt;(VALUE(AA528)),VALUE(AA528),U528))</f>
        <v>0</v>
      </c>
      <c r="AF528" s="1715"/>
      <c r="AG528" s="1715"/>
      <c r="AH528" s="1716"/>
      <c r="AI528" s="913"/>
      <c r="AK528" s="303"/>
      <c r="AN528" s="303"/>
      <c r="AO528" s="303"/>
      <c r="AP528" s="303"/>
      <c r="AQ528" s="303"/>
    </row>
    <row r="529" spans="1:43">
      <c r="A529" s="306">
        <v>12</v>
      </c>
      <c r="B529" s="1708"/>
      <c r="C529" s="1709"/>
      <c r="D529" s="1710"/>
      <c r="E529" s="1706"/>
      <c r="F529" s="1707"/>
      <c r="G529" s="1711"/>
      <c r="H529" s="1712"/>
      <c r="I529" s="1712"/>
      <c r="J529" s="1713"/>
      <c r="K529" s="1711"/>
      <c r="L529" s="1712"/>
      <c r="M529" s="1712"/>
      <c r="N529" s="1713"/>
      <c r="O529" s="1711"/>
      <c r="P529" s="1713"/>
      <c r="Q529" s="1714">
        <f t="shared" si="149">G529*O529</f>
        <v>0</v>
      </c>
      <c r="R529" s="1715"/>
      <c r="S529" s="1715"/>
      <c r="T529" s="1720"/>
      <c r="U529" s="1714">
        <f t="shared" si="150">K529*O529</f>
        <v>0</v>
      </c>
      <c r="V529" s="1715"/>
      <c r="W529" s="1715"/>
      <c r="X529" s="1720"/>
      <c r="Y529" s="1725"/>
      <c r="Z529" s="1726"/>
      <c r="AA529" s="1727">
        <f t="shared" si="151">IF(Y529="",U529,Q529*Y529/100)</f>
        <v>0</v>
      </c>
      <c r="AB529" s="1728"/>
      <c r="AC529" s="1728"/>
      <c r="AD529" s="1729"/>
      <c r="AE529" s="1714">
        <f t="shared" si="152">IF(AA529=0,U529,IF(U529&gt;(VALUE(AA529)),VALUE(AA529),U529))</f>
        <v>0</v>
      </c>
      <c r="AF529" s="1715"/>
      <c r="AG529" s="1715"/>
      <c r="AH529" s="1716"/>
      <c r="AI529" s="913"/>
      <c r="AK529" s="303"/>
      <c r="AN529" s="303"/>
      <c r="AO529" s="303"/>
      <c r="AP529" s="303"/>
      <c r="AQ529" s="303"/>
    </row>
    <row r="530" spans="1:43">
      <c r="A530" s="305">
        <v>13</v>
      </c>
      <c r="B530" s="1708"/>
      <c r="C530" s="1709"/>
      <c r="D530" s="1710"/>
      <c r="E530" s="1706"/>
      <c r="F530" s="1707"/>
      <c r="G530" s="1711"/>
      <c r="H530" s="1712"/>
      <c r="I530" s="1712"/>
      <c r="J530" s="1713"/>
      <c r="K530" s="1711"/>
      <c r="L530" s="1712"/>
      <c r="M530" s="1712"/>
      <c r="N530" s="1713"/>
      <c r="O530" s="1711"/>
      <c r="P530" s="1713"/>
      <c r="Q530" s="1714">
        <f t="shared" si="149">G530*O530</f>
        <v>0</v>
      </c>
      <c r="R530" s="1715"/>
      <c r="S530" s="1715"/>
      <c r="T530" s="1720"/>
      <c r="U530" s="1714">
        <f t="shared" si="150">K530*O530</f>
        <v>0</v>
      </c>
      <c r="V530" s="1715"/>
      <c r="W530" s="1715"/>
      <c r="X530" s="1720"/>
      <c r="Y530" s="1725"/>
      <c r="Z530" s="1726"/>
      <c r="AA530" s="1727">
        <f t="shared" si="151">IF(Y530="",U530,Q530*Y530/100)</f>
        <v>0</v>
      </c>
      <c r="AB530" s="1728"/>
      <c r="AC530" s="1728"/>
      <c r="AD530" s="1729"/>
      <c r="AE530" s="1714">
        <f t="shared" si="152">IF(AA530=0,U530,IF(U530&gt;(VALUE(AA530)),VALUE(AA530),U530))</f>
        <v>0</v>
      </c>
      <c r="AF530" s="1715"/>
      <c r="AG530" s="1715"/>
      <c r="AH530" s="1716"/>
      <c r="AI530" s="913"/>
      <c r="AK530" s="303"/>
      <c r="AN530" s="303"/>
      <c r="AO530" s="303"/>
      <c r="AP530" s="303"/>
      <c r="AQ530" s="303"/>
    </row>
    <row r="531" spans="1:43">
      <c r="A531" s="306">
        <v>14</v>
      </c>
      <c r="B531" s="1708"/>
      <c r="C531" s="1709"/>
      <c r="D531" s="1710"/>
      <c r="E531" s="1706"/>
      <c r="F531" s="1707"/>
      <c r="G531" s="1711"/>
      <c r="H531" s="1712"/>
      <c r="I531" s="1712"/>
      <c r="J531" s="1713"/>
      <c r="K531" s="1711"/>
      <c r="L531" s="1712"/>
      <c r="M531" s="1712"/>
      <c r="N531" s="1713"/>
      <c r="O531" s="1711"/>
      <c r="P531" s="1713"/>
      <c r="Q531" s="1714">
        <f t="shared" si="153" ref="Q531">G531*O531</f>
        <v>0</v>
      </c>
      <c r="R531" s="1715"/>
      <c r="S531" s="1715"/>
      <c r="T531" s="1720"/>
      <c r="U531" s="1714">
        <f t="shared" si="154" ref="U531">K531*O531</f>
        <v>0</v>
      </c>
      <c r="V531" s="1715"/>
      <c r="W531" s="1715"/>
      <c r="X531" s="1720"/>
      <c r="Y531" s="1725"/>
      <c r="Z531" s="1726"/>
      <c r="AA531" s="1727">
        <f t="shared" si="155" ref="AA531">IF(Y531="",U531,Q531*Y531/100)</f>
        <v>0</v>
      </c>
      <c r="AB531" s="1728"/>
      <c r="AC531" s="1728"/>
      <c r="AD531" s="1729"/>
      <c r="AE531" s="1714">
        <f t="shared" si="156" ref="AE531">IF(AA531=0,U531,IF(U531&gt;(VALUE(AA531)),VALUE(AA531),U531))</f>
        <v>0</v>
      </c>
      <c r="AF531" s="1715"/>
      <c r="AG531" s="1715"/>
      <c r="AH531" s="1716"/>
      <c r="AI531" s="913"/>
      <c r="AK531" s="303"/>
      <c r="AN531" s="303"/>
      <c r="AO531" s="303"/>
      <c r="AP531" s="303"/>
      <c r="AQ531" s="303"/>
    </row>
    <row r="532" spans="1:43">
      <c r="A532" s="305">
        <v>15</v>
      </c>
      <c r="B532" s="1708"/>
      <c r="C532" s="1709"/>
      <c r="D532" s="1710"/>
      <c r="E532" s="1706"/>
      <c r="F532" s="1707"/>
      <c r="G532" s="1711"/>
      <c r="H532" s="1712"/>
      <c r="I532" s="1712"/>
      <c r="J532" s="1713"/>
      <c r="K532" s="1711"/>
      <c r="L532" s="1712"/>
      <c r="M532" s="1712"/>
      <c r="N532" s="1713"/>
      <c r="O532" s="1711"/>
      <c r="P532" s="1713"/>
      <c r="Q532" s="1714">
        <f t="shared" si="149">G532*O532</f>
        <v>0</v>
      </c>
      <c r="R532" s="1715"/>
      <c r="S532" s="1715"/>
      <c r="T532" s="1720"/>
      <c r="U532" s="1714">
        <f t="shared" si="150">K532*O532</f>
        <v>0</v>
      </c>
      <c r="V532" s="1715"/>
      <c r="W532" s="1715"/>
      <c r="X532" s="1720"/>
      <c r="Y532" s="1725"/>
      <c r="Z532" s="1726"/>
      <c r="AA532" s="1727">
        <f t="shared" si="151">IF(Y532="",U532,Q532*Y532/100)</f>
        <v>0</v>
      </c>
      <c r="AB532" s="1728"/>
      <c r="AC532" s="1728"/>
      <c r="AD532" s="1729"/>
      <c r="AE532" s="1714">
        <f t="shared" si="152">IF(AA532=0,U532,IF(U532&gt;(VALUE(AA532)),VALUE(AA532),U532))</f>
        <v>0</v>
      </c>
      <c r="AF532" s="1715"/>
      <c r="AG532" s="1715"/>
      <c r="AH532" s="1716"/>
      <c r="AI532" s="913"/>
      <c r="AK532" s="303"/>
      <c r="AN532" s="303"/>
      <c r="AO532" s="303"/>
      <c r="AP532" s="303"/>
      <c r="AQ532" s="303"/>
    </row>
    <row r="533" spans="1:43">
      <c r="A533" s="307" t="s">
        <v>504</v>
      </c>
      <c r="B533" s="1703"/>
      <c r="C533" s="1704"/>
      <c r="D533" s="1705"/>
      <c r="E533" s="1706"/>
      <c r="F533" s="1707"/>
      <c r="G533" s="1706"/>
      <c r="H533" s="1902"/>
      <c r="I533" s="1902"/>
      <c r="J533" s="1707"/>
      <c r="K533" s="1711"/>
      <c r="L533" s="1712"/>
      <c r="M533" s="1712"/>
      <c r="N533" s="1713"/>
      <c r="O533" s="1711"/>
      <c r="P533" s="1713"/>
      <c r="Q533" s="1714">
        <f t="shared" si="149">G533*O533</f>
        <v>0</v>
      </c>
      <c r="R533" s="1715"/>
      <c r="S533" s="1715"/>
      <c r="T533" s="1720"/>
      <c r="U533" s="1714">
        <f t="shared" si="150">K533*O533</f>
        <v>0</v>
      </c>
      <c r="V533" s="1715"/>
      <c r="W533" s="1715"/>
      <c r="X533" s="1720"/>
      <c r="Y533" s="1725"/>
      <c r="Z533" s="1726"/>
      <c r="AA533" s="1727">
        <f t="shared" si="151">IF(Y533="",U533,Q533*Y533/100)</f>
        <v>0</v>
      </c>
      <c r="AB533" s="1728"/>
      <c r="AC533" s="1728"/>
      <c r="AD533" s="1729"/>
      <c r="AE533" s="1714">
        <f t="shared" si="152">IF(AA533=0,U533,IF(U533&gt;(VALUE(AA533)),VALUE(AA533),U533))</f>
        <v>0</v>
      </c>
      <c r="AF533" s="1715"/>
      <c r="AG533" s="1715"/>
      <c r="AH533" s="1716"/>
      <c r="AI533" s="913"/>
      <c r="AK533" s="303"/>
      <c r="AN533" s="303"/>
      <c r="AO533" s="303"/>
      <c r="AP533" s="303"/>
      <c r="AQ533" s="303"/>
    </row>
    <row r="534" spans="1:43" ht="13.5" customHeight="1" thickBot="1">
      <c r="A534" s="920"/>
      <c r="B534" s="921"/>
      <c r="C534" s="922"/>
      <c r="D534" s="923"/>
      <c r="E534" s="921"/>
      <c r="F534" s="923"/>
      <c r="G534" s="921"/>
      <c r="H534" s="922"/>
      <c r="I534" s="922"/>
      <c r="J534" s="923"/>
      <c r="K534" s="921"/>
      <c r="L534" s="922"/>
      <c r="M534" s="922"/>
      <c r="N534" s="923"/>
      <c r="O534" s="921"/>
      <c r="P534" s="923"/>
      <c r="Q534" s="921"/>
      <c r="R534" s="922"/>
      <c r="S534" s="922"/>
      <c r="T534" s="923"/>
      <c r="U534" s="921"/>
      <c r="V534" s="922"/>
      <c r="W534" s="922"/>
      <c r="X534" s="923"/>
      <c r="Y534" s="921"/>
      <c r="Z534" s="923"/>
      <c r="AA534" s="921"/>
      <c r="AB534" s="922"/>
      <c r="AC534" s="922"/>
      <c r="AD534" s="923"/>
      <c r="AE534" s="921"/>
      <c r="AF534" s="922"/>
      <c r="AG534" s="922"/>
      <c r="AH534" s="1263"/>
      <c r="AI534" s="913"/>
      <c r="AK534" s="303"/>
      <c r="AN534" s="303"/>
      <c r="AO534" s="303"/>
      <c r="AP534" s="303"/>
      <c r="AQ534" s="303"/>
    </row>
    <row r="535" spans="1:43" ht="13.5" customHeight="1" thickTop="1" thickBot="1">
      <c r="A535" s="913"/>
      <c r="B535" s="913"/>
      <c r="C535" s="913"/>
      <c r="D535" s="913"/>
      <c r="E535" s="913"/>
      <c r="F535" s="913"/>
      <c r="G535" s="913"/>
      <c r="H535" s="913"/>
      <c r="I535" s="913"/>
      <c r="J535" s="913"/>
      <c r="K535" s="913"/>
      <c r="L535" s="913"/>
      <c r="M535" s="913"/>
      <c r="N535" s="913"/>
      <c r="O535" s="913"/>
      <c r="P535" s="913"/>
      <c r="Q535" s="913"/>
      <c r="R535" s="913"/>
      <c r="S535" s="913"/>
      <c r="T535" s="913"/>
      <c r="U535" s="913"/>
      <c r="V535" s="913"/>
      <c r="W535" s="913"/>
      <c r="X535" s="913"/>
      <c r="Y535" s="913"/>
      <c r="Z535" s="913"/>
      <c r="AA535" s="913"/>
      <c r="AB535" s="913"/>
      <c r="AC535" s="913"/>
      <c r="AD535" s="913"/>
      <c r="AE535" s="913"/>
      <c r="AF535" s="913"/>
      <c r="AG535" s="913"/>
      <c r="AH535" s="913"/>
      <c r="AI535" s="913"/>
      <c r="AK535" s="303"/>
      <c r="AN535" s="303"/>
      <c r="AO535" s="303"/>
      <c r="AP535" s="303"/>
      <c r="AQ535" s="303"/>
    </row>
    <row r="536" spans="1:43" ht="14.25" customHeight="1" thickTop="1" thickBot="1">
      <c r="A536" s="913"/>
      <c r="B536" s="914" t="s">
        <v>347</v>
      </c>
      <c r="C536" s="913"/>
      <c r="D536" s="913"/>
      <c r="E536" s="913"/>
      <c r="F536" s="913"/>
      <c r="G536" s="1951">
        <f>SUM(G518:J534)</f>
        <v>0</v>
      </c>
      <c r="H536" s="1834"/>
      <c r="I536" s="1834"/>
      <c r="J536" s="1835"/>
      <c r="K536" s="1951">
        <f>SUM(K518:N534)</f>
        <v>0</v>
      </c>
      <c r="L536" s="1834"/>
      <c r="M536" s="1834"/>
      <c r="N536" s="1835"/>
      <c r="O536" s="924"/>
      <c r="P536" s="924"/>
      <c r="Q536" s="1948">
        <f>SUM(Q518:T534)</f>
        <v>0</v>
      </c>
      <c r="R536" s="1949"/>
      <c r="S536" s="1949"/>
      <c r="T536" s="1950"/>
      <c r="U536" s="1948">
        <f>SUM(U518:X534)</f>
        <v>0</v>
      </c>
      <c r="V536" s="1949"/>
      <c r="W536" s="1949"/>
      <c r="X536" s="1950"/>
      <c r="Y536" s="913"/>
      <c r="Z536" s="913"/>
      <c r="AA536" s="1733">
        <f>SUM(AA518:AD534)</f>
        <v>0</v>
      </c>
      <c r="AB536" s="1734"/>
      <c r="AC536" s="1734"/>
      <c r="AD536" s="1735"/>
      <c r="AE536" s="1736">
        <f>+SUM(AE518:AH534)</f>
        <v>0</v>
      </c>
      <c r="AF536" s="1737"/>
      <c r="AG536" s="1737"/>
      <c r="AH536" s="1738"/>
      <c r="AI536" s="913"/>
      <c r="AK536" s="303"/>
      <c r="AN536" s="303"/>
      <c r="AO536" s="303"/>
      <c r="AP536" s="303"/>
      <c r="AQ536" s="303"/>
    </row>
    <row r="537" spans="1:43" ht="13.5" collapsed="1" customHeight="1" thickTop="1">
      <c r="A537" s="913"/>
      <c r="B537" s="913"/>
      <c r="C537" s="913"/>
      <c r="D537" s="913"/>
      <c r="E537" s="913"/>
      <c r="F537" s="913"/>
      <c r="G537" s="913"/>
      <c r="H537" s="913"/>
      <c r="I537" s="913"/>
      <c r="J537" s="913"/>
      <c r="K537" s="913"/>
      <c r="L537" s="913"/>
      <c r="M537" s="913"/>
      <c r="N537" s="913"/>
      <c r="O537" s="913"/>
      <c r="P537" s="913"/>
      <c r="Q537" s="913"/>
      <c r="R537" s="913"/>
      <c r="S537" s="913"/>
      <c r="T537" s="913"/>
      <c r="U537" s="913"/>
      <c r="V537" s="913"/>
      <c r="W537" s="913"/>
      <c r="X537" s="913"/>
      <c r="Y537" s="913"/>
      <c r="Z537" s="913"/>
      <c r="AA537" s="913"/>
      <c r="AB537" s="913"/>
      <c r="AC537" s="913"/>
      <c r="AD537" s="913"/>
      <c r="AE537" s="913"/>
      <c r="AF537" s="913"/>
      <c r="AG537" s="913"/>
      <c r="AH537" s="913"/>
      <c r="AI537" s="913"/>
      <c r="AK537" s="303"/>
      <c r="AN537" s="303"/>
      <c r="AO537" s="303"/>
      <c r="AP537" s="303"/>
      <c r="AQ537" s="303"/>
    </row>
    <row r="538" spans="1:35" ht="13.5" customHeight="1">
      <c r="A538" s="913"/>
      <c r="B538" s="914" t="s">
        <v>313</v>
      </c>
      <c r="C538" s="914" t="s">
        <v>507</v>
      </c>
      <c r="D538" s="913"/>
      <c r="E538" s="913"/>
      <c r="F538" s="913"/>
      <c r="G538" s="913"/>
      <c r="H538" s="913"/>
      <c r="I538" s="913"/>
      <c r="J538" s="913"/>
      <c r="K538" s="913"/>
      <c r="L538" s="913"/>
      <c r="M538" s="913"/>
      <c r="N538" s="913"/>
      <c r="O538" s="913"/>
      <c r="P538" s="913"/>
      <c r="Q538" s="913"/>
      <c r="R538" s="913"/>
      <c r="S538" s="913"/>
      <c r="T538" s="913"/>
      <c r="U538" s="913"/>
      <c r="V538" s="913"/>
      <c r="W538" s="913"/>
      <c r="X538" s="913"/>
      <c r="Y538" s="913"/>
      <c r="Z538" s="913"/>
      <c r="AA538" s="913"/>
      <c r="AB538" s="913"/>
      <c r="AC538" s="913"/>
      <c r="AD538" s="913"/>
      <c r="AE538" s="913"/>
      <c r="AF538" s="913"/>
      <c r="AG538" s="913"/>
      <c r="AH538" s="913"/>
      <c r="AI538" s="913"/>
    </row>
    <row r="539" spans="1:35" ht="13.5" customHeight="1" thickBot="1">
      <c r="A539" s="913"/>
      <c r="B539" s="913"/>
      <c r="C539" s="913"/>
      <c r="D539" s="913"/>
      <c r="E539" s="913"/>
      <c r="F539" s="913"/>
      <c r="G539" s="913"/>
      <c r="H539" s="913"/>
      <c r="I539" s="913"/>
      <c r="J539" s="913"/>
      <c r="K539" s="913"/>
      <c r="L539" s="913"/>
      <c r="M539" s="913"/>
      <c r="N539" s="913"/>
      <c r="O539" s="913"/>
      <c r="P539" s="913"/>
      <c r="Q539" s="913"/>
      <c r="R539" s="913"/>
      <c r="S539" s="913"/>
      <c r="T539" s="913"/>
      <c r="U539" s="913"/>
      <c r="V539" s="913"/>
      <c r="W539" s="913"/>
      <c r="X539" s="913"/>
      <c r="Y539" s="913"/>
      <c r="Z539" s="913"/>
      <c r="AA539" s="913"/>
      <c r="AB539" s="913"/>
      <c r="AC539" s="913"/>
      <c r="AD539" s="913"/>
      <c r="AE539" s="913"/>
      <c r="AF539" s="913"/>
      <c r="AG539" s="913"/>
      <c r="AH539" s="913"/>
      <c r="AI539" s="913"/>
    </row>
    <row r="540" spans="1:35" s="308" customFormat="1" ht="13.5" customHeight="1" thickTop="1">
      <c r="A540" s="1944" t="s">
        <v>321</v>
      </c>
      <c r="B540" s="1739" t="s">
        <v>508</v>
      </c>
      <c r="C540" s="1740"/>
      <c r="D540" s="1740"/>
      <c r="E540" s="1745"/>
      <c r="F540" s="1946" t="s">
        <v>496</v>
      </c>
      <c r="G540" s="1947"/>
      <c r="H540" s="1946" t="s">
        <v>509</v>
      </c>
      <c r="I540" s="1947"/>
      <c r="J540" s="1947"/>
      <c r="K540" s="1854" t="s">
        <v>528</v>
      </c>
      <c r="L540" s="1760"/>
      <c r="M540" s="1760"/>
      <c r="N540" s="1760"/>
      <c r="O540" s="1760"/>
      <c r="P540" s="1760"/>
      <c r="Q540" s="1760"/>
      <c r="R540" s="1760"/>
      <c r="S540" s="1760"/>
      <c r="T540" s="1760"/>
      <c r="U540" s="1760"/>
      <c r="V540" s="1760"/>
      <c r="W540" s="1760"/>
      <c r="X540" s="1760"/>
      <c r="Y540" s="1787"/>
      <c r="Z540" s="1739" t="s">
        <v>498</v>
      </c>
      <c r="AA540" s="1745"/>
      <c r="AB540" s="1854" t="s">
        <v>529</v>
      </c>
      <c r="AC540" s="1760"/>
      <c r="AD540" s="1760"/>
      <c r="AE540" s="1760"/>
      <c r="AF540" s="1760"/>
      <c r="AG540" s="1760"/>
      <c r="AH540" s="1760"/>
      <c r="AI540" s="1761"/>
    </row>
    <row r="541" spans="1:35" s="308" customFormat="1" ht="13.5" customHeight="1" thickBot="1">
      <c r="A541" s="1945"/>
      <c r="B541" s="1746"/>
      <c r="C541" s="1784"/>
      <c r="D541" s="1784"/>
      <c r="E541" s="1747"/>
      <c r="F541" s="1766"/>
      <c r="G541" s="1766"/>
      <c r="H541" s="1766"/>
      <c r="I541" s="1766"/>
      <c r="J541" s="1766"/>
      <c r="K541" s="1952" t="s">
        <v>510</v>
      </c>
      <c r="L541" s="1766"/>
      <c r="M541" s="1766"/>
      <c r="N541" s="1766"/>
      <c r="O541" s="1953" t="s">
        <v>511</v>
      </c>
      <c r="P541" s="1763"/>
      <c r="Q541" s="1764"/>
      <c r="R541" s="1952" t="s">
        <v>512</v>
      </c>
      <c r="S541" s="1766"/>
      <c r="T541" s="1766"/>
      <c r="U541" s="1766"/>
      <c r="V541" s="1952" t="s">
        <v>513</v>
      </c>
      <c r="W541" s="1766"/>
      <c r="X541" s="1766"/>
      <c r="Y541" s="1766"/>
      <c r="Z541" s="1746"/>
      <c r="AA541" s="1747"/>
      <c r="AB541" s="1953" t="s">
        <v>514</v>
      </c>
      <c r="AC541" s="1763"/>
      <c r="AD541" s="1763"/>
      <c r="AE541" s="1764"/>
      <c r="AF541" s="1952" t="s">
        <v>513</v>
      </c>
      <c r="AG541" s="1766"/>
      <c r="AH541" s="1766"/>
      <c r="AI541" s="1767"/>
    </row>
    <row r="542" spans="1:35" ht="13.5" customHeight="1" thickTop="1">
      <c r="A542" s="916"/>
      <c r="B542" s="917"/>
      <c r="C542" s="918"/>
      <c r="D542" s="918"/>
      <c r="E542" s="919"/>
      <c r="F542" s="1943"/>
      <c r="G542" s="1750"/>
      <c r="H542" s="1943"/>
      <c r="I542" s="739"/>
      <c r="J542" s="1750"/>
      <c r="K542" s="1943"/>
      <c r="L542" s="739"/>
      <c r="M542" s="739"/>
      <c r="N542" s="1750"/>
      <c r="O542" s="917"/>
      <c r="P542" s="918"/>
      <c r="Q542" s="919"/>
      <c r="R542" s="1943"/>
      <c r="S542" s="739"/>
      <c r="T542" s="739"/>
      <c r="U542" s="1750"/>
      <c r="V542" s="1943"/>
      <c r="W542" s="739"/>
      <c r="X542" s="739"/>
      <c r="Y542" s="1750"/>
      <c r="Z542" s="928"/>
      <c r="AA542" s="928"/>
      <c r="AB542" s="917"/>
      <c r="AC542" s="918"/>
      <c r="AD542" s="918"/>
      <c r="AE542" s="919"/>
      <c r="AF542" s="1943"/>
      <c r="AG542" s="739"/>
      <c r="AH542" s="739"/>
      <c r="AI542" s="1757"/>
    </row>
    <row r="543" spans="1:35">
      <c r="A543" s="309">
        <v>1</v>
      </c>
      <c r="B543" s="1703"/>
      <c r="C543" s="1704"/>
      <c r="D543" s="1704"/>
      <c r="E543" s="1705"/>
      <c r="F543" s="1706"/>
      <c r="G543" s="1707"/>
      <c r="H543" s="1708"/>
      <c r="I543" s="1709"/>
      <c r="J543" s="1710"/>
      <c r="K543" s="1711"/>
      <c r="L543" s="1712"/>
      <c r="M543" s="1712"/>
      <c r="N543" s="1713"/>
      <c r="O543" s="1722"/>
      <c r="P543" s="1723"/>
      <c r="Q543" s="1724"/>
      <c r="R543" s="1717">
        <f>K543-O543</f>
        <v>0</v>
      </c>
      <c r="S543" s="1718"/>
      <c r="T543" s="1718"/>
      <c r="U543" s="1719"/>
      <c r="V543" s="1711"/>
      <c r="W543" s="1712"/>
      <c r="X543" s="1712"/>
      <c r="Y543" s="1713"/>
      <c r="Z543" s="1711"/>
      <c r="AA543" s="1713"/>
      <c r="AB543" s="1714">
        <f t="shared" si="157" ref="AB543:AB547">R543*Z543</f>
        <v>0</v>
      </c>
      <c r="AC543" s="1715"/>
      <c r="AD543" s="1715"/>
      <c r="AE543" s="1720"/>
      <c r="AF543" s="1622">
        <f t="shared" si="158" ref="AF543:AF547">V543*Z543</f>
        <v>0</v>
      </c>
      <c r="AG543" s="1623"/>
      <c r="AH543" s="1623"/>
      <c r="AI543" s="1721"/>
    </row>
    <row r="544" spans="1:35">
      <c r="A544" s="309">
        <v>2</v>
      </c>
      <c r="B544" s="1703"/>
      <c r="C544" s="1704"/>
      <c r="D544" s="1704"/>
      <c r="E544" s="1705"/>
      <c r="F544" s="1706"/>
      <c r="G544" s="1707"/>
      <c r="H544" s="1708"/>
      <c r="I544" s="1709"/>
      <c r="J544" s="1710"/>
      <c r="K544" s="1711"/>
      <c r="L544" s="1712"/>
      <c r="M544" s="1712"/>
      <c r="N544" s="1713"/>
      <c r="O544" s="1722"/>
      <c r="P544" s="1723"/>
      <c r="Q544" s="1724"/>
      <c r="R544" s="1717">
        <f t="shared" si="159" ref="R544:R547">K544-O544</f>
        <v>0</v>
      </c>
      <c r="S544" s="1718"/>
      <c r="T544" s="1718"/>
      <c r="U544" s="1719"/>
      <c r="V544" s="1711"/>
      <c r="W544" s="1712"/>
      <c r="X544" s="1712"/>
      <c r="Y544" s="1713"/>
      <c r="Z544" s="1711"/>
      <c r="AA544" s="1713"/>
      <c r="AB544" s="1714">
        <f t="shared" si="157">R544*Z544</f>
        <v>0</v>
      </c>
      <c r="AC544" s="1715"/>
      <c r="AD544" s="1715"/>
      <c r="AE544" s="1720"/>
      <c r="AF544" s="1622">
        <f t="shared" si="158">V544*Z544</f>
        <v>0</v>
      </c>
      <c r="AG544" s="1623"/>
      <c r="AH544" s="1623"/>
      <c r="AI544" s="1721"/>
    </row>
    <row r="545" spans="1:35">
      <c r="A545" s="309">
        <v>3</v>
      </c>
      <c r="B545" s="1703"/>
      <c r="C545" s="1704"/>
      <c r="D545" s="1704"/>
      <c r="E545" s="1705"/>
      <c r="F545" s="1706"/>
      <c r="G545" s="1707"/>
      <c r="H545" s="1708"/>
      <c r="I545" s="1709"/>
      <c r="J545" s="1710"/>
      <c r="K545" s="1711"/>
      <c r="L545" s="1712"/>
      <c r="M545" s="1712"/>
      <c r="N545" s="1713"/>
      <c r="O545" s="1722"/>
      <c r="P545" s="1723"/>
      <c r="Q545" s="1724"/>
      <c r="R545" s="1717">
        <f t="shared" si="159">K545-O545</f>
        <v>0</v>
      </c>
      <c r="S545" s="1718"/>
      <c r="T545" s="1718"/>
      <c r="U545" s="1719"/>
      <c r="V545" s="1711"/>
      <c r="W545" s="1712"/>
      <c r="X545" s="1712"/>
      <c r="Y545" s="1713"/>
      <c r="Z545" s="1711"/>
      <c r="AA545" s="1713"/>
      <c r="AB545" s="1714">
        <f t="shared" si="157">R545*Z545</f>
        <v>0</v>
      </c>
      <c r="AC545" s="1715"/>
      <c r="AD545" s="1715"/>
      <c r="AE545" s="1720"/>
      <c r="AF545" s="1622">
        <f t="shared" si="158">V545*Z545</f>
        <v>0</v>
      </c>
      <c r="AG545" s="1623"/>
      <c r="AH545" s="1623"/>
      <c r="AI545" s="1721"/>
    </row>
    <row r="546" spans="1:35">
      <c r="A546" s="309">
        <v>4</v>
      </c>
      <c r="B546" s="1703"/>
      <c r="C546" s="1704"/>
      <c r="D546" s="1704"/>
      <c r="E546" s="1705"/>
      <c r="F546" s="1706"/>
      <c r="G546" s="1707"/>
      <c r="H546" s="1708"/>
      <c r="I546" s="1709"/>
      <c r="J546" s="1710"/>
      <c r="K546" s="1711"/>
      <c r="L546" s="1712"/>
      <c r="M546" s="1712"/>
      <c r="N546" s="1713"/>
      <c r="O546" s="1722"/>
      <c r="P546" s="1723"/>
      <c r="Q546" s="1724"/>
      <c r="R546" s="1717">
        <f t="shared" si="159">K546-O546</f>
        <v>0</v>
      </c>
      <c r="S546" s="1718"/>
      <c r="T546" s="1718"/>
      <c r="U546" s="1719"/>
      <c r="V546" s="1711"/>
      <c r="W546" s="1712"/>
      <c r="X546" s="1712"/>
      <c r="Y546" s="1713"/>
      <c r="Z546" s="1711"/>
      <c r="AA546" s="1713"/>
      <c r="AB546" s="1714">
        <f t="shared" si="157">R546*Z546</f>
        <v>0</v>
      </c>
      <c r="AC546" s="1715"/>
      <c r="AD546" s="1715"/>
      <c r="AE546" s="1720"/>
      <c r="AF546" s="1622">
        <f t="shared" si="158">V546*Z546</f>
        <v>0</v>
      </c>
      <c r="AG546" s="1623"/>
      <c r="AH546" s="1623"/>
      <c r="AI546" s="1721"/>
    </row>
    <row r="547" spans="1:35">
      <c r="A547" s="309">
        <v>5</v>
      </c>
      <c r="B547" s="1703"/>
      <c r="C547" s="1704"/>
      <c r="D547" s="1704"/>
      <c r="E547" s="1705"/>
      <c r="F547" s="1706"/>
      <c r="G547" s="1707"/>
      <c r="H547" s="1708"/>
      <c r="I547" s="1709"/>
      <c r="J547" s="1710"/>
      <c r="K547" s="1711"/>
      <c r="L547" s="1712"/>
      <c r="M547" s="1712"/>
      <c r="N547" s="1713"/>
      <c r="O547" s="1722"/>
      <c r="P547" s="1723"/>
      <c r="Q547" s="1724"/>
      <c r="R547" s="1717">
        <f t="shared" si="159">K547-O547</f>
        <v>0</v>
      </c>
      <c r="S547" s="1718"/>
      <c r="T547" s="1718"/>
      <c r="U547" s="1719"/>
      <c r="V547" s="1711"/>
      <c r="W547" s="1712"/>
      <c r="X547" s="1712"/>
      <c r="Y547" s="1713"/>
      <c r="Z547" s="1711"/>
      <c r="AA547" s="1713"/>
      <c r="AB547" s="1714">
        <f t="shared" si="157">R547*Z547</f>
        <v>0</v>
      </c>
      <c r="AC547" s="1715"/>
      <c r="AD547" s="1715"/>
      <c r="AE547" s="1720"/>
      <c r="AF547" s="1622">
        <f t="shared" si="158">V547*Z547</f>
        <v>0</v>
      </c>
      <c r="AG547" s="1623"/>
      <c r="AH547" s="1623"/>
      <c r="AI547" s="1721"/>
    </row>
    <row r="548" spans="1:35">
      <c r="A548" s="309">
        <v>6</v>
      </c>
      <c r="B548" s="1703"/>
      <c r="C548" s="1704"/>
      <c r="D548" s="1704"/>
      <c r="E548" s="1705"/>
      <c r="F548" s="1706"/>
      <c r="G548" s="1707"/>
      <c r="H548" s="1708"/>
      <c r="I548" s="1709"/>
      <c r="J548" s="1710"/>
      <c r="K548" s="1711"/>
      <c r="L548" s="1712"/>
      <c r="M548" s="1712"/>
      <c r="N548" s="1713"/>
      <c r="O548" s="1722"/>
      <c r="P548" s="1723"/>
      <c r="Q548" s="1724"/>
      <c r="R548" s="1717">
        <f>K548-O548</f>
        <v>0</v>
      </c>
      <c r="S548" s="1718"/>
      <c r="T548" s="1718"/>
      <c r="U548" s="1719"/>
      <c r="V548" s="1711"/>
      <c r="W548" s="1712"/>
      <c r="X548" s="1712"/>
      <c r="Y548" s="1713"/>
      <c r="Z548" s="1711"/>
      <c r="AA548" s="1713"/>
      <c r="AB548" s="1714">
        <f t="shared" si="160" ref="AB548:AB558">R548*Z548</f>
        <v>0</v>
      </c>
      <c r="AC548" s="1715"/>
      <c r="AD548" s="1715"/>
      <c r="AE548" s="1720"/>
      <c r="AF548" s="1622">
        <f t="shared" si="161" ref="AF548:AF558">V548*Z548</f>
        <v>0</v>
      </c>
      <c r="AG548" s="1623"/>
      <c r="AH548" s="1623"/>
      <c r="AI548" s="1721"/>
    </row>
    <row r="549" spans="1:35">
      <c r="A549" s="309">
        <v>7</v>
      </c>
      <c r="B549" s="1703"/>
      <c r="C549" s="1704"/>
      <c r="D549" s="1704"/>
      <c r="E549" s="1705"/>
      <c r="F549" s="1706"/>
      <c r="G549" s="1707"/>
      <c r="H549" s="1708"/>
      <c r="I549" s="1709"/>
      <c r="J549" s="1710"/>
      <c r="K549" s="1711"/>
      <c r="L549" s="1712"/>
      <c r="M549" s="1712"/>
      <c r="N549" s="1713"/>
      <c r="O549" s="1722"/>
      <c r="P549" s="1723"/>
      <c r="Q549" s="1724"/>
      <c r="R549" s="1717">
        <f t="shared" si="162" ref="R549:R552">K549-O549</f>
        <v>0</v>
      </c>
      <c r="S549" s="1718"/>
      <c r="T549" s="1718"/>
      <c r="U549" s="1719"/>
      <c r="V549" s="1711"/>
      <c r="W549" s="1712"/>
      <c r="X549" s="1712"/>
      <c r="Y549" s="1713"/>
      <c r="Z549" s="1711"/>
      <c r="AA549" s="1713"/>
      <c r="AB549" s="1714">
        <f t="shared" si="163" ref="AB549:AB552">R549*Z549</f>
        <v>0</v>
      </c>
      <c r="AC549" s="1715"/>
      <c r="AD549" s="1715"/>
      <c r="AE549" s="1720"/>
      <c r="AF549" s="1622">
        <f t="shared" si="164" ref="AF549:AF552">V549*Z549</f>
        <v>0</v>
      </c>
      <c r="AG549" s="1623"/>
      <c r="AH549" s="1623"/>
      <c r="AI549" s="1721"/>
    </row>
    <row r="550" spans="1:35">
      <c r="A550" s="309">
        <v>8</v>
      </c>
      <c r="B550" s="1703"/>
      <c r="C550" s="1704"/>
      <c r="D550" s="1704"/>
      <c r="E550" s="1705"/>
      <c r="F550" s="1706"/>
      <c r="G550" s="1707"/>
      <c r="H550" s="1708"/>
      <c r="I550" s="1709"/>
      <c r="J550" s="1710"/>
      <c r="K550" s="1711"/>
      <c r="L550" s="1712"/>
      <c r="M550" s="1712"/>
      <c r="N550" s="1713"/>
      <c r="O550" s="1722"/>
      <c r="P550" s="1723"/>
      <c r="Q550" s="1724"/>
      <c r="R550" s="1717">
        <f t="shared" si="162">K550-O550</f>
        <v>0</v>
      </c>
      <c r="S550" s="1718"/>
      <c r="T550" s="1718"/>
      <c r="U550" s="1719"/>
      <c r="V550" s="1711"/>
      <c r="W550" s="1712"/>
      <c r="X550" s="1712"/>
      <c r="Y550" s="1713"/>
      <c r="Z550" s="1711"/>
      <c r="AA550" s="1713"/>
      <c r="AB550" s="1714">
        <f t="shared" si="163">R550*Z550</f>
        <v>0</v>
      </c>
      <c r="AC550" s="1715"/>
      <c r="AD550" s="1715"/>
      <c r="AE550" s="1720"/>
      <c r="AF550" s="1622">
        <f t="shared" si="164">V550*Z550</f>
        <v>0</v>
      </c>
      <c r="AG550" s="1623"/>
      <c r="AH550" s="1623"/>
      <c r="AI550" s="1721"/>
    </row>
    <row r="551" spans="1:35">
      <c r="A551" s="309">
        <v>9</v>
      </c>
      <c r="B551" s="1703"/>
      <c r="C551" s="1704"/>
      <c r="D551" s="1704"/>
      <c r="E551" s="1705"/>
      <c r="F551" s="1706"/>
      <c r="G551" s="1707"/>
      <c r="H551" s="1708"/>
      <c r="I551" s="1709"/>
      <c r="J551" s="1710"/>
      <c r="K551" s="1711"/>
      <c r="L551" s="1712"/>
      <c r="M551" s="1712"/>
      <c r="N551" s="1713"/>
      <c r="O551" s="1722"/>
      <c r="P551" s="1723"/>
      <c r="Q551" s="1724"/>
      <c r="R551" s="1717">
        <f t="shared" si="162">K551-O551</f>
        <v>0</v>
      </c>
      <c r="S551" s="1718"/>
      <c r="T551" s="1718"/>
      <c r="U551" s="1719"/>
      <c r="V551" s="1711"/>
      <c r="W551" s="1712"/>
      <c r="X551" s="1712"/>
      <c r="Y551" s="1713"/>
      <c r="Z551" s="1711"/>
      <c r="AA551" s="1713"/>
      <c r="AB551" s="1714">
        <f t="shared" si="163">R551*Z551</f>
        <v>0</v>
      </c>
      <c r="AC551" s="1715"/>
      <c r="AD551" s="1715"/>
      <c r="AE551" s="1720"/>
      <c r="AF551" s="1622">
        <f t="shared" si="164">V551*Z551</f>
        <v>0</v>
      </c>
      <c r="AG551" s="1623"/>
      <c r="AH551" s="1623"/>
      <c r="AI551" s="1721"/>
    </row>
    <row r="552" spans="1:35">
      <c r="A552" s="309">
        <v>10</v>
      </c>
      <c r="B552" s="1703"/>
      <c r="C552" s="1704"/>
      <c r="D552" s="1704"/>
      <c r="E552" s="1705"/>
      <c r="F552" s="1706"/>
      <c r="G552" s="1707"/>
      <c r="H552" s="1708"/>
      <c r="I552" s="1709"/>
      <c r="J552" s="1710"/>
      <c r="K552" s="1711"/>
      <c r="L552" s="1712"/>
      <c r="M552" s="1712"/>
      <c r="N552" s="1713"/>
      <c r="O552" s="1722"/>
      <c r="P552" s="1723"/>
      <c r="Q552" s="1724"/>
      <c r="R552" s="1717">
        <f t="shared" si="162">K552-O552</f>
        <v>0</v>
      </c>
      <c r="S552" s="1718"/>
      <c r="T552" s="1718"/>
      <c r="U552" s="1719"/>
      <c r="V552" s="1711"/>
      <c r="W552" s="1712"/>
      <c r="X552" s="1712"/>
      <c r="Y552" s="1713"/>
      <c r="Z552" s="1711"/>
      <c r="AA552" s="1713"/>
      <c r="AB552" s="1714">
        <f t="shared" si="163">R552*Z552</f>
        <v>0</v>
      </c>
      <c r="AC552" s="1715"/>
      <c r="AD552" s="1715"/>
      <c r="AE552" s="1720"/>
      <c r="AF552" s="1622">
        <f t="shared" si="164">V552*Z552</f>
        <v>0</v>
      </c>
      <c r="AG552" s="1623"/>
      <c r="AH552" s="1623"/>
      <c r="AI552" s="1721"/>
    </row>
    <row r="553" spans="1:35">
      <c r="A553" s="309">
        <v>11</v>
      </c>
      <c r="B553" s="1703"/>
      <c r="C553" s="1704"/>
      <c r="D553" s="1704"/>
      <c r="E553" s="1705"/>
      <c r="F553" s="1706"/>
      <c r="G553" s="1707"/>
      <c r="H553" s="1708"/>
      <c r="I553" s="1709"/>
      <c r="J553" s="1710"/>
      <c r="K553" s="1711"/>
      <c r="L553" s="1712"/>
      <c r="M553" s="1712"/>
      <c r="N553" s="1713"/>
      <c r="O553" s="1722"/>
      <c r="P553" s="1723"/>
      <c r="Q553" s="1724"/>
      <c r="R553" s="1717">
        <f t="shared" si="165" ref="R553:R558">K553-O553</f>
        <v>0</v>
      </c>
      <c r="S553" s="1718"/>
      <c r="T553" s="1718"/>
      <c r="U553" s="1719"/>
      <c r="V553" s="1711"/>
      <c r="W553" s="1712"/>
      <c r="X553" s="1712"/>
      <c r="Y553" s="1713"/>
      <c r="Z553" s="1711"/>
      <c r="AA553" s="1713"/>
      <c r="AB553" s="1714">
        <f t="shared" si="160">R553*Z553</f>
        <v>0</v>
      </c>
      <c r="AC553" s="1715"/>
      <c r="AD553" s="1715"/>
      <c r="AE553" s="1720"/>
      <c r="AF553" s="1622">
        <f t="shared" si="161">V553*Z553</f>
        <v>0</v>
      </c>
      <c r="AG553" s="1623"/>
      <c r="AH553" s="1623"/>
      <c r="AI553" s="1721"/>
    </row>
    <row r="554" spans="1:35">
      <c r="A554" s="309">
        <v>12</v>
      </c>
      <c r="B554" s="1703"/>
      <c r="C554" s="1704"/>
      <c r="D554" s="1704"/>
      <c r="E554" s="1705"/>
      <c r="F554" s="1706"/>
      <c r="G554" s="1707"/>
      <c r="H554" s="1708"/>
      <c r="I554" s="1709"/>
      <c r="J554" s="1710"/>
      <c r="K554" s="1711"/>
      <c r="L554" s="1712"/>
      <c r="M554" s="1712"/>
      <c r="N554" s="1713"/>
      <c r="O554" s="1722"/>
      <c r="P554" s="1723"/>
      <c r="Q554" s="1724"/>
      <c r="R554" s="1717">
        <f t="shared" si="165">K554-O554</f>
        <v>0</v>
      </c>
      <c r="S554" s="1718"/>
      <c r="T554" s="1718"/>
      <c r="U554" s="1719"/>
      <c r="V554" s="1711"/>
      <c r="W554" s="1712"/>
      <c r="X554" s="1712"/>
      <c r="Y554" s="1713"/>
      <c r="Z554" s="1711"/>
      <c r="AA554" s="1713"/>
      <c r="AB554" s="1714">
        <f t="shared" si="160">R554*Z554</f>
        <v>0</v>
      </c>
      <c r="AC554" s="1715"/>
      <c r="AD554" s="1715"/>
      <c r="AE554" s="1720"/>
      <c r="AF554" s="1622">
        <f t="shared" si="161">V554*Z554</f>
        <v>0</v>
      </c>
      <c r="AG554" s="1623"/>
      <c r="AH554" s="1623"/>
      <c r="AI554" s="1721"/>
    </row>
    <row r="555" spans="1:35">
      <c r="A555" s="309">
        <v>13</v>
      </c>
      <c r="B555" s="1703"/>
      <c r="C555" s="1704"/>
      <c r="D555" s="1704"/>
      <c r="E555" s="1705"/>
      <c r="F555" s="1706"/>
      <c r="G555" s="1707"/>
      <c r="H555" s="1708"/>
      <c r="I555" s="1709"/>
      <c r="J555" s="1710"/>
      <c r="K555" s="1711"/>
      <c r="L555" s="1712"/>
      <c r="M555" s="1712"/>
      <c r="N555" s="1713"/>
      <c r="O555" s="1722"/>
      <c r="P555" s="1723"/>
      <c r="Q555" s="1724"/>
      <c r="R555" s="1717">
        <f t="shared" si="165">K555-O555</f>
        <v>0</v>
      </c>
      <c r="S555" s="1718"/>
      <c r="T555" s="1718"/>
      <c r="U555" s="1719"/>
      <c r="V555" s="1711"/>
      <c r="W555" s="1712"/>
      <c r="X555" s="1712"/>
      <c r="Y555" s="1713"/>
      <c r="Z555" s="1711"/>
      <c r="AA555" s="1713"/>
      <c r="AB555" s="1714">
        <f t="shared" si="160">R555*Z555</f>
        <v>0</v>
      </c>
      <c r="AC555" s="1715"/>
      <c r="AD555" s="1715"/>
      <c r="AE555" s="1720"/>
      <c r="AF555" s="1622">
        <f t="shared" si="161">V555*Z555</f>
        <v>0</v>
      </c>
      <c r="AG555" s="1623"/>
      <c r="AH555" s="1623"/>
      <c r="AI555" s="1721"/>
    </row>
    <row r="556" spans="1:35">
      <c r="A556" s="309">
        <v>14</v>
      </c>
      <c r="B556" s="1703"/>
      <c r="C556" s="1704"/>
      <c r="D556" s="1704"/>
      <c r="E556" s="1705"/>
      <c r="F556" s="1706"/>
      <c r="G556" s="1707"/>
      <c r="H556" s="1708"/>
      <c r="I556" s="1709"/>
      <c r="J556" s="1710"/>
      <c r="K556" s="1711"/>
      <c r="L556" s="1712"/>
      <c r="M556" s="1712"/>
      <c r="N556" s="1713"/>
      <c r="O556" s="1722"/>
      <c r="P556" s="1723"/>
      <c r="Q556" s="1724"/>
      <c r="R556" s="1717">
        <f t="shared" si="165">K556-O556</f>
        <v>0</v>
      </c>
      <c r="S556" s="1718"/>
      <c r="T556" s="1718"/>
      <c r="U556" s="1719"/>
      <c r="V556" s="1711"/>
      <c r="W556" s="1712"/>
      <c r="X556" s="1712"/>
      <c r="Y556" s="1713"/>
      <c r="Z556" s="1711"/>
      <c r="AA556" s="1713"/>
      <c r="AB556" s="1714">
        <f t="shared" si="160">R556*Z556</f>
        <v>0</v>
      </c>
      <c r="AC556" s="1715"/>
      <c r="AD556" s="1715"/>
      <c r="AE556" s="1720"/>
      <c r="AF556" s="1622">
        <f t="shared" si="161">V556*Z556</f>
        <v>0</v>
      </c>
      <c r="AG556" s="1623"/>
      <c r="AH556" s="1623"/>
      <c r="AI556" s="1721"/>
    </row>
    <row r="557" spans="1:35">
      <c r="A557" s="309">
        <v>15</v>
      </c>
      <c r="B557" s="1703"/>
      <c r="C557" s="1704"/>
      <c r="D557" s="1704"/>
      <c r="E557" s="1705"/>
      <c r="F557" s="1706"/>
      <c r="G557" s="1707"/>
      <c r="H557" s="1708"/>
      <c r="I557" s="1709"/>
      <c r="J557" s="1710"/>
      <c r="K557" s="1711"/>
      <c r="L557" s="1712"/>
      <c r="M557" s="1712"/>
      <c r="N557" s="1713"/>
      <c r="O557" s="1722"/>
      <c r="P557" s="1723"/>
      <c r="Q557" s="1724"/>
      <c r="R557" s="1717">
        <f t="shared" si="165">K557-O557</f>
        <v>0</v>
      </c>
      <c r="S557" s="1718"/>
      <c r="T557" s="1718"/>
      <c r="U557" s="1719"/>
      <c r="V557" s="1711"/>
      <c r="W557" s="1712"/>
      <c r="X557" s="1712"/>
      <c r="Y557" s="1713"/>
      <c r="Z557" s="1711"/>
      <c r="AA557" s="1713"/>
      <c r="AB557" s="1714">
        <f t="shared" si="160">R557*Z557</f>
        <v>0</v>
      </c>
      <c r="AC557" s="1715"/>
      <c r="AD557" s="1715"/>
      <c r="AE557" s="1720"/>
      <c r="AF557" s="1622">
        <f t="shared" si="161">V557*Z557</f>
        <v>0</v>
      </c>
      <c r="AG557" s="1623"/>
      <c r="AH557" s="1623"/>
      <c r="AI557" s="1721"/>
    </row>
    <row r="558" spans="1:35">
      <c r="A558" s="310" t="s">
        <v>504</v>
      </c>
      <c r="B558" s="1703"/>
      <c r="C558" s="1704"/>
      <c r="D558" s="1704"/>
      <c r="E558" s="1705"/>
      <c r="F558" s="1706"/>
      <c r="G558" s="1707"/>
      <c r="H558" s="1708"/>
      <c r="I558" s="1709"/>
      <c r="J558" s="1710"/>
      <c r="K558" s="1711"/>
      <c r="L558" s="1712"/>
      <c r="M558" s="1712"/>
      <c r="N558" s="1713"/>
      <c r="O558" s="1722"/>
      <c r="P558" s="1723"/>
      <c r="Q558" s="1724"/>
      <c r="R558" s="1717">
        <f t="shared" si="165">K558-O558</f>
        <v>0</v>
      </c>
      <c r="S558" s="1718"/>
      <c r="T558" s="1718"/>
      <c r="U558" s="1719"/>
      <c r="V558" s="1711"/>
      <c r="W558" s="1712"/>
      <c r="X558" s="1712"/>
      <c r="Y558" s="1713"/>
      <c r="Z558" s="1711"/>
      <c r="AA558" s="1713"/>
      <c r="AB558" s="1714">
        <f t="shared" si="160">R558*Z558</f>
        <v>0</v>
      </c>
      <c r="AC558" s="1715"/>
      <c r="AD558" s="1715"/>
      <c r="AE558" s="1720"/>
      <c r="AF558" s="1622">
        <f t="shared" si="161">V558*Z558</f>
        <v>0</v>
      </c>
      <c r="AG558" s="1623"/>
      <c r="AH558" s="1623"/>
      <c r="AI558" s="1721"/>
    </row>
    <row r="559" spans="1:35" ht="13.5" customHeight="1" thickBot="1">
      <c r="A559" s="920"/>
      <c r="B559" s="921"/>
      <c r="C559" s="922"/>
      <c r="D559" s="922"/>
      <c r="E559" s="923"/>
      <c r="F559" s="1933"/>
      <c r="G559" s="1934"/>
      <c r="H559" s="1933"/>
      <c r="I559" s="740"/>
      <c r="J559" s="1934"/>
      <c r="K559" s="1933"/>
      <c r="L559" s="740"/>
      <c r="M559" s="740"/>
      <c r="N559" s="1934"/>
      <c r="O559" s="921"/>
      <c r="P559" s="922"/>
      <c r="Q559" s="923"/>
      <c r="R559" s="1933"/>
      <c r="S559" s="740"/>
      <c r="T559" s="740"/>
      <c r="U559" s="1934"/>
      <c r="V559" s="1933"/>
      <c r="W559" s="740"/>
      <c r="X559" s="740"/>
      <c r="Y559" s="1934"/>
      <c r="Z559" s="929"/>
      <c r="AA559" s="929"/>
      <c r="AB559" s="921"/>
      <c r="AC559" s="922"/>
      <c r="AD559" s="922"/>
      <c r="AE559" s="923"/>
      <c r="AF559" s="1933"/>
      <c r="AG559" s="740"/>
      <c r="AH559" s="740"/>
      <c r="AI559" s="1935"/>
    </row>
    <row r="560" spans="1:35" ht="13.5" customHeight="1" thickTop="1" thickBot="1">
      <c r="A560" s="913"/>
      <c r="B560" s="913"/>
      <c r="C560" s="913"/>
      <c r="D560" s="913"/>
      <c r="E560" s="913"/>
      <c r="F560" s="913"/>
      <c r="G560" s="913"/>
      <c r="H560" s="913"/>
      <c r="I560" s="913"/>
      <c r="J560" s="913"/>
      <c r="K560" s="913"/>
      <c r="L560" s="913"/>
      <c r="M560" s="913"/>
      <c r="N560" s="913"/>
      <c r="O560" s="913"/>
      <c r="P560" s="913"/>
      <c r="Q560" s="913"/>
      <c r="R560" s="913"/>
      <c r="S560" s="913"/>
      <c r="T560" s="913"/>
      <c r="U560" s="913"/>
      <c r="V560" s="913"/>
      <c r="W560" s="913"/>
      <c r="X560" s="913"/>
      <c r="Y560" s="913"/>
      <c r="Z560" s="913"/>
      <c r="AA560" s="913"/>
      <c r="AB560" s="913"/>
      <c r="AC560" s="913"/>
      <c r="AD560" s="913"/>
      <c r="AE560" s="913"/>
      <c r="AF560" s="913"/>
      <c r="AG560" s="913"/>
      <c r="AH560" s="913"/>
      <c r="AI560" s="913"/>
    </row>
    <row r="561" spans="1:35" ht="14.25" customHeight="1" thickTop="1" thickBot="1">
      <c r="A561" s="913"/>
      <c r="B561" s="914" t="s">
        <v>347</v>
      </c>
      <c r="C561" s="913"/>
      <c r="D561" s="913"/>
      <c r="E561" s="913"/>
      <c r="F561" s="913"/>
      <c r="G561" s="913"/>
      <c r="H561" s="913"/>
      <c r="I561" s="913"/>
      <c r="J561" s="913"/>
      <c r="K561" s="913"/>
      <c r="L561" s="913"/>
      <c r="M561" s="913"/>
      <c r="N561" s="913"/>
      <c r="O561" s="913"/>
      <c r="P561" s="913"/>
      <c r="Q561" s="913"/>
      <c r="R561" s="1836">
        <f>SUM(R548:U559)</f>
        <v>0</v>
      </c>
      <c r="S561" s="1837"/>
      <c r="T561" s="1837"/>
      <c r="U561" s="1838"/>
      <c r="V561" s="1836">
        <f>SUM(V548:Y559)</f>
        <v>0</v>
      </c>
      <c r="W561" s="1837"/>
      <c r="X561" s="1837"/>
      <c r="Y561" s="1838"/>
      <c r="Z561" s="924"/>
      <c r="AA561" s="924"/>
      <c r="AB561" s="1657">
        <f>SUM(AB548:AE559)</f>
        <v>0</v>
      </c>
      <c r="AC561" s="1658"/>
      <c r="AD561" s="1658"/>
      <c r="AE561" s="1659"/>
      <c r="AF561" s="1657">
        <f>SUM(AF548:AI559)</f>
        <v>0</v>
      </c>
      <c r="AG561" s="1658"/>
      <c r="AH561" s="1658"/>
      <c r="AI561" s="1659"/>
    </row>
    <row r="562" spans="1:35" ht="13.5" collapsed="1" customHeight="1" thickTop="1">
      <c r="A562" s="913"/>
      <c r="B562" s="913"/>
      <c r="C562" s="913"/>
      <c r="D562" s="913"/>
      <c r="E562" s="913"/>
      <c r="F562" s="913"/>
      <c r="G562" s="913"/>
      <c r="H562" s="913"/>
      <c r="I562" s="913"/>
      <c r="J562" s="913"/>
      <c r="K562" s="913"/>
      <c r="L562" s="913"/>
      <c r="M562" s="913"/>
      <c r="N562" s="913"/>
      <c r="O562" s="913"/>
      <c r="P562" s="913"/>
      <c r="Q562" s="913"/>
      <c r="R562" s="913"/>
      <c r="S562" s="913"/>
      <c r="T562" s="913"/>
      <c r="U562" s="913"/>
      <c r="V562" s="913"/>
      <c r="W562" s="913"/>
      <c r="X562" s="913"/>
      <c r="Y562" s="913"/>
      <c r="Z562" s="913"/>
      <c r="AA562" s="913"/>
      <c r="AB562" s="913"/>
      <c r="AC562" s="913"/>
      <c r="AD562" s="913"/>
      <c r="AE562" s="913"/>
      <c r="AF562" s="913"/>
      <c r="AG562" s="913"/>
      <c r="AH562" s="913"/>
      <c r="AI562" s="913"/>
    </row>
    <row r="563" spans="1:35" ht="13.5" customHeight="1">
      <c r="A563" s="913"/>
      <c r="B563" s="930" t="s">
        <v>314</v>
      </c>
      <c r="C563" s="914" t="s">
        <v>515</v>
      </c>
      <c r="D563" s="913"/>
      <c r="E563" s="913"/>
      <c r="F563" s="913"/>
      <c r="G563" s="913"/>
      <c r="H563" s="913"/>
      <c r="I563" s="913"/>
      <c r="J563" s="913"/>
      <c r="K563" s="913"/>
      <c r="L563" s="913"/>
      <c r="M563" s="913"/>
      <c r="N563" s="913"/>
      <c r="O563" s="913"/>
      <c r="P563" s="913"/>
      <c r="Q563" s="913"/>
      <c r="R563" s="913"/>
      <c r="S563" s="913"/>
      <c r="T563" s="913"/>
      <c r="U563" s="913"/>
      <c r="V563" s="913"/>
      <c r="W563" s="913"/>
      <c r="X563" s="913"/>
      <c r="Y563" s="913"/>
      <c r="Z563" s="913"/>
      <c r="AA563" s="913"/>
      <c r="AB563" s="913"/>
      <c r="AC563" s="913"/>
      <c r="AD563" s="913"/>
      <c r="AE563" s="913"/>
      <c r="AF563" s="913"/>
      <c r="AG563" s="913"/>
      <c r="AH563" s="913"/>
      <c r="AI563" s="913"/>
    </row>
    <row r="564" spans="1:35" ht="13.5" customHeight="1" thickBot="1">
      <c r="A564" s="913"/>
      <c r="B564" s="913"/>
      <c r="C564" s="913"/>
      <c r="D564" s="913" t="s">
        <v>295</v>
      </c>
      <c r="E564" s="913"/>
      <c r="F564" s="913"/>
      <c r="G564" s="913"/>
      <c r="H564" s="913"/>
      <c r="I564" s="913"/>
      <c r="J564" s="913"/>
      <c r="K564" s="913"/>
      <c r="L564" s="913"/>
      <c r="M564" s="913"/>
      <c r="N564" s="913"/>
      <c r="O564" s="913"/>
      <c r="P564" s="913"/>
      <c r="Q564" s="913"/>
      <c r="R564" s="913"/>
      <c r="S564" s="913"/>
      <c r="T564" s="913"/>
      <c r="U564" s="913"/>
      <c r="V564" s="913"/>
      <c r="W564" s="913"/>
      <c r="X564" s="913"/>
      <c r="Y564" s="913"/>
      <c r="Z564" s="913"/>
      <c r="AA564" s="913"/>
      <c r="AB564" s="913"/>
      <c r="AC564" s="913"/>
      <c r="AD564" s="913"/>
      <c r="AE564" s="913"/>
      <c r="AF564" s="913"/>
      <c r="AG564" s="913"/>
      <c r="AH564" s="913"/>
      <c r="AI564" s="913"/>
    </row>
    <row r="565" spans="1:35" s="311" customFormat="1" ht="13.5" customHeight="1" thickTop="1">
      <c r="A565" s="914"/>
      <c r="B565" s="1936" t="s">
        <v>321</v>
      </c>
      <c r="C565" s="1938" t="s">
        <v>516</v>
      </c>
      <c r="D565" s="1939"/>
      <c r="E565" s="1939"/>
      <c r="F565" s="1939"/>
      <c r="G565" s="1939"/>
      <c r="H565" s="1939"/>
      <c r="I565" s="1939"/>
      <c r="J565" s="1939"/>
      <c r="K565" s="1938" t="s">
        <v>496</v>
      </c>
      <c r="L565" s="1939"/>
      <c r="M565" s="1938" t="s">
        <v>206</v>
      </c>
      <c r="N565" s="1939"/>
      <c r="O565" s="1939"/>
      <c r="P565" s="1938" t="s">
        <v>497</v>
      </c>
      <c r="Q565" s="1939"/>
      <c r="R565" s="1939"/>
      <c r="S565" s="1939"/>
      <c r="T565" s="1939"/>
      <c r="U565" s="1938" t="s">
        <v>498</v>
      </c>
      <c r="V565" s="1939"/>
      <c r="W565" s="1939"/>
      <c r="X565" s="1938" t="s">
        <v>499</v>
      </c>
      <c r="Y565" s="1939"/>
      <c r="Z565" s="1939"/>
      <c r="AA565" s="1939"/>
      <c r="AB565" s="1941"/>
      <c r="AC565" s="914"/>
      <c r="AD565" s="914"/>
      <c r="AE565" s="914"/>
      <c r="AF565" s="914"/>
      <c r="AG565" s="914"/>
      <c r="AH565" s="914"/>
      <c r="AI565" s="914"/>
    </row>
    <row r="566" spans="1:35" s="311" customFormat="1" ht="13.5" customHeight="1" thickBot="1">
      <c r="A566" s="914"/>
      <c r="B566" s="1937"/>
      <c r="C566" s="1940"/>
      <c r="D566" s="1940"/>
      <c r="E566" s="1940"/>
      <c r="F566" s="1940"/>
      <c r="G566" s="1940"/>
      <c r="H566" s="1940"/>
      <c r="I566" s="1940"/>
      <c r="J566" s="1940"/>
      <c r="K566" s="1940"/>
      <c r="L566" s="1940"/>
      <c r="M566" s="1940"/>
      <c r="N566" s="1940"/>
      <c r="O566" s="1940"/>
      <c r="P566" s="1940"/>
      <c r="Q566" s="1940"/>
      <c r="R566" s="1940"/>
      <c r="S566" s="1940"/>
      <c r="T566" s="1940"/>
      <c r="U566" s="1940"/>
      <c r="V566" s="1940"/>
      <c r="W566" s="1940"/>
      <c r="X566" s="1940"/>
      <c r="Y566" s="1940"/>
      <c r="Z566" s="1940"/>
      <c r="AA566" s="1940"/>
      <c r="AB566" s="1942"/>
      <c r="AC566" s="914"/>
      <c r="AD566" s="914"/>
      <c r="AE566" s="914"/>
      <c r="AF566" s="914"/>
      <c r="AG566" s="914"/>
      <c r="AH566" s="914"/>
      <c r="AI566" s="914"/>
    </row>
    <row r="567" spans="1:35" ht="13.5" customHeight="1" thickTop="1">
      <c r="A567" s="913"/>
      <c r="B567" s="913"/>
      <c r="C567" s="913"/>
      <c r="D567" s="913"/>
      <c r="E567" s="913"/>
      <c r="F567" s="913"/>
      <c r="G567" s="913"/>
      <c r="H567" s="913"/>
      <c r="I567" s="913"/>
      <c r="J567" s="913"/>
      <c r="K567" s="913"/>
      <c r="L567" s="913"/>
      <c r="M567" s="913"/>
      <c r="N567" s="913"/>
      <c r="O567" s="913"/>
      <c r="P567" s="913"/>
      <c r="Q567" s="913"/>
      <c r="R567" s="913"/>
      <c r="S567" s="913"/>
      <c r="T567" s="913"/>
      <c r="U567" s="913"/>
      <c r="V567" s="913"/>
      <c r="W567" s="913"/>
      <c r="X567" s="913"/>
      <c r="Y567" s="913"/>
      <c r="Z567" s="913"/>
      <c r="AA567" s="913"/>
      <c r="AB567" s="913"/>
      <c r="AC567" s="913"/>
      <c r="AD567" s="913"/>
      <c r="AE567" s="913"/>
      <c r="AF567" s="913"/>
      <c r="AG567" s="913"/>
      <c r="AH567" s="913"/>
      <c r="AI567" s="913"/>
    </row>
    <row r="568" spans="1:35" ht="13.5" customHeight="1">
      <c r="A568" s="913"/>
      <c r="B568" s="914" t="s">
        <v>517</v>
      </c>
      <c r="C568" s="913"/>
      <c r="D568" s="913"/>
      <c r="E568" s="913"/>
      <c r="F568" s="913"/>
      <c r="G568" s="913"/>
      <c r="H568" s="913"/>
      <c r="I568" s="913"/>
      <c r="J568" s="913"/>
      <c r="K568" s="913"/>
      <c r="L568" s="913"/>
      <c r="M568" s="913"/>
      <c r="N568" s="913"/>
      <c r="O568" s="913"/>
      <c r="P568" s="913"/>
      <c r="Q568" s="913"/>
      <c r="R568" s="913"/>
      <c r="S568" s="913"/>
      <c r="T568" s="913"/>
      <c r="U568" s="913"/>
      <c r="V568" s="913"/>
      <c r="W568" s="913"/>
      <c r="X568" s="913"/>
      <c r="Y568" s="913"/>
      <c r="Z568" s="913"/>
      <c r="AA568" s="913"/>
      <c r="AB568" s="913"/>
      <c r="AC568" s="913"/>
      <c r="AD568" s="913"/>
      <c r="AE568" s="913"/>
      <c r="AF568" s="913"/>
      <c r="AG568" s="913"/>
      <c r="AH568" s="913"/>
      <c r="AI568" s="913"/>
    </row>
    <row r="569" spans="1:35" ht="13.5" customHeight="1" thickBot="1">
      <c r="A569" s="913"/>
      <c r="B569" s="913"/>
      <c r="C569" s="913"/>
      <c r="D569" s="913"/>
      <c r="E569" s="913"/>
      <c r="F569" s="913"/>
      <c r="G569" s="913"/>
      <c r="H569" s="913"/>
      <c r="I569" s="913"/>
      <c r="J569" s="913"/>
      <c r="K569" s="913"/>
      <c r="L569" s="913"/>
      <c r="M569" s="913"/>
      <c r="N569" s="913"/>
      <c r="O569" s="913"/>
      <c r="P569" s="913"/>
      <c r="Q569" s="913"/>
      <c r="R569" s="913"/>
      <c r="S569" s="913"/>
      <c r="T569" s="913"/>
      <c r="U569" s="913"/>
      <c r="V569" s="913"/>
      <c r="W569" s="913"/>
      <c r="X569" s="913"/>
      <c r="Y569" s="913"/>
      <c r="Z569" s="913"/>
      <c r="AA569" s="913"/>
      <c r="AB569" s="913"/>
      <c r="AC569" s="913"/>
      <c r="AD569" s="913"/>
      <c r="AE569" s="913"/>
      <c r="AF569" s="913"/>
      <c r="AG569" s="913"/>
      <c r="AH569" s="913"/>
      <c r="AI569" s="913"/>
    </row>
    <row r="570" spans="1:35" ht="13.5" customHeight="1" thickTop="1">
      <c r="A570" s="913"/>
      <c r="B570" s="312">
        <v>1</v>
      </c>
      <c r="C570" s="1925"/>
      <c r="D570" s="1926"/>
      <c r="E570" s="1926"/>
      <c r="F570" s="1926"/>
      <c r="G570" s="1926"/>
      <c r="H570" s="1926"/>
      <c r="I570" s="1926"/>
      <c r="J570" s="1927"/>
      <c r="K570" s="1928"/>
      <c r="L570" s="1929"/>
      <c r="M570" s="1930"/>
      <c r="N570" s="1931"/>
      <c r="O570" s="1932"/>
      <c r="P570" s="1908"/>
      <c r="Q570" s="1899"/>
      <c r="R570" s="1899"/>
      <c r="S570" s="1899"/>
      <c r="T570" s="1909"/>
      <c r="U570" s="1908"/>
      <c r="V570" s="1899"/>
      <c r="W570" s="1909"/>
      <c r="X570" s="1910">
        <f t="shared" si="166" ref="X570:X580">P570*U570</f>
        <v>0</v>
      </c>
      <c r="Y570" s="1911"/>
      <c r="Z570" s="1911"/>
      <c r="AA570" s="1911"/>
      <c r="AB570" s="1912"/>
      <c r="AC570" s="913"/>
      <c r="AD570" s="913"/>
      <c r="AE570" s="913"/>
      <c r="AF570" s="913"/>
      <c r="AG570" s="913"/>
      <c r="AH570" s="913"/>
      <c r="AI570" s="913"/>
    </row>
    <row r="571" spans="1:35">
      <c r="A571" s="913"/>
      <c r="B571" s="313">
        <v>2</v>
      </c>
      <c r="C571" s="1703"/>
      <c r="D571" s="1704"/>
      <c r="E571" s="1704"/>
      <c r="F571" s="1704"/>
      <c r="G571" s="1704"/>
      <c r="H571" s="1704"/>
      <c r="I571" s="1704"/>
      <c r="J571" s="1705"/>
      <c r="K571" s="1706"/>
      <c r="L571" s="1707"/>
      <c r="M571" s="1708"/>
      <c r="N571" s="1709"/>
      <c r="O571" s="1710"/>
      <c r="P571" s="1711"/>
      <c r="Q571" s="1712"/>
      <c r="R571" s="1712"/>
      <c r="S571" s="1712"/>
      <c r="T571" s="1713"/>
      <c r="U571" s="1711"/>
      <c r="V571" s="1712"/>
      <c r="W571" s="1713"/>
      <c r="X571" s="1714">
        <f t="shared" si="166">P571*U571</f>
        <v>0</v>
      </c>
      <c r="Y571" s="1715"/>
      <c r="Z571" s="1715"/>
      <c r="AA571" s="1715"/>
      <c r="AB571" s="1716"/>
      <c r="AC571" s="913"/>
      <c r="AD571" s="913"/>
      <c r="AE571" s="913"/>
      <c r="AF571" s="913"/>
      <c r="AG571" s="913"/>
      <c r="AH571" s="913"/>
      <c r="AI571" s="913"/>
    </row>
    <row r="572" spans="1:35">
      <c r="A572" s="913"/>
      <c r="B572" s="1465">
        <v>3</v>
      </c>
      <c r="C572" s="1703" t="s">
        <v>295</v>
      </c>
      <c r="D572" s="1704"/>
      <c r="E572" s="1704"/>
      <c r="F572" s="1704"/>
      <c r="G572" s="1704"/>
      <c r="H572" s="1704"/>
      <c r="I572" s="1704"/>
      <c r="J572" s="1705"/>
      <c r="K572" s="1706"/>
      <c r="L572" s="1707"/>
      <c r="M572" s="1708"/>
      <c r="N572" s="1709"/>
      <c r="O572" s="1710"/>
      <c r="P572" s="1711"/>
      <c r="Q572" s="1712"/>
      <c r="R572" s="1712"/>
      <c r="S572" s="1712"/>
      <c r="T572" s="1713"/>
      <c r="U572" s="1711"/>
      <c r="V572" s="1712"/>
      <c r="W572" s="1713"/>
      <c r="X572" s="1714">
        <f t="shared" si="166">P572*U572</f>
        <v>0</v>
      </c>
      <c r="Y572" s="1715"/>
      <c r="Z572" s="1715"/>
      <c r="AA572" s="1715"/>
      <c r="AB572" s="1716"/>
      <c r="AC572" s="913"/>
      <c r="AD572" s="913"/>
      <c r="AE572" s="913"/>
      <c r="AF572" s="913"/>
      <c r="AG572" s="913"/>
      <c r="AH572" s="913"/>
      <c r="AI572" s="913"/>
    </row>
    <row r="573" spans="1:35">
      <c r="A573" s="913"/>
      <c r="B573" s="313">
        <v>4</v>
      </c>
      <c r="C573" s="1703" t="s">
        <v>295</v>
      </c>
      <c r="D573" s="1704"/>
      <c r="E573" s="1704"/>
      <c r="F573" s="1704"/>
      <c r="G573" s="1704"/>
      <c r="H573" s="1704"/>
      <c r="I573" s="1704"/>
      <c r="J573" s="1705"/>
      <c r="K573" s="1706"/>
      <c r="L573" s="1707"/>
      <c r="M573" s="1708"/>
      <c r="N573" s="1709"/>
      <c r="O573" s="1710"/>
      <c r="P573" s="1711"/>
      <c r="Q573" s="1712"/>
      <c r="R573" s="1712"/>
      <c r="S573" s="1712"/>
      <c r="T573" s="1713"/>
      <c r="U573" s="1711"/>
      <c r="V573" s="1712"/>
      <c r="W573" s="1713"/>
      <c r="X573" s="1714">
        <f t="shared" si="166">P573*U573</f>
        <v>0</v>
      </c>
      <c r="Y573" s="1715"/>
      <c r="Z573" s="1715"/>
      <c r="AA573" s="1715"/>
      <c r="AB573" s="1716"/>
      <c r="AC573" s="913"/>
      <c r="AD573" s="913"/>
      <c r="AE573" s="913"/>
      <c r="AF573" s="913"/>
      <c r="AG573" s="913"/>
      <c r="AH573" s="913"/>
      <c r="AI573" s="913"/>
    </row>
    <row r="574" spans="1:35">
      <c r="A574" s="913"/>
      <c r="B574" s="1465">
        <v>5</v>
      </c>
      <c r="C574" s="1703"/>
      <c r="D574" s="1704"/>
      <c r="E574" s="1704"/>
      <c r="F574" s="1704"/>
      <c r="G574" s="1704"/>
      <c r="H574" s="1704"/>
      <c r="I574" s="1704"/>
      <c r="J574" s="1705"/>
      <c r="K574" s="1706"/>
      <c r="L574" s="1707"/>
      <c r="M574" s="1708"/>
      <c r="N574" s="1709"/>
      <c r="O574" s="1710"/>
      <c r="P574" s="1711"/>
      <c r="Q574" s="1712"/>
      <c r="R574" s="1712"/>
      <c r="S574" s="1712"/>
      <c r="T574" s="1713"/>
      <c r="U574" s="1711"/>
      <c r="V574" s="1712"/>
      <c r="W574" s="1713"/>
      <c r="X574" s="1714">
        <f t="shared" si="166">P574*U574</f>
        <v>0</v>
      </c>
      <c r="Y574" s="1715"/>
      <c r="Z574" s="1715"/>
      <c r="AA574" s="1715"/>
      <c r="AB574" s="1716"/>
      <c r="AC574" s="913"/>
      <c r="AD574" s="913"/>
      <c r="AE574" s="913"/>
      <c r="AF574" s="913"/>
      <c r="AG574" s="913"/>
      <c r="AH574" s="913"/>
      <c r="AI574" s="913"/>
    </row>
    <row r="575" spans="1:35">
      <c r="A575" s="913"/>
      <c r="B575" s="313">
        <v>6</v>
      </c>
      <c r="C575" s="1703" t="s">
        <v>295</v>
      </c>
      <c r="D575" s="1704"/>
      <c r="E575" s="1704"/>
      <c r="F575" s="1704"/>
      <c r="G575" s="1704"/>
      <c r="H575" s="1704"/>
      <c r="I575" s="1704"/>
      <c r="J575" s="1705"/>
      <c r="K575" s="1706"/>
      <c r="L575" s="1707"/>
      <c r="M575" s="1708"/>
      <c r="N575" s="1709"/>
      <c r="O575" s="1710"/>
      <c r="P575" s="1711"/>
      <c r="Q575" s="1712"/>
      <c r="R575" s="1712"/>
      <c r="S575" s="1712"/>
      <c r="T575" s="1713"/>
      <c r="U575" s="1711"/>
      <c r="V575" s="1712"/>
      <c r="W575" s="1713"/>
      <c r="X575" s="1714">
        <f t="shared" si="166">P575*U575</f>
        <v>0</v>
      </c>
      <c r="Y575" s="1715"/>
      <c r="Z575" s="1715"/>
      <c r="AA575" s="1715"/>
      <c r="AB575" s="1716"/>
      <c r="AC575" s="913"/>
      <c r="AD575" s="913"/>
      <c r="AE575" s="913"/>
      <c r="AF575" s="913"/>
      <c r="AG575" s="913"/>
      <c r="AH575" s="913"/>
      <c r="AI575" s="913"/>
    </row>
    <row r="576" spans="1:35">
      <c r="A576" s="913"/>
      <c r="B576" s="1465">
        <v>7</v>
      </c>
      <c r="C576" s="1703" t="s">
        <v>295</v>
      </c>
      <c r="D576" s="1704"/>
      <c r="E576" s="1704"/>
      <c r="F576" s="1704"/>
      <c r="G576" s="1704"/>
      <c r="H576" s="1704"/>
      <c r="I576" s="1704"/>
      <c r="J576" s="1705"/>
      <c r="K576" s="1706"/>
      <c r="L576" s="1707"/>
      <c r="M576" s="1708"/>
      <c r="N576" s="1709"/>
      <c r="O576" s="1710"/>
      <c r="P576" s="1711"/>
      <c r="Q576" s="1712"/>
      <c r="R576" s="1712"/>
      <c r="S576" s="1712"/>
      <c r="T576" s="1713"/>
      <c r="U576" s="1711"/>
      <c r="V576" s="1712"/>
      <c r="W576" s="1713"/>
      <c r="X576" s="1714">
        <f t="shared" si="166">P576*U576</f>
        <v>0</v>
      </c>
      <c r="Y576" s="1715"/>
      <c r="Z576" s="1715"/>
      <c r="AA576" s="1715"/>
      <c r="AB576" s="1716"/>
      <c r="AC576" s="913"/>
      <c r="AD576" s="913"/>
      <c r="AE576" s="913"/>
      <c r="AF576" s="913"/>
      <c r="AG576" s="913"/>
      <c r="AH576" s="913"/>
      <c r="AI576" s="913"/>
    </row>
    <row r="577" spans="1:35">
      <c r="A577" s="913"/>
      <c r="B577" s="313">
        <v>8</v>
      </c>
      <c r="C577" s="1703"/>
      <c r="D577" s="1704"/>
      <c r="E577" s="1704"/>
      <c r="F577" s="1704"/>
      <c r="G577" s="1704"/>
      <c r="H577" s="1704"/>
      <c r="I577" s="1704"/>
      <c r="J577" s="1705"/>
      <c r="K577" s="1706"/>
      <c r="L577" s="1707"/>
      <c r="M577" s="1708"/>
      <c r="N577" s="1709"/>
      <c r="O577" s="1710"/>
      <c r="P577" s="1711"/>
      <c r="Q577" s="1712"/>
      <c r="R577" s="1712"/>
      <c r="S577" s="1712"/>
      <c r="T577" s="1713"/>
      <c r="U577" s="1711"/>
      <c r="V577" s="1712"/>
      <c r="W577" s="1713"/>
      <c r="X577" s="1714">
        <f t="shared" si="166">P577*U577</f>
        <v>0</v>
      </c>
      <c r="Y577" s="1715"/>
      <c r="Z577" s="1715"/>
      <c r="AA577" s="1715"/>
      <c r="AB577" s="1716"/>
      <c r="AC577" s="913"/>
      <c r="AD577" s="913"/>
      <c r="AE577" s="913"/>
      <c r="AF577" s="913"/>
      <c r="AG577" s="913"/>
      <c r="AH577" s="913"/>
      <c r="AI577" s="913"/>
    </row>
    <row r="578" spans="1:35">
      <c r="A578" s="913"/>
      <c r="B578" s="1465">
        <v>9</v>
      </c>
      <c r="C578" s="1703" t="s">
        <v>295</v>
      </c>
      <c r="D578" s="1704"/>
      <c r="E578" s="1704"/>
      <c r="F578" s="1704"/>
      <c r="G578" s="1704"/>
      <c r="H578" s="1704"/>
      <c r="I578" s="1704"/>
      <c r="J578" s="1705"/>
      <c r="K578" s="1706"/>
      <c r="L578" s="1707"/>
      <c r="M578" s="1708"/>
      <c r="N578" s="1709"/>
      <c r="O578" s="1710"/>
      <c r="P578" s="1711"/>
      <c r="Q578" s="1712"/>
      <c r="R578" s="1712"/>
      <c r="S578" s="1712"/>
      <c r="T578" s="1713"/>
      <c r="U578" s="1711"/>
      <c r="V578" s="1712"/>
      <c r="W578" s="1713"/>
      <c r="X578" s="1714">
        <f t="shared" si="166">P578*U578</f>
        <v>0</v>
      </c>
      <c r="Y578" s="1715"/>
      <c r="Z578" s="1715"/>
      <c r="AA578" s="1715"/>
      <c r="AB578" s="1716"/>
      <c r="AC578" s="913"/>
      <c r="AD578" s="913"/>
      <c r="AE578" s="913"/>
      <c r="AF578" s="913"/>
      <c r="AG578" s="913"/>
      <c r="AH578" s="913"/>
      <c r="AI578" s="913"/>
    </row>
    <row r="579" spans="1:35">
      <c r="A579" s="913"/>
      <c r="B579" s="313">
        <v>10</v>
      </c>
      <c r="C579" s="1703" t="s">
        <v>295</v>
      </c>
      <c r="D579" s="1704"/>
      <c r="E579" s="1704"/>
      <c r="F579" s="1704"/>
      <c r="G579" s="1704"/>
      <c r="H579" s="1704"/>
      <c r="I579" s="1704"/>
      <c r="J579" s="1705"/>
      <c r="K579" s="1706"/>
      <c r="L579" s="1707"/>
      <c r="M579" s="1708"/>
      <c r="N579" s="1709"/>
      <c r="O579" s="1710"/>
      <c r="P579" s="1711"/>
      <c r="Q579" s="1712"/>
      <c r="R579" s="1712"/>
      <c r="S579" s="1712"/>
      <c r="T579" s="1713"/>
      <c r="U579" s="1711"/>
      <c r="V579" s="1712"/>
      <c r="W579" s="1713"/>
      <c r="X579" s="1714">
        <f t="shared" si="166">P579*U579</f>
        <v>0</v>
      </c>
      <c r="Y579" s="1715"/>
      <c r="Z579" s="1715"/>
      <c r="AA579" s="1715"/>
      <c r="AB579" s="1716"/>
      <c r="AC579" s="913"/>
      <c r="AD579" s="913"/>
      <c r="AE579" s="913"/>
      <c r="AF579" s="913"/>
      <c r="AG579" s="913"/>
      <c r="AH579" s="913"/>
      <c r="AI579" s="913"/>
    </row>
    <row r="580" spans="1:35" ht="13.5" customHeight="1" thickBot="1">
      <c r="A580" s="913"/>
      <c r="B580" s="314" t="s">
        <v>504</v>
      </c>
      <c r="C580" s="1917" t="s">
        <v>295</v>
      </c>
      <c r="D580" s="1918"/>
      <c r="E580" s="1918"/>
      <c r="F580" s="1918"/>
      <c r="G580" s="1918"/>
      <c r="H580" s="1918"/>
      <c r="I580" s="1918"/>
      <c r="J580" s="1919"/>
      <c r="K580" s="1920"/>
      <c r="L580" s="1921"/>
      <c r="M580" s="1922"/>
      <c r="N580" s="1923"/>
      <c r="O580" s="1924"/>
      <c r="P580" s="1751"/>
      <c r="Q580" s="1752"/>
      <c r="R580" s="1752"/>
      <c r="S580" s="1752"/>
      <c r="T580" s="1753"/>
      <c r="U580" s="1751"/>
      <c r="V580" s="1752"/>
      <c r="W580" s="1753"/>
      <c r="X580" s="1754">
        <f t="shared" si="166">P580*U580</f>
        <v>0</v>
      </c>
      <c r="Y580" s="1755"/>
      <c r="Z580" s="1755"/>
      <c r="AA580" s="1755"/>
      <c r="AB580" s="1756"/>
      <c r="AC580" s="913"/>
      <c r="AD580" s="913"/>
      <c r="AE580" s="913"/>
      <c r="AF580" s="913"/>
      <c r="AG580" s="913"/>
      <c r="AH580" s="913"/>
      <c r="AI580" s="913"/>
    </row>
    <row r="581" spans="1:35" ht="13.5" customHeight="1" thickTop="1" thickBot="1">
      <c r="A581" s="913"/>
      <c r="B581" s="913"/>
      <c r="C581" s="913"/>
      <c r="D581" s="913"/>
      <c r="E581" s="913"/>
      <c r="F581" s="913"/>
      <c r="G581" s="913"/>
      <c r="H581" s="913"/>
      <c r="I581" s="913"/>
      <c r="J581" s="913"/>
      <c r="K581" s="913"/>
      <c r="L581" s="913"/>
      <c r="M581" s="931"/>
      <c r="N581" s="931"/>
      <c r="O581" s="931"/>
      <c r="P581" s="915"/>
      <c r="Q581" s="915"/>
      <c r="R581" s="915"/>
      <c r="S581" s="915"/>
      <c r="T581" s="915"/>
      <c r="U581" s="932"/>
      <c r="V581" s="932"/>
      <c r="W581" s="932"/>
      <c r="X581" s="932"/>
      <c r="Y581" s="932"/>
      <c r="Z581" s="932"/>
      <c r="AA581" s="932"/>
      <c r="AB581" s="932"/>
      <c r="AC581" s="913"/>
      <c r="AD581" s="913"/>
      <c r="AE581" s="913"/>
      <c r="AF581" s="913"/>
      <c r="AG581" s="913"/>
      <c r="AH581" s="913"/>
      <c r="AI581" s="913"/>
    </row>
    <row r="582" spans="1:35" ht="13.5" customHeight="1" thickTop="1" thickBot="1">
      <c r="A582" s="913"/>
      <c r="B582" s="913" t="s">
        <v>518</v>
      </c>
      <c r="C582" s="913"/>
      <c r="D582" s="913"/>
      <c r="E582" s="913"/>
      <c r="F582" s="913"/>
      <c r="G582" s="913"/>
      <c r="H582" s="913"/>
      <c r="I582" s="913"/>
      <c r="J582" s="913"/>
      <c r="K582" s="913"/>
      <c r="L582" s="913"/>
      <c r="M582" s="931"/>
      <c r="N582" s="931"/>
      <c r="O582" s="931"/>
      <c r="P582" s="1836">
        <f>SUM(P570:T580)</f>
        <v>0</v>
      </c>
      <c r="Q582" s="1837"/>
      <c r="R582" s="1837"/>
      <c r="S582" s="1837"/>
      <c r="T582" s="1838"/>
      <c r="U582" s="933"/>
      <c r="V582" s="933"/>
      <c r="W582" s="933"/>
      <c r="X582" s="1657">
        <f>SUM(X570:AB580)</f>
        <v>0</v>
      </c>
      <c r="Y582" s="1658"/>
      <c r="Z582" s="1658"/>
      <c r="AA582" s="1658"/>
      <c r="AB582" s="1659"/>
      <c r="AC582" s="913"/>
      <c r="AD582" s="913"/>
      <c r="AE582" s="913"/>
      <c r="AF582" s="913"/>
      <c r="AG582" s="913"/>
      <c r="AH582" s="913"/>
      <c r="AI582" s="913"/>
    </row>
    <row r="583" spans="1:35" ht="13.5" customHeight="1" thickTop="1">
      <c r="A583" s="913"/>
      <c r="B583" s="913"/>
      <c r="C583" s="913"/>
      <c r="D583" s="913"/>
      <c r="E583" s="913"/>
      <c r="F583" s="913"/>
      <c r="G583" s="913"/>
      <c r="H583" s="913"/>
      <c r="I583" s="913"/>
      <c r="J583" s="913"/>
      <c r="K583" s="913"/>
      <c r="L583" s="913"/>
      <c r="M583" s="931"/>
      <c r="N583" s="931"/>
      <c r="O583" s="931"/>
      <c r="P583" s="915"/>
      <c r="Q583" s="915"/>
      <c r="R583" s="915"/>
      <c r="S583" s="915"/>
      <c r="T583" s="915"/>
      <c r="U583" s="932"/>
      <c r="V583" s="932"/>
      <c r="W583" s="932"/>
      <c r="X583" s="932"/>
      <c r="Y583" s="932"/>
      <c r="Z583" s="932"/>
      <c r="AA583" s="932"/>
      <c r="AB583" s="932"/>
      <c r="AC583" s="913"/>
      <c r="AD583" s="913"/>
      <c r="AE583" s="913"/>
      <c r="AF583" s="913"/>
      <c r="AG583" s="913"/>
      <c r="AH583" s="913"/>
      <c r="AI583" s="913"/>
    </row>
    <row r="584" spans="1:35" ht="13.5" customHeight="1">
      <c r="A584" s="913"/>
      <c r="B584" s="914" t="s">
        <v>519</v>
      </c>
      <c r="C584" s="913"/>
      <c r="D584" s="913"/>
      <c r="E584" s="913"/>
      <c r="F584" s="913"/>
      <c r="G584" s="913"/>
      <c r="H584" s="913"/>
      <c r="I584" s="913"/>
      <c r="J584" s="913"/>
      <c r="K584" s="913"/>
      <c r="L584" s="913"/>
      <c r="M584" s="931"/>
      <c r="N584" s="931"/>
      <c r="O584" s="931"/>
      <c r="P584" s="915"/>
      <c r="Q584" s="915"/>
      <c r="R584" s="915"/>
      <c r="S584" s="915"/>
      <c r="T584" s="915"/>
      <c r="U584" s="932"/>
      <c r="V584" s="932"/>
      <c r="W584" s="932"/>
      <c r="X584" s="932"/>
      <c r="Y584" s="932"/>
      <c r="Z584" s="932"/>
      <c r="AA584" s="932"/>
      <c r="AB584" s="932"/>
      <c r="AC584" s="913"/>
      <c r="AD584" s="913"/>
      <c r="AE584" s="913"/>
      <c r="AF584" s="913"/>
      <c r="AG584" s="913"/>
      <c r="AH584" s="913"/>
      <c r="AI584" s="913"/>
    </row>
    <row r="585" spans="1:35" ht="13.5" customHeight="1" thickBot="1">
      <c r="A585" s="913"/>
      <c r="B585" s="913"/>
      <c r="C585" s="913"/>
      <c r="D585" s="913"/>
      <c r="E585" s="913"/>
      <c r="F585" s="913"/>
      <c r="G585" s="913"/>
      <c r="H585" s="913"/>
      <c r="I585" s="913"/>
      <c r="J585" s="913"/>
      <c r="K585" s="913"/>
      <c r="L585" s="913"/>
      <c r="M585" s="931"/>
      <c r="N585" s="931"/>
      <c r="O585" s="931"/>
      <c r="P585" s="915"/>
      <c r="Q585" s="915"/>
      <c r="R585" s="915"/>
      <c r="S585" s="915"/>
      <c r="T585" s="915"/>
      <c r="U585" s="932"/>
      <c r="V585" s="932"/>
      <c r="W585" s="932"/>
      <c r="X585" s="932"/>
      <c r="Y585" s="932"/>
      <c r="Z585" s="932"/>
      <c r="AA585" s="932"/>
      <c r="AB585" s="932"/>
      <c r="AC585" s="913"/>
      <c r="AD585" s="913"/>
      <c r="AE585" s="913"/>
      <c r="AF585" s="913"/>
      <c r="AG585" s="913"/>
      <c r="AH585" s="913"/>
      <c r="AI585" s="913"/>
    </row>
    <row r="586" spans="1:35" ht="13.5" customHeight="1" thickTop="1">
      <c r="A586" s="913"/>
      <c r="B586" s="312">
        <v>1</v>
      </c>
      <c r="C586" s="1925"/>
      <c r="D586" s="1926"/>
      <c r="E586" s="1926"/>
      <c r="F586" s="1926"/>
      <c r="G586" s="1926"/>
      <c r="H586" s="1926"/>
      <c r="I586" s="1926"/>
      <c r="J586" s="1927"/>
      <c r="K586" s="1928"/>
      <c r="L586" s="1929"/>
      <c r="M586" s="1930"/>
      <c r="N586" s="1931"/>
      <c r="O586" s="1932"/>
      <c r="P586" s="1908"/>
      <c r="Q586" s="1899"/>
      <c r="R586" s="1899"/>
      <c r="S586" s="1899"/>
      <c r="T586" s="1909"/>
      <c r="U586" s="1908"/>
      <c r="V586" s="1899"/>
      <c r="W586" s="1909"/>
      <c r="X586" s="1910">
        <f t="shared" si="167" ref="X586:X596">P586*U586</f>
        <v>0</v>
      </c>
      <c r="Y586" s="1911"/>
      <c r="Z586" s="1911"/>
      <c r="AA586" s="1911"/>
      <c r="AB586" s="1912"/>
      <c r="AC586" s="913"/>
      <c r="AD586" s="913"/>
      <c r="AE586" s="913" t="s">
        <v>295</v>
      </c>
      <c r="AF586" s="913"/>
      <c r="AG586" s="913"/>
      <c r="AH586" s="913"/>
      <c r="AI586" s="913"/>
    </row>
    <row r="587" spans="1:35">
      <c r="A587" s="913"/>
      <c r="B587" s="313">
        <v>2</v>
      </c>
      <c r="C587" s="1703"/>
      <c r="D587" s="1704"/>
      <c r="E587" s="1704"/>
      <c r="F587" s="1704"/>
      <c r="G587" s="1704"/>
      <c r="H587" s="1704"/>
      <c r="I587" s="1704"/>
      <c r="J587" s="1705"/>
      <c r="K587" s="1706"/>
      <c r="L587" s="1707"/>
      <c r="M587" s="1708"/>
      <c r="N587" s="1709"/>
      <c r="O587" s="1710"/>
      <c r="P587" s="1711"/>
      <c r="Q587" s="1712"/>
      <c r="R587" s="1712"/>
      <c r="S587" s="1712"/>
      <c r="T587" s="1713"/>
      <c r="U587" s="1711"/>
      <c r="V587" s="1712"/>
      <c r="W587" s="1713"/>
      <c r="X587" s="1714">
        <f t="shared" si="167">P587*U587</f>
        <v>0</v>
      </c>
      <c r="Y587" s="1715"/>
      <c r="Z587" s="1715"/>
      <c r="AA587" s="1715"/>
      <c r="AB587" s="1716"/>
      <c r="AC587" s="913"/>
      <c r="AD587" s="913"/>
      <c r="AE587" s="913"/>
      <c r="AF587" s="913"/>
      <c r="AG587" s="913"/>
      <c r="AH587" s="913"/>
      <c r="AI587" s="913"/>
    </row>
    <row r="588" spans="1:35">
      <c r="A588" s="913"/>
      <c r="B588" s="1465">
        <v>3</v>
      </c>
      <c r="C588" s="1703" t="s">
        <v>295</v>
      </c>
      <c r="D588" s="1704"/>
      <c r="E588" s="1704"/>
      <c r="F588" s="1704"/>
      <c r="G588" s="1704"/>
      <c r="H588" s="1704"/>
      <c r="I588" s="1704"/>
      <c r="J588" s="1705"/>
      <c r="K588" s="1706"/>
      <c r="L588" s="1707"/>
      <c r="M588" s="1708"/>
      <c r="N588" s="1709"/>
      <c r="O588" s="1710"/>
      <c r="P588" s="1711"/>
      <c r="Q588" s="1712"/>
      <c r="R588" s="1712"/>
      <c r="S588" s="1712"/>
      <c r="T588" s="1713"/>
      <c r="U588" s="1711"/>
      <c r="V588" s="1712"/>
      <c r="W588" s="1713"/>
      <c r="X588" s="1714">
        <f t="shared" si="167">P588*U588</f>
        <v>0</v>
      </c>
      <c r="Y588" s="1715"/>
      <c r="Z588" s="1715"/>
      <c r="AA588" s="1715"/>
      <c r="AB588" s="1716"/>
      <c r="AC588" s="913"/>
      <c r="AD588" s="913"/>
      <c r="AE588" s="913"/>
      <c r="AF588" s="913"/>
      <c r="AG588" s="913"/>
      <c r="AH588" s="913"/>
      <c r="AI588" s="913"/>
    </row>
    <row r="589" spans="1:35">
      <c r="A589" s="913"/>
      <c r="B589" s="313">
        <v>4</v>
      </c>
      <c r="C589" s="1703" t="s">
        <v>295</v>
      </c>
      <c r="D589" s="1704"/>
      <c r="E589" s="1704"/>
      <c r="F589" s="1704"/>
      <c r="G589" s="1704"/>
      <c r="H589" s="1704"/>
      <c r="I589" s="1704"/>
      <c r="J589" s="1705"/>
      <c r="K589" s="1706"/>
      <c r="L589" s="1707"/>
      <c r="M589" s="1708"/>
      <c r="N589" s="1709"/>
      <c r="O589" s="1710"/>
      <c r="P589" s="1711"/>
      <c r="Q589" s="1712"/>
      <c r="R589" s="1712"/>
      <c r="S589" s="1712"/>
      <c r="T589" s="1713"/>
      <c r="U589" s="1711"/>
      <c r="V589" s="1712"/>
      <c r="W589" s="1713"/>
      <c r="X589" s="1714">
        <f t="shared" si="167">P589*U589</f>
        <v>0</v>
      </c>
      <c r="Y589" s="1715"/>
      <c r="Z589" s="1715"/>
      <c r="AA589" s="1715"/>
      <c r="AB589" s="1716"/>
      <c r="AC589" s="913"/>
      <c r="AD589" s="913"/>
      <c r="AE589" s="913"/>
      <c r="AF589" s="913"/>
      <c r="AG589" s="913"/>
      <c r="AH589" s="913"/>
      <c r="AI589" s="913"/>
    </row>
    <row r="590" spans="1:35">
      <c r="A590" s="913"/>
      <c r="B590" s="1465">
        <v>5</v>
      </c>
      <c r="C590" s="1703"/>
      <c r="D590" s="1704"/>
      <c r="E590" s="1704"/>
      <c r="F590" s="1704"/>
      <c r="G590" s="1704"/>
      <c r="H590" s="1704"/>
      <c r="I590" s="1704"/>
      <c r="J590" s="1705"/>
      <c r="K590" s="1706"/>
      <c r="L590" s="1707"/>
      <c r="M590" s="1708"/>
      <c r="N590" s="1709"/>
      <c r="O590" s="1710"/>
      <c r="P590" s="1711"/>
      <c r="Q590" s="1712"/>
      <c r="R590" s="1712"/>
      <c r="S590" s="1712"/>
      <c r="T590" s="1713"/>
      <c r="U590" s="1711"/>
      <c r="V590" s="1712"/>
      <c r="W590" s="1713"/>
      <c r="X590" s="1714">
        <f t="shared" si="167">P590*U590</f>
        <v>0</v>
      </c>
      <c r="Y590" s="1715"/>
      <c r="Z590" s="1715"/>
      <c r="AA590" s="1715"/>
      <c r="AB590" s="1716"/>
      <c r="AC590" s="913"/>
      <c r="AD590" s="913"/>
      <c r="AE590" s="913"/>
      <c r="AF590" s="913"/>
      <c r="AG590" s="913"/>
      <c r="AH590" s="913"/>
      <c r="AI590" s="913"/>
    </row>
    <row r="591" spans="1:35">
      <c r="A591" s="913"/>
      <c r="B591" s="313">
        <v>6</v>
      </c>
      <c r="C591" s="1703" t="s">
        <v>295</v>
      </c>
      <c r="D591" s="1704"/>
      <c r="E591" s="1704"/>
      <c r="F591" s="1704"/>
      <c r="G591" s="1704"/>
      <c r="H591" s="1704"/>
      <c r="I591" s="1704"/>
      <c r="J591" s="1705"/>
      <c r="K591" s="1706"/>
      <c r="L591" s="1707"/>
      <c r="M591" s="1708"/>
      <c r="N591" s="1709"/>
      <c r="O591" s="1710"/>
      <c r="P591" s="1711"/>
      <c r="Q591" s="1712"/>
      <c r="R591" s="1712"/>
      <c r="S591" s="1712"/>
      <c r="T591" s="1713"/>
      <c r="U591" s="1711"/>
      <c r="V591" s="1712"/>
      <c r="W591" s="1713"/>
      <c r="X591" s="1714">
        <f t="shared" si="167">P591*U591</f>
        <v>0</v>
      </c>
      <c r="Y591" s="1715"/>
      <c r="Z591" s="1715"/>
      <c r="AA591" s="1715"/>
      <c r="AB591" s="1716"/>
      <c r="AC591" s="913"/>
      <c r="AD591" s="913"/>
      <c r="AE591" s="913"/>
      <c r="AF591" s="913"/>
      <c r="AG591" s="913"/>
      <c r="AH591" s="913"/>
      <c r="AI591" s="913"/>
    </row>
    <row r="592" spans="1:35">
      <c r="A592" s="913"/>
      <c r="B592" s="1465">
        <v>7</v>
      </c>
      <c r="C592" s="1703" t="s">
        <v>295</v>
      </c>
      <c r="D592" s="1704"/>
      <c r="E592" s="1704"/>
      <c r="F592" s="1704"/>
      <c r="G592" s="1704"/>
      <c r="H592" s="1704"/>
      <c r="I592" s="1704"/>
      <c r="J592" s="1705"/>
      <c r="K592" s="1706"/>
      <c r="L592" s="1707"/>
      <c r="M592" s="1708"/>
      <c r="N592" s="1709"/>
      <c r="O592" s="1710"/>
      <c r="P592" s="1711"/>
      <c r="Q592" s="1712"/>
      <c r="R592" s="1712"/>
      <c r="S592" s="1712"/>
      <c r="T592" s="1713"/>
      <c r="U592" s="1711"/>
      <c r="V592" s="1712"/>
      <c r="W592" s="1713"/>
      <c r="X592" s="1714">
        <f t="shared" si="167">P592*U592</f>
        <v>0</v>
      </c>
      <c r="Y592" s="1715"/>
      <c r="Z592" s="1715"/>
      <c r="AA592" s="1715"/>
      <c r="AB592" s="1716"/>
      <c r="AC592" s="913"/>
      <c r="AD592" s="913"/>
      <c r="AE592" s="913"/>
      <c r="AF592" s="913"/>
      <c r="AG592" s="913"/>
      <c r="AH592" s="913"/>
      <c r="AI592" s="913"/>
    </row>
    <row r="593" spans="1:35">
      <c r="A593" s="913"/>
      <c r="B593" s="313">
        <v>8</v>
      </c>
      <c r="C593" s="1703"/>
      <c r="D593" s="1704"/>
      <c r="E593" s="1704"/>
      <c r="F593" s="1704"/>
      <c r="G593" s="1704"/>
      <c r="H593" s="1704"/>
      <c r="I593" s="1704"/>
      <c r="J593" s="1705"/>
      <c r="K593" s="1706"/>
      <c r="L593" s="1707"/>
      <c r="M593" s="1708"/>
      <c r="N593" s="1709"/>
      <c r="O593" s="1710"/>
      <c r="P593" s="1711"/>
      <c r="Q593" s="1712"/>
      <c r="R593" s="1712"/>
      <c r="S593" s="1712"/>
      <c r="T593" s="1713"/>
      <c r="U593" s="1711"/>
      <c r="V593" s="1712"/>
      <c r="W593" s="1713"/>
      <c r="X593" s="1714">
        <f t="shared" si="167">P593*U593</f>
        <v>0</v>
      </c>
      <c r="Y593" s="1715"/>
      <c r="Z593" s="1715"/>
      <c r="AA593" s="1715"/>
      <c r="AB593" s="1716"/>
      <c r="AC593" s="913"/>
      <c r="AD593" s="913"/>
      <c r="AE593" s="913"/>
      <c r="AF593" s="913"/>
      <c r="AG593" s="913"/>
      <c r="AH593" s="913"/>
      <c r="AI593" s="913"/>
    </row>
    <row r="594" spans="1:35">
      <c r="A594" s="913"/>
      <c r="B594" s="1465">
        <v>9</v>
      </c>
      <c r="C594" s="1703" t="s">
        <v>295</v>
      </c>
      <c r="D594" s="1704"/>
      <c r="E594" s="1704"/>
      <c r="F594" s="1704"/>
      <c r="G594" s="1704"/>
      <c r="H594" s="1704"/>
      <c r="I594" s="1704"/>
      <c r="J594" s="1705"/>
      <c r="K594" s="1706"/>
      <c r="L594" s="1707"/>
      <c r="M594" s="1708"/>
      <c r="N594" s="1709"/>
      <c r="O594" s="1710"/>
      <c r="P594" s="1711"/>
      <c r="Q594" s="1712"/>
      <c r="R594" s="1712"/>
      <c r="S594" s="1712"/>
      <c r="T594" s="1713"/>
      <c r="U594" s="1711"/>
      <c r="V594" s="1712"/>
      <c r="W594" s="1713"/>
      <c r="X594" s="1714">
        <f t="shared" si="167">P594*U594</f>
        <v>0</v>
      </c>
      <c r="Y594" s="1715"/>
      <c r="Z594" s="1715"/>
      <c r="AA594" s="1715"/>
      <c r="AB594" s="1716"/>
      <c r="AC594" s="913"/>
      <c r="AD594" s="913"/>
      <c r="AE594" s="913"/>
      <c r="AF594" s="913"/>
      <c r="AG594" s="913"/>
      <c r="AH594" s="913"/>
      <c r="AI594" s="913"/>
    </row>
    <row r="595" spans="1:35">
      <c r="A595" s="913"/>
      <c r="B595" s="313">
        <v>10</v>
      </c>
      <c r="C595" s="1703" t="s">
        <v>295</v>
      </c>
      <c r="D595" s="1704"/>
      <c r="E595" s="1704"/>
      <c r="F595" s="1704"/>
      <c r="G595" s="1704"/>
      <c r="H595" s="1704"/>
      <c r="I595" s="1704"/>
      <c r="J595" s="1705"/>
      <c r="K595" s="1706"/>
      <c r="L595" s="1707"/>
      <c r="M595" s="1708"/>
      <c r="N595" s="1709"/>
      <c r="O595" s="1710"/>
      <c r="P595" s="1711"/>
      <c r="Q595" s="1712"/>
      <c r="R595" s="1712"/>
      <c r="S595" s="1712"/>
      <c r="T595" s="1713"/>
      <c r="U595" s="1711"/>
      <c r="V595" s="1712"/>
      <c r="W595" s="1713"/>
      <c r="X595" s="1714">
        <f t="shared" si="167">P595*U595</f>
        <v>0</v>
      </c>
      <c r="Y595" s="1715"/>
      <c r="Z595" s="1715"/>
      <c r="AA595" s="1715"/>
      <c r="AB595" s="1716"/>
      <c r="AC595" s="913"/>
      <c r="AD595" s="913"/>
      <c r="AE595" s="913"/>
      <c r="AF595" s="913"/>
      <c r="AG595" s="913"/>
      <c r="AH595" s="913"/>
      <c r="AI595" s="913"/>
    </row>
    <row r="596" spans="1:35" ht="13.5" customHeight="1" thickBot="1">
      <c r="A596" s="913"/>
      <c r="B596" s="314" t="s">
        <v>504</v>
      </c>
      <c r="C596" s="1917" t="s">
        <v>295</v>
      </c>
      <c r="D596" s="1918"/>
      <c r="E596" s="1918"/>
      <c r="F596" s="1918"/>
      <c r="G596" s="1918"/>
      <c r="H596" s="1918"/>
      <c r="I596" s="1918"/>
      <c r="J596" s="1919"/>
      <c r="K596" s="1920"/>
      <c r="L596" s="1921"/>
      <c r="M596" s="1922"/>
      <c r="N596" s="1923"/>
      <c r="O596" s="1924"/>
      <c r="P596" s="1751"/>
      <c r="Q596" s="1752"/>
      <c r="R596" s="1752"/>
      <c r="S596" s="1752"/>
      <c r="T596" s="1753"/>
      <c r="U596" s="1751"/>
      <c r="V596" s="1752"/>
      <c r="W596" s="1753"/>
      <c r="X596" s="1754">
        <f t="shared" si="167">P596*U596</f>
        <v>0</v>
      </c>
      <c r="Y596" s="1755"/>
      <c r="Z596" s="1755"/>
      <c r="AA596" s="1755"/>
      <c r="AB596" s="1756"/>
      <c r="AC596" s="913"/>
      <c r="AD596" s="913"/>
      <c r="AE596" s="913"/>
      <c r="AF596" s="913"/>
      <c r="AG596" s="913"/>
      <c r="AH596" s="913"/>
      <c r="AI596" s="913"/>
    </row>
    <row r="597" spans="1:35" ht="13.5" customHeight="1" thickTop="1" thickBot="1">
      <c r="A597" s="913"/>
      <c r="B597" s="913"/>
      <c r="C597" s="913"/>
      <c r="D597" s="913"/>
      <c r="E597" s="913"/>
      <c r="F597" s="913"/>
      <c r="G597" s="913"/>
      <c r="H597" s="913"/>
      <c r="I597" s="913"/>
      <c r="J597" s="913"/>
      <c r="K597" s="913"/>
      <c r="L597" s="913"/>
      <c r="M597" s="913"/>
      <c r="N597" s="913"/>
      <c r="O597" s="913"/>
      <c r="P597" s="913"/>
      <c r="Q597" s="913"/>
      <c r="R597" s="913"/>
      <c r="S597" s="913"/>
      <c r="T597" s="913"/>
      <c r="U597" s="913"/>
      <c r="V597" s="913"/>
      <c r="W597" s="913" t="s">
        <v>295</v>
      </c>
      <c r="X597" s="932"/>
      <c r="Y597" s="932"/>
      <c r="Z597" s="932"/>
      <c r="AA597" s="932"/>
      <c r="AB597" s="932"/>
      <c r="AC597" s="913"/>
      <c r="AD597" s="913"/>
      <c r="AE597" s="913"/>
      <c r="AF597" s="913" t="s">
        <v>295</v>
      </c>
      <c r="AG597" s="913"/>
      <c r="AH597" s="913"/>
      <c r="AI597" s="913"/>
    </row>
    <row r="598" spans="1:35" ht="13.5" customHeight="1" thickTop="1" thickBot="1">
      <c r="A598" s="913"/>
      <c r="B598" s="913" t="s">
        <v>520</v>
      </c>
      <c r="C598" s="913"/>
      <c r="D598" s="913"/>
      <c r="E598" s="913"/>
      <c r="F598" s="913"/>
      <c r="G598" s="913"/>
      <c r="H598" s="913"/>
      <c r="I598" s="913"/>
      <c r="J598" s="913"/>
      <c r="K598" s="913"/>
      <c r="L598" s="913"/>
      <c r="M598" s="913"/>
      <c r="N598" s="913"/>
      <c r="O598" s="913"/>
      <c r="P598" s="1836">
        <f>SUM(P586:T596)</f>
        <v>0</v>
      </c>
      <c r="Q598" s="1837"/>
      <c r="R598" s="1837"/>
      <c r="S598" s="1837"/>
      <c r="T598" s="1838"/>
      <c r="U598" s="924"/>
      <c r="V598" s="924"/>
      <c r="W598" s="924"/>
      <c r="X598" s="1657">
        <f>SUM(X586:AB596)</f>
        <v>0</v>
      </c>
      <c r="Y598" s="1658"/>
      <c r="Z598" s="1658"/>
      <c r="AA598" s="1658"/>
      <c r="AB598" s="1659"/>
      <c r="AC598" s="913"/>
      <c r="AD598" s="913"/>
      <c r="AE598" s="913"/>
      <c r="AF598" s="913"/>
      <c r="AG598" s="913"/>
      <c r="AH598" s="913"/>
      <c r="AI598" s="913"/>
    </row>
    <row r="599" spans="1:35" ht="13.5" customHeight="1" thickTop="1">
      <c r="A599" s="913"/>
      <c r="B599" s="913"/>
      <c r="C599" s="913"/>
      <c r="D599" s="913"/>
      <c r="E599" s="913"/>
      <c r="F599" s="913"/>
      <c r="G599" s="913"/>
      <c r="H599" s="913"/>
      <c r="I599" s="913"/>
      <c r="J599" s="913"/>
      <c r="K599" s="913"/>
      <c r="L599" s="913"/>
      <c r="M599" s="913"/>
      <c r="N599" s="913"/>
      <c r="O599" s="913"/>
      <c r="P599" s="913"/>
      <c r="Q599" s="913"/>
      <c r="R599" s="913"/>
      <c r="S599" s="913"/>
      <c r="T599" s="913"/>
      <c r="U599" s="913"/>
      <c r="V599" s="913"/>
      <c r="W599" s="913"/>
      <c r="X599" s="913"/>
      <c r="Y599" s="913"/>
      <c r="Z599" s="913"/>
      <c r="AA599" s="913"/>
      <c r="AB599" s="913"/>
      <c r="AC599" s="913"/>
      <c r="AD599" s="913"/>
      <c r="AE599" s="913"/>
      <c r="AF599" s="913"/>
      <c r="AG599" s="913"/>
      <c r="AH599" s="913"/>
      <c r="AI599" s="913"/>
    </row>
    <row r="600" spans="1:35" ht="13.5" customHeight="1">
      <c r="A600" s="913"/>
      <c r="B600" s="914" t="s">
        <v>521</v>
      </c>
      <c r="C600" s="913"/>
      <c r="D600" s="913"/>
      <c r="E600" s="913"/>
      <c r="F600" s="913"/>
      <c r="G600" s="913"/>
      <c r="H600" s="913"/>
      <c r="I600" s="913"/>
      <c r="J600" s="913"/>
      <c r="K600" s="913"/>
      <c r="L600" s="913"/>
      <c r="M600" s="913"/>
      <c r="N600" s="913"/>
      <c r="O600" s="913"/>
      <c r="P600" s="913"/>
      <c r="Q600" s="913"/>
      <c r="R600" s="913"/>
      <c r="S600" s="913"/>
      <c r="T600" s="913"/>
      <c r="U600" s="913"/>
      <c r="V600" s="913"/>
      <c r="W600" s="913"/>
      <c r="X600" s="913"/>
      <c r="Y600" s="913"/>
      <c r="Z600" s="913"/>
      <c r="AA600" s="913"/>
      <c r="AB600" s="913"/>
      <c r="AC600" s="913"/>
      <c r="AD600" s="913"/>
      <c r="AE600" s="913"/>
      <c r="AF600" s="913"/>
      <c r="AG600" s="913"/>
      <c r="AH600" s="913"/>
      <c r="AI600" s="913"/>
    </row>
    <row r="601" spans="1:35" ht="13.5" customHeight="1" thickBot="1">
      <c r="A601" s="913"/>
      <c r="B601" s="913"/>
      <c r="C601" s="913"/>
      <c r="D601" s="913"/>
      <c r="E601" s="913"/>
      <c r="F601" s="913"/>
      <c r="G601" s="913"/>
      <c r="H601" s="913"/>
      <c r="I601" s="913"/>
      <c r="J601" s="913"/>
      <c r="K601" s="913"/>
      <c r="L601" s="913"/>
      <c r="M601" s="913"/>
      <c r="N601" s="913"/>
      <c r="O601" s="913"/>
      <c r="P601" s="913"/>
      <c r="Q601" s="913"/>
      <c r="R601" s="913"/>
      <c r="S601" s="913"/>
      <c r="T601" s="913"/>
      <c r="U601" s="913"/>
      <c r="V601" s="913"/>
      <c r="W601" s="913"/>
      <c r="X601" s="913"/>
      <c r="Y601" s="913"/>
      <c r="Z601" s="913"/>
      <c r="AA601" s="913"/>
      <c r="AB601" s="913"/>
      <c r="AC601" s="913"/>
      <c r="AD601" s="913"/>
      <c r="AE601" s="913"/>
      <c r="AF601" s="913"/>
      <c r="AG601" s="913"/>
      <c r="AH601" s="913"/>
      <c r="AI601" s="913"/>
    </row>
    <row r="602" spans="1:35" ht="13.5" customHeight="1" thickTop="1">
      <c r="A602" s="913"/>
      <c r="B602" s="913" t="s">
        <v>522</v>
      </c>
      <c r="C602" s="913"/>
      <c r="D602" s="913"/>
      <c r="E602" s="913"/>
      <c r="F602" s="913"/>
      <c r="G602" s="913"/>
      <c r="H602" s="913"/>
      <c r="I602" s="913"/>
      <c r="J602" s="913"/>
      <c r="K602" s="913"/>
      <c r="L602" s="913"/>
      <c r="M602" s="913"/>
      <c r="N602" s="913"/>
      <c r="O602" s="913"/>
      <c r="P602" s="1898"/>
      <c r="Q602" s="1899"/>
      <c r="R602" s="1899"/>
      <c r="S602" s="1899"/>
      <c r="T602" s="1900"/>
      <c r="U602" s="913"/>
      <c r="V602" s="913"/>
      <c r="W602" s="913"/>
      <c r="X602" s="913"/>
      <c r="Y602" s="913"/>
      <c r="Z602" s="913"/>
      <c r="AA602" s="913"/>
      <c r="AB602" s="913"/>
      <c r="AC602" s="913"/>
      <c r="AD602" s="913"/>
      <c r="AE602" s="913"/>
      <c r="AF602" s="913"/>
      <c r="AG602" s="913"/>
      <c r="AH602" s="913"/>
      <c r="AI602" s="913"/>
    </row>
    <row r="603" spans="1:35">
      <c r="A603" s="913"/>
      <c r="B603" s="913" t="s">
        <v>523</v>
      </c>
      <c r="C603" s="913"/>
      <c r="D603" s="913"/>
      <c r="E603" s="913"/>
      <c r="F603" s="913"/>
      <c r="G603" s="913"/>
      <c r="H603" s="913"/>
      <c r="I603" s="913"/>
      <c r="J603" s="913"/>
      <c r="K603" s="913"/>
      <c r="L603" s="913"/>
      <c r="M603" s="913"/>
      <c r="N603" s="913"/>
      <c r="O603" s="913"/>
      <c r="P603" s="1901"/>
      <c r="Q603" s="1902"/>
      <c r="R603" s="1902"/>
      <c r="S603" s="1902"/>
      <c r="T603" s="1903"/>
      <c r="U603" s="913"/>
      <c r="V603" s="913"/>
      <c r="W603" s="913"/>
      <c r="X603" s="913"/>
      <c r="Y603" s="913"/>
      <c r="Z603" s="913"/>
      <c r="AA603" s="913"/>
      <c r="AB603" s="913"/>
      <c r="AC603" s="913"/>
      <c r="AD603" s="913"/>
      <c r="AE603" s="913"/>
      <c r="AF603" s="913"/>
      <c r="AG603" s="913"/>
      <c r="AH603" s="913"/>
      <c r="AI603" s="913"/>
    </row>
    <row r="604" spans="1:35" ht="13.5" customHeight="1" thickBot="1">
      <c r="A604" s="913"/>
      <c r="B604" s="913" t="s">
        <v>524</v>
      </c>
      <c r="C604" s="913"/>
      <c r="D604" s="913"/>
      <c r="E604" s="913"/>
      <c r="F604" s="913"/>
      <c r="G604" s="913"/>
      <c r="H604" s="913"/>
      <c r="I604" s="913"/>
      <c r="J604" s="913"/>
      <c r="K604" s="913"/>
      <c r="L604" s="913"/>
      <c r="M604" s="913"/>
      <c r="N604" s="913"/>
      <c r="O604" s="913"/>
      <c r="P604" s="1904">
        <v>0.05</v>
      </c>
      <c r="Q604" s="1905"/>
      <c r="R604" s="1905"/>
      <c r="S604" s="1905"/>
      <c r="T604" s="1906"/>
      <c r="U604" s="913"/>
      <c r="V604" s="913"/>
      <c r="W604" s="913"/>
      <c r="X604" s="913"/>
      <c r="Y604" s="913"/>
      <c r="Z604" s="913"/>
      <c r="AA604" s="913"/>
      <c r="AB604" s="913"/>
      <c r="AC604" s="913"/>
      <c r="AD604" s="913"/>
      <c r="AE604" s="913"/>
      <c r="AF604" s="913"/>
      <c r="AG604" s="913"/>
      <c r="AH604" s="913"/>
      <c r="AI604" s="913"/>
    </row>
    <row r="605" spans="1:40" ht="13.5" customHeight="1" thickTop="1" thickBot="1">
      <c r="A605" s="913"/>
      <c r="B605" s="913" t="s">
        <v>525</v>
      </c>
      <c r="C605" s="913"/>
      <c r="D605" s="913"/>
      <c r="E605" s="913"/>
      <c r="F605" s="913"/>
      <c r="G605" s="913"/>
      <c r="H605" s="913"/>
      <c r="I605" s="913"/>
      <c r="J605" s="913"/>
      <c r="K605" s="913"/>
      <c r="L605" s="913"/>
      <c r="M605" s="913"/>
      <c r="N605" s="913"/>
      <c r="O605" s="913"/>
      <c r="P605" s="1881">
        <f>P602*P604*'GENERAL INFO'!V109/12</f>
        <v>0</v>
      </c>
      <c r="Q605" s="1882"/>
      <c r="R605" s="1882"/>
      <c r="S605" s="1882"/>
      <c r="T605" s="1883"/>
      <c r="U605" s="1884"/>
      <c r="V605" s="1885"/>
      <c r="W605" s="1886"/>
      <c r="X605" s="1887">
        <f>P605*U605</f>
        <v>0</v>
      </c>
      <c r="Y605" s="1737"/>
      <c r="Z605" s="1737"/>
      <c r="AA605" s="1737"/>
      <c r="AB605" s="1738"/>
      <c r="AC605" s="913"/>
      <c r="AD605" s="913"/>
      <c r="AE605" s="913"/>
      <c r="AF605" s="913"/>
      <c r="AG605" s="913"/>
      <c r="AH605" s="913"/>
      <c r="AI605" s="913"/>
      <c r="AN605" s="303" t="s">
        <v>295</v>
      </c>
    </row>
    <row r="606" spans="1:35" ht="13.5" customHeight="1" thickTop="1" thickBot="1">
      <c r="A606" s="913"/>
      <c r="B606" s="913"/>
      <c r="C606" s="913"/>
      <c r="D606" s="913"/>
      <c r="E606" s="913"/>
      <c r="F606" s="913"/>
      <c r="G606" s="913"/>
      <c r="H606" s="913"/>
      <c r="I606" s="913"/>
      <c r="J606" s="913"/>
      <c r="K606" s="913"/>
      <c r="L606" s="913"/>
      <c r="M606" s="913"/>
      <c r="N606" s="913"/>
      <c r="O606" s="913"/>
      <c r="P606" s="924"/>
      <c r="Q606" s="924"/>
      <c r="R606" s="924"/>
      <c r="S606" s="924"/>
      <c r="T606" s="924"/>
      <c r="U606" s="913"/>
      <c r="V606" s="913"/>
      <c r="W606" s="913"/>
      <c r="X606" s="924"/>
      <c r="Y606" s="924"/>
      <c r="Z606" s="924"/>
      <c r="AA606" s="924"/>
      <c r="AB606" s="924"/>
      <c r="AC606" s="913"/>
      <c r="AD606" s="913"/>
      <c r="AE606" s="913"/>
      <c r="AF606" s="913"/>
      <c r="AG606" s="913"/>
      <c r="AH606" s="913"/>
      <c r="AI606" s="913"/>
    </row>
    <row r="607" spans="1:35" ht="14.25" customHeight="1" thickTop="1" thickBot="1">
      <c r="A607" s="913"/>
      <c r="B607" s="914" t="s">
        <v>526</v>
      </c>
      <c r="C607" s="914"/>
      <c r="D607" s="914"/>
      <c r="E607" s="913"/>
      <c r="F607" s="913"/>
      <c r="G607" s="913"/>
      <c r="H607" s="913"/>
      <c r="I607" s="913"/>
      <c r="J607" s="913"/>
      <c r="K607" s="913"/>
      <c r="L607" s="913"/>
      <c r="M607" s="913"/>
      <c r="N607" s="913"/>
      <c r="O607" s="913"/>
      <c r="P607" s="1895">
        <f>P582-P598-P605</f>
        <v>0</v>
      </c>
      <c r="Q607" s="1896"/>
      <c r="R607" s="1896"/>
      <c r="S607" s="1896"/>
      <c r="T607" s="1897"/>
      <c r="U607" s="913"/>
      <c r="V607" s="913"/>
      <c r="W607" s="913"/>
      <c r="X607" s="1888">
        <f>X582-X598-X605</f>
        <v>0</v>
      </c>
      <c r="Y607" s="1889"/>
      <c r="Z607" s="1889"/>
      <c r="AA607" s="1889"/>
      <c r="AB607" s="1890"/>
      <c r="AC607" s="913"/>
      <c r="AD607" s="913"/>
      <c r="AE607" s="913"/>
      <c r="AF607" s="913"/>
      <c r="AG607" s="913"/>
      <c r="AH607" s="913"/>
      <c r="AI607" s="913"/>
    </row>
    <row r="608" spans="1:35" ht="13.5" customHeight="1" thickTop="1" thickBot="1">
      <c r="A608" s="913"/>
      <c r="B608" s="913"/>
      <c r="C608" s="913"/>
      <c r="D608" s="913"/>
      <c r="E608" s="913"/>
      <c r="F608" s="913"/>
      <c r="G608" s="913"/>
      <c r="H608" s="913"/>
      <c r="I608" s="913"/>
      <c r="J608" s="913"/>
      <c r="K608" s="913"/>
      <c r="L608" s="913"/>
      <c r="M608" s="913"/>
      <c r="N608" s="913"/>
      <c r="O608" s="913"/>
      <c r="P608" s="913"/>
      <c r="Q608" s="913"/>
      <c r="R608" s="913"/>
      <c r="S608" s="913"/>
      <c r="T608" s="913"/>
      <c r="U608" s="913"/>
      <c r="V608" s="913"/>
      <c r="W608" s="913"/>
      <c r="X608" s="924"/>
      <c r="Y608" s="924"/>
      <c r="Z608" s="924"/>
      <c r="AA608" s="924"/>
      <c r="AB608" s="924"/>
      <c r="AC608" s="913"/>
      <c r="AD608" s="913"/>
      <c r="AE608" s="913"/>
      <c r="AF608" s="913"/>
      <c r="AG608" s="913"/>
      <c r="AH608" s="913"/>
      <c r="AI608" s="913"/>
    </row>
    <row r="609" spans="1:35" ht="14.25" customHeight="1" thickTop="1" thickBot="1">
      <c r="A609" s="913"/>
      <c r="B609" s="914" t="s">
        <v>513</v>
      </c>
      <c r="C609" s="914"/>
      <c r="D609" s="914"/>
      <c r="E609" s="914"/>
      <c r="F609" s="914"/>
      <c r="G609" s="913"/>
      <c r="H609" s="913"/>
      <c r="I609" s="913"/>
      <c r="J609" s="913"/>
      <c r="K609" s="913"/>
      <c r="L609" s="913"/>
      <c r="M609" s="913"/>
      <c r="N609" s="913"/>
      <c r="O609" s="913"/>
      <c r="P609" s="1877">
        <f>+P570*0.2</f>
        <v>0</v>
      </c>
      <c r="Q609" s="1878"/>
      <c r="R609" s="1878"/>
      <c r="S609" s="1878"/>
      <c r="T609" s="1878"/>
      <c r="U609" s="1878"/>
      <c r="V609" s="1878"/>
      <c r="W609" s="1878"/>
      <c r="X609" s="1879">
        <f>P609*U609</f>
        <v>0</v>
      </c>
      <c r="Y609" s="1879"/>
      <c r="Z609" s="1879"/>
      <c r="AA609" s="1879"/>
      <c r="AB609" s="1880"/>
      <c r="AC609" s="913"/>
      <c r="AD609" s="913"/>
      <c r="AE609" s="913"/>
      <c r="AF609" s="913"/>
      <c r="AG609" s="913"/>
      <c r="AH609" s="913"/>
      <c r="AI609" s="913"/>
    </row>
    <row r="610" spans="1:35" ht="13.5" collapsed="1" customHeight="1" thickTop="1">
      <c r="A610" s="913"/>
      <c r="B610" s="913"/>
      <c r="C610" s="913"/>
      <c r="D610" s="913"/>
      <c r="E610" s="913"/>
      <c r="F610" s="913"/>
      <c r="G610" s="913"/>
      <c r="H610" s="913"/>
      <c r="I610" s="913"/>
      <c r="J610" s="913"/>
      <c r="K610" s="913"/>
      <c r="L610" s="913"/>
      <c r="M610" s="913"/>
      <c r="N610" s="913"/>
      <c r="O610" s="913"/>
      <c r="P610" s="913"/>
      <c r="Q610" s="913"/>
      <c r="R610" s="913"/>
      <c r="S610" s="913"/>
      <c r="T610" s="913"/>
      <c r="U610" s="913"/>
      <c r="V610" s="913"/>
      <c r="W610" s="913"/>
      <c r="X610" s="913"/>
      <c r="Y610" s="913"/>
      <c r="Z610" s="913"/>
      <c r="AA610" s="913"/>
      <c r="AB610" s="913"/>
      <c r="AC610" s="913"/>
      <c r="AD610" s="913"/>
      <c r="AE610" s="913"/>
      <c r="AF610" s="913"/>
      <c r="AG610" s="913"/>
      <c r="AH610" s="913"/>
      <c r="AI610" s="913"/>
    </row>
    <row r="611" spans="1:35">
      <c r="A611" s="913"/>
      <c r="B611" s="913"/>
      <c r="C611" s="913"/>
      <c r="D611" s="913"/>
      <c r="E611" s="913"/>
      <c r="F611" s="913"/>
      <c r="G611" s="913"/>
      <c r="H611" s="913"/>
      <c r="I611" s="913"/>
      <c r="J611" s="913"/>
      <c r="K611" s="913"/>
      <c r="L611" s="913"/>
      <c r="M611" s="913"/>
      <c r="N611" s="913"/>
      <c r="O611" s="913"/>
      <c r="P611" s="913"/>
      <c r="Q611" s="913"/>
      <c r="R611" s="913"/>
      <c r="S611" s="913"/>
      <c r="T611" s="913"/>
      <c r="U611" s="913"/>
      <c r="V611" s="913"/>
      <c r="W611" s="913"/>
      <c r="X611" s="913"/>
      <c r="Y611" s="913"/>
      <c r="Z611" s="913"/>
      <c r="AA611" s="913"/>
      <c r="AB611" s="913"/>
      <c r="AC611" s="913"/>
      <c r="AD611" s="913"/>
      <c r="AE611" s="913"/>
      <c r="AF611" s="913"/>
      <c r="AG611" s="913"/>
      <c r="AH611" s="913"/>
      <c r="AI611" s="913"/>
    </row>
    <row r="612" spans="1:35" ht="13.5" collapsed="1" customHeight="1">
      <c r="A612" s="723" t="s">
        <v>532</v>
      </c>
      <c r="B612" s="724"/>
      <c r="C612" s="724"/>
      <c r="D612" s="724"/>
      <c r="E612" s="724"/>
      <c r="F612" s="724"/>
      <c r="G612" s="724"/>
      <c r="H612" s="724"/>
      <c r="I612" s="724"/>
      <c r="J612" s="724"/>
      <c r="K612" s="724"/>
      <c r="L612" s="724"/>
      <c r="M612" s="724"/>
      <c r="N612" s="724"/>
      <c r="O612" s="724"/>
      <c r="P612" s="724"/>
      <c r="Q612" s="724"/>
      <c r="R612" s="724"/>
      <c r="S612" s="724"/>
      <c r="T612" s="724"/>
      <c r="U612" s="724"/>
      <c r="V612" s="724"/>
      <c r="W612" s="724"/>
      <c r="X612" s="724"/>
      <c r="Y612" s="724"/>
      <c r="Z612" s="724"/>
      <c r="AA612" s="724"/>
      <c r="AB612" s="724"/>
      <c r="AC612" s="724"/>
      <c r="AD612" s="724"/>
      <c r="AE612" s="724"/>
      <c r="AF612" s="724"/>
      <c r="AG612" s="724"/>
      <c r="AH612" s="724"/>
      <c r="AI612" s="724"/>
    </row>
    <row r="613" spans="1:35" s="303" customFormat="1">
      <c r="A613" s="722"/>
      <c r="B613" s="722"/>
      <c r="C613" s="722"/>
      <c r="D613" s="722"/>
      <c r="E613" s="722"/>
      <c r="F613" s="722"/>
      <c r="G613" s="722"/>
      <c r="H613" s="722"/>
      <c r="I613" s="722"/>
      <c r="J613" s="722"/>
      <c r="K613" s="722"/>
      <c r="L613" s="722"/>
      <c r="M613" s="722"/>
      <c r="N613" s="722"/>
      <c r="O613" s="722"/>
      <c r="P613" s="722"/>
      <c r="Q613" s="722"/>
      <c r="R613" s="722"/>
      <c r="S613" s="722"/>
      <c r="T613" s="722"/>
      <c r="U613" s="722"/>
      <c r="V613" s="722"/>
      <c r="W613" s="722"/>
      <c r="X613" s="722"/>
      <c r="Y613" s="722"/>
      <c r="Z613" s="722"/>
      <c r="AA613" s="722"/>
      <c r="AB613" s="722"/>
      <c r="AC613" s="722"/>
      <c r="AD613" s="722"/>
      <c r="AE613" s="722"/>
      <c r="AF613" s="722"/>
      <c r="AG613" s="722"/>
      <c r="AH613" s="722"/>
      <c r="AI613" s="722"/>
    </row>
    <row r="614" spans="1:35" ht="13.5" customHeight="1">
      <c r="A614" s="721">
        <v>1</v>
      </c>
      <c r="B614" s="721" t="s">
        <v>533</v>
      </c>
      <c r="C614" s="722"/>
      <c r="D614" s="722"/>
      <c r="E614" s="722"/>
      <c r="F614" s="722"/>
      <c r="G614" s="722"/>
      <c r="H614" s="722"/>
      <c r="I614" s="722"/>
      <c r="J614" s="722"/>
      <c r="K614" s="722"/>
      <c r="L614" s="722"/>
      <c r="M614" s="722"/>
      <c r="N614" s="722"/>
      <c r="O614" s="722"/>
      <c r="P614" s="722"/>
      <c r="Q614" s="722"/>
      <c r="R614" s="722"/>
      <c r="S614" s="722"/>
      <c r="T614" s="722"/>
      <c r="U614" s="722"/>
      <c r="V614" s="722"/>
      <c r="W614" s="722"/>
      <c r="X614" s="722"/>
      <c r="Y614" s="722"/>
      <c r="Z614" s="722"/>
      <c r="AA614" s="722"/>
      <c r="AB614" s="722"/>
      <c r="AC614" s="722"/>
      <c r="AD614" s="722"/>
      <c r="AE614" s="722"/>
      <c r="AF614" s="722"/>
      <c r="AG614" s="722"/>
      <c r="AH614" s="722"/>
      <c r="AI614" s="722"/>
    </row>
    <row r="615" spans="1:35" s="303" customFormat="1" ht="13.5" customHeight="1" thickBot="1">
      <c r="A615" s="722"/>
      <c r="B615" s="722"/>
      <c r="C615" s="722"/>
      <c r="D615" s="722"/>
      <c r="E615" s="722"/>
      <c r="F615" s="722"/>
      <c r="G615" s="722"/>
      <c r="H615" s="722"/>
      <c r="I615" s="722"/>
      <c r="J615" s="722"/>
      <c r="K615" s="722"/>
      <c r="L615" s="722"/>
      <c r="M615" s="722"/>
      <c r="N615" s="722"/>
      <c r="O615" s="722"/>
      <c r="P615" s="722"/>
      <c r="Q615" s="722"/>
      <c r="R615" s="722"/>
      <c r="S615" s="722"/>
      <c r="T615" s="722"/>
      <c r="U615" s="722"/>
      <c r="V615" s="722"/>
      <c r="W615" s="722"/>
      <c r="X615" s="722"/>
      <c r="Y615" s="722"/>
      <c r="Z615" s="722"/>
      <c r="AA615" s="722"/>
      <c r="AB615" s="722"/>
      <c r="AC615" s="722"/>
      <c r="AD615" s="722"/>
      <c r="AE615" s="722"/>
      <c r="AF615" s="722"/>
      <c r="AG615" s="722"/>
      <c r="AH615" s="722"/>
      <c r="AI615" s="722"/>
    </row>
    <row r="616" spans="1:43" s="311" customFormat="1" ht="13.5" customHeight="1" thickTop="1">
      <c r="A616" s="722"/>
      <c r="B616" s="2006" t="s">
        <v>534</v>
      </c>
      <c r="C616" s="1999"/>
      <c r="D616" s="1999"/>
      <c r="E616" s="1999"/>
      <c r="F616" s="1999"/>
      <c r="G616" s="1999"/>
      <c r="H616" s="1999"/>
      <c r="I616" s="1999"/>
      <c r="J616" s="1999"/>
      <c r="K616" s="1999" t="s">
        <v>535</v>
      </c>
      <c r="L616" s="1999"/>
      <c r="M616" s="1999"/>
      <c r="N616" s="1999"/>
      <c r="O616" s="1999"/>
      <c r="P616" s="1999"/>
      <c r="Q616" s="1999"/>
      <c r="R616" s="1999"/>
      <c r="S616" s="1999"/>
      <c r="T616" s="2004" t="s">
        <v>499</v>
      </c>
      <c r="U616" s="2004"/>
      <c r="V616" s="2004"/>
      <c r="W616" s="2004"/>
      <c r="X616" s="2004"/>
      <c r="Y616" s="2004"/>
      <c r="Z616" s="2004"/>
      <c r="AA616" s="2004"/>
      <c r="AB616" s="2004"/>
      <c r="AC616" s="2004"/>
      <c r="AD616" s="2004"/>
      <c r="AE616" s="2005"/>
      <c r="AF616" s="722"/>
      <c r="AG616" s="722"/>
      <c r="AH616" s="722"/>
      <c r="AI616" s="722"/>
      <c r="AJ616" s="303"/>
      <c r="AK616" s="303"/>
      <c r="AL616" s="303"/>
      <c r="AM616" s="303"/>
      <c r="AN616" s="303"/>
      <c r="AO616" s="303"/>
      <c r="AP616" s="303"/>
      <c r="AQ616" s="303"/>
    </row>
    <row r="617" spans="1:42" s="311" customFormat="1" ht="13.5" customHeight="1" thickBot="1">
      <c r="A617" s="722"/>
      <c r="B617" s="2007"/>
      <c r="C617" s="2000"/>
      <c r="D617" s="2000"/>
      <c r="E617" s="2000"/>
      <c r="F617" s="2000"/>
      <c r="G617" s="2000"/>
      <c r="H617" s="2000"/>
      <c r="I617" s="2000"/>
      <c r="J617" s="2000"/>
      <c r="K617" s="2000"/>
      <c r="L617" s="2000"/>
      <c r="M617" s="2000"/>
      <c r="N617" s="2000"/>
      <c r="O617" s="2000"/>
      <c r="P617" s="2000"/>
      <c r="Q617" s="2000"/>
      <c r="R617" s="2000"/>
      <c r="S617" s="2000"/>
      <c r="T617" s="1914" t="s">
        <v>326</v>
      </c>
      <c r="U617" s="1914"/>
      <c r="V617" s="1914"/>
      <c r="W617" s="1914"/>
      <c r="X617" s="1894" t="s">
        <v>536</v>
      </c>
      <c r="Y617" s="1894"/>
      <c r="Z617" s="1894"/>
      <c r="AA617" s="1894"/>
      <c r="AB617" s="1894"/>
      <c r="AC617" s="1894"/>
      <c r="AD617" s="1894"/>
      <c r="AE617" s="1994"/>
      <c r="AF617" s="722"/>
      <c r="AG617" s="722"/>
      <c r="AH617" s="722"/>
      <c r="AI617" s="722"/>
      <c r="AJ617" s="303"/>
      <c r="AK617" s="303"/>
      <c r="AL617" s="303"/>
      <c r="AM617" s="303"/>
      <c r="AN617" s="303"/>
      <c r="AO617" s="303"/>
      <c r="AP617" s="303"/>
    </row>
    <row r="618" spans="1:42" s="311" customFormat="1" ht="27.75" customHeight="1" thickTop="1" thickBot="1">
      <c r="A618" s="722"/>
      <c r="B618" s="2008"/>
      <c r="C618" s="1915"/>
      <c r="D618" s="1915"/>
      <c r="E618" s="1915"/>
      <c r="F618" s="1915"/>
      <c r="G618" s="1915"/>
      <c r="H618" s="1915"/>
      <c r="I618" s="1915"/>
      <c r="J618" s="1915"/>
      <c r="K618" s="1915"/>
      <c r="L618" s="1915"/>
      <c r="M618" s="1915"/>
      <c r="N618" s="1915"/>
      <c r="O618" s="1915"/>
      <c r="P618" s="1915"/>
      <c r="Q618" s="1915"/>
      <c r="R618" s="1915"/>
      <c r="S618" s="1915"/>
      <c r="T618" s="1915"/>
      <c r="U618" s="1915"/>
      <c r="V618" s="1915"/>
      <c r="W618" s="1915"/>
      <c r="X618" s="2001" t="s">
        <v>537</v>
      </c>
      <c r="Y618" s="2002"/>
      <c r="Z618" s="2002"/>
      <c r="AA618" s="2003"/>
      <c r="AB618" s="1992" t="s">
        <v>538</v>
      </c>
      <c r="AC618" s="1992"/>
      <c r="AD618" s="1992"/>
      <c r="AE618" s="1993"/>
      <c r="AF618" s="722"/>
      <c r="AG618" s="722"/>
      <c r="AH618" s="722"/>
      <c r="AI618" s="722"/>
      <c r="AJ618" s="303"/>
      <c r="AK618" s="303"/>
      <c r="AL618" s="303"/>
      <c r="AM618" s="303"/>
      <c r="AN618" s="303"/>
      <c r="AO618" s="303"/>
      <c r="AP618" s="303"/>
    </row>
    <row r="619" spans="1:35" s="303" customFormat="1" ht="13.5" customHeight="1" thickTop="1">
      <c r="A619" s="722"/>
      <c r="B619" s="2009"/>
      <c r="C619" s="739"/>
      <c r="D619" s="739"/>
      <c r="E619" s="739"/>
      <c r="F619" s="739"/>
      <c r="G619" s="739"/>
      <c r="H619" s="739"/>
      <c r="I619" s="739"/>
      <c r="J619" s="1750"/>
      <c r="K619" s="1789"/>
      <c r="L619" s="739"/>
      <c r="M619" s="739"/>
      <c r="N619" s="739"/>
      <c r="O619" s="739"/>
      <c r="P619" s="739"/>
      <c r="Q619" s="739"/>
      <c r="R619" s="739"/>
      <c r="S619" s="1750"/>
      <c r="T619" s="1991"/>
      <c r="U619" s="1991"/>
      <c r="V619" s="1991"/>
      <c r="W619" s="1991"/>
      <c r="X619" s="1991"/>
      <c r="Y619" s="1991"/>
      <c r="Z619" s="1991"/>
      <c r="AA619" s="1991"/>
      <c r="AB619" s="1789"/>
      <c r="AC619" s="739"/>
      <c r="AD619" s="739"/>
      <c r="AE619" s="1757"/>
      <c r="AF619" s="722"/>
      <c r="AG619" s="722"/>
      <c r="AH619" s="722"/>
      <c r="AI619" s="722"/>
    </row>
    <row r="620" spans="1:39">
      <c r="A620" s="722"/>
      <c r="B620" s="1995" t="s">
        <v>1377</v>
      </c>
      <c r="C620" s="1916"/>
      <c r="D620" s="1916"/>
      <c r="E620" s="1916"/>
      <c r="F620" s="1916"/>
      <c r="G620" s="1916"/>
      <c r="H620" s="1916"/>
      <c r="I620" s="1916"/>
      <c r="J620" s="1916"/>
      <c r="K620" s="1916" t="s">
        <v>1379</v>
      </c>
      <c r="L620" s="1916"/>
      <c r="M620" s="1916"/>
      <c r="N620" s="1916"/>
      <c r="O620" s="1916"/>
      <c r="P620" s="1916"/>
      <c r="Q620" s="1916"/>
      <c r="R620" s="1916"/>
      <c r="S620" s="1916"/>
      <c r="T620" s="1907">
        <v>16790735</v>
      </c>
      <c r="U620" s="1907"/>
      <c r="V620" s="1907"/>
      <c r="W620" s="1907"/>
      <c r="X620" s="1907">
        <v>555397</v>
      </c>
      <c r="Y620" s="1907"/>
      <c r="Z620" s="1907"/>
      <c r="AA620" s="1907"/>
      <c r="AB620" s="1907"/>
      <c r="AC620" s="1907"/>
      <c r="AD620" s="1907"/>
      <c r="AE620" s="1913"/>
      <c r="AF620" s="722"/>
      <c r="AG620" s="722"/>
      <c r="AH620" s="722"/>
      <c r="AI620" s="722"/>
      <c r="AK620" s="303"/>
      <c r="AL620" s="303"/>
      <c r="AM620" s="303"/>
    </row>
    <row r="621" spans="1:39">
      <c r="A621" s="722"/>
      <c r="B621" s="1995" t="s">
        <v>295</v>
      </c>
      <c r="C621" s="1916"/>
      <c r="D621" s="1916"/>
      <c r="E621" s="1916"/>
      <c r="F621" s="1916"/>
      <c r="G621" s="1916"/>
      <c r="H621" s="1916"/>
      <c r="I621" s="1916"/>
      <c r="J621" s="1916"/>
      <c r="K621" s="1916" t="s">
        <v>295</v>
      </c>
      <c r="L621" s="1916"/>
      <c r="M621" s="1916"/>
      <c r="N621" s="1916"/>
      <c r="O621" s="1916"/>
      <c r="P621" s="1916"/>
      <c r="Q621" s="1916"/>
      <c r="R621" s="1916"/>
      <c r="S621" s="1916"/>
      <c r="T621" s="1907" t="s">
        <v>295</v>
      </c>
      <c r="U621" s="1907"/>
      <c r="V621" s="1907"/>
      <c r="W621" s="1907"/>
      <c r="X621" s="1907" t="s">
        <v>295</v>
      </c>
      <c r="Y621" s="1907"/>
      <c r="Z621" s="1907"/>
      <c r="AA621" s="1907"/>
      <c r="AB621" s="1907"/>
      <c r="AC621" s="1907"/>
      <c r="AD621" s="1907"/>
      <c r="AE621" s="1913"/>
      <c r="AF621" s="722"/>
      <c r="AG621" s="722"/>
      <c r="AH621" s="722"/>
      <c r="AI621" s="722"/>
      <c r="AK621" s="303"/>
      <c r="AL621" s="303"/>
      <c r="AM621" s="303"/>
    </row>
    <row r="622" spans="1:39">
      <c r="A622" s="722"/>
      <c r="B622" s="1995" t="s">
        <v>295</v>
      </c>
      <c r="C622" s="1916"/>
      <c r="D622" s="1916"/>
      <c r="E622" s="1916"/>
      <c r="F622" s="1916"/>
      <c r="G622" s="1916"/>
      <c r="H622" s="1916"/>
      <c r="I622" s="1916"/>
      <c r="J622" s="1916"/>
      <c r="K622" s="1916" t="s">
        <v>295</v>
      </c>
      <c r="L622" s="1916"/>
      <c r="M622" s="1916"/>
      <c r="N622" s="1916"/>
      <c r="O622" s="1916"/>
      <c r="P622" s="1916"/>
      <c r="Q622" s="1916"/>
      <c r="R622" s="1916"/>
      <c r="S622" s="1916"/>
      <c r="T622" s="1907" t="s">
        <v>295</v>
      </c>
      <c r="U622" s="1907"/>
      <c r="V622" s="1907"/>
      <c r="W622" s="1907"/>
      <c r="X622" s="1907" t="s">
        <v>295</v>
      </c>
      <c r="Y622" s="1907"/>
      <c r="Z622" s="1907"/>
      <c r="AA622" s="1907"/>
      <c r="AB622" s="1907"/>
      <c r="AC622" s="1907"/>
      <c r="AD622" s="1907"/>
      <c r="AE622" s="1913"/>
      <c r="AF622" s="722"/>
      <c r="AG622" s="722"/>
      <c r="AH622" s="722"/>
      <c r="AI622" s="722"/>
      <c r="AK622" s="303"/>
      <c r="AL622" s="303"/>
      <c r="AM622" s="303"/>
    </row>
    <row r="623" spans="1:39">
      <c r="A623" s="722"/>
      <c r="B623" s="1995" t="s">
        <v>295</v>
      </c>
      <c r="C623" s="1916"/>
      <c r="D623" s="1916"/>
      <c r="E623" s="1916"/>
      <c r="F623" s="1916"/>
      <c r="G623" s="1916"/>
      <c r="H623" s="1916"/>
      <c r="I623" s="1916"/>
      <c r="J623" s="1916"/>
      <c r="K623" s="1916" t="s">
        <v>295</v>
      </c>
      <c r="L623" s="1916"/>
      <c r="M623" s="1916"/>
      <c r="N623" s="1916"/>
      <c r="O623" s="1916"/>
      <c r="P623" s="1916"/>
      <c r="Q623" s="1916"/>
      <c r="R623" s="1916"/>
      <c r="S623" s="1916"/>
      <c r="T623" s="1907" t="s">
        <v>295</v>
      </c>
      <c r="U623" s="1907"/>
      <c r="V623" s="1907"/>
      <c r="W623" s="1907"/>
      <c r="X623" s="1907" t="s">
        <v>295</v>
      </c>
      <c r="Y623" s="1907"/>
      <c r="Z623" s="1907"/>
      <c r="AA623" s="1907"/>
      <c r="AB623" s="1907"/>
      <c r="AC623" s="1907"/>
      <c r="AD623" s="1907"/>
      <c r="AE623" s="1913"/>
      <c r="AF623" s="722"/>
      <c r="AG623" s="722"/>
      <c r="AH623" s="722"/>
      <c r="AI623" s="722"/>
      <c r="AK623" s="303"/>
      <c r="AL623" s="303"/>
      <c r="AM623" s="303"/>
    </row>
    <row r="624" spans="1:43" s="311" customFormat="1" ht="13.5" customHeight="1">
      <c r="A624" s="722"/>
      <c r="B624" s="1995" t="s">
        <v>295</v>
      </c>
      <c r="C624" s="1916"/>
      <c r="D624" s="1916"/>
      <c r="E624" s="1916"/>
      <c r="F624" s="1916"/>
      <c r="G624" s="1916"/>
      <c r="H624" s="1916"/>
      <c r="I624" s="1916"/>
      <c r="J624" s="1916"/>
      <c r="K624" s="1916" t="s">
        <v>295</v>
      </c>
      <c r="L624" s="1916"/>
      <c r="M624" s="1916"/>
      <c r="N624" s="1916"/>
      <c r="O624" s="1916"/>
      <c r="P624" s="1916"/>
      <c r="Q624" s="1916"/>
      <c r="R624" s="1916"/>
      <c r="S624" s="1916"/>
      <c r="T624" s="1907" t="s">
        <v>295</v>
      </c>
      <c r="U624" s="1907"/>
      <c r="V624" s="1907"/>
      <c r="W624" s="1907"/>
      <c r="X624" s="1907" t="s">
        <v>295</v>
      </c>
      <c r="Y624" s="1907"/>
      <c r="Z624" s="1907"/>
      <c r="AA624" s="1907"/>
      <c r="AB624" s="1907"/>
      <c r="AC624" s="1907"/>
      <c r="AD624" s="1907"/>
      <c r="AE624" s="1913"/>
      <c r="AF624" s="722"/>
      <c r="AG624" s="722"/>
      <c r="AH624" s="722"/>
      <c r="AI624" s="722"/>
      <c r="AJ624" s="303"/>
      <c r="AK624" s="303"/>
      <c r="AL624" s="303"/>
      <c r="AM624" s="303"/>
      <c r="AN624" s="303"/>
      <c r="AO624" s="303"/>
      <c r="AP624" s="303"/>
      <c r="AQ624" s="311"/>
    </row>
    <row r="625" spans="1:39">
      <c r="A625" s="722"/>
      <c r="B625" s="1995" t="s">
        <v>295</v>
      </c>
      <c r="C625" s="1916"/>
      <c r="D625" s="1916"/>
      <c r="E625" s="1916"/>
      <c r="F625" s="1916"/>
      <c r="G625" s="1916"/>
      <c r="H625" s="1916"/>
      <c r="I625" s="1916"/>
      <c r="J625" s="1916"/>
      <c r="K625" s="1916" t="s">
        <v>295</v>
      </c>
      <c r="L625" s="1916"/>
      <c r="M625" s="1916"/>
      <c r="N625" s="1916"/>
      <c r="O625" s="1916"/>
      <c r="P625" s="1916"/>
      <c r="Q625" s="1916"/>
      <c r="R625" s="1916"/>
      <c r="S625" s="1916"/>
      <c r="T625" s="1907" t="s">
        <v>295</v>
      </c>
      <c r="U625" s="1907"/>
      <c r="V625" s="1907"/>
      <c r="W625" s="1907"/>
      <c r="X625" s="1907" t="s">
        <v>295</v>
      </c>
      <c r="Y625" s="1907"/>
      <c r="Z625" s="1907"/>
      <c r="AA625" s="1907"/>
      <c r="AB625" s="1907"/>
      <c r="AC625" s="1907"/>
      <c r="AD625" s="1907"/>
      <c r="AE625" s="1913"/>
      <c r="AF625" s="722"/>
      <c r="AG625" s="722"/>
      <c r="AH625" s="722"/>
      <c r="AI625" s="722"/>
      <c r="AK625" s="303"/>
      <c r="AL625" s="303"/>
      <c r="AM625" s="303"/>
    </row>
    <row r="626" spans="1:39">
      <c r="A626" s="722"/>
      <c r="B626" s="1995" t="s">
        <v>295</v>
      </c>
      <c r="C626" s="1916"/>
      <c r="D626" s="1916"/>
      <c r="E626" s="1916"/>
      <c r="F626" s="1916"/>
      <c r="G626" s="1916"/>
      <c r="H626" s="1916"/>
      <c r="I626" s="1916"/>
      <c r="J626" s="1916"/>
      <c r="K626" s="1916" t="s">
        <v>295</v>
      </c>
      <c r="L626" s="1916"/>
      <c r="M626" s="1916"/>
      <c r="N626" s="1916"/>
      <c r="O626" s="1916"/>
      <c r="P626" s="1916"/>
      <c r="Q626" s="1916"/>
      <c r="R626" s="1916"/>
      <c r="S626" s="1916"/>
      <c r="T626" s="1907" t="s">
        <v>295</v>
      </c>
      <c r="U626" s="1907"/>
      <c r="V626" s="1907"/>
      <c r="W626" s="1907"/>
      <c r="X626" s="1907" t="s">
        <v>295</v>
      </c>
      <c r="Y626" s="1907"/>
      <c r="Z626" s="1907"/>
      <c r="AA626" s="1907"/>
      <c r="AB626" s="1907"/>
      <c r="AC626" s="1907"/>
      <c r="AD626" s="1907"/>
      <c r="AE626" s="1913"/>
      <c r="AF626" s="722"/>
      <c r="AG626" s="722"/>
      <c r="AH626" s="722"/>
      <c r="AI626" s="722"/>
      <c r="AK626" s="303"/>
      <c r="AL626" s="303"/>
      <c r="AM626" s="303"/>
    </row>
    <row r="627" spans="1:39">
      <c r="A627" s="722"/>
      <c r="B627" s="1995" t="s">
        <v>295</v>
      </c>
      <c r="C627" s="1916"/>
      <c r="D627" s="1916"/>
      <c r="E627" s="1916"/>
      <c r="F627" s="1916"/>
      <c r="G627" s="1916"/>
      <c r="H627" s="1916"/>
      <c r="I627" s="1916"/>
      <c r="J627" s="1916"/>
      <c r="K627" s="1916" t="s">
        <v>295</v>
      </c>
      <c r="L627" s="1916"/>
      <c r="M627" s="1916"/>
      <c r="N627" s="1916"/>
      <c r="O627" s="1916"/>
      <c r="P627" s="1916"/>
      <c r="Q627" s="1916"/>
      <c r="R627" s="1916"/>
      <c r="S627" s="1916"/>
      <c r="T627" s="1907" t="s">
        <v>295</v>
      </c>
      <c r="U627" s="1907"/>
      <c r="V627" s="1907"/>
      <c r="W627" s="1907"/>
      <c r="X627" s="1907" t="s">
        <v>295</v>
      </c>
      <c r="Y627" s="1907"/>
      <c r="Z627" s="1907"/>
      <c r="AA627" s="1907"/>
      <c r="AB627" s="1907"/>
      <c r="AC627" s="1907"/>
      <c r="AD627" s="1907"/>
      <c r="AE627" s="1913"/>
      <c r="AF627" s="722"/>
      <c r="AG627" s="722"/>
      <c r="AH627" s="722"/>
      <c r="AI627" s="722"/>
      <c r="AK627" s="303"/>
      <c r="AL627" s="303"/>
      <c r="AM627" s="303"/>
    </row>
    <row r="628" spans="1:42" s="311" customFormat="1" ht="13.5" customHeight="1" thickBot="1">
      <c r="A628" s="722"/>
      <c r="B628" s="1997"/>
      <c r="C628" s="1894"/>
      <c r="D628" s="1894"/>
      <c r="E628" s="1894"/>
      <c r="F628" s="1894"/>
      <c r="G628" s="1894"/>
      <c r="H628" s="1894"/>
      <c r="I628" s="1894"/>
      <c r="J628" s="1894"/>
      <c r="K628" s="1894"/>
      <c r="L628" s="1894"/>
      <c r="M628" s="1894"/>
      <c r="N628" s="1894"/>
      <c r="O628" s="1894"/>
      <c r="P628" s="1894"/>
      <c r="Q628" s="1894"/>
      <c r="R628" s="1894"/>
      <c r="S628" s="1894"/>
      <c r="T628" s="1996"/>
      <c r="U628" s="1996"/>
      <c r="V628" s="1996"/>
      <c r="W628" s="1996"/>
      <c r="X628" s="1996"/>
      <c r="Y628" s="1996"/>
      <c r="Z628" s="1996"/>
      <c r="AA628" s="1996"/>
      <c r="AB628" s="1986"/>
      <c r="AC628" s="740"/>
      <c r="AD628" s="740"/>
      <c r="AE628" s="1935"/>
      <c r="AF628" s="722"/>
      <c r="AG628" s="722"/>
      <c r="AH628" s="722"/>
      <c r="AI628" s="722"/>
      <c r="AJ628" s="303"/>
      <c r="AK628" s="303"/>
      <c r="AL628" s="303"/>
      <c r="AM628" s="303"/>
      <c r="AN628" s="303"/>
      <c r="AO628" s="303"/>
      <c r="AP628" s="303"/>
    </row>
    <row r="629" spans="1:42" s="311" customFormat="1" ht="14.25" customHeight="1" thickTop="1" thickBot="1">
      <c r="A629" s="722"/>
      <c r="B629" s="722"/>
      <c r="C629" s="722"/>
      <c r="D629" s="722"/>
      <c r="E629" s="722"/>
      <c r="F629" s="722"/>
      <c r="G629" s="722"/>
      <c r="H629" s="722"/>
      <c r="I629" s="722"/>
      <c r="J629" s="722"/>
      <c r="K629" s="741"/>
      <c r="L629" s="741"/>
      <c r="M629" s="741"/>
      <c r="N629" s="741"/>
      <c r="O629" s="741"/>
      <c r="P629" s="741"/>
      <c r="Q629" s="741"/>
      <c r="R629" s="741"/>
      <c r="S629" s="741"/>
      <c r="T629" s="745"/>
      <c r="U629" s="745"/>
      <c r="V629" s="745"/>
      <c r="W629" s="745"/>
      <c r="X629" s="745"/>
      <c r="Y629" s="745"/>
      <c r="Z629" s="745"/>
      <c r="AA629" s="745"/>
      <c r="AB629" s="746"/>
      <c r="AC629" s="746"/>
      <c r="AD629" s="746"/>
      <c r="AE629" s="746"/>
      <c r="AF629" s="722"/>
      <c r="AG629" s="722"/>
      <c r="AH629" s="722"/>
      <c r="AI629" s="722"/>
      <c r="AJ629" s="303"/>
      <c r="AK629" s="303"/>
      <c r="AL629" s="303"/>
      <c r="AM629" s="303"/>
      <c r="AN629" s="303"/>
      <c r="AO629" s="303"/>
      <c r="AP629" s="303"/>
    </row>
    <row r="630" spans="1:42" s="311" customFormat="1" ht="14.25" customHeight="1" thickTop="1" thickBot="1">
      <c r="A630" s="722"/>
      <c r="B630" s="722"/>
      <c r="C630" s="722"/>
      <c r="D630" s="722"/>
      <c r="E630" s="722"/>
      <c r="F630" s="722"/>
      <c r="G630" s="722"/>
      <c r="H630" s="722"/>
      <c r="I630" s="722"/>
      <c r="J630" s="722"/>
      <c r="K630" s="747" t="s">
        <v>539</v>
      </c>
      <c r="L630" s="741"/>
      <c r="M630" s="741"/>
      <c r="N630" s="741"/>
      <c r="O630" s="741"/>
      <c r="P630" s="741"/>
      <c r="Q630" s="741"/>
      <c r="R630" s="741"/>
      <c r="S630" s="741"/>
      <c r="T630" s="1798">
        <f>SUM(T620:W628)</f>
        <v>0</v>
      </c>
      <c r="U630" s="1799"/>
      <c r="V630" s="1799"/>
      <c r="W630" s="1800"/>
      <c r="X630" s="749"/>
      <c r="Y630" s="750"/>
      <c r="Z630" s="750"/>
      <c r="AA630" s="751"/>
      <c r="AB630" s="1798">
        <f>SUM(AB620:AE629)</f>
        <v>0</v>
      </c>
      <c r="AC630" s="1799"/>
      <c r="AD630" s="1799"/>
      <c r="AE630" s="1800"/>
      <c r="AF630" s="722"/>
      <c r="AG630" s="722"/>
      <c r="AH630" s="722"/>
      <c r="AI630" s="722"/>
      <c r="AJ630" s="303"/>
      <c r="AK630" s="303"/>
      <c r="AL630" s="303"/>
      <c r="AM630" s="303"/>
      <c r="AN630" s="303"/>
      <c r="AO630" s="303"/>
      <c r="AP630" s="303"/>
    </row>
    <row r="631" spans="1:35" s="311" customFormat="1" ht="13.5" customHeight="1" thickTop="1">
      <c r="A631" s="747"/>
      <c r="B631" s="747"/>
      <c r="C631" s="747"/>
      <c r="D631" s="747"/>
      <c r="E631" s="747"/>
      <c r="F631" s="747"/>
      <c r="G631" s="747"/>
      <c r="H631" s="747"/>
      <c r="I631" s="747"/>
      <c r="J631" s="747"/>
      <c r="K631" s="747"/>
      <c r="L631" s="747"/>
      <c r="M631" s="745"/>
      <c r="N631" s="745"/>
      <c r="O631" s="745"/>
      <c r="P631" s="745"/>
      <c r="Q631" s="745"/>
      <c r="R631" s="745"/>
      <c r="S631" s="745"/>
      <c r="T631" s="745"/>
      <c r="U631" s="745"/>
      <c r="V631" s="745"/>
      <c r="W631" s="745"/>
      <c r="X631" s="745"/>
      <c r="Y631" s="745"/>
      <c r="Z631" s="745"/>
      <c r="AA631" s="745"/>
      <c r="AB631" s="745"/>
      <c r="AC631" s="748"/>
      <c r="AD631" s="748"/>
      <c r="AE631" s="748"/>
      <c r="AF631" s="748"/>
      <c r="AG631" s="721"/>
      <c r="AH631" s="721"/>
      <c r="AI631" s="721"/>
    </row>
    <row r="632" spans="1:35" ht="13.5" collapsed="1" customHeight="1">
      <c r="A632" s="723" t="s">
        <v>540</v>
      </c>
      <c r="B632" s="724"/>
      <c r="C632" s="724"/>
      <c r="D632" s="724"/>
      <c r="E632" s="724"/>
      <c r="F632" s="724"/>
      <c r="G632" s="724"/>
      <c r="H632" s="724"/>
      <c r="I632" s="724"/>
      <c r="J632" s="724"/>
      <c r="K632" s="724"/>
      <c r="L632" s="724"/>
      <c r="M632" s="724"/>
      <c r="N632" s="724"/>
      <c r="O632" s="724"/>
      <c r="P632" s="724"/>
      <c r="Q632" s="724"/>
      <c r="R632" s="724"/>
      <c r="S632" s="724"/>
      <c r="T632" s="724"/>
      <c r="U632" s="724"/>
      <c r="V632" s="724"/>
      <c r="W632" s="724"/>
      <c r="X632" s="724"/>
      <c r="Y632" s="724"/>
      <c r="Z632" s="724"/>
      <c r="AA632" s="724"/>
      <c r="AB632" s="724"/>
      <c r="AC632" s="724"/>
      <c r="AD632" s="724"/>
      <c r="AE632" s="724"/>
      <c r="AF632" s="724"/>
      <c r="AG632" s="724"/>
      <c r="AH632" s="724"/>
      <c r="AI632" s="724"/>
    </row>
    <row r="633" spans="1:39" ht="13.5" customHeight="1" thickBot="1">
      <c r="A633" s="722"/>
      <c r="B633" s="722"/>
      <c r="C633" s="722"/>
      <c r="D633" s="722"/>
      <c r="E633" s="722"/>
      <c r="F633" s="722"/>
      <c r="G633" s="722"/>
      <c r="H633" s="722"/>
      <c r="I633" s="722"/>
      <c r="J633" s="722"/>
      <c r="K633" s="722"/>
      <c r="L633" s="722"/>
      <c r="M633" s="722"/>
      <c r="N633" s="722"/>
      <c r="O633" s="722"/>
      <c r="P633" s="722"/>
      <c r="Q633" s="722"/>
      <c r="R633" s="722"/>
      <c r="S633" s="722"/>
      <c r="T633" s="722"/>
      <c r="U633" s="722"/>
      <c r="V633" s="722"/>
      <c r="W633" s="722"/>
      <c r="X633" s="722"/>
      <c r="Y633" s="722"/>
      <c r="Z633" s="722"/>
      <c r="AA633" s="722"/>
      <c r="AB633" s="722"/>
      <c r="AC633" s="722"/>
      <c r="AD633" s="722"/>
      <c r="AE633" s="722"/>
      <c r="AF633" s="722"/>
      <c r="AG633" s="722"/>
      <c r="AH633" s="722"/>
      <c r="AI633" s="722"/>
      <c r="AK633" s="303"/>
      <c r="AL633" s="303"/>
      <c r="AM633" s="303"/>
    </row>
    <row r="634" spans="1:35" s="311" customFormat="1" ht="13.5" customHeight="1" thickTop="1">
      <c r="A634" s="1866" t="s">
        <v>541</v>
      </c>
      <c r="B634" s="1856"/>
      <c r="C634" s="1856"/>
      <c r="D634" s="1856"/>
      <c r="E634" s="1856"/>
      <c r="F634" s="1856"/>
      <c r="G634" s="1856"/>
      <c r="H634" s="1856" t="s">
        <v>535</v>
      </c>
      <c r="I634" s="1856"/>
      <c r="J634" s="1856"/>
      <c r="K634" s="1856"/>
      <c r="L634" s="1856"/>
      <c r="M634" s="1819" t="s">
        <v>499</v>
      </c>
      <c r="N634" s="1819"/>
      <c r="O634" s="1819"/>
      <c r="P634" s="1819"/>
      <c r="Q634" s="1819"/>
      <c r="R634" s="1819"/>
      <c r="S634" s="1819"/>
      <c r="T634" s="1819"/>
      <c r="U634" s="1819"/>
      <c r="V634" s="1819"/>
      <c r="W634" s="1819"/>
      <c r="X634" s="1813"/>
      <c r="Y634" s="1813" t="s">
        <v>542</v>
      </c>
      <c r="Z634" s="1814"/>
      <c r="AA634" s="1814"/>
      <c r="AB634" s="1814"/>
      <c r="AC634" s="1814"/>
      <c r="AD634" s="1814"/>
      <c r="AE634" s="1814"/>
      <c r="AF634" s="1815"/>
      <c r="AG634" s="721"/>
      <c r="AH634" s="721"/>
      <c r="AI634" s="721"/>
    </row>
    <row r="635" spans="1:37" s="315" customFormat="1" ht="25.5" customHeight="1" thickBot="1">
      <c r="A635" s="1867"/>
      <c r="B635" s="1857"/>
      <c r="C635" s="1857"/>
      <c r="D635" s="1857"/>
      <c r="E635" s="1857"/>
      <c r="F635" s="1857"/>
      <c r="G635" s="1857"/>
      <c r="H635" s="1857"/>
      <c r="I635" s="1857"/>
      <c r="J635" s="1857"/>
      <c r="K635" s="1857"/>
      <c r="L635" s="1857"/>
      <c r="M635" s="1816" t="s">
        <v>326</v>
      </c>
      <c r="N635" s="1816"/>
      <c r="O635" s="1816"/>
      <c r="P635" s="1816"/>
      <c r="Q635" s="1816" t="s">
        <v>513</v>
      </c>
      <c r="R635" s="1816"/>
      <c r="S635" s="1816"/>
      <c r="T635" s="1816"/>
      <c r="U635" s="1816" t="s">
        <v>501</v>
      </c>
      <c r="V635" s="1816"/>
      <c r="W635" s="1816"/>
      <c r="X635" s="1818"/>
      <c r="Y635" s="1816" t="s">
        <v>326</v>
      </c>
      <c r="Z635" s="1816"/>
      <c r="AA635" s="1816"/>
      <c r="AB635" s="1816"/>
      <c r="AC635" s="1816" t="s">
        <v>543</v>
      </c>
      <c r="AD635" s="1816"/>
      <c r="AE635" s="1816"/>
      <c r="AF635" s="1817"/>
      <c r="AG635" s="752"/>
      <c r="AH635" s="752"/>
      <c r="AI635" s="752"/>
      <c r="AK635" s="315" t="s">
        <v>1317</v>
      </c>
    </row>
    <row r="636" spans="1:37" ht="13.5" customHeight="1" thickTop="1">
      <c r="A636" s="1840">
        <f>K8</f>
        <v>0</v>
      </c>
      <c r="B636" s="1841"/>
      <c r="C636" s="1841"/>
      <c r="D636" s="1841"/>
      <c r="E636" s="1841"/>
      <c r="F636" s="1841"/>
      <c r="G636" s="1842"/>
      <c r="H636" s="1858" t="s">
        <v>352</v>
      </c>
      <c r="I636" s="1859"/>
      <c r="J636" s="1859"/>
      <c r="K636" s="1859"/>
      <c r="L636" s="1860"/>
      <c r="M636" s="1891">
        <f>Q33</f>
        <v>0</v>
      </c>
      <c r="N636" s="1892"/>
      <c r="O636" s="1892"/>
      <c r="P636" s="1893"/>
      <c r="Q636" s="1891">
        <f>U33</f>
        <v>0</v>
      </c>
      <c r="R636" s="1892"/>
      <c r="S636" s="1892"/>
      <c r="T636" s="1893"/>
      <c r="U636" s="1891">
        <f>MIN(Q636,AA33,AK636)</f>
        <v>0</v>
      </c>
      <c r="V636" s="1892"/>
      <c r="W636" s="1892"/>
      <c r="X636" s="1893"/>
      <c r="Y636" s="1264"/>
      <c r="Z636" s="1265"/>
      <c r="AA636" s="1265"/>
      <c r="AB636" s="1266"/>
      <c r="AC636" s="735"/>
      <c r="AD636" s="735"/>
      <c r="AE636" s="735"/>
      <c r="AF636" s="1267"/>
      <c r="AG636" s="722"/>
      <c r="AH636" s="722"/>
      <c r="AI636" s="722"/>
      <c r="AK636" s="1284">
        <f>IF(M636=0,0,((M636*12/WORKPERIOD)/'Attachment'!$X$29)*tax_due)</f>
        <v>0</v>
      </c>
    </row>
    <row r="637" spans="1:37">
      <c r="A637" s="1843"/>
      <c r="B637" s="1844"/>
      <c r="C637" s="1844"/>
      <c r="D637" s="1844"/>
      <c r="E637" s="1844"/>
      <c r="F637" s="1844"/>
      <c r="G637" s="1845"/>
      <c r="H637" s="1858" t="s">
        <v>264</v>
      </c>
      <c r="I637" s="1859"/>
      <c r="J637" s="1859"/>
      <c r="K637" s="1859"/>
      <c r="L637" s="1860"/>
      <c r="M637" s="1823">
        <f>Q58</f>
        <v>0</v>
      </c>
      <c r="N637" s="1824"/>
      <c r="O637" s="1824"/>
      <c r="P637" s="1825"/>
      <c r="Q637" s="1823">
        <f>U58</f>
        <v>0</v>
      </c>
      <c r="R637" s="1824"/>
      <c r="S637" s="1824"/>
      <c r="T637" s="1825"/>
      <c r="U637" s="1823">
        <f>MIN(Q637,AA58,AK637)</f>
        <v>0</v>
      </c>
      <c r="V637" s="1824"/>
      <c r="W637" s="1824"/>
      <c r="X637" s="1825"/>
      <c r="Y637" s="1268"/>
      <c r="Z637" s="735"/>
      <c r="AA637" s="735"/>
      <c r="AB637" s="1269"/>
      <c r="AC637" s="735"/>
      <c r="AD637" s="735"/>
      <c r="AE637" s="735"/>
      <c r="AF637" s="1267"/>
      <c r="AG637" s="722"/>
      <c r="AH637" s="722"/>
      <c r="AI637" s="722"/>
      <c r="AK637" s="1284">
        <f>IF(M637=0,0,((M637*12/WORKPERIOD)/'Attachment'!$X$29)*tax_due)</f>
        <v>0</v>
      </c>
    </row>
    <row r="638" spans="1:37">
      <c r="A638" s="1843"/>
      <c r="B638" s="1844"/>
      <c r="C638" s="1844"/>
      <c r="D638" s="1844"/>
      <c r="E638" s="1844"/>
      <c r="F638" s="1844"/>
      <c r="G638" s="1845"/>
      <c r="H638" s="1858" t="s">
        <v>544</v>
      </c>
      <c r="I638" s="1859"/>
      <c r="J638" s="1859"/>
      <c r="K638" s="1859"/>
      <c r="L638" s="1860"/>
      <c r="M638" s="1823">
        <f>Q83</f>
        <v>0</v>
      </c>
      <c r="N638" s="1824"/>
      <c r="O638" s="1824"/>
      <c r="P638" s="1825"/>
      <c r="Q638" s="1823">
        <f>U83</f>
        <v>0</v>
      </c>
      <c r="R638" s="1824"/>
      <c r="S638" s="1824"/>
      <c r="T638" s="1825"/>
      <c r="U638" s="1823">
        <f>MIN(Q638,AA83,AK638)</f>
        <v>0</v>
      </c>
      <c r="V638" s="1824"/>
      <c r="W638" s="1824"/>
      <c r="X638" s="1825"/>
      <c r="Y638" s="1268"/>
      <c r="Z638" s="735"/>
      <c r="AA638" s="735"/>
      <c r="AB638" s="1269"/>
      <c r="AC638" s="735"/>
      <c r="AD638" s="735"/>
      <c r="AE638" s="735"/>
      <c r="AF638" s="1267"/>
      <c r="AG638" s="722"/>
      <c r="AH638" s="722"/>
      <c r="AI638" s="722"/>
      <c r="AK638" s="1284">
        <f>IF(M638=0,0,((M638*12/WORKPERIOD)/'Attachment'!$X$29)*tax_due)</f>
        <v>0</v>
      </c>
    </row>
    <row r="639" spans="1:37">
      <c r="A639" s="1843"/>
      <c r="B639" s="1844"/>
      <c r="C639" s="1844"/>
      <c r="D639" s="1844"/>
      <c r="E639" s="1844"/>
      <c r="F639" s="1844"/>
      <c r="G639" s="1845"/>
      <c r="H639" s="1858" t="s">
        <v>545</v>
      </c>
      <c r="I639" s="1859"/>
      <c r="J639" s="1859"/>
      <c r="K639" s="1859"/>
      <c r="L639" s="1860"/>
      <c r="M639" s="1861">
        <f>IF(AB108&lt;0,0,AB108)</f>
        <v>0</v>
      </c>
      <c r="N639" s="1862"/>
      <c r="O639" s="1862"/>
      <c r="P639" s="1863"/>
      <c r="Q639" s="1861">
        <f>IF(M639=0,0,AF108)</f>
        <v>0</v>
      </c>
      <c r="R639" s="1862"/>
      <c r="S639" s="1862"/>
      <c r="T639" s="1863"/>
      <c r="U639" s="1823">
        <f>MIN(Q639,AK639)</f>
        <v>0</v>
      </c>
      <c r="V639" s="1824"/>
      <c r="W639" s="1824"/>
      <c r="X639" s="1825"/>
      <c r="Y639" s="1268"/>
      <c r="Z639" s="735"/>
      <c r="AA639" s="735"/>
      <c r="AB639" s="1269"/>
      <c r="AC639" s="735"/>
      <c r="AD639" s="735"/>
      <c r="AE639" s="735"/>
      <c r="AF639" s="1267"/>
      <c r="AG639" s="722"/>
      <c r="AH639" s="722"/>
      <c r="AI639" s="722"/>
      <c r="AK639" s="1284">
        <f>IF(M639=0,0,((M639*12/WORKPERIOD)/'Attachment'!$X$29)*tax_due)</f>
        <v>0</v>
      </c>
    </row>
    <row r="640" spans="1:37">
      <c r="A640" s="1846"/>
      <c r="B640" s="1847"/>
      <c r="C640" s="1847"/>
      <c r="D640" s="1847"/>
      <c r="E640" s="1847"/>
      <c r="F640" s="1847"/>
      <c r="G640" s="1848"/>
      <c r="H640" s="1858" t="s">
        <v>546</v>
      </c>
      <c r="I640" s="1859"/>
      <c r="J640" s="1859"/>
      <c r="K640" s="1859"/>
      <c r="L640" s="1860"/>
      <c r="M640" s="1820">
        <f>IF(X154&lt;0,0,X154)</f>
        <v>0</v>
      </c>
      <c r="N640" s="1821"/>
      <c r="O640" s="1821"/>
      <c r="P640" s="1822"/>
      <c r="Q640" s="1820">
        <f>IF(M640=0,0,X156)</f>
        <v>0</v>
      </c>
      <c r="R640" s="1821"/>
      <c r="S640" s="1821"/>
      <c r="T640" s="1822"/>
      <c r="U640" s="1823">
        <f>MIN(Q640,AK640)</f>
        <v>0</v>
      </c>
      <c r="V640" s="1824"/>
      <c r="W640" s="1824"/>
      <c r="X640" s="1825"/>
      <c r="Y640" s="1268"/>
      <c r="Z640" s="735"/>
      <c r="AA640" s="735"/>
      <c r="AB640" s="1269"/>
      <c r="AC640" s="735"/>
      <c r="AD640" s="735"/>
      <c r="AE640" s="735"/>
      <c r="AF640" s="1267"/>
      <c r="AG640" s="722"/>
      <c r="AH640" s="722"/>
      <c r="AI640" s="722"/>
      <c r="AK640" s="1284">
        <f>IF(M640=0,0,((M640*12/WORKPERIOD)/'Attachment'!$X$29)*tax_due)</f>
        <v>0</v>
      </c>
    </row>
    <row r="641" spans="1:37" s="311" customFormat="1" ht="13.5" customHeight="1">
      <c r="A641" s="1852" t="s">
        <v>547</v>
      </c>
      <c r="B641" s="1830"/>
      <c r="C641" s="1830"/>
      <c r="D641" s="1830"/>
      <c r="E641" s="1830"/>
      <c r="F641" s="1830"/>
      <c r="G641" s="1831"/>
      <c r="H641" s="1874"/>
      <c r="I641" s="1830"/>
      <c r="J641" s="1830"/>
      <c r="K641" s="1830"/>
      <c r="L641" s="1831"/>
      <c r="M641" s="1807">
        <f>SUM(M636:P640)</f>
        <v>0</v>
      </c>
      <c r="N641" s="1808"/>
      <c r="O641" s="1808"/>
      <c r="P641" s="1809"/>
      <c r="Q641" s="1807">
        <f>SUM(Q636:T640)</f>
        <v>0</v>
      </c>
      <c r="R641" s="1808"/>
      <c r="S641" s="1808"/>
      <c r="T641" s="1809"/>
      <c r="U641" s="1807">
        <f>SUM(U636:X640)</f>
        <v>0</v>
      </c>
      <c r="V641" s="1808"/>
      <c r="W641" s="1808"/>
      <c r="X641" s="1809"/>
      <c r="Y641" s="1807">
        <f>IF(M641&lt;0,0,M641)</f>
        <v>0</v>
      </c>
      <c r="Z641" s="1808"/>
      <c r="AA641" s="1808"/>
      <c r="AB641" s="1809"/>
      <c r="AC641" s="1810">
        <f>U641</f>
        <v>0</v>
      </c>
      <c r="AD641" s="1811"/>
      <c r="AE641" s="1811"/>
      <c r="AF641" s="1812"/>
      <c r="AG641" s="721"/>
      <c r="AH641" s="721"/>
      <c r="AI641" s="721"/>
      <c r="AJ641" s="311"/>
      <c r="AK641" s="1284"/>
    </row>
    <row r="642" spans="1:37">
      <c r="A642" s="1849" t="str">
        <f>K159</f>
        <v> </v>
      </c>
      <c r="B642" s="1850"/>
      <c r="C642" s="1850"/>
      <c r="D642" s="1850"/>
      <c r="E642" s="1850"/>
      <c r="F642" s="1850"/>
      <c r="G642" s="1851"/>
      <c r="H642" s="1875" t="s">
        <v>352</v>
      </c>
      <c r="I642" s="1859"/>
      <c r="J642" s="1859"/>
      <c r="K642" s="1859"/>
      <c r="L642" s="1860"/>
      <c r="M642" s="1826">
        <f>Q184</f>
        <v>0</v>
      </c>
      <c r="N642" s="1827"/>
      <c r="O642" s="1827"/>
      <c r="P642" s="1828"/>
      <c r="Q642" s="1826">
        <f>U184</f>
        <v>0</v>
      </c>
      <c r="R642" s="1827"/>
      <c r="S642" s="1827"/>
      <c r="T642" s="1828"/>
      <c r="U642" s="1826">
        <f>MIN(Q642,AA184,AK642)</f>
        <v>0</v>
      </c>
      <c r="V642" s="1827"/>
      <c r="W642" s="1827"/>
      <c r="X642" s="1828"/>
      <c r="Y642" s="1270"/>
      <c r="Z642" s="903"/>
      <c r="AA642" s="903"/>
      <c r="AB642" s="1271"/>
      <c r="AC642" s="903"/>
      <c r="AD642" s="903"/>
      <c r="AE642" s="903"/>
      <c r="AF642" s="1272"/>
      <c r="AG642" s="722"/>
      <c r="AH642" s="722"/>
      <c r="AI642" s="722"/>
      <c r="AK642" s="1284">
        <f>IF(M642=0,0,((M642*12/WORKPERIOD)/'Attachment'!$X$29)*tax_due)</f>
        <v>0</v>
      </c>
    </row>
    <row r="643" spans="1:37">
      <c r="A643" s="1843"/>
      <c r="B643" s="1844"/>
      <c r="C643" s="1844"/>
      <c r="D643" s="1844"/>
      <c r="E643" s="1844"/>
      <c r="F643" s="1844"/>
      <c r="G643" s="1845"/>
      <c r="H643" s="1875" t="s">
        <v>264</v>
      </c>
      <c r="I643" s="1859"/>
      <c r="J643" s="1859"/>
      <c r="K643" s="1859"/>
      <c r="L643" s="1860"/>
      <c r="M643" s="1823">
        <f>Q209</f>
        <v>0</v>
      </c>
      <c r="N643" s="1824"/>
      <c r="O643" s="1824"/>
      <c r="P643" s="1825"/>
      <c r="Q643" s="1823">
        <f>U209</f>
        <v>0</v>
      </c>
      <c r="R643" s="1824"/>
      <c r="S643" s="1824"/>
      <c r="T643" s="1825"/>
      <c r="U643" s="1823">
        <f>MIN(Q643,AA209,AK643)</f>
        <v>0</v>
      </c>
      <c r="V643" s="1824"/>
      <c r="W643" s="1824"/>
      <c r="X643" s="1825"/>
      <c r="Y643" s="1270"/>
      <c r="Z643" s="903"/>
      <c r="AA643" s="903"/>
      <c r="AB643" s="1271"/>
      <c r="AC643" s="903"/>
      <c r="AD643" s="903"/>
      <c r="AE643" s="903"/>
      <c r="AF643" s="1272"/>
      <c r="AG643" s="722"/>
      <c r="AH643" s="722"/>
      <c r="AI643" s="722"/>
      <c r="AK643" s="1284">
        <f>IF(M643=0,0,((M643*12/WORKPERIOD)/'Attachment'!$X$29)*tax_due)</f>
        <v>0</v>
      </c>
    </row>
    <row r="644" spans="1:37">
      <c r="A644" s="1843"/>
      <c r="B644" s="1844"/>
      <c r="C644" s="1844"/>
      <c r="D644" s="1844"/>
      <c r="E644" s="1844"/>
      <c r="F644" s="1844"/>
      <c r="G644" s="1845"/>
      <c r="H644" s="1875" t="s">
        <v>544</v>
      </c>
      <c r="I644" s="1859"/>
      <c r="J644" s="1859"/>
      <c r="K644" s="1859"/>
      <c r="L644" s="1860"/>
      <c r="M644" s="1823">
        <f>Q234</f>
        <v>0</v>
      </c>
      <c r="N644" s="1824"/>
      <c r="O644" s="1824"/>
      <c r="P644" s="1825"/>
      <c r="Q644" s="1823">
        <f>U234</f>
        <v>0</v>
      </c>
      <c r="R644" s="1824"/>
      <c r="S644" s="1824"/>
      <c r="T644" s="1825"/>
      <c r="U644" s="1823">
        <f>MIN(Q644,AA234,AK644)</f>
        <v>0</v>
      </c>
      <c r="V644" s="1824"/>
      <c r="W644" s="1824"/>
      <c r="X644" s="1825"/>
      <c r="Y644" s="1270"/>
      <c r="Z644" s="903"/>
      <c r="AA644" s="903"/>
      <c r="AB644" s="1271"/>
      <c r="AC644" s="903"/>
      <c r="AD644" s="903"/>
      <c r="AE644" s="903"/>
      <c r="AF644" s="1272"/>
      <c r="AG644" s="722"/>
      <c r="AH644" s="722"/>
      <c r="AI644" s="722"/>
      <c r="AK644" s="1284">
        <f>IF(M644=0,0,((M644*12/WORKPERIOD)/'Attachment'!$X$29)*tax_due)</f>
        <v>0</v>
      </c>
    </row>
    <row r="645" spans="1:37">
      <c r="A645" s="1843"/>
      <c r="B645" s="1844"/>
      <c r="C645" s="1844"/>
      <c r="D645" s="1844"/>
      <c r="E645" s="1844"/>
      <c r="F645" s="1844"/>
      <c r="G645" s="1845"/>
      <c r="H645" s="1875" t="s">
        <v>545</v>
      </c>
      <c r="I645" s="1859"/>
      <c r="J645" s="1859"/>
      <c r="K645" s="1859"/>
      <c r="L645" s="1860"/>
      <c r="M645" s="1861">
        <f>IF(AB259&lt;0,0,AB259)</f>
        <v>0</v>
      </c>
      <c r="N645" s="1862"/>
      <c r="O645" s="1862"/>
      <c r="P645" s="1863"/>
      <c r="Q645" s="1861">
        <f>IF(M645=0,0,AF259)</f>
        <v>0</v>
      </c>
      <c r="R645" s="1862"/>
      <c r="S645" s="1862"/>
      <c r="T645" s="1863"/>
      <c r="U645" s="1823">
        <f>MIN(Q645,AK645)</f>
        <v>0</v>
      </c>
      <c r="V645" s="1824"/>
      <c r="W645" s="1824"/>
      <c r="X645" s="1825"/>
      <c r="Y645" s="1270"/>
      <c r="Z645" s="903"/>
      <c r="AA645" s="903"/>
      <c r="AB645" s="1271"/>
      <c r="AC645" s="903"/>
      <c r="AD645" s="903"/>
      <c r="AE645" s="903"/>
      <c r="AF645" s="1272"/>
      <c r="AG645" s="722"/>
      <c r="AH645" s="722"/>
      <c r="AI645" s="722"/>
      <c r="AK645" s="1284">
        <f>IF(M645=0,0,((M645*12/WORKPERIOD)/'Attachment'!$X$29)*tax_due)</f>
        <v>0</v>
      </c>
    </row>
    <row r="646" spans="1:37">
      <c r="A646" s="1846"/>
      <c r="B646" s="1847"/>
      <c r="C646" s="1847"/>
      <c r="D646" s="1847"/>
      <c r="E646" s="1847"/>
      <c r="F646" s="1847"/>
      <c r="G646" s="1848"/>
      <c r="H646" s="1875" t="s">
        <v>546</v>
      </c>
      <c r="I646" s="1859"/>
      <c r="J646" s="1859"/>
      <c r="K646" s="1859"/>
      <c r="L646" s="1860"/>
      <c r="M646" s="1820">
        <f>IF(X305&lt;0,0,X305)</f>
        <v>0</v>
      </c>
      <c r="N646" s="1821"/>
      <c r="O646" s="1821"/>
      <c r="P646" s="1822"/>
      <c r="Q646" s="1820">
        <f>IF(M646=0,0,X307)</f>
        <v>0</v>
      </c>
      <c r="R646" s="1821"/>
      <c r="S646" s="1821"/>
      <c r="T646" s="1822"/>
      <c r="U646" s="1823">
        <f>MIN(Q646,AK646)</f>
        <v>0</v>
      </c>
      <c r="V646" s="1824"/>
      <c r="W646" s="1824"/>
      <c r="X646" s="1825"/>
      <c r="Y646" s="1270"/>
      <c r="Z646" s="903"/>
      <c r="AA646" s="903"/>
      <c r="AB646" s="1271"/>
      <c r="AC646" s="903"/>
      <c r="AD646" s="903"/>
      <c r="AE646" s="903"/>
      <c r="AF646" s="1272"/>
      <c r="AG646" s="722"/>
      <c r="AH646" s="722"/>
      <c r="AI646" s="722"/>
      <c r="AK646" s="1284">
        <f>IF(M646=0,0,((M646*12/WORKPERIOD)/'Attachment'!$X$29)*tax_due)</f>
        <v>0</v>
      </c>
    </row>
    <row r="647" spans="1:37" s="311" customFormat="1" ht="13.5" customHeight="1">
      <c r="A647" s="1832" t="s">
        <v>547</v>
      </c>
      <c r="B647" s="1830"/>
      <c r="C647" s="1830"/>
      <c r="D647" s="1830"/>
      <c r="E647" s="1830"/>
      <c r="F647" s="1830"/>
      <c r="G647" s="1831"/>
      <c r="H647" s="1876"/>
      <c r="I647" s="1830"/>
      <c r="J647" s="1830"/>
      <c r="K647" s="1830"/>
      <c r="L647" s="1831"/>
      <c r="M647" s="1807">
        <f>SUM(M642:P646)</f>
        <v>0</v>
      </c>
      <c r="N647" s="1808"/>
      <c r="O647" s="1808"/>
      <c r="P647" s="1809"/>
      <c r="Q647" s="1807">
        <f>SUM(Q642:T646)</f>
        <v>0</v>
      </c>
      <c r="R647" s="1808"/>
      <c r="S647" s="1808"/>
      <c r="T647" s="1809"/>
      <c r="U647" s="1807">
        <f>SUM(U642:X646)</f>
        <v>0</v>
      </c>
      <c r="V647" s="1808"/>
      <c r="W647" s="1808"/>
      <c r="X647" s="1809"/>
      <c r="Y647" s="1807">
        <f>IF(M647&lt;0,0,M647)</f>
        <v>0</v>
      </c>
      <c r="Z647" s="1808"/>
      <c r="AA647" s="1808"/>
      <c r="AB647" s="1809"/>
      <c r="AC647" s="1810">
        <f>U647</f>
        <v>0</v>
      </c>
      <c r="AD647" s="1811"/>
      <c r="AE647" s="1811"/>
      <c r="AF647" s="1812"/>
      <c r="AG647" s="721"/>
      <c r="AH647" s="721"/>
      <c r="AI647" s="721"/>
      <c r="AK647" s="1284"/>
    </row>
    <row r="648" spans="1:37">
      <c r="A648" s="1849" t="str">
        <f>K310</f>
        <v> </v>
      </c>
      <c r="B648" s="1850"/>
      <c r="C648" s="1850"/>
      <c r="D648" s="1850"/>
      <c r="E648" s="1850"/>
      <c r="F648" s="1850"/>
      <c r="G648" s="1851"/>
      <c r="H648" s="1872" t="s">
        <v>352</v>
      </c>
      <c r="I648" s="1859"/>
      <c r="J648" s="1859"/>
      <c r="K648" s="1859"/>
      <c r="L648" s="1860"/>
      <c r="M648" s="1826">
        <f>Q335</f>
        <v>0</v>
      </c>
      <c r="N648" s="1827"/>
      <c r="O648" s="1827"/>
      <c r="P648" s="1828"/>
      <c r="Q648" s="1826">
        <f>U335</f>
        <v>0</v>
      </c>
      <c r="R648" s="1827"/>
      <c r="S648" s="1827"/>
      <c r="T648" s="1828"/>
      <c r="U648" s="1826">
        <f>MIN(Q648,AA335,AK648)</f>
        <v>0</v>
      </c>
      <c r="V648" s="1827"/>
      <c r="W648" s="1827"/>
      <c r="X648" s="1828"/>
      <c r="Y648" s="1273"/>
      <c r="Z648" s="945"/>
      <c r="AA648" s="945"/>
      <c r="AB648" s="1274"/>
      <c r="AC648" s="945"/>
      <c r="AD648" s="945"/>
      <c r="AE648" s="945"/>
      <c r="AF648" s="1275"/>
      <c r="AG648" s="722"/>
      <c r="AH648" s="722"/>
      <c r="AI648" s="722"/>
      <c r="AK648" s="1284">
        <f>IF(M648=0,0,((M648*12/WORKPERIOD)/'Attachment'!$X$29)*tax_due)</f>
        <v>0</v>
      </c>
    </row>
    <row r="649" spans="1:37">
      <c r="A649" s="1843"/>
      <c r="B649" s="1844"/>
      <c r="C649" s="1844"/>
      <c r="D649" s="1844"/>
      <c r="E649" s="1844"/>
      <c r="F649" s="1844"/>
      <c r="G649" s="1845"/>
      <c r="H649" s="1872" t="s">
        <v>264</v>
      </c>
      <c r="I649" s="1859"/>
      <c r="J649" s="1859"/>
      <c r="K649" s="1859"/>
      <c r="L649" s="1860"/>
      <c r="M649" s="1823">
        <f>Q360</f>
        <v>0</v>
      </c>
      <c r="N649" s="1824"/>
      <c r="O649" s="1824"/>
      <c r="P649" s="1825"/>
      <c r="Q649" s="1823">
        <f>U360</f>
        <v>0</v>
      </c>
      <c r="R649" s="1824"/>
      <c r="S649" s="1824"/>
      <c r="T649" s="1825"/>
      <c r="U649" s="1823">
        <f>MIN(Q649,AA360,AK649)</f>
        <v>0</v>
      </c>
      <c r="V649" s="1824"/>
      <c r="W649" s="1824"/>
      <c r="X649" s="1825"/>
      <c r="Y649" s="1273"/>
      <c r="Z649" s="945"/>
      <c r="AA649" s="945"/>
      <c r="AB649" s="1274"/>
      <c r="AC649" s="945"/>
      <c r="AD649" s="945"/>
      <c r="AE649" s="945"/>
      <c r="AF649" s="1275"/>
      <c r="AG649" s="722"/>
      <c r="AH649" s="722"/>
      <c r="AI649" s="722"/>
      <c r="AK649" s="1284">
        <f>IF(M649=0,0,((M649*12/WORKPERIOD)/'Attachment'!$X$29)*tax_due)</f>
        <v>0</v>
      </c>
    </row>
    <row r="650" spans="1:37">
      <c r="A650" s="1843"/>
      <c r="B650" s="1844"/>
      <c r="C650" s="1844"/>
      <c r="D650" s="1844"/>
      <c r="E650" s="1844"/>
      <c r="F650" s="1844"/>
      <c r="G650" s="1845"/>
      <c r="H650" s="1872" t="s">
        <v>544</v>
      </c>
      <c r="I650" s="1859"/>
      <c r="J650" s="1859"/>
      <c r="K650" s="1859"/>
      <c r="L650" s="1860"/>
      <c r="M650" s="1823">
        <f>Q385</f>
        <v>0</v>
      </c>
      <c r="N650" s="1824"/>
      <c r="O650" s="1824"/>
      <c r="P650" s="1825"/>
      <c r="Q650" s="1823">
        <f>U385</f>
        <v>0</v>
      </c>
      <c r="R650" s="1824"/>
      <c r="S650" s="1824"/>
      <c r="T650" s="1825"/>
      <c r="U650" s="1823">
        <f>MIN(Q650,AK650,AA385)</f>
        <v>0</v>
      </c>
      <c r="V650" s="1824"/>
      <c r="W650" s="1824"/>
      <c r="X650" s="1825"/>
      <c r="Y650" s="1273"/>
      <c r="Z650" s="945"/>
      <c r="AA650" s="945"/>
      <c r="AB650" s="1274"/>
      <c r="AC650" s="945"/>
      <c r="AD650" s="945"/>
      <c r="AE650" s="945"/>
      <c r="AF650" s="1275"/>
      <c r="AG650" s="722"/>
      <c r="AH650" s="722"/>
      <c r="AI650" s="722"/>
      <c r="AK650" s="1284">
        <f>IF(M650=0,0,((M650*12/WORKPERIOD)/'Attachment'!$X$29)*tax_due)</f>
        <v>0</v>
      </c>
    </row>
    <row r="651" spans="1:37">
      <c r="A651" s="1843"/>
      <c r="B651" s="1844"/>
      <c r="C651" s="1844"/>
      <c r="D651" s="1844"/>
      <c r="E651" s="1844"/>
      <c r="F651" s="1844"/>
      <c r="G651" s="1845"/>
      <c r="H651" s="1872" t="s">
        <v>545</v>
      </c>
      <c r="I651" s="1859"/>
      <c r="J651" s="1859"/>
      <c r="K651" s="1859"/>
      <c r="L651" s="1860"/>
      <c r="M651" s="1861">
        <f>IF(AB410&lt;0,0,AB410)</f>
        <v>0</v>
      </c>
      <c r="N651" s="1862"/>
      <c r="O651" s="1862"/>
      <c r="P651" s="1863"/>
      <c r="Q651" s="1861">
        <f>IF(M651=0,0,AF410)</f>
        <v>0</v>
      </c>
      <c r="R651" s="1862"/>
      <c r="S651" s="1862"/>
      <c r="T651" s="1863"/>
      <c r="U651" s="1823">
        <f>MIN(Q651,AK651)</f>
        <v>0</v>
      </c>
      <c r="V651" s="1824"/>
      <c r="W651" s="1824"/>
      <c r="X651" s="1825"/>
      <c r="Y651" s="1273"/>
      <c r="Z651" s="945"/>
      <c r="AA651" s="945"/>
      <c r="AB651" s="1274"/>
      <c r="AC651" s="945"/>
      <c r="AD651" s="945"/>
      <c r="AE651" s="945"/>
      <c r="AF651" s="1275"/>
      <c r="AG651" s="722"/>
      <c r="AH651" s="722"/>
      <c r="AI651" s="722"/>
      <c r="AK651" s="1284">
        <f>IF(M651=0,0,((M651*12/WORKPERIOD)/'Attachment'!$X$29)*tax_due)</f>
        <v>0</v>
      </c>
    </row>
    <row r="652" spans="1:37">
      <c r="A652" s="1846"/>
      <c r="B652" s="1847"/>
      <c r="C652" s="1847"/>
      <c r="D652" s="1847"/>
      <c r="E652" s="1847"/>
      <c r="F652" s="1847"/>
      <c r="G652" s="1848"/>
      <c r="H652" s="1872" t="s">
        <v>546</v>
      </c>
      <c r="I652" s="1859"/>
      <c r="J652" s="1859"/>
      <c r="K652" s="1859"/>
      <c r="L652" s="1860"/>
      <c r="M652" s="1820">
        <f>IF(X162&lt;0,0,X456)</f>
        <v>0</v>
      </c>
      <c r="N652" s="1821"/>
      <c r="O652" s="1821"/>
      <c r="P652" s="1822"/>
      <c r="Q652" s="1820">
        <f>IF(M652=0,0,X458)</f>
        <v>0</v>
      </c>
      <c r="R652" s="1821"/>
      <c r="S652" s="1821"/>
      <c r="T652" s="1822"/>
      <c r="U652" s="1823">
        <f>MIN(Q652,AK652)</f>
        <v>0</v>
      </c>
      <c r="V652" s="1824"/>
      <c r="W652" s="1824"/>
      <c r="X652" s="1825"/>
      <c r="Y652" s="1273"/>
      <c r="Z652" s="945"/>
      <c r="AA652" s="945"/>
      <c r="AB652" s="1274"/>
      <c r="AC652" s="945"/>
      <c r="AD652" s="945"/>
      <c r="AE652" s="945"/>
      <c r="AF652" s="1275"/>
      <c r="AG652" s="722"/>
      <c r="AH652" s="722"/>
      <c r="AI652" s="722"/>
      <c r="AK652" s="1284">
        <f>IF(M652=0,0,((M652*12/WORKPERIOD)/'Attachment'!$X$29)*tax_due)</f>
        <v>0</v>
      </c>
    </row>
    <row r="653" spans="1:37" s="311" customFormat="1" ht="13.5" customHeight="1">
      <c r="A653" s="1853" t="s">
        <v>547</v>
      </c>
      <c r="B653" s="1830"/>
      <c r="C653" s="1830"/>
      <c r="D653" s="1830"/>
      <c r="E653" s="1830"/>
      <c r="F653" s="1830"/>
      <c r="G653" s="1831"/>
      <c r="H653" s="1873"/>
      <c r="I653" s="1830"/>
      <c r="J653" s="1830"/>
      <c r="K653" s="1830"/>
      <c r="L653" s="1831"/>
      <c r="M653" s="1807">
        <f>SUM(M648:P652)</f>
        <v>0</v>
      </c>
      <c r="N653" s="1808"/>
      <c r="O653" s="1808"/>
      <c r="P653" s="1809"/>
      <c r="Q653" s="1807">
        <f>SUM(Q648:T652)</f>
        <v>0</v>
      </c>
      <c r="R653" s="1808"/>
      <c r="S653" s="1808"/>
      <c r="T653" s="1809"/>
      <c r="U653" s="1807">
        <f>SUM(U648:X652)</f>
        <v>0</v>
      </c>
      <c r="V653" s="1808"/>
      <c r="W653" s="1808"/>
      <c r="X653" s="1809"/>
      <c r="Y653" s="1807">
        <f>IF(M653&lt;0,0,M653)</f>
        <v>0</v>
      </c>
      <c r="Z653" s="1808"/>
      <c r="AA653" s="1808"/>
      <c r="AB653" s="1809"/>
      <c r="AC653" s="1810">
        <f>U653</f>
        <v>0</v>
      </c>
      <c r="AD653" s="1811"/>
      <c r="AE653" s="1811"/>
      <c r="AF653" s="1812"/>
      <c r="AG653" s="721"/>
      <c r="AH653" s="721"/>
      <c r="AI653" s="721"/>
      <c r="AK653" s="1284"/>
    </row>
    <row r="654" spans="1:37">
      <c r="A654" s="1849" t="str">
        <f>K461</f>
        <v> </v>
      </c>
      <c r="B654" s="1850"/>
      <c r="C654" s="1850"/>
      <c r="D654" s="1850"/>
      <c r="E654" s="1850"/>
      <c r="F654" s="1850"/>
      <c r="G654" s="1851"/>
      <c r="H654" s="1868" t="s">
        <v>352</v>
      </c>
      <c r="I654" s="1859"/>
      <c r="J654" s="1859"/>
      <c r="K654" s="1859"/>
      <c r="L654" s="1860"/>
      <c r="M654" s="1826">
        <f>Q486</f>
        <v>0</v>
      </c>
      <c r="N654" s="1827"/>
      <c r="O654" s="1827"/>
      <c r="P654" s="1828"/>
      <c r="Q654" s="1826">
        <f>U486</f>
        <v>0</v>
      </c>
      <c r="R654" s="1827"/>
      <c r="S654" s="1827"/>
      <c r="T654" s="1828"/>
      <c r="U654" s="1826">
        <f>MIN(Q654,AK654,AA486)</f>
        <v>0</v>
      </c>
      <c r="V654" s="1827"/>
      <c r="W654" s="1827"/>
      <c r="X654" s="1828"/>
      <c r="Y654" s="1276"/>
      <c r="Z654" s="924"/>
      <c r="AA654" s="924"/>
      <c r="AB654" s="1277"/>
      <c r="AC654" s="924"/>
      <c r="AD654" s="924"/>
      <c r="AE654" s="924"/>
      <c r="AF654" s="1278"/>
      <c r="AG654" s="722"/>
      <c r="AH654" s="722"/>
      <c r="AI654" s="722"/>
      <c r="AK654" s="1284">
        <f>IF(M654=0,0,((M654*12/WORKPERIOD)/'Attachment'!$X$29)*tax_due)</f>
        <v>0</v>
      </c>
    </row>
    <row r="655" spans="1:37">
      <c r="A655" s="1843"/>
      <c r="B655" s="1844"/>
      <c r="C655" s="1844"/>
      <c r="D655" s="1844"/>
      <c r="E655" s="1844"/>
      <c r="F655" s="1844"/>
      <c r="G655" s="1845"/>
      <c r="H655" s="1868" t="s">
        <v>264</v>
      </c>
      <c r="I655" s="1859"/>
      <c r="J655" s="1859"/>
      <c r="K655" s="1859"/>
      <c r="L655" s="1860"/>
      <c r="M655" s="1823">
        <f>Q511</f>
        <v>0</v>
      </c>
      <c r="N655" s="1824"/>
      <c r="O655" s="1824"/>
      <c r="P655" s="1825"/>
      <c r="Q655" s="1823">
        <f>U511</f>
        <v>0</v>
      </c>
      <c r="R655" s="1824"/>
      <c r="S655" s="1824"/>
      <c r="T655" s="1825"/>
      <c r="U655" s="1823">
        <f>MIN(Q655,AK655,AA511)</f>
        <v>0</v>
      </c>
      <c r="V655" s="1824"/>
      <c r="W655" s="1824"/>
      <c r="X655" s="1825"/>
      <c r="Y655" s="1276"/>
      <c r="Z655" s="924"/>
      <c r="AA655" s="924"/>
      <c r="AB655" s="1277"/>
      <c r="AC655" s="924"/>
      <c r="AD655" s="924"/>
      <c r="AE655" s="924"/>
      <c r="AF655" s="1278"/>
      <c r="AG655" s="722"/>
      <c r="AH655" s="722"/>
      <c r="AI655" s="722"/>
      <c r="AK655" s="1284">
        <f>IF(M655=0,0,((M655*12/WORKPERIOD)/'Attachment'!$X$29)*tax_due)</f>
        <v>0</v>
      </c>
    </row>
    <row r="656" spans="1:37">
      <c r="A656" s="1843"/>
      <c r="B656" s="1844"/>
      <c r="C656" s="1844"/>
      <c r="D656" s="1844"/>
      <c r="E656" s="1844"/>
      <c r="F656" s="1844"/>
      <c r="G656" s="1845"/>
      <c r="H656" s="1868" t="s">
        <v>544</v>
      </c>
      <c r="I656" s="1859"/>
      <c r="J656" s="1859"/>
      <c r="K656" s="1859"/>
      <c r="L656" s="1860"/>
      <c r="M656" s="1823">
        <f>Q536</f>
        <v>0</v>
      </c>
      <c r="N656" s="1824"/>
      <c r="O656" s="1824"/>
      <c r="P656" s="1825"/>
      <c r="Q656" s="1823">
        <f>U536</f>
        <v>0</v>
      </c>
      <c r="R656" s="1824"/>
      <c r="S656" s="1824"/>
      <c r="T656" s="1825"/>
      <c r="U656" s="1823">
        <f>MIN(Q656,AK656,AA536)</f>
        <v>0</v>
      </c>
      <c r="V656" s="1824"/>
      <c r="W656" s="1824"/>
      <c r="X656" s="1825"/>
      <c r="Y656" s="1276"/>
      <c r="Z656" s="924"/>
      <c r="AA656" s="924"/>
      <c r="AB656" s="1277"/>
      <c r="AC656" s="924"/>
      <c r="AD656" s="924"/>
      <c r="AE656" s="924"/>
      <c r="AF656" s="1278"/>
      <c r="AG656" s="722"/>
      <c r="AH656" s="722"/>
      <c r="AI656" s="722"/>
      <c r="AK656" s="1284">
        <f>IF(M656=0,0,((M656*12/WORKPERIOD)/'Attachment'!$X$29)*tax_due)</f>
        <v>0</v>
      </c>
    </row>
    <row r="657" spans="1:37">
      <c r="A657" s="1843"/>
      <c r="B657" s="1844"/>
      <c r="C657" s="1844"/>
      <c r="D657" s="1844"/>
      <c r="E657" s="1844"/>
      <c r="F657" s="1844"/>
      <c r="G657" s="1845"/>
      <c r="H657" s="1868" t="s">
        <v>545</v>
      </c>
      <c r="I657" s="1859"/>
      <c r="J657" s="1859"/>
      <c r="K657" s="1859"/>
      <c r="L657" s="1860"/>
      <c r="M657" s="1861">
        <f>IF(AB561&lt;0,0,AB561)</f>
        <v>0</v>
      </c>
      <c r="N657" s="1862"/>
      <c r="O657" s="1862"/>
      <c r="P657" s="1863"/>
      <c r="Q657" s="1861">
        <f>IF(M657=0,0,AF561)</f>
        <v>0</v>
      </c>
      <c r="R657" s="1862"/>
      <c r="S657" s="1862"/>
      <c r="T657" s="1863"/>
      <c r="U657" s="1823">
        <f>MIN(Q657,AK657)</f>
        <v>0</v>
      </c>
      <c r="V657" s="1824"/>
      <c r="W657" s="1824"/>
      <c r="X657" s="1825"/>
      <c r="Y657" s="1276"/>
      <c r="Z657" s="924"/>
      <c r="AA657" s="924"/>
      <c r="AB657" s="1277"/>
      <c r="AC657" s="924"/>
      <c r="AD657" s="924"/>
      <c r="AE657" s="924"/>
      <c r="AF657" s="1278"/>
      <c r="AG657" s="722"/>
      <c r="AH657" s="722"/>
      <c r="AI657" s="722"/>
      <c r="AK657" s="1284">
        <f>IF(M657=0,0,((M657*12/WORKPERIOD)/'Attachment'!$X$29)*tax_due)</f>
        <v>0</v>
      </c>
    </row>
    <row r="658" spans="1:37">
      <c r="A658" s="1846"/>
      <c r="B658" s="1847"/>
      <c r="C658" s="1847"/>
      <c r="D658" s="1847"/>
      <c r="E658" s="1847"/>
      <c r="F658" s="1847"/>
      <c r="G658" s="1848"/>
      <c r="H658" s="1869" t="s">
        <v>546</v>
      </c>
      <c r="I658" s="1870"/>
      <c r="J658" s="1870"/>
      <c r="K658" s="1870"/>
      <c r="L658" s="1871"/>
      <c r="M658" s="1820">
        <f>IF(X607&lt;0,0,X607)</f>
        <v>0</v>
      </c>
      <c r="N658" s="1821"/>
      <c r="O658" s="1821"/>
      <c r="P658" s="1822"/>
      <c r="Q658" s="1820">
        <f>IF(M658=0,0,X609)</f>
        <v>0</v>
      </c>
      <c r="R658" s="1821"/>
      <c r="S658" s="1821"/>
      <c r="T658" s="1822"/>
      <c r="U658" s="1823">
        <f>MIN(Q658,AK658)</f>
        <v>0</v>
      </c>
      <c r="V658" s="1824"/>
      <c r="W658" s="1824"/>
      <c r="X658" s="1825"/>
      <c r="Y658" s="1276"/>
      <c r="Z658" s="924"/>
      <c r="AA658" s="924"/>
      <c r="AB658" s="1277"/>
      <c r="AC658" s="924"/>
      <c r="AD658" s="924"/>
      <c r="AE658" s="924"/>
      <c r="AF658" s="1278"/>
      <c r="AG658" s="722"/>
      <c r="AH658" s="722"/>
      <c r="AI658" s="722"/>
      <c r="AK658" s="1284">
        <f>IF(M658=0,0,((M658*12/WORKPERIOD)/'Attachment'!$X$29)*tax_due)</f>
        <v>0</v>
      </c>
    </row>
    <row r="659" spans="1:37" s="311" customFormat="1" ht="13.5" customHeight="1" thickBot="1">
      <c r="A659" s="1839" t="s">
        <v>547</v>
      </c>
      <c r="B659" s="1830"/>
      <c r="C659" s="1830"/>
      <c r="D659" s="1830"/>
      <c r="E659" s="1830"/>
      <c r="F659" s="1830"/>
      <c r="G659" s="1831"/>
      <c r="H659" s="1829"/>
      <c r="I659" s="1830"/>
      <c r="J659" s="1830"/>
      <c r="K659" s="1830"/>
      <c r="L659" s="1831"/>
      <c r="M659" s="1807">
        <f>SUM(M654:P658)</f>
        <v>0</v>
      </c>
      <c r="N659" s="1808"/>
      <c r="O659" s="1808"/>
      <c r="P659" s="1809"/>
      <c r="Q659" s="1807">
        <f>SUM(Q654:T658)</f>
        <v>0</v>
      </c>
      <c r="R659" s="1808"/>
      <c r="S659" s="1808"/>
      <c r="T659" s="1809"/>
      <c r="U659" s="1807">
        <f>SUM(U654:X658)</f>
        <v>0</v>
      </c>
      <c r="V659" s="1808"/>
      <c r="W659" s="1808"/>
      <c r="X659" s="1809"/>
      <c r="Y659" s="1801">
        <f>IF(M659&lt;0,0,M659)</f>
        <v>0</v>
      </c>
      <c r="Z659" s="1802"/>
      <c r="AA659" s="1802"/>
      <c r="AB659" s="1803"/>
      <c r="AC659" s="1804">
        <f>U659</f>
        <v>0</v>
      </c>
      <c r="AD659" s="1805"/>
      <c r="AE659" s="1805"/>
      <c r="AF659" s="1806"/>
      <c r="AG659" s="721"/>
      <c r="AH659" s="721"/>
      <c r="AI659" s="721"/>
      <c r="AK659" s="1284"/>
    </row>
    <row r="660" spans="1:35" ht="14.25" customHeight="1" thickTop="1" thickBot="1">
      <c r="A660" s="753" t="s">
        <v>368</v>
      </c>
      <c r="B660" s="737"/>
      <c r="C660" s="737"/>
      <c r="D660" s="737"/>
      <c r="E660" s="737"/>
      <c r="F660" s="737"/>
      <c r="G660" s="737"/>
      <c r="H660" s="737"/>
      <c r="I660" s="737"/>
      <c r="J660" s="737"/>
      <c r="K660" s="737"/>
      <c r="L660" s="737"/>
      <c r="M660" s="737"/>
      <c r="N660" s="737"/>
      <c r="O660" s="737"/>
      <c r="P660" s="737"/>
      <c r="Q660" s="737"/>
      <c r="R660" s="737"/>
      <c r="S660" s="737"/>
      <c r="T660" s="737"/>
      <c r="U660" s="737"/>
      <c r="V660" s="737"/>
      <c r="W660" s="737"/>
      <c r="X660" s="737"/>
      <c r="Y660" s="1798">
        <f>SUM(Y636:AB659)</f>
        <v>0</v>
      </c>
      <c r="Z660" s="1799"/>
      <c r="AA660" s="1799"/>
      <c r="AB660" s="1800"/>
      <c r="AC660" s="1798">
        <f>AC641+AC647+AC653+AC659</f>
        <v>0</v>
      </c>
      <c r="AD660" s="1799"/>
      <c r="AE660" s="1799"/>
      <c r="AF660" s="1800"/>
      <c r="AG660" s="722"/>
      <c r="AH660" s="722"/>
      <c r="AI660" s="722"/>
    </row>
    <row r="661" spans="1:35" ht="13.5" customHeight="1" thickTop="1">
      <c r="A661" s="722"/>
      <c r="B661" s="722"/>
      <c r="C661" s="722"/>
      <c r="D661" s="722"/>
      <c r="E661" s="722"/>
      <c r="F661" s="722"/>
      <c r="G661" s="722"/>
      <c r="H661" s="722"/>
      <c r="I661" s="722"/>
      <c r="J661" s="722"/>
      <c r="K661" s="722"/>
      <c r="L661" s="722"/>
      <c r="M661" s="722"/>
      <c r="N661" s="722"/>
      <c r="O661" s="722"/>
      <c r="P661" s="722"/>
      <c r="Q661" s="722"/>
      <c r="R661" s="722"/>
      <c r="S661" s="722"/>
      <c r="T661" s="722"/>
      <c r="U661" s="722"/>
      <c r="V661" s="722"/>
      <c r="W661" s="722"/>
      <c r="X661" s="722"/>
      <c r="Y661" s="722"/>
      <c r="Z661" s="722"/>
      <c r="AA661" s="722"/>
      <c r="AB661" s="722"/>
      <c r="AC661" s="722"/>
      <c r="AD661" s="722"/>
      <c r="AE661" s="722"/>
      <c r="AF661" s="722"/>
      <c r="AG661" s="722"/>
      <c r="AH661" s="722"/>
      <c r="AI661" s="722"/>
    </row>
    <row r="662" spans="1:35">
      <c r="A662" s="303"/>
      <c r="B662" s="303"/>
      <c r="C662" s="303"/>
      <c r="D662" s="303"/>
      <c r="E662" s="303"/>
      <c r="F662" s="303"/>
      <c r="G662" s="303"/>
      <c r="H662" s="303"/>
      <c r="I662" s="303"/>
      <c r="J662" s="303"/>
      <c r="K662" s="303"/>
      <c r="L662" s="303"/>
      <c r="M662" s="303"/>
      <c r="N662" s="303"/>
      <c r="O662" s="303"/>
      <c r="P662" s="303"/>
      <c r="Q662" s="303"/>
      <c r="R662" s="303"/>
      <c r="S662" s="303"/>
      <c r="T662" s="303"/>
      <c r="U662" s="303"/>
      <c r="V662" s="303"/>
      <c r="W662" s="303"/>
      <c r="X662" s="303"/>
      <c r="Y662" s="303"/>
      <c r="Z662" s="303"/>
      <c r="AA662" s="303"/>
      <c r="AB662" s="303"/>
      <c r="AC662" s="303"/>
      <c r="AD662" s="303"/>
      <c r="AE662" s="303"/>
      <c r="AF662" s="303"/>
      <c r="AG662" s="303"/>
      <c r="AH662" s="303"/>
      <c r="AI662" s="303"/>
    </row>
    <row r="663" spans="1:35">
      <c r="A663" s="303"/>
      <c r="B663" s="303"/>
      <c r="C663" s="303"/>
      <c r="D663" s="303"/>
      <c r="E663" s="303"/>
      <c r="F663" s="303"/>
      <c r="G663" s="303"/>
      <c r="H663" s="303"/>
      <c r="I663" s="303"/>
      <c r="J663" s="303"/>
      <c r="K663" s="303"/>
      <c r="L663" s="303"/>
      <c r="M663" s="303"/>
      <c r="N663" s="303"/>
      <c r="O663" s="303"/>
      <c r="P663" s="303"/>
      <c r="Q663" s="303"/>
      <c r="R663" s="303"/>
      <c r="S663" s="303"/>
      <c r="T663" s="303"/>
      <c r="U663" s="303"/>
      <c r="V663" s="303"/>
      <c r="W663" s="303"/>
      <c r="X663" s="303"/>
      <c r="Y663" s="303"/>
      <c r="Z663" s="303"/>
      <c r="AA663" s="303"/>
      <c r="AB663" s="303"/>
      <c r="AC663" s="303"/>
      <c r="AD663" s="303"/>
      <c r="AE663" s="303"/>
      <c r="AF663" s="303"/>
      <c r="AG663" s="303"/>
      <c r="AH663" s="303"/>
      <c r="AI663" s="303"/>
    </row>
    <row r="664" spans="1:35">
      <c r="A664" s="303"/>
      <c r="B664" s="303"/>
      <c r="C664" s="303"/>
      <c r="D664" s="303"/>
      <c r="E664" s="303"/>
      <c r="F664" s="303"/>
      <c r="G664" s="303"/>
      <c r="H664" s="303"/>
      <c r="I664" s="303"/>
      <c r="J664" s="303"/>
      <c r="K664" s="303"/>
      <c r="L664" s="303"/>
      <c r="M664" s="303"/>
      <c r="N664" s="303"/>
      <c r="O664" s="303"/>
      <c r="P664" s="303"/>
      <c r="Q664" s="303"/>
      <c r="R664" s="303"/>
      <c r="S664" s="303"/>
      <c r="T664" s="303"/>
      <c r="U664" s="303"/>
      <c r="V664" s="303"/>
      <c r="W664" s="303"/>
      <c r="X664" s="303"/>
      <c r="Y664" s="303"/>
      <c r="Z664" s="303"/>
      <c r="AA664" s="303"/>
      <c r="AB664" s="303"/>
      <c r="AC664" s="303"/>
      <c r="AD664" s="303"/>
      <c r="AE664" s="303"/>
      <c r="AF664" s="303"/>
      <c r="AG664" s="303"/>
      <c r="AH664" s="303"/>
      <c r="AI664" s="303"/>
    </row>
    <row r="665" spans="1:35">
      <c r="A665" s="303"/>
      <c r="B665" s="303"/>
      <c r="C665" s="303"/>
      <c r="D665" s="303"/>
      <c r="E665" s="303"/>
      <c r="F665" s="303"/>
      <c r="G665" s="303"/>
      <c r="H665" s="303"/>
      <c r="I665" s="303"/>
      <c r="J665" s="303"/>
      <c r="K665" s="303"/>
      <c r="L665" s="303"/>
      <c r="M665" s="303"/>
      <c r="N665" s="303"/>
      <c r="O665" s="303"/>
      <c r="P665" s="303"/>
      <c r="Q665" s="303"/>
      <c r="R665" s="303"/>
      <c r="S665" s="303"/>
      <c r="T665" s="303"/>
      <c r="U665" s="303"/>
      <c r="V665" s="303"/>
      <c r="W665" s="303"/>
      <c r="X665" s="303"/>
      <c r="Y665" s="303"/>
      <c r="Z665" s="303"/>
      <c r="AA665" s="303"/>
      <c r="AB665" s="303"/>
      <c r="AC665" s="303"/>
      <c r="AD665" s="303"/>
      <c r="AE665" s="303"/>
      <c r="AF665" s="303"/>
      <c r="AG665" s="303"/>
      <c r="AH665" s="303"/>
      <c r="AI665" s="303"/>
    </row>
    <row r="666" spans="1:35">
      <c r="A666" s="303"/>
      <c r="B666" s="303"/>
      <c r="C666" s="303"/>
      <c r="D666" s="303"/>
      <c r="E666" s="303"/>
      <c r="F666" s="303"/>
      <c r="G666" s="303"/>
      <c r="H666" s="303"/>
      <c r="I666" s="303"/>
      <c r="J666" s="303"/>
      <c r="K666" s="303"/>
      <c r="L666" s="303"/>
      <c r="M666" s="303"/>
      <c r="N666" s="303"/>
      <c r="O666" s="303"/>
      <c r="P666" s="303"/>
      <c r="Q666" s="303"/>
      <c r="R666" s="303"/>
      <c r="S666" s="303"/>
      <c r="T666" s="303"/>
      <c r="U666" s="303"/>
      <c r="V666" s="303"/>
      <c r="W666" s="303"/>
      <c r="X666" s="303"/>
      <c r="Y666" s="303"/>
      <c r="Z666" s="303"/>
      <c r="AA666" s="303"/>
      <c r="AB666" s="303"/>
      <c r="AC666" s="303"/>
      <c r="AD666" s="303"/>
      <c r="AE666" s="303"/>
      <c r="AF666" s="303"/>
      <c r="AG666" s="303"/>
      <c r="AH666" s="303"/>
      <c r="AI666" s="303"/>
    </row>
    <row r="667" spans="1:35">
      <c r="A667" s="303"/>
      <c r="B667" s="303"/>
      <c r="C667" s="303"/>
      <c r="D667" s="303"/>
      <c r="E667" s="303"/>
      <c r="F667" s="303"/>
      <c r="G667" s="303"/>
      <c r="H667" s="303"/>
      <c r="I667" s="303"/>
      <c r="J667" s="303"/>
      <c r="K667" s="303"/>
      <c r="L667" s="303"/>
      <c r="M667" s="303"/>
      <c r="N667" s="303"/>
      <c r="O667" s="303"/>
      <c r="P667" s="303"/>
      <c r="Q667" s="303"/>
      <c r="R667" s="303"/>
      <c r="S667" s="303"/>
      <c r="T667" s="303"/>
      <c r="U667" s="303"/>
      <c r="V667" s="303"/>
      <c r="W667" s="303"/>
      <c r="X667" s="303"/>
      <c r="Y667" s="303"/>
      <c r="Z667" s="303"/>
      <c r="AA667" s="303"/>
      <c r="AB667" s="303"/>
      <c r="AC667" s="303"/>
      <c r="AD667" s="303"/>
      <c r="AE667" s="303"/>
      <c r="AF667" s="303"/>
      <c r="AG667" s="303"/>
      <c r="AH667" s="303"/>
      <c r="AI667" s="303"/>
    </row>
    <row r="668" spans="1:35">
      <c r="A668" s="303"/>
      <c r="B668" s="303"/>
      <c r="C668" s="303"/>
      <c r="D668" s="303"/>
      <c r="E668" s="303"/>
      <c r="F668" s="303"/>
      <c r="G668" s="303"/>
      <c r="H668" s="303"/>
      <c r="I668" s="303"/>
      <c r="J668" s="303"/>
      <c r="K668" s="303"/>
      <c r="L668" s="303"/>
      <c r="M668" s="303"/>
      <c r="N668" s="303"/>
      <c r="O668" s="303"/>
      <c r="P668" s="303"/>
      <c r="Q668" s="303"/>
      <c r="R668" s="303"/>
      <c r="S668" s="303"/>
      <c r="T668" s="303"/>
      <c r="U668" s="303"/>
      <c r="V668" s="303"/>
      <c r="W668" s="303"/>
      <c r="X668" s="303"/>
      <c r="Y668" s="303"/>
      <c r="Z668" s="303"/>
      <c r="AA668" s="303"/>
      <c r="AB668" s="303"/>
      <c r="AC668" s="303"/>
      <c r="AD668" s="303"/>
      <c r="AE668" s="303"/>
      <c r="AF668" s="303"/>
      <c r="AG668" s="303"/>
      <c r="AH668" s="303"/>
      <c r="AI668" s="303"/>
    </row>
    <row r="669" spans="1:35">
      <c r="A669" s="303"/>
      <c r="B669" s="303"/>
      <c r="C669" s="303"/>
      <c r="D669" s="303"/>
      <c r="E669" s="303"/>
      <c r="F669" s="303"/>
      <c r="G669" s="303"/>
      <c r="H669" s="303"/>
      <c r="I669" s="303"/>
      <c r="J669" s="303"/>
      <c r="K669" s="303"/>
      <c r="L669" s="303"/>
      <c r="M669" s="303"/>
      <c r="N669" s="303"/>
      <c r="O669" s="303"/>
      <c r="P669" s="303"/>
      <c r="Q669" s="303"/>
      <c r="R669" s="303"/>
      <c r="S669" s="303"/>
      <c r="T669" s="303"/>
      <c r="U669" s="303"/>
      <c r="V669" s="303"/>
      <c r="W669" s="303"/>
      <c r="X669" s="303"/>
      <c r="Y669" s="303"/>
      <c r="Z669" s="303"/>
      <c r="AA669" s="303"/>
      <c r="AB669" s="303"/>
      <c r="AC669" s="303"/>
      <c r="AD669" s="303"/>
      <c r="AE669" s="303"/>
      <c r="AF669" s="303"/>
      <c r="AG669" s="303"/>
      <c r="AH669" s="303"/>
      <c r="AI669" s="303"/>
    </row>
    <row r="670" spans="1:35">
      <c r="A670" s="303"/>
      <c r="B670" s="303"/>
      <c r="C670" s="303"/>
      <c r="D670" s="303"/>
      <c r="E670" s="303"/>
      <c r="F670" s="303"/>
      <c r="G670" s="303"/>
      <c r="H670" s="303"/>
      <c r="I670" s="303"/>
      <c r="J670" s="303"/>
      <c r="K670" s="303"/>
      <c r="L670" s="303"/>
      <c r="M670" s="303"/>
      <c r="N670" s="303"/>
      <c r="O670" s="303"/>
      <c r="P670" s="303"/>
      <c r="Q670" s="303"/>
      <c r="R670" s="303"/>
      <c r="S670" s="303"/>
      <c r="T670" s="303"/>
      <c r="U670" s="303"/>
      <c r="V670" s="303"/>
      <c r="W670" s="303"/>
      <c r="X670" s="303"/>
      <c r="Y670" s="303"/>
      <c r="Z670" s="303"/>
      <c r="AA670" s="303"/>
      <c r="AB670" s="303"/>
      <c r="AC670" s="303"/>
      <c r="AD670" s="303"/>
      <c r="AE670" s="303"/>
      <c r="AF670" s="303"/>
      <c r="AG670" s="303"/>
      <c r="AH670" s="303"/>
      <c r="AI670" s="303"/>
    </row>
    <row r="671" spans="1:35">
      <c r="A671" s="303"/>
      <c r="B671" s="303"/>
      <c r="C671" s="303"/>
      <c r="D671" s="303"/>
      <c r="E671" s="303"/>
      <c r="F671" s="303"/>
      <c r="G671" s="303"/>
      <c r="H671" s="303"/>
      <c r="I671" s="303"/>
      <c r="J671" s="303"/>
      <c r="K671" s="303"/>
      <c r="L671" s="303"/>
      <c r="M671" s="303"/>
      <c r="N671" s="303"/>
      <c r="O671" s="303"/>
      <c r="P671" s="303"/>
      <c r="Q671" s="303"/>
      <c r="R671" s="303"/>
      <c r="S671" s="303"/>
      <c r="T671" s="303"/>
      <c r="U671" s="303"/>
      <c r="V671" s="303"/>
      <c r="W671" s="303"/>
      <c r="X671" s="303"/>
      <c r="Y671" s="303"/>
      <c r="Z671" s="303"/>
      <c r="AA671" s="303"/>
      <c r="AB671" s="303"/>
      <c r="AC671" s="303"/>
      <c r="AD671" s="303"/>
      <c r="AE671" s="303"/>
      <c r="AF671" s="303"/>
      <c r="AG671" s="303"/>
      <c r="AH671" s="303"/>
      <c r="AI671" s="303"/>
    </row>
    <row r="672" spans="1:35">
      <c r="A672" s="303"/>
      <c r="B672" s="303"/>
      <c r="C672" s="303"/>
      <c r="D672" s="303"/>
      <c r="E672" s="303"/>
      <c r="F672" s="303"/>
      <c r="G672" s="303"/>
      <c r="H672" s="303"/>
      <c r="I672" s="303"/>
      <c r="J672" s="303"/>
      <c r="K672" s="303"/>
      <c r="L672" s="303"/>
      <c r="M672" s="303"/>
      <c r="N672" s="303"/>
      <c r="O672" s="303"/>
      <c r="P672" s="303"/>
      <c r="Q672" s="303"/>
      <c r="R672" s="303"/>
      <c r="S672" s="303"/>
      <c r="T672" s="303"/>
      <c r="U672" s="303"/>
      <c r="V672" s="303"/>
      <c r="W672" s="303"/>
      <c r="X672" s="303"/>
      <c r="Y672" s="303"/>
      <c r="Z672" s="303"/>
      <c r="AA672" s="303"/>
      <c r="AB672" s="303"/>
      <c r="AC672" s="303"/>
      <c r="AD672" s="303"/>
      <c r="AE672" s="303"/>
      <c r="AF672" s="303"/>
      <c r="AG672" s="303"/>
      <c r="AH672" s="303"/>
      <c r="AI672" s="303"/>
    </row>
    <row r="673" spans="1:35">
      <c r="A673" s="303"/>
      <c r="B673" s="303"/>
      <c r="C673" s="303"/>
      <c r="D673" s="303"/>
      <c r="E673" s="303"/>
      <c r="F673" s="303"/>
      <c r="G673" s="303"/>
      <c r="H673" s="303"/>
      <c r="I673" s="303"/>
      <c r="J673" s="303"/>
      <c r="K673" s="303"/>
      <c r="L673" s="303"/>
      <c r="M673" s="303"/>
      <c r="N673" s="303"/>
      <c r="O673" s="303"/>
      <c r="P673" s="303"/>
      <c r="Q673" s="303"/>
      <c r="R673" s="303"/>
      <c r="S673" s="303"/>
      <c r="T673" s="303"/>
      <c r="U673" s="303"/>
      <c r="V673" s="303"/>
      <c r="W673" s="303"/>
      <c r="X673" s="303"/>
      <c r="Y673" s="303"/>
      <c r="Z673" s="303"/>
      <c r="AA673" s="303"/>
      <c r="AB673" s="303"/>
      <c r="AC673" s="303"/>
      <c r="AD673" s="303"/>
      <c r="AE673" s="303"/>
      <c r="AF673" s="303"/>
      <c r="AG673" s="303"/>
      <c r="AH673" s="303"/>
      <c r="AI673" s="303"/>
    </row>
    <row r="674" spans="1:35">
      <c r="A674" s="303"/>
      <c r="B674" s="303"/>
      <c r="C674" s="303"/>
      <c r="D674" s="303"/>
      <c r="E674" s="303"/>
      <c r="F674" s="303"/>
      <c r="G674" s="303"/>
      <c r="H674" s="303"/>
      <c r="I674" s="303"/>
      <c r="J674" s="303"/>
      <c r="K674" s="303"/>
      <c r="L674" s="303"/>
      <c r="M674" s="303"/>
      <c r="N674" s="303"/>
      <c r="O674" s="303"/>
      <c r="P674" s="303"/>
      <c r="Q674" s="303"/>
      <c r="R674" s="303"/>
      <c r="S674" s="303"/>
      <c r="T674" s="303"/>
      <c r="U674" s="303"/>
      <c r="V674" s="303"/>
      <c r="W674" s="303"/>
      <c r="X674" s="303"/>
      <c r="Y674" s="303"/>
      <c r="Z674" s="303"/>
      <c r="AA674" s="303"/>
      <c r="AB674" s="303"/>
      <c r="AC674" s="303"/>
      <c r="AD674" s="303"/>
      <c r="AE674" s="303"/>
      <c r="AF674" s="303"/>
      <c r="AG674" s="303"/>
      <c r="AH674" s="303"/>
      <c r="AI674" s="303"/>
    </row>
    <row r="675" spans="1:35">
      <c r="A675" s="303"/>
      <c r="B675" s="303"/>
      <c r="C675" s="303"/>
      <c r="D675" s="303"/>
      <c r="E675" s="303"/>
      <c r="F675" s="303"/>
      <c r="G675" s="303"/>
      <c r="H675" s="303"/>
      <c r="I675" s="303"/>
      <c r="J675" s="303"/>
      <c r="K675" s="303"/>
      <c r="L675" s="303"/>
      <c r="M675" s="303"/>
      <c r="N675" s="303"/>
      <c r="O675" s="303"/>
      <c r="P675" s="303"/>
      <c r="Q675" s="303"/>
      <c r="R675" s="303"/>
      <c r="S675" s="303"/>
      <c r="T675" s="303"/>
      <c r="U675" s="303"/>
      <c r="V675" s="303"/>
      <c r="W675" s="303"/>
      <c r="X675" s="303"/>
      <c r="Y675" s="303"/>
      <c r="Z675" s="303"/>
      <c r="AA675" s="303"/>
      <c r="AB675" s="303"/>
      <c r="AC675" s="303"/>
      <c r="AD675" s="303"/>
      <c r="AE675" s="303"/>
      <c r="AF675" s="303"/>
      <c r="AG675" s="303"/>
      <c r="AH675" s="303"/>
      <c r="AI675" s="303"/>
    </row>
    <row r="676" spans="1:35">
      <c r="A676" s="303"/>
      <c r="B676" s="303"/>
      <c r="C676" s="303"/>
      <c r="D676" s="303"/>
      <c r="E676" s="303"/>
      <c r="F676" s="303"/>
      <c r="G676" s="303"/>
      <c r="H676" s="303"/>
      <c r="I676" s="303"/>
      <c r="J676" s="303"/>
      <c r="K676" s="303"/>
      <c r="L676" s="303"/>
      <c r="M676" s="303"/>
      <c r="N676" s="303"/>
      <c r="O676" s="303"/>
      <c r="P676" s="303"/>
      <c r="Q676" s="303"/>
      <c r="R676" s="303"/>
      <c r="S676" s="303"/>
      <c r="T676" s="303"/>
      <c r="U676" s="303"/>
      <c r="V676" s="303"/>
      <c r="W676" s="303"/>
      <c r="X676" s="303"/>
      <c r="Y676" s="303"/>
      <c r="Z676" s="303"/>
      <c r="AA676" s="303"/>
      <c r="AB676" s="303"/>
      <c r="AC676" s="303"/>
      <c r="AD676" s="303"/>
      <c r="AE676" s="303"/>
      <c r="AF676" s="303"/>
      <c r="AG676" s="303"/>
      <c r="AH676" s="303"/>
      <c r="AI676" s="303"/>
    </row>
    <row r="677" spans="1:35">
      <c r="A677" s="303"/>
      <c r="B677" s="303"/>
      <c r="C677" s="303"/>
      <c r="D677" s="303"/>
      <c r="E677" s="303"/>
      <c r="F677" s="303"/>
      <c r="G677" s="303"/>
      <c r="H677" s="303"/>
      <c r="I677" s="303"/>
      <c r="J677" s="303"/>
      <c r="K677" s="303"/>
      <c r="L677" s="303"/>
      <c r="M677" s="303"/>
      <c r="N677" s="303"/>
      <c r="O677" s="303"/>
      <c r="P677" s="303"/>
      <c r="Q677" s="303"/>
      <c r="R677" s="303"/>
      <c r="S677" s="303"/>
      <c r="T677" s="303"/>
      <c r="U677" s="303"/>
      <c r="V677" s="303"/>
      <c r="W677" s="303"/>
      <c r="X677" s="303"/>
      <c r="Y677" s="303"/>
      <c r="Z677" s="303"/>
      <c r="AA677" s="303"/>
      <c r="AB677" s="303"/>
      <c r="AC677" s="303"/>
      <c r="AD677" s="303"/>
      <c r="AE677" s="303"/>
      <c r="AF677" s="303"/>
      <c r="AG677" s="303"/>
      <c r="AH677" s="303"/>
      <c r="AI677" s="303"/>
    </row>
    <row r="678" spans="1:35">
      <c r="A678" s="303"/>
      <c r="B678" s="303"/>
      <c r="C678" s="303"/>
      <c r="D678" s="303"/>
      <c r="E678" s="303"/>
      <c r="F678" s="303"/>
      <c r="G678" s="303"/>
      <c r="H678" s="303"/>
      <c r="I678" s="303"/>
      <c r="J678" s="303"/>
      <c r="K678" s="303"/>
      <c r="L678" s="303"/>
      <c r="M678" s="303"/>
      <c r="N678" s="303"/>
      <c r="O678" s="303"/>
      <c r="P678" s="303"/>
      <c r="Q678" s="303"/>
      <c r="R678" s="303"/>
      <c r="S678" s="303"/>
      <c r="T678" s="303"/>
      <c r="U678" s="303"/>
      <c r="V678" s="303"/>
      <c r="W678" s="303"/>
      <c r="X678" s="303"/>
      <c r="Y678" s="303"/>
      <c r="Z678" s="303"/>
      <c r="AA678" s="303"/>
      <c r="AB678" s="303"/>
      <c r="AC678" s="303"/>
      <c r="AD678" s="303"/>
      <c r="AE678" s="303"/>
      <c r="AF678" s="303"/>
      <c r="AG678" s="303"/>
      <c r="AH678" s="303"/>
      <c r="AI678" s="303"/>
    </row>
    <row r="679" spans="1:35">
      <c r="A679" s="303"/>
      <c r="B679" s="303"/>
      <c r="C679" s="303"/>
      <c r="D679" s="303"/>
      <c r="E679" s="303"/>
      <c r="F679" s="303"/>
      <c r="G679" s="303"/>
      <c r="H679" s="303"/>
      <c r="I679" s="303"/>
      <c r="J679" s="303"/>
      <c r="K679" s="303"/>
      <c r="L679" s="303"/>
      <c r="M679" s="303"/>
      <c r="N679" s="303"/>
      <c r="O679" s="303"/>
      <c r="P679" s="303"/>
      <c r="Q679" s="303"/>
      <c r="R679" s="303"/>
      <c r="S679" s="303"/>
      <c r="T679" s="303"/>
      <c r="U679" s="303"/>
      <c r="V679" s="303"/>
      <c r="W679" s="303"/>
      <c r="X679" s="303"/>
      <c r="Y679" s="303"/>
      <c r="Z679" s="303"/>
      <c r="AA679" s="303"/>
      <c r="AB679" s="303"/>
      <c r="AC679" s="303"/>
      <c r="AD679" s="303"/>
      <c r="AE679" s="303"/>
      <c r="AF679" s="303"/>
      <c r="AG679" s="303"/>
      <c r="AH679" s="303"/>
      <c r="AI679" s="303"/>
    </row>
    <row r="680" spans="1:35">
      <c r="A680" s="303"/>
      <c r="B680" s="303"/>
      <c r="C680" s="303"/>
      <c r="D680" s="303"/>
      <c r="E680" s="303"/>
      <c r="F680" s="303"/>
      <c r="G680" s="303"/>
      <c r="H680" s="303"/>
      <c r="I680" s="303"/>
      <c r="J680" s="303"/>
      <c r="K680" s="303"/>
      <c r="L680" s="303"/>
      <c r="M680" s="303"/>
      <c r="N680" s="303"/>
      <c r="O680" s="303"/>
      <c r="P680" s="303"/>
      <c r="Q680" s="303"/>
      <c r="R680" s="303"/>
      <c r="S680" s="303"/>
      <c r="T680" s="303"/>
      <c r="U680" s="303"/>
      <c r="V680" s="303"/>
      <c r="W680" s="303"/>
      <c r="X680" s="303"/>
      <c r="Y680" s="303"/>
      <c r="Z680" s="303"/>
      <c r="AA680" s="303"/>
      <c r="AB680" s="303"/>
      <c r="AC680" s="303"/>
      <c r="AD680" s="303"/>
      <c r="AE680" s="303"/>
      <c r="AF680" s="303"/>
      <c r="AG680" s="303"/>
      <c r="AH680" s="303"/>
      <c r="AI680" s="303"/>
    </row>
    <row r="681" spans="1:35">
      <c r="A681" s="303"/>
      <c r="B681" s="303"/>
      <c r="C681" s="303"/>
      <c r="D681" s="303"/>
      <c r="E681" s="303"/>
      <c r="F681" s="303"/>
      <c r="G681" s="303"/>
      <c r="H681" s="303"/>
      <c r="I681" s="303"/>
      <c r="J681" s="303"/>
      <c r="K681" s="303"/>
      <c r="L681" s="303"/>
      <c r="M681" s="303"/>
      <c r="N681" s="303"/>
      <c r="O681" s="303"/>
      <c r="P681" s="303"/>
      <c r="Q681" s="303"/>
      <c r="R681" s="303"/>
      <c r="S681" s="303"/>
      <c r="T681" s="303"/>
      <c r="U681" s="303"/>
      <c r="V681" s="303"/>
      <c r="W681" s="303"/>
      <c r="X681" s="303"/>
      <c r="Y681" s="303"/>
      <c r="Z681" s="303"/>
      <c r="AA681" s="303"/>
      <c r="AB681" s="303"/>
      <c r="AC681" s="303"/>
      <c r="AD681" s="303"/>
      <c r="AE681" s="303"/>
      <c r="AF681" s="303"/>
      <c r="AG681" s="303"/>
      <c r="AH681" s="303"/>
      <c r="AI681" s="303"/>
    </row>
    <row r="682" spans="1:35">
      <c r="A682" s="303"/>
      <c r="B682" s="303"/>
      <c r="C682" s="303"/>
      <c r="D682" s="303"/>
      <c r="E682" s="303"/>
      <c r="F682" s="303"/>
      <c r="G682" s="303"/>
      <c r="H682" s="303"/>
      <c r="I682" s="303"/>
      <c r="J682" s="303"/>
      <c r="K682" s="303"/>
      <c r="L682" s="303"/>
      <c r="M682" s="303"/>
      <c r="N682" s="303"/>
      <c r="O682" s="303"/>
      <c r="P682" s="303"/>
      <c r="Q682" s="303"/>
      <c r="R682" s="303"/>
      <c r="S682" s="303"/>
      <c r="T682" s="303"/>
      <c r="U682" s="303"/>
      <c r="V682" s="303"/>
      <c r="W682" s="303"/>
      <c r="X682" s="303"/>
      <c r="Y682" s="303"/>
      <c r="Z682" s="303"/>
      <c r="AA682" s="303"/>
      <c r="AB682" s="303"/>
      <c r="AC682" s="303"/>
      <c r="AD682" s="303"/>
      <c r="AE682" s="303"/>
      <c r="AF682" s="303"/>
      <c r="AG682" s="303"/>
      <c r="AH682" s="303"/>
      <c r="AI682" s="303"/>
    </row>
    <row r="683" spans="1:35">
      <c r="A683" s="303"/>
      <c r="B683" s="303"/>
      <c r="C683" s="303"/>
      <c r="D683" s="303"/>
      <c r="E683" s="303"/>
      <c r="F683" s="303"/>
      <c r="G683" s="303"/>
      <c r="H683" s="303"/>
      <c r="I683" s="303"/>
      <c r="J683" s="303"/>
      <c r="K683" s="303"/>
      <c r="L683" s="303"/>
      <c r="M683" s="303"/>
      <c r="N683" s="303"/>
      <c r="O683" s="303"/>
      <c r="P683" s="303"/>
      <c r="Q683" s="303"/>
      <c r="R683" s="303"/>
      <c r="S683" s="303"/>
      <c r="T683" s="303"/>
      <c r="U683" s="303"/>
      <c r="V683" s="303"/>
      <c r="W683" s="303"/>
      <c r="X683" s="303"/>
      <c r="Y683" s="303"/>
      <c r="Z683" s="303"/>
      <c r="AA683" s="303"/>
      <c r="AB683" s="303"/>
      <c r="AC683" s="303"/>
      <c r="AD683" s="303"/>
      <c r="AE683" s="303"/>
      <c r="AF683" s="303"/>
      <c r="AG683" s="303"/>
      <c r="AH683" s="303"/>
      <c r="AI683" s="303"/>
    </row>
    <row r="684" spans="1:35">
      <c r="A684" s="303"/>
      <c r="B684" s="303"/>
      <c r="C684" s="303"/>
      <c r="D684" s="303"/>
      <c r="E684" s="303"/>
      <c r="F684" s="303"/>
      <c r="G684" s="303"/>
      <c r="H684" s="303"/>
      <c r="I684" s="303"/>
      <c r="J684" s="303"/>
      <c r="K684" s="303"/>
      <c r="L684" s="303"/>
      <c r="M684" s="303"/>
      <c r="N684" s="303"/>
      <c r="O684" s="303"/>
      <c r="P684" s="303"/>
      <c r="Q684" s="303"/>
      <c r="R684" s="303"/>
      <c r="S684" s="303"/>
      <c r="T684" s="303"/>
      <c r="U684" s="303"/>
      <c r="V684" s="303"/>
      <c r="W684" s="303"/>
      <c r="X684" s="303"/>
      <c r="Y684" s="303"/>
      <c r="Z684" s="303"/>
      <c r="AA684" s="303"/>
      <c r="AB684" s="303"/>
      <c r="AC684" s="303"/>
      <c r="AD684" s="303"/>
      <c r="AE684" s="303"/>
      <c r="AF684" s="303"/>
      <c r="AG684" s="303"/>
      <c r="AH684" s="303"/>
      <c r="AI684" s="303"/>
    </row>
    <row r="685" spans="1:35">
      <c r="A685" s="303"/>
      <c r="B685" s="303"/>
      <c r="C685" s="303"/>
      <c r="D685" s="303"/>
      <c r="E685" s="303"/>
      <c r="F685" s="303"/>
      <c r="G685" s="303"/>
      <c r="H685" s="303"/>
      <c r="I685" s="303"/>
      <c r="J685" s="303"/>
      <c r="K685" s="303"/>
      <c r="L685" s="303"/>
      <c r="M685" s="303"/>
      <c r="N685" s="303"/>
      <c r="O685" s="303"/>
      <c r="P685" s="303"/>
      <c r="Q685" s="303"/>
      <c r="R685" s="303"/>
      <c r="S685" s="303"/>
      <c r="T685" s="303"/>
      <c r="U685" s="303"/>
      <c r="V685" s="303"/>
      <c r="W685" s="303"/>
      <c r="X685" s="303"/>
      <c r="Y685" s="303"/>
      <c r="Z685" s="303"/>
      <c r="AA685" s="303"/>
      <c r="AB685" s="303"/>
      <c r="AC685" s="303"/>
      <c r="AD685" s="303"/>
      <c r="AE685" s="303"/>
      <c r="AF685" s="303"/>
      <c r="AG685" s="303"/>
      <c r="AH685" s="303"/>
      <c r="AI685" s="303"/>
    </row>
    <row r="686" spans="1:35">
      <c r="A686" s="303"/>
      <c r="B686" s="303"/>
      <c r="C686" s="303"/>
      <c r="D686" s="303"/>
      <c r="E686" s="303"/>
      <c r="F686" s="303"/>
      <c r="G686" s="303"/>
      <c r="H686" s="303"/>
      <c r="I686" s="303"/>
      <c r="J686" s="303"/>
      <c r="K686" s="303"/>
      <c r="L686" s="303"/>
      <c r="M686" s="303"/>
      <c r="N686" s="303"/>
      <c r="O686" s="303"/>
      <c r="P686" s="303"/>
      <c r="Q686" s="303"/>
      <c r="R686" s="303"/>
      <c r="S686" s="303"/>
      <c r="T686" s="303"/>
      <c r="U686" s="303"/>
      <c r="V686" s="303"/>
      <c r="W686" s="303"/>
      <c r="X686" s="303"/>
      <c r="Y686" s="303"/>
      <c r="Z686" s="303"/>
      <c r="AA686" s="303"/>
      <c r="AB686" s="303"/>
      <c r="AC686" s="303"/>
      <c r="AD686" s="303"/>
      <c r="AE686" s="303"/>
      <c r="AF686" s="303"/>
      <c r="AG686" s="303"/>
      <c r="AH686" s="303"/>
      <c r="AI686" s="303"/>
    </row>
    <row r="687" spans="1:35">
      <c r="A687" s="303"/>
      <c r="B687" s="303"/>
      <c r="C687" s="303"/>
      <c r="D687" s="303"/>
      <c r="E687" s="303"/>
      <c r="F687" s="303"/>
      <c r="G687" s="303"/>
      <c r="H687" s="303"/>
      <c r="I687" s="303"/>
      <c r="J687" s="303"/>
      <c r="K687" s="303"/>
      <c r="L687" s="303"/>
      <c r="M687" s="303"/>
      <c r="N687" s="303"/>
      <c r="O687" s="303"/>
      <c r="P687" s="303"/>
      <c r="Q687" s="303"/>
      <c r="R687" s="303"/>
      <c r="S687" s="303"/>
      <c r="T687" s="303"/>
      <c r="U687" s="303"/>
      <c r="V687" s="303"/>
      <c r="W687" s="303"/>
      <c r="X687" s="303"/>
      <c r="Y687" s="303"/>
      <c r="Z687" s="303"/>
      <c r="AA687" s="303"/>
      <c r="AB687" s="303"/>
      <c r="AC687" s="303"/>
      <c r="AD687" s="303"/>
      <c r="AE687" s="303"/>
      <c r="AF687" s="303"/>
      <c r="AG687" s="303"/>
      <c r="AH687" s="303"/>
      <c r="AI687" s="303"/>
    </row>
    <row r="688" spans="1:35">
      <c r="A688" s="303"/>
      <c r="B688" s="303"/>
      <c r="C688" s="303"/>
      <c r="D688" s="303"/>
      <c r="E688" s="303"/>
      <c r="F688" s="303"/>
      <c r="G688" s="303"/>
      <c r="H688" s="303"/>
      <c r="I688" s="303"/>
      <c r="J688" s="303"/>
      <c r="K688" s="303"/>
      <c r="L688" s="303"/>
      <c r="M688" s="303"/>
      <c r="N688" s="303"/>
      <c r="O688" s="303"/>
      <c r="P688" s="303"/>
      <c r="Q688" s="303"/>
      <c r="R688" s="303"/>
      <c r="S688" s="303"/>
      <c r="T688" s="303"/>
      <c r="U688" s="303"/>
      <c r="V688" s="303"/>
      <c r="W688" s="303"/>
      <c r="X688" s="303"/>
      <c r="Y688" s="303"/>
      <c r="Z688" s="303"/>
      <c r="AA688" s="303"/>
      <c r="AB688" s="303"/>
      <c r="AC688" s="303"/>
      <c r="AD688" s="303"/>
      <c r="AE688" s="303"/>
      <c r="AF688" s="303"/>
      <c r="AG688" s="303"/>
      <c r="AH688" s="303"/>
      <c r="AI688" s="303"/>
    </row>
    <row r="689" spans="1:35">
      <c r="A689" s="303"/>
      <c r="B689" s="303"/>
      <c r="C689" s="303"/>
      <c r="D689" s="303"/>
      <c r="E689" s="303"/>
      <c r="F689" s="303"/>
      <c r="G689" s="303"/>
      <c r="H689" s="303"/>
      <c r="I689" s="303"/>
      <c r="J689" s="303"/>
      <c r="K689" s="303"/>
      <c r="L689" s="303"/>
      <c r="M689" s="303"/>
      <c r="N689" s="303"/>
      <c r="O689" s="303"/>
      <c r="P689" s="303"/>
      <c r="Q689" s="303"/>
      <c r="R689" s="303"/>
      <c r="S689" s="303"/>
      <c r="T689" s="303"/>
      <c r="U689" s="303"/>
      <c r="V689" s="303"/>
      <c r="W689" s="303"/>
      <c r="X689" s="303"/>
      <c r="Y689" s="303"/>
      <c r="Z689" s="303"/>
      <c r="AA689" s="303"/>
      <c r="AB689" s="303"/>
      <c r="AC689" s="303"/>
      <c r="AD689" s="303"/>
      <c r="AE689" s="303"/>
      <c r="AF689" s="303"/>
      <c r="AG689" s="303"/>
      <c r="AH689" s="303"/>
      <c r="AI689" s="303"/>
    </row>
    <row r="690" spans="1:35">
      <c r="A690" s="303"/>
      <c r="B690" s="303"/>
      <c r="C690" s="303"/>
      <c r="D690" s="303"/>
      <c r="E690" s="303"/>
      <c r="F690" s="303"/>
      <c r="G690" s="303"/>
      <c r="H690" s="303"/>
      <c r="I690" s="303"/>
      <c r="J690" s="303"/>
      <c r="K690" s="303"/>
      <c r="L690" s="303"/>
      <c r="M690" s="303"/>
      <c r="N690" s="303"/>
      <c r="O690" s="303"/>
      <c r="P690" s="303"/>
      <c r="Q690" s="303"/>
      <c r="R690" s="303"/>
      <c r="S690" s="303"/>
      <c r="T690" s="303"/>
      <c r="U690" s="303"/>
      <c r="V690" s="303"/>
      <c r="W690" s="303"/>
      <c r="X690" s="303"/>
      <c r="Y690" s="303"/>
      <c r="Z690" s="303"/>
      <c r="AA690" s="303"/>
      <c r="AB690" s="303"/>
      <c r="AC690" s="303"/>
      <c r="AD690" s="303"/>
      <c r="AE690" s="303"/>
      <c r="AF690" s="303"/>
      <c r="AG690" s="303"/>
      <c r="AH690" s="303"/>
      <c r="AI690" s="303"/>
    </row>
    <row r="691" spans="1:35">
      <c r="A691" s="303"/>
      <c r="B691" s="303"/>
      <c r="C691" s="303"/>
      <c r="D691" s="303"/>
      <c r="E691" s="303"/>
      <c r="F691" s="303"/>
      <c r="G691" s="303"/>
      <c r="H691" s="303"/>
      <c r="I691" s="303"/>
      <c r="J691" s="303"/>
      <c r="K691" s="303"/>
      <c r="L691" s="303"/>
      <c r="M691" s="303"/>
      <c r="N691" s="303"/>
      <c r="O691" s="303"/>
      <c r="P691" s="303"/>
      <c r="Q691" s="303"/>
      <c r="R691" s="303"/>
      <c r="S691" s="303"/>
      <c r="T691" s="303"/>
      <c r="U691" s="303"/>
      <c r="V691" s="303"/>
      <c r="W691" s="303"/>
      <c r="X691" s="303"/>
      <c r="Y691" s="303"/>
      <c r="Z691" s="303"/>
      <c r="AA691" s="303"/>
      <c r="AB691" s="303"/>
      <c r="AC691" s="303"/>
      <c r="AD691" s="303"/>
      <c r="AE691" s="303"/>
      <c r="AF691" s="303"/>
      <c r="AG691" s="303"/>
      <c r="AH691" s="303"/>
      <c r="AI691" s="303"/>
    </row>
    <row r="692" spans="1:35">
      <c r="A692" s="303"/>
      <c r="B692" s="303"/>
      <c r="C692" s="303"/>
      <c r="D692" s="303"/>
      <c r="E692" s="303"/>
      <c r="F692" s="303"/>
      <c r="G692" s="303"/>
      <c r="H692" s="303"/>
      <c r="I692" s="303"/>
      <c r="J692" s="303"/>
      <c r="K692" s="303"/>
      <c r="L692" s="303"/>
      <c r="M692" s="303"/>
      <c r="N692" s="303"/>
      <c r="O692" s="303"/>
      <c r="P692" s="303"/>
      <c r="Q692" s="303"/>
      <c r="R692" s="303"/>
      <c r="S692" s="303"/>
      <c r="T692" s="303"/>
      <c r="U692" s="303"/>
      <c r="V692" s="303"/>
      <c r="W692" s="303"/>
      <c r="X692" s="303"/>
      <c r="Y692" s="303"/>
      <c r="Z692" s="303"/>
      <c r="AA692" s="303"/>
      <c r="AB692" s="303"/>
      <c r="AC692" s="303"/>
      <c r="AD692" s="303"/>
      <c r="AE692" s="303"/>
      <c r="AF692" s="303"/>
      <c r="AG692" s="303"/>
      <c r="AH692" s="303"/>
      <c r="AI692" s="303"/>
    </row>
    <row r="693" spans="1:35">
      <c r="A693" s="303"/>
      <c r="B693" s="303"/>
      <c r="C693" s="303"/>
      <c r="D693" s="303"/>
      <c r="E693" s="303"/>
      <c r="F693" s="303"/>
      <c r="G693" s="303"/>
      <c r="H693" s="303"/>
      <c r="I693" s="303"/>
      <c r="J693" s="303"/>
      <c r="K693" s="303"/>
      <c r="L693" s="303"/>
      <c r="M693" s="303"/>
      <c r="N693" s="303"/>
      <c r="O693" s="303"/>
      <c r="P693" s="303"/>
      <c r="Q693" s="303"/>
      <c r="R693" s="303"/>
      <c r="S693" s="303"/>
      <c r="T693" s="303"/>
      <c r="U693" s="303"/>
      <c r="V693" s="303"/>
      <c r="W693" s="303"/>
      <c r="X693" s="303"/>
      <c r="Y693" s="303"/>
      <c r="Z693" s="303"/>
      <c r="AA693" s="303"/>
      <c r="AB693" s="303"/>
      <c r="AC693" s="303"/>
      <c r="AD693" s="303"/>
      <c r="AE693" s="303"/>
      <c r="AF693" s="303"/>
      <c r="AG693" s="303"/>
      <c r="AH693" s="303"/>
      <c r="AI693" s="303"/>
    </row>
    <row r="694" spans="1:35">
      <c r="A694" s="303"/>
      <c r="B694" s="303"/>
      <c r="C694" s="303"/>
      <c r="D694" s="303"/>
      <c r="E694" s="303"/>
      <c r="F694" s="303"/>
      <c r="G694" s="303"/>
      <c r="H694" s="303"/>
      <c r="I694" s="303"/>
      <c r="J694" s="303"/>
      <c r="K694" s="303"/>
      <c r="L694" s="303"/>
      <c r="M694" s="303"/>
      <c r="N694" s="303"/>
      <c r="O694" s="303"/>
      <c r="P694" s="303"/>
      <c r="Q694" s="303"/>
      <c r="R694" s="303"/>
      <c r="S694" s="303"/>
      <c r="T694" s="303"/>
      <c r="U694" s="303"/>
      <c r="V694" s="303"/>
      <c r="W694" s="303"/>
      <c r="X694" s="303"/>
      <c r="Y694" s="303"/>
      <c r="Z694" s="303"/>
      <c r="AA694" s="303"/>
      <c r="AB694" s="303"/>
      <c r="AC694" s="303"/>
      <c r="AD694" s="303"/>
      <c r="AE694" s="303"/>
      <c r="AF694" s="303"/>
      <c r="AG694" s="303"/>
      <c r="AH694" s="303"/>
      <c r="AI694" s="303"/>
    </row>
    <row r="695" spans="1:35">
      <c r="A695" s="303"/>
      <c r="B695" s="303"/>
      <c r="C695" s="303"/>
      <c r="D695" s="303"/>
      <c r="E695" s="303"/>
      <c r="F695" s="303"/>
      <c r="G695" s="303"/>
      <c r="H695" s="303"/>
      <c r="I695" s="303"/>
      <c r="J695" s="303"/>
      <c r="K695" s="303"/>
      <c r="L695" s="303"/>
      <c r="M695" s="303"/>
      <c r="N695" s="303"/>
      <c r="O695" s="303"/>
      <c r="P695" s="303"/>
      <c r="Q695" s="303"/>
      <c r="R695" s="303"/>
      <c r="S695" s="303"/>
      <c r="T695" s="303"/>
      <c r="U695" s="303"/>
      <c r="V695" s="303"/>
      <c r="W695" s="303"/>
      <c r="X695" s="303"/>
      <c r="Y695" s="303"/>
      <c r="Z695" s="303"/>
      <c r="AA695" s="303"/>
      <c r="AB695" s="303"/>
      <c r="AC695" s="303"/>
      <c r="AD695" s="303"/>
      <c r="AE695" s="303"/>
      <c r="AF695" s="303"/>
      <c r="AG695" s="303"/>
      <c r="AH695" s="303"/>
      <c r="AI695" s="303"/>
    </row>
    <row r="696" spans="1:35">
      <c r="A696" s="303"/>
      <c r="B696" s="303"/>
      <c r="C696" s="303"/>
      <c r="D696" s="303"/>
      <c r="E696" s="303"/>
      <c r="F696" s="303"/>
      <c r="G696" s="303"/>
      <c r="H696" s="303"/>
      <c r="I696" s="303"/>
      <c r="J696" s="303"/>
      <c r="K696" s="303"/>
      <c r="L696" s="303"/>
      <c r="M696" s="303"/>
      <c r="N696" s="303"/>
      <c r="O696" s="303"/>
      <c r="P696" s="303"/>
      <c r="Q696" s="303"/>
      <c r="R696" s="303"/>
      <c r="S696" s="303"/>
      <c r="T696" s="303"/>
      <c r="U696" s="303"/>
      <c r="V696" s="303"/>
      <c r="W696" s="303"/>
      <c r="X696" s="303"/>
      <c r="Y696" s="303"/>
      <c r="Z696" s="303"/>
      <c r="AA696" s="303"/>
      <c r="AB696" s="303"/>
      <c r="AC696" s="303"/>
      <c r="AD696" s="303"/>
      <c r="AE696" s="303"/>
      <c r="AF696" s="303"/>
      <c r="AG696" s="303"/>
      <c r="AH696" s="303"/>
      <c r="AI696" s="303"/>
    </row>
    <row r="697" spans="1:35">
      <c r="A697" s="303"/>
      <c r="B697" s="303"/>
      <c r="C697" s="303"/>
      <c r="D697" s="303"/>
      <c r="E697" s="303"/>
      <c r="F697" s="303"/>
      <c r="G697" s="303"/>
      <c r="H697" s="303"/>
      <c r="I697" s="303"/>
      <c r="J697" s="303"/>
      <c r="K697" s="303"/>
      <c r="L697" s="303"/>
      <c r="M697" s="303"/>
      <c r="N697" s="303"/>
      <c r="O697" s="303"/>
      <c r="P697" s="303"/>
      <c r="Q697" s="303"/>
      <c r="R697" s="303"/>
      <c r="S697" s="303"/>
      <c r="T697" s="303"/>
      <c r="U697" s="303"/>
      <c r="V697" s="303"/>
      <c r="W697" s="303"/>
      <c r="X697" s="303"/>
      <c r="Y697" s="303"/>
      <c r="Z697" s="303"/>
      <c r="AA697" s="303"/>
      <c r="AB697" s="303"/>
      <c r="AC697" s="303"/>
      <c r="AD697" s="303"/>
      <c r="AE697" s="303"/>
      <c r="AF697" s="303"/>
      <c r="AG697" s="303"/>
      <c r="AH697" s="303"/>
      <c r="AI697" s="303"/>
    </row>
    <row r="698" spans="1:35">
      <c r="A698" s="303"/>
      <c r="B698" s="303"/>
      <c r="C698" s="303"/>
      <c r="D698" s="303"/>
      <c r="E698" s="303"/>
      <c r="F698" s="303"/>
      <c r="G698" s="303"/>
      <c r="H698" s="303"/>
      <c r="I698" s="303"/>
      <c r="J698" s="303"/>
      <c r="K698" s="303"/>
      <c r="L698" s="303"/>
      <c r="M698" s="303"/>
      <c r="N698" s="303"/>
      <c r="O698" s="303"/>
      <c r="P698" s="303"/>
      <c r="Q698" s="303"/>
      <c r="R698" s="303"/>
      <c r="S698" s="303"/>
      <c r="T698" s="303"/>
      <c r="U698" s="303"/>
      <c r="V698" s="303"/>
      <c r="W698" s="303"/>
      <c r="X698" s="303"/>
      <c r="Y698" s="303"/>
      <c r="Z698" s="303"/>
      <c r="AA698" s="303"/>
      <c r="AB698" s="303"/>
      <c r="AC698" s="303"/>
      <c r="AD698" s="303"/>
      <c r="AE698" s="303"/>
      <c r="AF698" s="303"/>
      <c r="AG698" s="303"/>
      <c r="AH698" s="303"/>
      <c r="AI698" s="303"/>
    </row>
    <row r="699" s="303" customFormat="1"/>
    <row r="700" s="303" customFormat="1"/>
    <row r="701" s="303" customFormat="1"/>
    <row r="702" s="303" customFormat="1"/>
    <row r="703" s="303" customFormat="1"/>
    <row r="704" s="303" customFormat="1"/>
    <row r="705" s="303" customFormat="1"/>
    <row r="706" s="303" customFormat="1"/>
    <row r="707" s="303" customFormat="1"/>
    <row r="708" s="303" customFormat="1"/>
    <row r="709" s="303" customFormat="1"/>
    <row r="710" s="303" customFormat="1"/>
    <row r="711" s="303" customFormat="1"/>
    <row r="712" s="303" customFormat="1"/>
    <row r="713" s="303" customFormat="1"/>
    <row r="714" s="303" customFormat="1"/>
    <row r="715" s="303" customFormat="1"/>
    <row r="716" s="303" customFormat="1"/>
    <row r="717" s="303" customFormat="1"/>
    <row r="718" s="303" customFormat="1"/>
    <row r="719" s="303" customFormat="1"/>
    <row r="720" s="303" customFormat="1"/>
    <row r="721" s="303" customFormat="1"/>
    <row r="722" s="303" customFormat="1"/>
    <row r="723" s="303" customFormat="1"/>
    <row r="724" s="303" customFormat="1"/>
    <row r="725" s="303" customFormat="1"/>
    <row r="726" s="303" customFormat="1"/>
    <row r="727" s="303" customFormat="1"/>
    <row r="728" s="303" customFormat="1"/>
    <row r="729" s="303" customFormat="1"/>
    <row r="730" s="303" customFormat="1"/>
    <row r="731" s="303" customFormat="1"/>
    <row r="732" s="303" customFormat="1"/>
    <row r="733" s="303" customFormat="1"/>
    <row r="734" s="303" customFormat="1"/>
    <row r="735" s="303" customFormat="1"/>
    <row r="736" s="303" customFormat="1"/>
    <row r="737" s="303" customFormat="1"/>
    <row r="738" s="303" customFormat="1"/>
    <row r="739" s="303" customFormat="1"/>
    <row r="740" s="303" customFormat="1"/>
    <row r="741" s="303" customFormat="1"/>
    <row r="742" s="303" customFormat="1"/>
    <row r="743" s="303" customFormat="1"/>
    <row r="744" s="303" customFormat="1"/>
    <row r="745" s="303" customFormat="1"/>
    <row r="746" s="303" customFormat="1"/>
    <row r="747" s="303" customFormat="1"/>
    <row r="748" s="303" customFormat="1"/>
    <row r="749" s="303" customFormat="1"/>
    <row r="750" s="303" customFormat="1"/>
    <row r="751" s="303" customFormat="1"/>
    <row r="752" s="303" customFormat="1"/>
    <row r="753" s="303" customFormat="1"/>
    <row r="754" s="303" customFormat="1"/>
    <row r="755" s="303" customFormat="1"/>
    <row r="756" s="303" customFormat="1"/>
    <row r="757" s="303" customFormat="1"/>
    <row r="758" s="303" customFormat="1"/>
    <row r="759" s="303" customFormat="1"/>
    <row r="760" s="303" customFormat="1"/>
    <row r="761" s="303" customFormat="1"/>
    <row r="762" s="303" customFormat="1"/>
    <row r="763" s="303" customFormat="1"/>
    <row r="764" s="303" customFormat="1"/>
    <row r="765" s="303" customFormat="1"/>
    <row r="766" s="303" customFormat="1"/>
    <row r="767" s="303" customFormat="1"/>
    <row r="768" s="303" customFormat="1"/>
    <row r="769" s="303" customFormat="1"/>
    <row r="770" s="303" customFormat="1"/>
    <row r="771" s="303" customFormat="1"/>
    <row r="772" s="303" customFormat="1"/>
    <row r="773" s="303" customFormat="1"/>
    <row r="774" s="303" customFormat="1"/>
    <row r="775" s="303" customFormat="1"/>
    <row r="776" s="303" customFormat="1"/>
    <row r="777" s="303" customFormat="1"/>
    <row r="778" s="303" customFormat="1"/>
    <row r="779" s="303" customFormat="1"/>
    <row r="780" s="303" customFormat="1"/>
    <row r="781" s="303" customFormat="1"/>
    <row r="782" s="303" customFormat="1"/>
    <row r="783" s="303" customFormat="1"/>
    <row r="784" s="303" customFormat="1"/>
    <row r="785" s="303" customFormat="1"/>
    <row r="786" s="303" customFormat="1"/>
    <row r="787" s="303" customFormat="1"/>
    <row r="788" s="303" customFormat="1"/>
    <row r="789" s="303" customFormat="1"/>
    <row r="790" s="303" customFormat="1"/>
    <row r="791" s="303" customFormat="1"/>
    <row r="792" s="303" customFormat="1"/>
    <row r="793" s="303" customFormat="1"/>
    <row r="794" s="303" customFormat="1"/>
    <row r="795" s="303" customFormat="1"/>
    <row r="796" s="303" customFormat="1"/>
    <row r="797" s="303" customFormat="1"/>
    <row r="798" s="303" customFormat="1"/>
    <row r="799" s="303" customFormat="1"/>
    <row r="800" s="303" customFormat="1"/>
    <row r="801" s="303" customFormat="1"/>
    <row r="802" s="303" customFormat="1"/>
    <row r="803" s="303" customFormat="1"/>
    <row r="804" s="303" customFormat="1"/>
    <row r="805" s="303" customFormat="1"/>
    <row r="806" s="303" customFormat="1"/>
    <row r="807" s="303" customFormat="1"/>
    <row r="808" s="303" customFormat="1"/>
    <row r="809" s="303" customFormat="1"/>
    <row r="810" s="303" customFormat="1"/>
    <row r="811" s="303" customFormat="1"/>
    <row r="812" s="303" customFormat="1"/>
    <row r="813" s="303" customFormat="1"/>
    <row r="814" s="303" customFormat="1"/>
    <row r="815" s="303" customFormat="1"/>
    <row r="816" s="303" customFormat="1"/>
    <row r="817" s="303" customFormat="1"/>
    <row r="818" s="303" customFormat="1"/>
    <row r="819" s="303" customFormat="1"/>
    <row r="820" s="303" customFormat="1"/>
  </sheetData>
  <sheetProtection formatCells="0" formatColumns="0" formatRows="0" sort="0" autoFilter="0" pivotTables="0"/>
  <mergeCells count="3711">
    <mergeCell ref="X591:AB591"/>
    <mergeCell ref="C592:J592"/>
    <mergeCell ref="K592:L592"/>
    <mergeCell ref="M592:O592"/>
    <mergeCell ref="P592:T592"/>
    <mergeCell ref="U592:W592"/>
    <mergeCell ref="X592:AB592"/>
    <mergeCell ref="C587:J587"/>
    <mergeCell ref="K587:L587"/>
    <mergeCell ref="M587:O587"/>
    <mergeCell ref="P587:T587"/>
    <mergeCell ref="U587:W587"/>
    <mergeCell ref="X587:AB587"/>
    <mergeCell ref="C588:J588"/>
    <mergeCell ref="K588:L588"/>
    <mergeCell ref="M588:O588"/>
    <mergeCell ref="P588:T588"/>
    <mergeCell ref="U588:W588"/>
    <mergeCell ref="X588:AB588"/>
    <mergeCell ref="C589:J589"/>
    <mergeCell ref="K589:L589"/>
    <mergeCell ref="M589:O589"/>
    <mergeCell ref="P589:T589"/>
    <mergeCell ref="U589:W589"/>
    <mergeCell ref="X589:AB589"/>
    <mergeCell ref="C576:J576"/>
    <mergeCell ref="K576:L576"/>
    <mergeCell ref="M576:O576"/>
    <mergeCell ref="P576:T576"/>
    <mergeCell ref="U576:W576"/>
    <mergeCell ref="X576:AB576"/>
    <mergeCell ref="C571:J571"/>
    <mergeCell ref="K571:L571"/>
    <mergeCell ref="M571:O571"/>
    <mergeCell ref="P571:T571"/>
    <mergeCell ref="U571:W571"/>
    <mergeCell ref="X571:AB571"/>
    <mergeCell ref="C572:J572"/>
    <mergeCell ref="K572:L572"/>
    <mergeCell ref="M572:O572"/>
    <mergeCell ref="P572:T572"/>
    <mergeCell ref="U572:W572"/>
    <mergeCell ref="X572:AB572"/>
    <mergeCell ref="C573:J573"/>
    <mergeCell ref="K573:L573"/>
    <mergeCell ref="M573:O573"/>
    <mergeCell ref="P573:T573"/>
    <mergeCell ref="U573:W573"/>
    <mergeCell ref="X573:AB573"/>
    <mergeCell ref="B547:E547"/>
    <mergeCell ref="F547:G547"/>
    <mergeCell ref="H547:J547"/>
    <mergeCell ref="K547:N547"/>
    <mergeCell ref="O547:Q547"/>
    <mergeCell ref="R547:U547"/>
    <mergeCell ref="V547:Y547"/>
    <mergeCell ref="Z547:AA547"/>
    <mergeCell ref="AB547:AE547"/>
    <mergeCell ref="AF547:AI547"/>
    <mergeCell ref="C574:J574"/>
    <mergeCell ref="K574:L574"/>
    <mergeCell ref="M574:O574"/>
    <mergeCell ref="P574:T574"/>
    <mergeCell ref="U574:W574"/>
    <mergeCell ref="X574:AB574"/>
    <mergeCell ref="C575:J575"/>
    <mergeCell ref="K575:L575"/>
    <mergeCell ref="M575:O575"/>
    <mergeCell ref="P575:T575"/>
    <mergeCell ref="U575:W575"/>
    <mergeCell ref="X575:AB575"/>
    <mergeCell ref="B552:E552"/>
    <mergeCell ref="F552:G552"/>
    <mergeCell ref="H552:J552"/>
    <mergeCell ref="K552:N552"/>
    <mergeCell ref="O552:Q552"/>
    <mergeCell ref="R552:U552"/>
    <mergeCell ref="V552:Y552"/>
    <mergeCell ref="Z552:AA552"/>
    <mergeCell ref="AB552:AE552"/>
    <mergeCell ref="AF552:AI552"/>
    <mergeCell ref="H545:J545"/>
    <mergeCell ref="K545:N545"/>
    <mergeCell ref="O545:Q545"/>
    <mergeCell ref="R545:U545"/>
    <mergeCell ref="V545:Y545"/>
    <mergeCell ref="Z545:AA545"/>
    <mergeCell ref="AB545:AE545"/>
    <mergeCell ref="AF545:AI545"/>
    <mergeCell ref="B546:E546"/>
    <mergeCell ref="F546:G546"/>
    <mergeCell ref="H546:J546"/>
    <mergeCell ref="K546:N546"/>
    <mergeCell ref="O546:Q546"/>
    <mergeCell ref="R546:U546"/>
    <mergeCell ref="V546:Y546"/>
    <mergeCell ref="Z546:AA546"/>
    <mergeCell ref="AB546:AE546"/>
    <mergeCell ref="AF546:AI546"/>
    <mergeCell ref="B545:E545"/>
    <mergeCell ref="F545:G545"/>
    <mergeCell ref="B543:E543"/>
    <mergeCell ref="F543:G543"/>
    <mergeCell ref="H543:J543"/>
    <mergeCell ref="K543:N543"/>
    <mergeCell ref="O543:Q543"/>
    <mergeCell ref="R543:U543"/>
    <mergeCell ref="V543:Y543"/>
    <mergeCell ref="Z543:AA543"/>
    <mergeCell ref="AB543:AE543"/>
    <mergeCell ref="AF543:AI543"/>
    <mergeCell ref="B544:E544"/>
    <mergeCell ref="F544:G544"/>
    <mergeCell ref="H544:J544"/>
    <mergeCell ref="K544:N544"/>
    <mergeCell ref="O544:Q544"/>
    <mergeCell ref="R544:U544"/>
    <mergeCell ref="V544:Y544"/>
    <mergeCell ref="Z544:AA544"/>
    <mergeCell ref="AB544:AE544"/>
    <mergeCell ref="AF544:AI544"/>
    <mergeCell ref="O549:Q549"/>
    <mergeCell ref="R549:U549"/>
    <mergeCell ref="V549:Y549"/>
    <mergeCell ref="Z549:AA549"/>
    <mergeCell ref="AB549:AE549"/>
    <mergeCell ref="AF549:AI549"/>
    <mergeCell ref="B550:E550"/>
    <mergeCell ref="F550:G550"/>
    <mergeCell ref="H550:J550"/>
    <mergeCell ref="K550:N550"/>
    <mergeCell ref="O550:Q550"/>
    <mergeCell ref="R550:U550"/>
    <mergeCell ref="V550:Y550"/>
    <mergeCell ref="Z550:AA550"/>
    <mergeCell ref="AB550:AE550"/>
    <mergeCell ref="AF550:AI550"/>
    <mergeCell ref="B551:E551"/>
    <mergeCell ref="F551:G551"/>
    <mergeCell ref="H551:J551"/>
    <mergeCell ref="K551:N551"/>
    <mergeCell ref="O551:Q551"/>
    <mergeCell ref="R551:U551"/>
    <mergeCell ref="V551:Y551"/>
    <mergeCell ref="Z551:AA551"/>
    <mergeCell ref="AB551:AE551"/>
    <mergeCell ref="AF551:AI551"/>
    <mergeCell ref="B501:D501"/>
    <mergeCell ref="E501:F501"/>
    <mergeCell ref="G501:J501"/>
    <mergeCell ref="K501:N501"/>
    <mergeCell ref="O501:P501"/>
    <mergeCell ref="Q501:T501"/>
    <mergeCell ref="U501:X501"/>
    <mergeCell ref="Y501:Z501"/>
    <mergeCell ref="AA501:AD501"/>
    <mergeCell ref="AE501:AH501"/>
    <mergeCell ref="B531:D531"/>
    <mergeCell ref="E531:F531"/>
    <mergeCell ref="G531:J531"/>
    <mergeCell ref="K531:N531"/>
    <mergeCell ref="O531:P531"/>
    <mergeCell ref="Q531:T531"/>
    <mergeCell ref="U531:X531"/>
    <mergeCell ref="Y531:Z531"/>
    <mergeCell ref="AA531:AD531"/>
    <mergeCell ref="AE531:AH531"/>
    <mergeCell ref="B502:D502"/>
    <mergeCell ref="E502:F502"/>
    <mergeCell ref="G502:J502"/>
    <mergeCell ref="K502:N502"/>
    <mergeCell ref="O502:P502"/>
    <mergeCell ref="Q502:T502"/>
    <mergeCell ref="U502:X502"/>
    <mergeCell ref="Y502:Z502"/>
    <mergeCell ref="AA502:AD502"/>
    <mergeCell ref="AE502:AH502"/>
    <mergeCell ref="B504:D504"/>
    <mergeCell ref="E504:F504"/>
    <mergeCell ref="G499:J499"/>
    <mergeCell ref="K499:N499"/>
    <mergeCell ref="O499:P499"/>
    <mergeCell ref="Q499:T499"/>
    <mergeCell ref="U499:X499"/>
    <mergeCell ref="Y499:Z499"/>
    <mergeCell ref="AA499:AD499"/>
    <mergeCell ref="AE499:AH499"/>
    <mergeCell ref="B500:D500"/>
    <mergeCell ref="E500:F500"/>
    <mergeCell ref="G500:J500"/>
    <mergeCell ref="K500:N500"/>
    <mergeCell ref="O500:P500"/>
    <mergeCell ref="Q500:T500"/>
    <mergeCell ref="U500:X500"/>
    <mergeCell ref="Y500:Z500"/>
    <mergeCell ref="AA500:AD500"/>
    <mergeCell ref="AE500:AH500"/>
    <mergeCell ref="B499:D499"/>
    <mergeCell ref="E499:F499"/>
    <mergeCell ref="B497:D497"/>
    <mergeCell ref="E497:F497"/>
    <mergeCell ref="G497:J497"/>
    <mergeCell ref="K497:N497"/>
    <mergeCell ref="O497:P497"/>
    <mergeCell ref="Q497:T497"/>
    <mergeCell ref="U497:X497"/>
    <mergeCell ref="Y497:Z497"/>
    <mergeCell ref="AA497:AD497"/>
    <mergeCell ref="AE497:AH497"/>
    <mergeCell ref="B498:D498"/>
    <mergeCell ref="E498:F498"/>
    <mergeCell ref="G498:J498"/>
    <mergeCell ref="K498:N498"/>
    <mergeCell ref="O498:P498"/>
    <mergeCell ref="Q498:T498"/>
    <mergeCell ref="U498:X498"/>
    <mergeCell ref="Y498:Z498"/>
    <mergeCell ref="AA498:AD498"/>
    <mergeCell ref="AE498:AH498"/>
    <mergeCell ref="Y494:Z494"/>
    <mergeCell ref="AA494:AD494"/>
    <mergeCell ref="AE494:AH494"/>
    <mergeCell ref="B495:D495"/>
    <mergeCell ref="E495:F495"/>
    <mergeCell ref="G495:J495"/>
    <mergeCell ref="K495:N495"/>
    <mergeCell ref="O495:P495"/>
    <mergeCell ref="Q495:T495"/>
    <mergeCell ref="U495:X495"/>
    <mergeCell ref="Y495:Z495"/>
    <mergeCell ref="AA495:AD495"/>
    <mergeCell ref="AE495:AH495"/>
    <mergeCell ref="B496:D496"/>
    <mergeCell ref="E496:F496"/>
    <mergeCell ref="G496:J496"/>
    <mergeCell ref="K496:N496"/>
    <mergeCell ref="O496:P496"/>
    <mergeCell ref="Q496:T496"/>
    <mergeCell ref="U496:X496"/>
    <mergeCell ref="Y496:Z496"/>
    <mergeCell ref="AA496:AD496"/>
    <mergeCell ref="AE496:AH496"/>
    <mergeCell ref="B473:D473"/>
    <mergeCell ref="E473:F473"/>
    <mergeCell ref="G473:J473"/>
    <mergeCell ref="K473:N473"/>
    <mergeCell ref="O473:P473"/>
    <mergeCell ref="Q473:T473"/>
    <mergeCell ref="U473:X473"/>
    <mergeCell ref="Y473:Z473"/>
    <mergeCell ref="AA473:AD473"/>
    <mergeCell ref="AE473:AH473"/>
    <mergeCell ref="B474:D474"/>
    <mergeCell ref="E474:F474"/>
    <mergeCell ref="G474:J474"/>
    <mergeCell ref="K474:N474"/>
    <mergeCell ref="O474:P474"/>
    <mergeCell ref="Q474:T474"/>
    <mergeCell ref="U474:X474"/>
    <mergeCell ref="Y474:Z474"/>
    <mergeCell ref="AA474:AD474"/>
    <mergeCell ref="AE474:AH474"/>
    <mergeCell ref="AA470:AD470"/>
    <mergeCell ref="AE470:AH470"/>
    <mergeCell ref="B471:D471"/>
    <mergeCell ref="E471:F471"/>
    <mergeCell ref="G471:J471"/>
    <mergeCell ref="K471:N471"/>
    <mergeCell ref="O471:P471"/>
    <mergeCell ref="Q471:T471"/>
    <mergeCell ref="U471:X471"/>
    <mergeCell ref="Y471:Z471"/>
    <mergeCell ref="AA471:AD471"/>
    <mergeCell ref="AE471:AH471"/>
    <mergeCell ref="B472:D472"/>
    <mergeCell ref="E472:F472"/>
    <mergeCell ref="G472:J472"/>
    <mergeCell ref="K472:N472"/>
    <mergeCell ref="O472:P472"/>
    <mergeCell ref="Q472:T472"/>
    <mergeCell ref="U472:X472"/>
    <mergeCell ref="Y472:Z472"/>
    <mergeCell ref="AA472:AD472"/>
    <mergeCell ref="AE472:AH472"/>
    <mergeCell ref="B477:D477"/>
    <mergeCell ref="E477:F477"/>
    <mergeCell ref="G477:J477"/>
    <mergeCell ref="K477:N477"/>
    <mergeCell ref="O477:P477"/>
    <mergeCell ref="Q477:T477"/>
    <mergeCell ref="U477:X477"/>
    <mergeCell ref="Y477:Z477"/>
    <mergeCell ref="AA477:AD477"/>
    <mergeCell ref="AE477:AH477"/>
    <mergeCell ref="B478:D478"/>
    <mergeCell ref="E478:F478"/>
    <mergeCell ref="G478:J478"/>
    <mergeCell ref="K478:N478"/>
    <mergeCell ref="O478:P478"/>
    <mergeCell ref="Q478:T478"/>
    <mergeCell ref="U478:X478"/>
    <mergeCell ref="Y478:Z478"/>
    <mergeCell ref="AA478:AD478"/>
    <mergeCell ref="AE478:AH478"/>
    <mergeCell ref="C438:J438"/>
    <mergeCell ref="K438:L438"/>
    <mergeCell ref="M438:O438"/>
    <mergeCell ref="P438:T438"/>
    <mergeCell ref="U438:W438"/>
    <mergeCell ref="X438:AB438"/>
    <mergeCell ref="B475:D475"/>
    <mergeCell ref="E475:F475"/>
    <mergeCell ref="G475:J475"/>
    <mergeCell ref="K475:N475"/>
    <mergeCell ref="O475:P475"/>
    <mergeCell ref="Q475:T475"/>
    <mergeCell ref="U475:X475"/>
    <mergeCell ref="Y475:Z475"/>
    <mergeCell ref="AA475:AD475"/>
    <mergeCell ref="AE475:AH475"/>
    <mergeCell ref="B476:D476"/>
    <mergeCell ref="E476:F476"/>
    <mergeCell ref="G476:J476"/>
    <mergeCell ref="K476:N476"/>
    <mergeCell ref="O476:P476"/>
    <mergeCell ref="Q476:T476"/>
    <mergeCell ref="U476:X476"/>
    <mergeCell ref="Y476:Z476"/>
    <mergeCell ref="AA476:AD476"/>
    <mergeCell ref="AE476:AH476"/>
    <mergeCell ref="B470:D470"/>
    <mergeCell ref="E470:F470"/>
    <mergeCell ref="G470:J470"/>
    <mergeCell ref="K470:N470"/>
    <mergeCell ref="O470:P470"/>
    <mergeCell ref="Q470:T470"/>
    <mergeCell ref="P422:T422"/>
    <mergeCell ref="U422:W422"/>
    <mergeCell ref="X422:AB422"/>
    <mergeCell ref="C439:J439"/>
    <mergeCell ref="K439:L439"/>
    <mergeCell ref="M439:O439"/>
    <mergeCell ref="P439:T439"/>
    <mergeCell ref="U439:W439"/>
    <mergeCell ref="X439:AB439"/>
    <mergeCell ref="C440:J440"/>
    <mergeCell ref="K440:L440"/>
    <mergeCell ref="M440:O440"/>
    <mergeCell ref="P440:T440"/>
    <mergeCell ref="U440:W440"/>
    <mergeCell ref="X440:AB440"/>
    <mergeCell ref="C441:J441"/>
    <mergeCell ref="K441:L441"/>
    <mergeCell ref="M441:O441"/>
    <mergeCell ref="P441:T441"/>
    <mergeCell ref="U441:W441"/>
    <mergeCell ref="X441:AB441"/>
    <mergeCell ref="C436:J436"/>
    <mergeCell ref="K436:L436"/>
    <mergeCell ref="M436:O436"/>
    <mergeCell ref="P436:T436"/>
    <mergeCell ref="U436:W436"/>
    <mergeCell ref="X436:AB436"/>
    <mergeCell ref="C437:J437"/>
    <mergeCell ref="K437:L437"/>
    <mergeCell ref="M437:O437"/>
    <mergeCell ref="P437:T437"/>
    <mergeCell ref="U437:W437"/>
    <mergeCell ref="B397:E397"/>
    <mergeCell ref="F397:G397"/>
    <mergeCell ref="H397:J397"/>
    <mergeCell ref="K397:N397"/>
    <mergeCell ref="O397:Q397"/>
    <mergeCell ref="R397:U397"/>
    <mergeCell ref="V397:Y397"/>
    <mergeCell ref="Z397:AA397"/>
    <mergeCell ref="AB397:AE397"/>
    <mergeCell ref="AF397:AI397"/>
    <mergeCell ref="C423:J423"/>
    <mergeCell ref="K423:L423"/>
    <mergeCell ref="M423:O423"/>
    <mergeCell ref="P423:T423"/>
    <mergeCell ref="U423:W423"/>
    <mergeCell ref="X423:AB423"/>
    <mergeCell ref="C424:J424"/>
    <mergeCell ref="K424:L424"/>
    <mergeCell ref="M424:O424"/>
    <mergeCell ref="P424:T424"/>
    <mergeCell ref="U424:W424"/>
    <mergeCell ref="X424:AB424"/>
    <mergeCell ref="C420:J420"/>
    <mergeCell ref="K420:L420"/>
    <mergeCell ref="M420:O420"/>
    <mergeCell ref="P420:T420"/>
    <mergeCell ref="U420:W420"/>
    <mergeCell ref="X420:AB420"/>
    <mergeCell ref="C421:J421"/>
    <mergeCell ref="K421:L421"/>
    <mergeCell ref="M421:O421"/>
    <mergeCell ref="P421:T421"/>
    <mergeCell ref="H395:J395"/>
    <mergeCell ref="K395:N395"/>
    <mergeCell ref="O395:Q395"/>
    <mergeCell ref="R395:U395"/>
    <mergeCell ref="V395:Y395"/>
    <mergeCell ref="Z395:AA395"/>
    <mergeCell ref="AB395:AE395"/>
    <mergeCell ref="AF395:AI395"/>
    <mergeCell ref="B396:E396"/>
    <mergeCell ref="F396:G396"/>
    <mergeCell ref="H396:J396"/>
    <mergeCell ref="K396:N396"/>
    <mergeCell ref="O396:Q396"/>
    <mergeCell ref="R396:U396"/>
    <mergeCell ref="V396:Y396"/>
    <mergeCell ref="Z396:AA396"/>
    <mergeCell ref="AB396:AE396"/>
    <mergeCell ref="AF396:AI396"/>
    <mergeCell ref="B401:E401"/>
    <mergeCell ref="F401:G401"/>
    <mergeCell ref="H401:J401"/>
    <mergeCell ref="K401:N401"/>
    <mergeCell ref="O401:Q401"/>
    <mergeCell ref="R401:U401"/>
    <mergeCell ref="V401:Y401"/>
    <mergeCell ref="Z401:AA401"/>
    <mergeCell ref="AB401:AE401"/>
    <mergeCell ref="AF401:AI401"/>
    <mergeCell ref="B393:E393"/>
    <mergeCell ref="F393:G393"/>
    <mergeCell ref="H393:J393"/>
    <mergeCell ref="K393:N393"/>
    <mergeCell ref="O393:Q393"/>
    <mergeCell ref="R393:U393"/>
    <mergeCell ref="V393:Y393"/>
    <mergeCell ref="Z393:AA393"/>
    <mergeCell ref="AB393:AE393"/>
    <mergeCell ref="AF393:AI393"/>
    <mergeCell ref="B394:E394"/>
    <mergeCell ref="F394:G394"/>
    <mergeCell ref="H394:J394"/>
    <mergeCell ref="K394:N394"/>
    <mergeCell ref="O394:Q394"/>
    <mergeCell ref="R394:U394"/>
    <mergeCell ref="V394:Y394"/>
    <mergeCell ref="Z394:AA394"/>
    <mergeCell ref="AB394:AE394"/>
    <mergeCell ref="AF394:AI394"/>
    <mergeCell ref="B395:E395"/>
    <mergeCell ref="F395:G395"/>
    <mergeCell ref="H399:J399"/>
    <mergeCell ref="K399:N399"/>
    <mergeCell ref="O399:Q399"/>
    <mergeCell ref="R399:U399"/>
    <mergeCell ref="V399:Y399"/>
    <mergeCell ref="Z399:AA399"/>
    <mergeCell ref="AB399:AE399"/>
    <mergeCell ref="AF399:AI399"/>
    <mergeCell ref="B400:E400"/>
    <mergeCell ref="F400:G400"/>
    <mergeCell ref="H400:J400"/>
    <mergeCell ref="K400:N400"/>
    <mergeCell ref="O400:Q400"/>
    <mergeCell ref="R400:U400"/>
    <mergeCell ref="V400:Y400"/>
    <mergeCell ref="Z400:AA400"/>
    <mergeCell ref="AB400:AE400"/>
    <mergeCell ref="AF400:AI400"/>
    <mergeCell ref="B347:D347"/>
    <mergeCell ref="E347:F347"/>
    <mergeCell ref="G347:J347"/>
    <mergeCell ref="K347:N347"/>
    <mergeCell ref="O347:P347"/>
    <mergeCell ref="Q347:T347"/>
    <mergeCell ref="U347:X347"/>
    <mergeCell ref="Y347:Z347"/>
    <mergeCell ref="AA347:AD347"/>
    <mergeCell ref="AE347:AH347"/>
    <mergeCell ref="B380:D380"/>
    <mergeCell ref="E380:F380"/>
    <mergeCell ref="G380:J380"/>
    <mergeCell ref="K380:N380"/>
    <mergeCell ref="O380:P380"/>
    <mergeCell ref="Q380:T380"/>
    <mergeCell ref="U380:X380"/>
    <mergeCell ref="Y380:Z380"/>
    <mergeCell ref="AA380:AD380"/>
    <mergeCell ref="AE380:AH380"/>
    <mergeCell ref="B350:D350"/>
    <mergeCell ref="E350:F350"/>
    <mergeCell ref="G350:J350"/>
    <mergeCell ref="K350:N350"/>
    <mergeCell ref="O350:P350"/>
    <mergeCell ref="Q350:T350"/>
    <mergeCell ref="U350:X350"/>
    <mergeCell ref="Y350:Z350"/>
    <mergeCell ref="AA350:AD350"/>
    <mergeCell ref="AE350:AH350"/>
    <mergeCell ref="B351:D351"/>
    <mergeCell ref="E351:F351"/>
    <mergeCell ref="B345:D345"/>
    <mergeCell ref="E345:F345"/>
    <mergeCell ref="G345:J345"/>
    <mergeCell ref="K345:N345"/>
    <mergeCell ref="O345:P345"/>
    <mergeCell ref="Q345:T345"/>
    <mergeCell ref="U345:X345"/>
    <mergeCell ref="Y345:Z345"/>
    <mergeCell ref="AA345:AD345"/>
    <mergeCell ref="AE345:AH345"/>
    <mergeCell ref="B346:D346"/>
    <mergeCell ref="E346:F346"/>
    <mergeCell ref="G346:J346"/>
    <mergeCell ref="K346:N346"/>
    <mergeCell ref="O346:P346"/>
    <mergeCell ref="Q346:T346"/>
    <mergeCell ref="U346:X346"/>
    <mergeCell ref="Y346:Z346"/>
    <mergeCell ref="AA346:AD346"/>
    <mergeCell ref="AE346:AH346"/>
    <mergeCell ref="B343:D343"/>
    <mergeCell ref="E343:F343"/>
    <mergeCell ref="G343:J343"/>
    <mergeCell ref="K343:N343"/>
    <mergeCell ref="O343:P343"/>
    <mergeCell ref="Q343:T343"/>
    <mergeCell ref="U343:X343"/>
    <mergeCell ref="Y343:Z343"/>
    <mergeCell ref="AA343:AD343"/>
    <mergeCell ref="AE343:AH343"/>
    <mergeCell ref="B344:D344"/>
    <mergeCell ref="E344:F344"/>
    <mergeCell ref="G344:J344"/>
    <mergeCell ref="K344:N344"/>
    <mergeCell ref="O344:P344"/>
    <mergeCell ref="Q344:T344"/>
    <mergeCell ref="U344:X344"/>
    <mergeCell ref="Y344:Z344"/>
    <mergeCell ref="AA344:AD344"/>
    <mergeCell ref="AE344:AH344"/>
    <mergeCell ref="G351:J351"/>
    <mergeCell ref="K351:N351"/>
    <mergeCell ref="O351:P351"/>
    <mergeCell ref="Q351:T351"/>
    <mergeCell ref="U351:X351"/>
    <mergeCell ref="Y351:Z351"/>
    <mergeCell ref="AA351:AD351"/>
    <mergeCell ref="AE351:AH351"/>
    <mergeCell ref="B321:D321"/>
    <mergeCell ref="E321:F321"/>
    <mergeCell ref="G321:J321"/>
    <mergeCell ref="K321:N321"/>
    <mergeCell ref="O321:P321"/>
    <mergeCell ref="Q321:T321"/>
    <mergeCell ref="U321:X321"/>
    <mergeCell ref="Y321:Z321"/>
    <mergeCell ref="AA321:AD321"/>
    <mergeCell ref="AE321:AH321"/>
    <mergeCell ref="B322:D322"/>
    <mergeCell ref="E322:F322"/>
    <mergeCell ref="G322:J322"/>
    <mergeCell ref="K322:N322"/>
    <mergeCell ref="O322:P322"/>
    <mergeCell ref="Q322:T322"/>
    <mergeCell ref="U322:X322"/>
    <mergeCell ref="Y322:Z322"/>
    <mergeCell ref="AA322:AD322"/>
    <mergeCell ref="AE322:AH322"/>
    <mergeCell ref="B325:D325"/>
    <mergeCell ref="E325:F325"/>
    <mergeCell ref="G325:J325"/>
    <mergeCell ref="K325:N325"/>
    <mergeCell ref="G319:J319"/>
    <mergeCell ref="K319:N319"/>
    <mergeCell ref="O319:P319"/>
    <mergeCell ref="Q319:T319"/>
    <mergeCell ref="U319:X319"/>
    <mergeCell ref="Y319:Z319"/>
    <mergeCell ref="AA319:AD319"/>
    <mergeCell ref="AE319:AH319"/>
    <mergeCell ref="B320:D320"/>
    <mergeCell ref="E320:F320"/>
    <mergeCell ref="G320:J320"/>
    <mergeCell ref="K320:N320"/>
    <mergeCell ref="O320:P320"/>
    <mergeCell ref="Q320:T320"/>
    <mergeCell ref="U320:X320"/>
    <mergeCell ref="Y320:Z320"/>
    <mergeCell ref="AA320:AD320"/>
    <mergeCell ref="AE320:AH320"/>
    <mergeCell ref="O325:P325"/>
    <mergeCell ref="Q325:T325"/>
    <mergeCell ref="U325:X325"/>
    <mergeCell ref="Y325:Z325"/>
    <mergeCell ref="AA325:AD325"/>
    <mergeCell ref="AE325:AH325"/>
    <mergeCell ref="B326:D326"/>
    <mergeCell ref="E326:F326"/>
    <mergeCell ref="G326:J326"/>
    <mergeCell ref="K326:N326"/>
    <mergeCell ref="O326:P326"/>
    <mergeCell ref="Q326:T326"/>
    <mergeCell ref="U326:X326"/>
    <mergeCell ref="Y326:Z326"/>
    <mergeCell ref="AA326:AD326"/>
    <mergeCell ref="AE326:AH326"/>
    <mergeCell ref="C285:J285"/>
    <mergeCell ref="K285:L285"/>
    <mergeCell ref="M285:O285"/>
    <mergeCell ref="P285:T285"/>
    <mergeCell ref="U285:W285"/>
    <mergeCell ref="X285:AB285"/>
    <mergeCell ref="C286:J286"/>
    <mergeCell ref="K286:L286"/>
    <mergeCell ref="M286:O286"/>
    <mergeCell ref="P286:T286"/>
    <mergeCell ref="U286:W286"/>
    <mergeCell ref="X286:AB286"/>
    <mergeCell ref="B323:D323"/>
    <mergeCell ref="E323:F323"/>
    <mergeCell ref="G323:J323"/>
    <mergeCell ref="K323:N323"/>
    <mergeCell ref="O323:P323"/>
    <mergeCell ref="Q323:T323"/>
    <mergeCell ref="U323:X323"/>
    <mergeCell ref="Y323:Z323"/>
    <mergeCell ref="AA323:AD323"/>
    <mergeCell ref="B318:D318"/>
    <mergeCell ref="E318:F318"/>
    <mergeCell ref="G318:J318"/>
    <mergeCell ref="K318:N318"/>
    <mergeCell ref="O318:P318"/>
    <mergeCell ref="Q318:T318"/>
    <mergeCell ref="U318:X318"/>
    <mergeCell ref="Y318:Z318"/>
    <mergeCell ref="AA318:AD318"/>
    <mergeCell ref="B319:D319"/>
    <mergeCell ref="E319:F319"/>
    <mergeCell ref="C289:J289"/>
    <mergeCell ref="K289:L289"/>
    <mergeCell ref="M289:O289"/>
    <mergeCell ref="P289:T289"/>
    <mergeCell ref="U289:W289"/>
    <mergeCell ref="X289:AB289"/>
    <mergeCell ref="C290:J290"/>
    <mergeCell ref="K290:L290"/>
    <mergeCell ref="M290:O290"/>
    <mergeCell ref="P290:T290"/>
    <mergeCell ref="U290:W290"/>
    <mergeCell ref="X290:AB290"/>
    <mergeCell ref="C291:J291"/>
    <mergeCell ref="K291:L291"/>
    <mergeCell ref="M291:O291"/>
    <mergeCell ref="P291:T291"/>
    <mergeCell ref="C288:J288"/>
    <mergeCell ref="K288:L288"/>
    <mergeCell ref="M288:O288"/>
    <mergeCell ref="P288:T288"/>
    <mergeCell ref="U288:W288"/>
    <mergeCell ref="X288:AB288"/>
    <mergeCell ref="B246:E246"/>
    <mergeCell ref="F246:G246"/>
    <mergeCell ref="H246:J246"/>
    <mergeCell ref="K246:N246"/>
    <mergeCell ref="O246:Q246"/>
    <mergeCell ref="R246:U246"/>
    <mergeCell ref="V246:Y246"/>
    <mergeCell ref="Z246:AA246"/>
    <mergeCell ref="AB246:AE246"/>
    <mergeCell ref="B252:E252"/>
    <mergeCell ref="F252:G252"/>
    <mergeCell ref="H252:J252"/>
    <mergeCell ref="K252:N252"/>
    <mergeCell ref="O252:Q252"/>
    <mergeCell ref="R252:U252"/>
    <mergeCell ref="V252:Y252"/>
    <mergeCell ref="Z252:AA252"/>
    <mergeCell ref="AB252:AE252"/>
    <mergeCell ref="B255:E255"/>
    <mergeCell ref="F255:G255"/>
    <mergeCell ref="M270:O270"/>
    <mergeCell ref="P270:T270"/>
    <mergeCell ref="B250:E250"/>
    <mergeCell ref="F250:G250"/>
    <mergeCell ref="H250:J250"/>
    <mergeCell ref="K250:N250"/>
    <mergeCell ref="O250:Q250"/>
    <mergeCell ref="R250:U250"/>
    <mergeCell ref="V250:Y250"/>
    <mergeCell ref="Z250:AA250"/>
    <mergeCell ref="AB250:AE250"/>
    <mergeCell ref="C287:J287"/>
    <mergeCell ref="K287:L287"/>
    <mergeCell ref="M287:O287"/>
    <mergeCell ref="P287:T287"/>
    <mergeCell ref="U287:W287"/>
    <mergeCell ref="X287:AB287"/>
    <mergeCell ref="B244:E244"/>
    <mergeCell ref="F244:G244"/>
    <mergeCell ref="B248:E248"/>
    <mergeCell ref="F248:G248"/>
    <mergeCell ref="H248:J248"/>
    <mergeCell ref="K248:N248"/>
    <mergeCell ref="O248:Q248"/>
    <mergeCell ref="R248:U248"/>
    <mergeCell ref="V248:Y248"/>
    <mergeCell ref="Z248:AA248"/>
    <mergeCell ref="AB248:AE248"/>
    <mergeCell ref="H244:J244"/>
    <mergeCell ref="K244:N244"/>
    <mergeCell ref="O244:Q244"/>
    <mergeCell ref="R244:U244"/>
    <mergeCell ref="V244:Y244"/>
    <mergeCell ref="Z244:AA244"/>
    <mergeCell ref="AB244:AE244"/>
    <mergeCell ref="B245:E245"/>
    <mergeCell ref="F245:G245"/>
    <mergeCell ref="H245:J245"/>
    <mergeCell ref="K245:N245"/>
    <mergeCell ref="O245:Q245"/>
    <mergeCell ref="R245:U245"/>
    <mergeCell ref="V245:Y245"/>
    <mergeCell ref="Z245:AA245"/>
    <mergeCell ref="AB245:AE245"/>
    <mergeCell ref="F242:G242"/>
    <mergeCell ref="H242:J242"/>
    <mergeCell ref="K242:N242"/>
    <mergeCell ref="O242:Q242"/>
    <mergeCell ref="R242:U242"/>
    <mergeCell ref="V242:Y242"/>
    <mergeCell ref="Z242:AA242"/>
    <mergeCell ref="AB242:AE242"/>
    <mergeCell ref="AF242:AI242"/>
    <mergeCell ref="B243:E243"/>
    <mergeCell ref="F243:G243"/>
    <mergeCell ref="H243:J243"/>
    <mergeCell ref="K243:N243"/>
    <mergeCell ref="O243:Q243"/>
    <mergeCell ref="R243:U243"/>
    <mergeCell ref="V243:Y243"/>
    <mergeCell ref="Z243:AA243"/>
    <mergeCell ref="AB243:AE243"/>
    <mergeCell ref="AF243:AI243"/>
    <mergeCell ref="B249:E249"/>
    <mergeCell ref="F249:G249"/>
    <mergeCell ref="H249:J249"/>
    <mergeCell ref="K249:N249"/>
    <mergeCell ref="O249:Q249"/>
    <mergeCell ref="R249:U249"/>
    <mergeCell ref="V249:Y249"/>
    <mergeCell ref="Z249:AA249"/>
    <mergeCell ref="AB249:AE249"/>
    <mergeCell ref="AF249:AI249"/>
    <mergeCell ref="B196:D196"/>
    <mergeCell ref="E196:F196"/>
    <mergeCell ref="G196:J196"/>
    <mergeCell ref="K196:N196"/>
    <mergeCell ref="O196:P196"/>
    <mergeCell ref="Q196:T196"/>
    <mergeCell ref="U196:X196"/>
    <mergeCell ref="Y196:Z196"/>
    <mergeCell ref="AA196:AD196"/>
    <mergeCell ref="AE196:AH196"/>
    <mergeCell ref="B229:D229"/>
    <mergeCell ref="E229:F229"/>
    <mergeCell ref="G229:J229"/>
    <mergeCell ref="K229:N229"/>
    <mergeCell ref="O229:P229"/>
    <mergeCell ref="Q229:T229"/>
    <mergeCell ref="U229:X229"/>
    <mergeCell ref="Y229:Z229"/>
    <mergeCell ref="AA229:AD229"/>
    <mergeCell ref="AE229:AH229"/>
    <mergeCell ref="B199:D199"/>
    <mergeCell ref="B242:E242"/>
    <mergeCell ref="B194:D194"/>
    <mergeCell ref="E194:F194"/>
    <mergeCell ref="G194:J194"/>
    <mergeCell ref="K194:N194"/>
    <mergeCell ref="O194:P194"/>
    <mergeCell ref="Q194:T194"/>
    <mergeCell ref="U194:X194"/>
    <mergeCell ref="Y194:Z194"/>
    <mergeCell ref="AA194:AD194"/>
    <mergeCell ref="AE194:AH194"/>
    <mergeCell ref="B195:D195"/>
    <mergeCell ref="E195:F195"/>
    <mergeCell ref="G195:J195"/>
    <mergeCell ref="K195:N195"/>
    <mergeCell ref="O195:P195"/>
    <mergeCell ref="Q195:T195"/>
    <mergeCell ref="U195:X195"/>
    <mergeCell ref="Y195:Z195"/>
    <mergeCell ref="AA195:AD195"/>
    <mergeCell ref="AE195:AH195"/>
    <mergeCell ref="B192:D192"/>
    <mergeCell ref="E192:F192"/>
    <mergeCell ref="G192:J192"/>
    <mergeCell ref="K192:N192"/>
    <mergeCell ref="O192:P192"/>
    <mergeCell ref="Q192:T192"/>
    <mergeCell ref="U192:X192"/>
    <mergeCell ref="Y192:Z192"/>
    <mergeCell ref="AA192:AD192"/>
    <mergeCell ref="AE192:AH192"/>
    <mergeCell ref="B193:D193"/>
    <mergeCell ref="E193:F193"/>
    <mergeCell ref="G193:J193"/>
    <mergeCell ref="K193:N193"/>
    <mergeCell ref="O193:P193"/>
    <mergeCell ref="Q193:T193"/>
    <mergeCell ref="U193:X193"/>
    <mergeCell ref="Y193:Z193"/>
    <mergeCell ref="AA193:AD193"/>
    <mergeCell ref="AE193:AH193"/>
    <mergeCell ref="E199:F199"/>
    <mergeCell ref="G199:J199"/>
    <mergeCell ref="K199:N199"/>
    <mergeCell ref="O199:P199"/>
    <mergeCell ref="Q199:T199"/>
    <mergeCell ref="U199:X199"/>
    <mergeCell ref="Y199:Z199"/>
    <mergeCell ref="AA199:AD199"/>
    <mergeCell ref="AE199:AH199"/>
    <mergeCell ref="B200:D200"/>
    <mergeCell ref="E200:F200"/>
    <mergeCell ref="G200:J200"/>
    <mergeCell ref="K200:N200"/>
    <mergeCell ref="O200:P200"/>
    <mergeCell ref="Q200:T200"/>
    <mergeCell ref="U200:X200"/>
    <mergeCell ref="Y200:Z200"/>
    <mergeCell ref="AA200:AD200"/>
    <mergeCell ref="AE200:AH200"/>
    <mergeCell ref="B197:D197"/>
    <mergeCell ref="E197:F197"/>
    <mergeCell ref="G197:J197"/>
    <mergeCell ref="K197:N197"/>
    <mergeCell ref="O197:P197"/>
    <mergeCell ref="Q197:T197"/>
    <mergeCell ref="U197:X197"/>
    <mergeCell ref="Y197:Z197"/>
    <mergeCell ref="AA197:AD197"/>
    <mergeCell ref="AE197:AH197"/>
    <mergeCell ref="B198:D198"/>
    <mergeCell ref="E198:F198"/>
    <mergeCell ref="G198:J198"/>
    <mergeCell ref="K198:N198"/>
    <mergeCell ref="O198:P198"/>
    <mergeCell ref="Q198:T198"/>
    <mergeCell ref="U198:X198"/>
    <mergeCell ref="Y198:Z198"/>
    <mergeCell ref="AA198:AD198"/>
    <mergeCell ref="AE198:AH198"/>
    <mergeCell ref="G169:J169"/>
    <mergeCell ref="K169:N169"/>
    <mergeCell ref="O169:P169"/>
    <mergeCell ref="Q169:T169"/>
    <mergeCell ref="U169:X169"/>
    <mergeCell ref="Y169:Z169"/>
    <mergeCell ref="AA169:AD169"/>
    <mergeCell ref="AE169:AH169"/>
    <mergeCell ref="B170:D170"/>
    <mergeCell ref="E170:F170"/>
    <mergeCell ref="G170:J170"/>
    <mergeCell ref="K170:N170"/>
    <mergeCell ref="O170:P170"/>
    <mergeCell ref="Q170:T170"/>
    <mergeCell ref="U170:X170"/>
    <mergeCell ref="Y170:Z170"/>
    <mergeCell ref="AA170:AD170"/>
    <mergeCell ref="AE170:AH170"/>
    <mergeCell ref="B175:D175"/>
    <mergeCell ref="E175:F175"/>
    <mergeCell ref="G175:J175"/>
    <mergeCell ref="K175:N175"/>
    <mergeCell ref="O175:P175"/>
    <mergeCell ref="Q175:T175"/>
    <mergeCell ref="U175:X175"/>
    <mergeCell ref="Y175:Z175"/>
    <mergeCell ref="AA175:AD175"/>
    <mergeCell ref="AE175:AH175"/>
    <mergeCell ref="B167:D167"/>
    <mergeCell ref="E167:F167"/>
    <mergeCell ref="G167:J167"/>
    <mergeCell ref="K167:N167"/>
    <mergeCell ref="O167:P167"/>
    <mergeCell ref="Q167:T167"/>
    <mergeCell ref="U167:X167"/>
    <mergeCell ref="Y167:Z167"/>
    <mergeCell ref="AA167:AD167"/>
    <mergeCell ref="AE167:AH167"/>
    <mergeCell ref="B168:D168"/>
    <mergeCell ref="E168:F168"/>
    <mergeCell ref="G168:J168"/>
    <mergeCell ref="K168:N168"/>
    <mergeCell ref="O168:P168"/>
    <mergeCell ref="Q168:T168"/>
    <mergeCell ref="U168:X168"/>
    <mergeCell ref="Y168:Z168"/>
    <mergeCell ref="AA168:AD168"/>
    <mergeCell ref="AE168:AH168"/>
    <mergeCell ref="B169:D169"/>
    <mergeCell ref="E169:F169"/>
    <mergeCell ref="Q172:T172"/>
    <mergeCell ref="U172:X172"/>
    <mergeCell ref="Y172:Z172"/>
    <mergeCell ref="AA172:AD172"/>
    <mergeCell ref="AE172:AH172"/>
    <mergeCell ref="B173:D173"/>
    <mergeCell ref="E173:F173"/>
    <mergeCell ref="G173:J173"/>
    <mergeCell ref="K173:N173"/>
    <mergeCell ref="O173:P173"/>
    <mergeCell ref="Q173:T173"/>
    <mergeCell ref="U173:X173"/>
    <mergeCell ref="Y173:Z173"/>
    <mergeCell ref="AA173:AD173"/>
    <mergeCell ref="AE173:AH173"/>
    <mergeCell ref="B174:D174"/>
    <mergeCell ref="E174:F174"/>
    <mergeCell ref="G174:J174"/>
    <mergeCell ref="K174:N174"/>
    <mergeCell ref="O174:P174"/>
    <mergeCell ref="Q174:T174"/>
    <mergeCell ref="U174:X174"/>
    <mergeCell ref="Y174:Z174"/>
    <mergeCell ref="AA174:AD174"/>
    <mergeCell ref="AE174:AH174"/>
    <mergeCell ref="T630:W630"/>
    <mergeCell ref="AB630:AE630"/>
    <mergeCell ref="AB627:AE627"/>
    <mergeCell ref="AB628:AE628"/>
    <mergeCell ref="X628:AA628"/>
    <mergeCell ref="T628:W628"/>
    <mergeCell ref="K627:S627"/>
    <mergeCell ref="X623:AA623"/>
    <mergeCell ref="T623:W623"/>
    <mergeCell ref="X624:AA624"/>
    <mergeCell ref="K623:S623"/>
    <mergeCell ref="B624:J624"/>
    <mergeCell ref="B625:J625"/>
    <mergeCell ref="B628:J628"/>
    <mergeCell ref="B626:J626"/>
    <mergeCell ref="B627:J627"/>
    <mergeCell ref="U80:X80"/>
    <mergeCell ref="Q83:T83"/>
    <mergeCell ref="U83:X83"/>
    <mergeCell ref="R106:U106"/>
    <mergeCell ref="K106:N106"/>
    <mergeCell ref="K616:S618"/>
    <mergeCell ref="X618:AA618"/>
    <mergeCell ref="T616:AE616"/>
    <mergeCell ref="K625:S625"/>
    <mergeCell ref="K626:S626"/>
    <mergeCell ref="X626:AA626"/>
    <mergeCell ref="T626:W626"/>
    <mergeCell ref="B616:J618"/>
    <mergeCell ref="B619:J619"/>
    <mergeCell ref="B620:J620"/>
    <mergeCell ref="B621:J621"/>
    <mergeCell ref="B622:J622"/>
    <mergeCell ref="Z102:AA102"/>
    <mergeCell ref="V89:Y89"/>
    <mergeCell ref="B623:J623"/>
    <mergeCell ref="AB619:AE619"/>
    <mergeCell ref="V88:Y88"/>
    <mergeCell ref="H87:J88"/>
    <mergeCell ref="K88:N88"/>
    <mergeCell ref="R88:U88"/>
    <mergeCell ref="R89:U89"/>
    <mergeCell ref="R95:U95"/>
    <mergeCell ref="AF106:AI106"/>
    <mergeCell ref="Z87:AA88"/>
    <mergeCell ref="T625:W625"/>
    <mergeCell ref="T624:W624"/>
    <mergeCell ref="X625:AA625"/>
    <mergeCell ref="K76:N76"/>
    <mergeCell ref="O76:P76"/>
    <mergeCell ref="Q76:T76"/>
    <mergeCell ref="K80:N80"/>
    <mergeCell ref="O80:P80"/>
    <mergeCell ref="R105:U105"/>
    <mergeCell ref="K104:N104"/>
    <mergeCell ref="AB108:AE108"/>
    <mergeCell ref="AB103:AE103"/>
    <mergeCell ref="AB104:AE104"/>
    <mergeCell ref="AB105:AE105"/>
    <mergeCell ref="Z104:AA104"/>
    <mergeCell ref="Z105:AA105"/>
    <mergeCell ref="V106:Y106"/>
    <mergeCell ref="X117:AB117"/>
    <mergeCell ref="M142:O142"/>
    <mergeCell ref="X619:AA619"/>
    <mergeCell ref="T620:W620"/>
    <mergeCell ref="X620:AA620"/>
    <mergeCell ref="K619:S619"/>
    <mergeCell ref="K620:S620"/>
    <mergeCell ref="T619:W619"/>
    <mergeCell ref="AB618:AE618"/>
    <mergeCell ref="X617:AE617"/>
    <mergeCell ref="AB620:AE620"/>
    <mergeCell ref="AB621:AE621"/>
    <mergeCell ref="AB622:AE622"/>
    <mergeCell ref="E79:F79"/>
    <mergeCell ref="G79:J79"/>
    <mergeCell ref="K79:N79"/>
    <mergeCell ref="U77:X77"/>
    <mergeCell ref="O79:P79"/>
    <mergeCell ref="Q79:T79"/>
    <mergeCell ref="U79:X79"/>
    <mergeCell ref="Q80:T80"/>
    <mergeCell ref="AB95:AE95"/>
    <mergeCell ref="Z96:AA96"/>
    <mergeCell ref="AB96:AE96"/>
    <mergeCell ref="Z101:AA101"/>
    <mergeCell ref="P124:T124"/>
    <mergeCell ref="K125:L125"/>
    <mergeCell ref="U126:W126"/>
    <mergeCell ref="M125:O125"/>
    <mergeCell ref="P125:T125"/>
    <mergeCell ref="U125:W125"/>
    <mergeCell ref="U124:W124"/>
    <mergeCell ref="X124:AB124"/>
    <mergeCell ref="X125:AB125"/>
    <mergeCell ref="AF104:AI104"/>
    <mergeCell ref="O104:Q104"/>
    <mergeCell ref="B105:E105"/>
    <mergeCell ref="O105:Q105"/>
    <mergeCell ref="R104:U104"/>
    <mergeCell ref="V105:Y105"/>
    <mergeCell ref="R102:U102"/>
    <mergeCell ref="R103:U103"/>
    <mergeCell ref="AF103:AI103"/>
    <mergeCell ref="AF95:AI95"/>
    <mergeCell ref="AF96:AI96"/>
    <mergeCell ref="AF101:AI101"/>
    <mergeCell ref="AF102:AI102"/>
    <mergeCell ref="V96:Y96"/>
    <mergeCell ref="R96:U96"/>
    <mergeCell ref="K101:N101"/>
    <mergeCell ref="Z95:AA95"/>
    <mergeCell ref="AF105:AI105"/>
    <mergeCell ref="F103:G103"/>
    <mergeCell ref="H101:J101"/>
    <mergeCell ref="H102:J102"/>
    <mergeCell ref="H103:J103"/>
    <mergeCell ref="F96:G96"/>
    <mergeCell ref="H96:J96"/>
    <mergeCell ref="F105:G105"/>
    <mergeCell ref="H104:J104"/>
    <mergeCell ref="H105:J105"/>
    <mergeCell ref="B98:E98"/>
    <mergeCell ref="F98:G98"/>
    <mergeCell ref="H98:J98"/>
    <mergeCell ref="K98:N98"/>
    <mergeCell ref="O98:Q98"/>
    <mergeCell ref="F89:G89"/>
    <mergeCell ref="K96:N96"/>
    <mergeCell ref="B96:E96"/>
    <mergeCell ref="V103:Y103"/>
    <mergeCell ref="B80:D80"/>
    <mergeCell ref="E80:F80"/>
    <mergeCell ref="G80:J80"/>
    <mergeCell ref="O53:P53"/>
    <mergeCell ref="G65:J65"/>
    <mergeCell ref="K65:N65"/>
    <mergeCell ref="O65:P65"/>
    <mergeCell ref="U63:X63"/>
    <mergeCell ref="B72:D72"/>
    <mergeCell ref="B79:D79"/>
    <mergeCell ref="B87:E88"/>
    <mergeCell ref="B95:E95"/>
    <mergeCell ref="E72:F72"/>
    <mergeCell ref="G72:J72"/>
    <mergeCell ref="K72:N72"/>
    <mergeCell ref="O72:P72"/>
    <mergeCell ref="E67:F67"/>
    <mergeCell ref="G67:J67"/>
    <mergeCell ref="E68:F68"/>
    <mergeCell ref="G68:J68"/>
    <mergeCell ref="K68:N68"/>
    <mergeCell ref="O68:P68"/>
    <mergeCell ref="O77:P77"/>
    <mergeCell ref="E74:F74"/>
    <mergeCell ref="V102:Y102"/>
    <mergeCell ref="Y65:Z65"/>
    <mergeCell ref="Y71:Z71"/>
    <mergeCell ref="Y77:Z77"/>
    <mergeCell ref="A37:A38"/>
    <mergeCell ref="B37:D38"/>
    <mergeCell ref="E37:F38"/>
    <mergeCell ref="G37:N37"/>
    <mergeCell ref="B53:D53"/>
    <mergeCell ref="E53:F53"/>
    <mergeCell ref="G53:J53"/>
    <mergeCell ref="K53:N53"/>
    <mergeCell ref="Q70:T70"/>
    <mergeCell ref="U70:X70"/>
    <mergeCell ref="A62:A63"/>
    <mergeCell ref="B62:D63"/>
    <mergeCell ref="E62:F63"/>
    <mergeCell ref="G62:N62"/>
    <mergeCell ref="G63:J63"/>
    <mergeCell ref="K63:N63"/>
    <mergeCell ref="Q63:T63"/>
    <mergeCell ref="Q66:T66"/>
    <mergeCell ref="U66:X66"/>
    <mergeCell ref="Q68:T68"/>
    <mergeCell ref="U68:X68"/>
    <mergeCell ref="B70:D70"/>
    <mergeCell ref="E70:F70"/>
    <mergeCell ref="G70:J70"/>
    <mergeCell ref="U67:X67"/>
    <mergeCell ref="U69:X69"/>
    <mergeCell ref="G54:J54"/>
    <mergeCell ref="B65:D65"/>
    <mergeCell ref="B54:D54"/>
    <mergeCell ref="K70:N70"/>
    <mergeCell ref="O70:P70"/>
    <mergeCell ref="B67:D67"/>
    <mergeCell ref="K17:N17"/>
    <mergeCell ref="E29:F29"/>
    <mergeCell ref="B28:D28"/>
    <mergeCell ref="B29:D29"/>
    <mergeCell ref="Q28:T28"/>
    <mergeCell ref="O16:P16"/>
    <mergeCell ref="O17:P17"/>
    <mergeCell ref="O27:P27"/>
    <mergeCell ref="O28:P28"/>
    <mergeCell ref="B66:D66"/>
    <mergeCell ref="E66:F66"/>
    <mergeCell ref="G66:J66"/>
    <mergeCell ref="E55:F55"/>
    <mergeCell ref="G55:J55"/>
    <mergeCell ref="K55:N55"/>
    <mergeCell ref="B55:D55"/>
    <mergeCell ref="Q30:T30"/>
    <mergeCell ref="O37:P38"/>
    <mergeCell ref="Q37:X37"/>
    <mergeCell ref="Q33:T33"/>
    <mergeCell ref="U58:X58"/>
    <mergeCell ref="E51:F51"/>
    <mergeCell ref="G51:J51"/>
    <mergeCell ref="K51:N51"/>
    <mergeCell ref="U53:X53"/>
    <mergeCell ref="E45:F45"/>
    <mergeCell ref="G45:J45"/>
    <mergeCell ref="G30:J30"/>
    <mergeCell ref="K27:N27"/>
    <mergeCell ref="K28:N28"/>
    <mergeCell ref="U65:X65"/>
    <mergeCell ref="U55:X55"/>
    <mergeCell ref="A12:A13"/>
    <mergeCell ref="G12:N12"/>
    <mergeCell ref="E12:F13"/>
    <mergeCell ref="K13:N13"/>
    <mergeCell ref="Q13:T13"/>
    <mergeCell ref="O12:P13"/>
    <mergeCell ref="Q12:X12"/>
    <mergeCell ref="U13:X13"/>
    <mergeCell ref="G13:J13"/>
    <mergeCell ref="U16:X16"/>
    <mergeCell ref="U17:X17"/>
    <mergeCell ref="U27:X27"/>
    <mergeCell ref="U28:X28"/>
    <mergeCell ref="B12:D13"/>
    <mergeCell ref="B15:D15"/>
    <mergeCell ref="E15:F15"/>
    <mergeCell ref="B16:D16"/>
    <mergeCell ref="B17:D17"/>
    <mergeCell ref="B27:D27"/>
    <mergeCell ref="Q17:T17"/>
    <mergeCell ref="Q27:T27"/>
    <mergeCell ref="E16:F16"/>
    <mergeCell ref="E17:F17"/>
    <mergeCell ref="E27:F27"/>
    <mergeCell ref="E28:F28"/>
    <mergeCell ref="G15:J15"/>
    <mergeCell ref="G16:J16"/>
    <mergeCell ref="G17:J17"/>
    <mergeCell ref="G27:J27"/>
    <mergeCell ref="G28:J28"/>
    <mergeCell ref="K16:N16"/>
    <mergeCell ref="O15:P15"/>
    <mergeCell ref="Q16:T16"/>
    <mergeCell ref="K89:N89"/>
    <mergeCell ref="K95:N95"/>
    <mergeCell ref="O50:P50"/>
    <mergeCell ref="F95:G95"/>
    <mergeCell ref="H89:J89"/>
    <mergeCell ref="H95:J95"/>
    <mergeCell ref="K71:N71"/>
    <mergeCell ref="O71:P71"/>
    <mergeCell ref="K66:N66"/>
    <mergeCell ref="O66:P66"/>
    <mergeCell ref="Q67:T67"/>
    <mergeCell ref="Q69:T69"/>
    <mergeCell ref="O67:P67"/>
    <mergeCell ref="Q65:T65"/>
    <mergeCell ref="O62:P63"/>
    <mergeCell ref="Q62:X62"/>
    <mergeCell ref="Q53:T53"/>
    <mergeCell ref="O55:P55"/>
    <mergeCell ref="V95:Y95"/>
    <mergeCell ref="Y53:Z53"/>
    <mergeCell ref="U38:X38"/>
    <mergeCell ref="K69:N69"/>
    <mergeCell ref="O69:P69"/>
    <mergeCell ref="E54:F54"/>
    <mergeCell ref="K77:N77"/>
    <mergeCell ref="U54:X54"/>
    <mergeCell ref="Q58:T58"/>
    <mergeCell ref="M61:X61"/>
    <mergeCell ref="Q55:T55"/>
    <mergeCell ref="G33:J33"/>
    <mergeCell ref="G58:J58"/>
    <mergeCell ref="B76:D76"/>
    <mergeCell ref="E76:F76"/>
    <mergeCell ref="G76:J76"/>
    <mergeCell ref="B73:D73"/>
    <mergeCell ref="B69:D69"/>
    <mergeCell ref="B68:D68"/>
    <mergeCell ref="U71:X71"/>
    <mergeCell ref="U76:X76"/>
    <mergeCell ref="B71:D71"/>
    <mergeCell ref="E71:F71"/>
    <mergeCell ref="G71:J71"/>
    <mergeCell ref="Q72:T72"/>
    <mergeCell ref="U72:X72"/>
    <mergeCell ref="Q74:T74"/>
    <mergeCell ref="U74:X74"/>
    <mergeCell ref="B77:D77"/>
    <mergeCell ref="E77:F77"/>
    <mergeCell ref="G77:J77"/>
    <mergeCell ref="E73:F73"/>
    <mergeCell ref="G73:J73"/>
    <mergeCell ref="K73:N73"/>
    <mergeCell ref="O73:P73"/>
    <mergeCell ref="B75:D75"/>
    <mergeCell ref="E75:F75"/>
    <mergeCell ref="G75:J75"/>
    <mergeCell ref="K75:N75"/>
    <mergeCell ref="O75:P75"/>
    <mergeCell ref="Q75:T75"/>
    <mergeCell ref="Q73:T73"/>
    <mergeCell ref="U73:X73"/>
    <mergeCell ref="B74:D74"/>
    <mergeCell ref="A87:A88"/>
    <mergeCell ref="B45:D45"/>
    <mergeCell ref="E30:F30"/>
    <mergeCell ref="B30:D30"/>
    <mergeCell ref="G38:J38"/>
    <mergeCell ref="G29:J29"/>
    <mergeCell ref="F87:G88"/>
    <mergeCell ref="U50:X50"/>
    <mergeCell ref="B50:D50"/>
    <mergeCell ref="E50:F50"/>
    <mergeCell ref="G50:J50"/>
    <mergeCell ref="K50:N50"/>
    <mergeCell ref="B52:D52"/>
    <mergeCell ref="E52:F52"/>
    <mergeCell ref="G52:J52"/>
    <mergeCell ref="K52:N52"/>
    <mergeCell ref="Q51:T51"/>
    <mergeCell ref="U51:X51"/>
    <mergeCell ref="B51:D51"/>
    <mergeCell ref="U29:X29"/>
    <mergeCell ref="U33:X33"/>
    <mergeCell ref="Q71:T71"/>
    <mergeCell ref="Q77:T77"/>
    <mergeCell ref="K67:N67"/>
    <mergeCell ref="E69:F69"/>
    <mergeCell ref="G69:J69"/>
    <mergeCell ref="E65:F65"/>
    <mergeCell ref="U75:X75"/>
    <mergeCell ref="G74:J74"/>
    <mergeCell ref="K74:N74"/>
    <mergeCell ref="O74:P74"/>
    <mergeCell ref="K45:N45"/>
    <mergeCell ref="AF88:AI88"/>
    <mergeCell ref="K54:N54"/>
    <mergeCell ref="O54:P54"/>
    <mergeCell ref="Q54:T54"/>
    <mergeCell ref="K8:O8"/>
    <mergeCell ref="O52:P52"/>
    <mergeCell ref="Q52:T52"/>
    <mergeCell ref="U52:X52"/>
    <mergeCell ref="O51:P51"/>
    <mergeCell ref="Q29:T29"/>
    <mergeCell ref="K38:N38"/>
    <mergeCell ref="Q38:T38"/>
    <mergeCell ref="K30:N30"/>
    <mergeCell ref="O30:P30"/>
    <mergeCell ref="O29:P29"/>
    <mergeCell ref="K29:N29"/>
    <mergeCell ref="K33:N33"/>
    <mergeCell ref="U30:X30"/>
    <mergeCell ref="O45:P45"/>
    <mergeCell ref="Q45:T45"/>
    <mergeCell ref="K15:N15"/>
    <mergeCell ref="Q15:T15"/>
    <mergeCell ref="U15:X15"/>
    <mergeCell ref="Q50:T50"/>
    <mergeCell ref="U45:X45"/>
    <mergeCell ref="AE12:AH13"/>
    <mergeCell ref="Y15:Z15"/>
    <mergeCell ref="K58:N58"/>
    <mergeCell ref="Y29:Z29"/>
    <mergeCell ref="AA29:AD29"/>
    <mergeCell ref="AE29:AH29"/>
    <mergeCell ref="AE28:AH28"/>
    <mergeCell ref="A1:AI1"/>
    <mergeCell ref="K159:O159"/>
    <mergeCell ref="X129:AB129"/>
    <mergeCell ref="X145:AB145"/>
    <mergeCell ref="X154:AB154"/>
    <mergeCell ref="X156:AB156"/>
    <mergeCell ref="U143:W143"/>
    <mergeCell ref="X143:AB143"/>
    <mergeCell ref="U152:W152"/>
    <mergeCell ref="X152:AB152"/>
    <mergeCell ref="C140:J140"/>
    <mergeCell ref="K140:L140"/>
    <mergeCell ref="M140:O140"/>
    <mergeCell ref="P140:T140"/>
    <mergeCell ref="C133:J133"/>
    <mergeCell ref="K133:L133"/>
    <mergeCell ref="M133:O133"/>
    <mergeCell ref="P133:T133"/>
    <mergeCell ref="U133:W133"/>
    <mergeCell ref="X133:AB133"/>
    <mergeCell ref="B112:B113"/>
    <mergeCell ref="C112:J113"/>
    <mergeCell ref="K112:L113"/>
    <mergeCell ref="U117:W117"/>
    <mergeCell ref="M112:O113"/>
    <mergeCell ref="P112:T113"/>
    <mergeCell ref="U112:W113"/>
    <mergeCell ref="C117:J117"/>
    <mergeCell ref="K117:L117"/>
    <mergeCell ref="M117:O117"/>
    <mergeCell ref="P117:T117"/>
    <mergeCell ref="X112:AB113"/>
    <mergeCell ref="A163:A164"/>
    <mergeCell ref="B163:D164"/>
    <mergeCell ref="E163:F164"/>
    <mergeCell ref="G163:N163"/>
    <mergeCell ref="P156:T156"/>
    <mergeCell ref="U156:W156"/>
    <mergeCell ref="G164:J164"/>
    <mergeCell ref="K164:N164"/>
    <mergeCell ref="Q164:T164"/>
    <mergeCell ref="U164:X164"/>
    <mergeCell ref="O163:P164"/>
    <mergeCell ref="Q163:X163"/>
    <mergeCell ref="X126:AB126"/>
    <mergeCell ref="C127:J127"/>
    <mergeCell ref="K127:L127"/>
    <mergeCell ref="M127:O127"/>
    <mergeCell ref="P127:T127"/>
    <mergeCell ref="U127:W127"/>
    <mergeCell ref="X127:AB127"/>
    <mergeCell ref="K126:L126"/>
    <mergeCell ref="M126:O126"/>
    <mergeCell ref="P126:T126"/>
    <mergeCell ref="P154:T154"/>
    <mergeCell ref="C143:J143"/>
    <mergeCell ref="K143:L143"/>
    <mergeCell ref="M143:O143"/>
    <mergeCell ref="P143:T143"/>
    <mergeCell ref="P152:T152"/>
    <mergeCell ref="P149:T149"/>
    <mergeCell ref="P150:T150"/>
    <mergeCell ref="P151:T151"/>
    <mergeCell ref="P145:T145"/>
    <mergeCell ref="M124:O124"/>
    <mergeCell ref="P142:T142"/>
    <mergeCell ref="M141:O141"/>
    <mergeCell ref="C124:J124"/>
    <mergeCell ref="C125:J125"/>
    <mergeCell ref="F106:G106"/>
    <mergeCell ref="H106:J106"/>
    <mergeCell ref="R101:U101"/>
    <mergeCell ref="F101:G101"/>
    <mergeCell ref="F102:G102"/>
    <mergeCell ref="K102:N102"/>
    <mergeCell ref="K103:N103"/>
    <mergeCell ref="B102:E102"/>
    <mergeCell ref="B103:E103"/>
    <mergeCell ref="O103:Q103"/>
    <mergeCell ref="F104:G104"/>
    <mergeCell ref="B104:E104"/>
    <mergeCell ref="U140:W140"/>
    <mergeCell ref="R108:U108"/>
    <mergeCell ref="V108:Y108"/>
    <mergeCell ref="B101:E101"/>
    <mergeCell ref="K105:N105"/>
    <mergeCell ref="U141:W141"/>
    <mergeCell ref="X141:AB141"/>
    <mergeCell ref="U142:W142"/>
    <mergeCell ref="X142:AB142"/>
    <mergeCell ref="C141:J141"/>
    <mergeCell ref="K141:L141"/>
    <mergeCell ref="C142:J142"/>
    <mergeCell ref="K142:L142"/>
    <mergeCell ref="P141:T141"/>
    <mergeCell ref="C118:J118"/>
    <mergeCell ref="E177:F177"/>
    <mergeCell ref="G177:J177"/>
    <mergeCell ref="K177:N177"/>
    <mergeCell ref="O177:P177"/>
    <mergeCell ref="Q177:T177"/>
    <mergeCell ref="U177:X177"/>
    <mergeCell ref="O178:P178"/>
    <mergeCell ref="Q178:T178"/>
    <mergeCell ref="U178:X178"/>
    <mergeCell ref="B178:D178"/>
    <mergeCell ref="E178:F178"/>
    <mergeCell ref="G178:J178"/>
    <mergeCell ref="K178:N178"/>
    <mergeCell ref="O166:P166"/>
    <mergeCell ref="Q166:T166"/>
    <mergeCell ref="U166:X166"/>
    <mergeCell ref="B166:D166"/>
    <mergeCell ref="E166:F166"/>
    <mergeCell ref="G166:J166"/>
    <mergeCell ref="K166:N166"/>
    <mergeCell ref="B171:D171"/>
    <mergeCell ref="E171:F171"/>
    <mergeCell ref="G171:J171"/>
    <mergeCell ref="K171:N171"/>
    <mergeCell ref="O171:P171"/>
    <mergeCell ref="Q171:T171"/>
    <mergeCell ref="U171:X171"/>
    <mergeCell ref="B172:D172"/>
    <mergeCell ref="E172:F172"/>
    <mergeCell ref="G172:J172"/>
    <mergeCell ref="K172:N172"/>
    <mergeCell ref="O172:P172"/>
    <mergeCell ref="B176:D176"/>
    <mergeCell ref="E176:F176"/>
    <mergeCell ref="G176:J176"/>
    <mergeCell ref="K176:N176"/>
    <mergeCell ref="O176:P176"/>
    <mergeCell ref="Q176:T176"/>
    <mergeCell ref="U176:X176"/>
    <mergeCell ref="B191:D191"/>
    <mergeCell ref="E191:F191"/>
    <mergeCell ref="G191:J191"/>
    <mergeCell ref="K191:N191"/>
    <mergeCell ref="Q191:T191"/>
    <mergeCell ref="U191:X191"/>
    <mergeCell ref="O191:P191"/>
    <mergeCell ref="B179:D179"/>
    <mergeCell ref="E179:F179"/>
    <mergeCell ref="G179:J179"/>
    <mergeCell ref="K179:N179"/>
    <mergeCell ref="O179:P179"/>
    <mergeCell ref="Q179:T179"/>
    <mergeCell ref="U179:X179"/>
    <mergeCell ref="O180:P180"/>
    <mergeCell ref="Q180:T180"/>
    <mergeCell ref="U180:X180"/>
    <mergeCell ref="B180:D180"/>
    <mergeCell ref="E180:F180"/>
    <mergeCell ref="G180:J180"/>
    <mergeCell ref="K180:N180"/>
    <mergeCell ref="O188:P189"/>
    <mergeCell ref="Q189:T189"/>
    <mergeCell ref="U189:X189"/>
    <mergeCell ref="B177:D177"/>
    <mergeCell ref="O202:P202"/>
    <mergeCell ref="Q202:T202"/>
    <mergeCell ref="U202:X202"/>
    <mergeCell ref="Q188:X188"/>
    <mergeCell ref="Q184:T184"/>
    <mergeCell ref="U184:X184"/>
    <mergeCell ref="B181:D181"/>
    <mergeCell ref="E181:F181"/>
    <mergeCell ref="G181:J181"/>
    <mergeCell ref="K181:N181"/>
    <mergeCell ref="O181:P181"/>
    <mergeCell ref="Q181:T181"/>
    <mergeCell ref="U181:X181"/>
    <mergeCell ref="O206:P206"/>
    <mergeCell ref="Q206:T206"/>
    <mergeCell ref="Q209:T209"/>
    <mergeCell ref="U209:X209"/>
    <mergeCell ref="U206:X206"/>
    <mergeCell ref="B204:D204"/>
    <mergeCell ref="E204:F204"/>
    <mergeCell ref="G204:J204"/>
    <mergeCell ref="K204:N204"/>
    <mergeCell ref="O204:P204"/>
    <mergeCell ref="Q204:T204"/>
    <mergeCell ref="U204:X204"/>
    <mergeCell ref="B203:D203"/>
    <mergeCell ref="E203:F203"/>
    <mergeCell ref="G203:J203"/>
    <mergeCell ref="K203:N203"/>
    <mergeCell ref="O203:P203"/>
    <mergeCell ref="Q203:T203"/>
    <mergeCell ref="U203:X203"/>
    <mergeCell ref="K218:N218"/>
    <mergeCell ref="O218:P218"/>
    <mergeCell ref="Q218:T218"/>
    <mergeCell ref="U218:X218"/>
    <mergeCell ref="B205:D205"/>
    <mergeCell ref="E205:F205"/>
    <mergeCell ref="G205:J205"/>
    <mergeCell ref="K205:N205"/>
    <mergeCell ref="O205:P205"/>
    <mergeCell ref="Q205:T205"/>
    <mergeCell ref="U205:X205"/>
    <mergeCell ref="B206:D206"/>
    <mergeCell ref="E206:F206"/>
    <mergeCell ref="G206:J206"/>
    <mergeCell ref="K206:N206"/>
    <mergeCell ref="A188:A189"/>
    <mergeCell ref="B188:D189"/>
    <mergeCell ref="E188:F189"/>
    <mergeCell ref="G188:N188"/>
    <mergeCell ref="G189:J189"/>
    <mergeCell ref="K189:N189"/>
    <mergeCell ref="B201:D201"/>
    <mergeCell ref="E201:F201"/>
    <mergeCell ref="G201:J201"/>
    <mergeCell ref="K201:N201"/>
    <mergeCell ref="O201:P201"/>
    <mergeCell ref="Q201:T201"/>
    <mergeCell ref="U201:X201"/>
    <mergeCell ref="B202:D202"/>
    <mergeCell ref="E202:F202"/>
    <mergeCell ref="G202:J202"/>
    <mergeCell ref="K202:N202"/>
    <mergeCell ref="A213:A214"/>
    <mergeCell ref="B213:D214"/>
    <mergeCell ref="E213:F214"/>
    <mergeCell ref="G213:N213"/>
    <mergeCell ref="B216:D216"/>
    <mergeCell ref="E216:F216"/>
    <mergeCell ref="G216:J216"/>
    <mergeCell ref="K216:N216"/>
    <mergeCell ref="G214:J214"/>
    <mergeCell ref="K214:N214"/>
    <mergeCell ref="Q214:T214"/>
    <mergeCell ref="U214:X214"/>
    <mergeCell ref="O213:P214"/>
    <mergeCell ref="Q213:X213"/>
    <mergeCell ref="U216:X216"/>
    <mergeCell ref="B221:D221"/>
    <mergeCell ref="E221:F221"/>
    <mergeCell ref="G221:J221"/>
    <mergeCell ref="K221:N221"/>
    <mergeCell ref="O221:P221"/>
    <mergeCell ref="Q221:T221"/>
    <mergeCell ref="U221:X221"/>
    <mergeCell ref="B217:D217"/>
    <mergeCell ref="E217:F217"/>
    <mergeCell ref="G217:J217"/>
    <mergeCell ref="K217:N217"/>
    <mergeCell ref="O217:P217"/>
    <mergeCell ref="Q217:T217"/>
    <mergeCell ref="U217:X217"/>
    <mergeCell ref="B218:D218"/>
    <mergeCell ref="E218:F218"/>
    <mergeCell ref="G218:J218"/>
    <mergeCell ref="B222:D222"/>
    <mergeCell ref="E222:F222"/>
    <mergeCell ref="G222:J222"/>
    <mergeCell ref="K222:N222"/>
    <mergeCell ref="O222:P222"/>
    <mergeCell ref="Q222:T222"/>
    <mergeCell ref="U222:X222"/>
    <mergeCell ref="B219:D219"/>
    <mergeCell ref="E219:F219"/>
    <mergeCell ref="G219:J219"/>
    <mergeCell ref="K219:N219"/>
    <mergeCell ref="O219:P219"/>
    <mergeCell ref="Q219:T219"/>
    <mergeCell ref="U219:X219"/>
    <mergeCell ref="B220:D220"/>
    <mergeCell ref="E220:F220"/>
    <mergeCell ref="G220:J220"/>
    <mergeCell ref="K220:N220"/>
    <mergeCell ref="O220:P220"/>
    <mergeCell ref="Q220:T220"/>
    <mergeCell ref="U220:X220"/>
    <mergeCell ref="B225:D225"/>
    <mergeCell ref="E225:F225"/>
    <mergeCell ref="G225:J225"/>
    <mergeCell ref="K225:N225"/>
    <mergeCell ref="O225:P225"/>
    <mergeCell ref="Q225:T225"/>
    <mergeCell ref="U225:X225"/>
    <mergeCell ref="B226:D226"/>
    <mergeCell ref="E226:F226"/>
    <mergeCell ref="G226:J226"/>
    <mergeCell ref="K226:N226"/>
    <mergeCell ref="O226:P226"/>
    <mergeCell ref="Q226:T226"/>
    <mergeCell ref="U226:X226"/>
    <mergeCell ref="B223:D223"/>
    <mergeCell ref="E223:F223"/>
    <mergeCell ref="G223:J223"/>
    <mergeCell ref="K223:N223"/>
    <mergeCell ref="O223:P223"/>
    <mergeCell ref="Q223:T223"/>
    <mergeCell ref="U223:X223"/>
    <mergeCell ref="B224:D224"/>
    <mergeCell ref="E224:F224"/>
    <mergeCell ref="G224:J224"/>
    <mergeCell ref="K224:N224"/>
    <mergeCell ref="O224:P224"/>
    <mergeCell ref="Q224:T224"/>
    <mergeCell ref="U224:X224"/>
    <mergeCell ref="B230:D230"/>
    <mergeCell ref="E230:F230"/>
    <mergeCell ref="G230:J230"/>
    <mergeCell ref="K230:N230"/>
    <mergeCell ref="O230:P230"/>
    <mergeCell ref="Q230:T230"/>
    <mergeCell ref="U230:X230"/>
    <mergeCell ref="B231:D231"/>
    <mergeCell ref="E231:F231"/>
    <mergeCell ref="G231:J231"/>
    <mergeCell ref="K231:N231"/>
    <mergeCell ref="O231:P231"/>
    <mergeCell ref="Q231:T231"/>
    <mergeCell ref="U231:X231"/>
    <mergeCell ref="Y231:Z231"/>
    <mergeCell ref="AA231:AD231"/>
    <mergeCell ref="B227:D227"/>
    <mergeCell ref="E227:F227"/>
    <mergeCell ref="G227:J227"/>
    <mergeCell ref="K227:N227"/>
    <mergeCell ref="O227:P227"/>
    <mergeCell ref="Q227:T227"/>
    <mergeCell ref="U227:X227"/>
    <mergeCell ref="B228:D228"/>
    <mergeCell ref="E228:F228"/>
    <mergeCell ref="G228:J228"/>
    <mergeCell ref="K228:N228"/>
    <mergeCell ref="O228:P228"/>
    <mergeCell ref="Q228:T228"/>
    <mergeCell ref="U228:X228"/>
    <mergeCell ref="A238:A239"/>
    <mergeCell ref="B238:E239"/>
    <mergeCell ref="F238:G239"/>
    <mergeCell ref="H238:J239"/>
    <mergeCell ref="Q234:T234"/>
    <mergeCell ref="U234:X234"/>
    <mergeCell ref="H240:J240"/>
    <mergeCell ref="K240:N240"/>
    <mergeCell ref="R240:U240"/>
    <mergeCell ref="Z238:AA239"/>
    <mergeCell ref="AB238:AI238"/>
    <mergeCell ref="K239:N239"/>
    <mergeCell ref="O239:Q239"/>
    <mergeCell ref="R239:U239"/>
    <mergeCell ref="V239:Y239"/>
    <mergeCell ref="AB239:AE239"/>
    <mergeCell ref="AF240:AI240"/>
    <mergeCell ref="G234:J234"/>
    <mergeCell ref="K234:N234"/>
    <mergeCell ref="B241:E241"/>
    <mergeCell ref="F241:G241"/>
    <mergeCell ref="H241:J241"/>
    <mergeCell ref="K241:N241"/>
    <mergeCell ref="O241:Q241"/>
    <mergeCell ref="R241:U241"/>
    <mergeCell ref="V241:Y241"/>
    <mergeCell ref="Z241:AA241"/>
    <mergeCell ref="F240:G240"/>
    <mergeCell ref="AB241:AE241"/>
    <mergeCell ref="AF241:AI241"/>
    <mergeCell ref="B251:E251"/>
    <mergeCell ref="F251:G251"/>
    <mergeCell ref="H251:J251"/>
    <mergeCell ref="K251:N251"/>
    <mergeCell ref="O251:Q251"/>
    <mergeCell ref="R251:U251"/>
    <mergeCell ref="V251:Y251"/>
    <mergeCell ref="Z251:AA251"/>
    <mergeCell ref="AB251:AE251"/>
    <mergeCell ref="AF251:AI251"/>
    <mergeCell ref="V240:Y240"/>
    <mergeCell ref="B247:E247"/>
    <mergeCell ref="F247:G247"/>
    <mergeCell ref="H247:J247"/>
    <mergeCell ref="K247:N247"/>
    <mergeCell ref="O247:Q247"/>
    <mergeCell ref="R247:U247"/>
    <mergeCell ref="V247:Y247"/>
    <mergeCell ref="Z247:AA247"/>
    <mergeCell ref="AB247:AE247"/>
    <mergeCell ref="AF247:AI247"/>
    <mergeCell ref="B253:E253"/>
    <mergeCell ref="F253:G253"/>
    <mergeCell ref="H253:J253"/>
    <mergeCell ref="K253:N253"/>
    <mergeCell ref="O253:Q253"/>
    <mergeCell ref="R253:U253"/>
    <mergeCell ref="V253:Y253"/>
    <mergeCell ref="Z253:AA253"/>
    <mergeCell ref="AB253:AE253"/>
    <mergeCell ref="AF253:AI253"/>
    <mergeCell ref="B254:E254"/>
    <mergeCell ref="F254:G254"/>
    <mergeCell ref="H254:J254"/>
    <mergeCell ref="K254:N254"/>
    <mergeCell ref="O254:Q254"/>
    <mergeCell ref="R254:U254"/>
    <mergeCell ref="V254:Y254"/>
    <mergeCell ref="Z254:AA254"/>
    <mergeCell ref="AB254:AE254"/>
    <mergeCell ref="AF254:AI254"/>
    <mergeCell ref="H255:J255"/>
    <mergeCell ref="K255:N255"/>
    <mergeCell ref="O255:Q255"/>
    <mergeCell ref="R255:U255"/>
    <mergeCell ref="V255:Y255"/>
    <mergeCell ref="Z255:AA255"/>
    <mergeCell ref="AF255:AI255"/>
    <mergeCell ref="AB255:AE255"/>
    <mergeCell ref="B256:E256"/>
    <mergeCell ref="F256:G256"/>
    <mergeCell ref="H256:J256"/>
    <mergeCell ref="K256:N256"/>
    <mergeCell ref="O256:Q256"/>
    <mergeCell ref="R256:U256"/>
    <mergeCell ref="V256:Y256"/>
    <mergeCell ref="Z256:AA256"/>
    <mergeCell ref="AF256:AI256"/>
    <mergeCell ref="B263:B264"/>
    <mergeCell ref="C263:J264"/>
    <mergeCell ref="K263:L264"/>
    <mergeCell ref="M263:O264"/>
    <mergeCell ref="V257:Y257"/>
    <mergeCell ref="AF257:AI257"/>
    <mergeCell ref="AF259:AI259"/>
    <mergeCell ref="F257:G257"/>
    <mergeCell ref="H257:J257"/>
    <mergeCell ref="K257:N257"/>
    <mergeCell ref="AB259:AE259"/>
    <mergeCell ref="AB256:AE256"/>
    <mergeCell ref="V259:Y259"/>
    <mergeCell ref="R259:U259"/>
    <mergeCell ref="R257:U257"/>
    <mergeCell ref="K275:L275"/>
    <mergeCell ref="P263:T264"/>
    <mergeCell ref="U263:W264"/>
    <mergeCell ref="X263:AB264"/>
    <mergeCell ref="U275:W275"/>
    <mergeCell ref="X275:AB275"/>
    <mergeCell ref="U268:W268"/>
    <mergeCell ref="X268:AB268"/>
    <mergeCell ref="C272:J272"/>
    <mergeCell ref="K272:L272"/>
    <mergeCell ref="M272:O272"/>
    <mergeCell ref="P272:T272"/>
    <mergeCell ref="U272:W272"/>
    <mergeCell ref="X272:AB272"/>
    <mergeCell ref="C273:J273"/>
    <mergeCell ref="K273:L273"/>
    <mergeCell ref="M273:O273"/>
    <mergeCell ref="M275:O275"/>
    <mergeCell ref="P275:T275"/>
    <mergeCell ref="M268:O268"/>
    <mergeCell ref="P268:T268"/>
    <mergeCell ref="C268:J268"/>
    <mergeCell ref="K268:L268"/>
    <mergeCell ref="C275:J275"/>
    <mergeCell ref="C274:J274"/>
    <mergeCell ref="K274:L274"/>
    <mergeCell ref="M274:O274"/>
    <mergeCell ref="P274:T274"/>
    <mergeCell ref="U274:W274"/>
    <mergeCell ref="X274:AB274"/>
    <mergeCell ref="U270:W270"/>
    <mergeCell ref="X270:AB270"/>
    <mergeCell ref="C271:J271"/>
    <mergeCell ref="K271:L271"/>
    <mergeCell ref="M271:O271"/>
    <mergeCell ref="P271:T271"/>
    <mergeCell ref="U271:W271"/>
    <mergeCell ref="X271:AB271"/>
    <mergeCell ref="P273:T273"/>
    <mergeCell ref="U273:W273"/>
    <mergeCell ref="X273:AB273"/>
    <mergeCell ref="C269:J269"/>
    <mergeCell ref="K269:L269"/>
    <mergeCell ref="M269:O269"/>
    <mergeCell ref="P269:T269"/>
    <mergeCell ref="U269:W269"/>
    <mergeCell ref="X269:AB269"/>
    <mergeCell ref="C270:J270"/>
    <mergeCell ref="K270:L270"/>
    <mergeCell ref="C277:J277"/>
    <mergeCell ref="K277:L277"/>
    <mergeCell ref="M277:O277"/>
    <mergeCell ref="P277:T277"/>
    <mergeCell ref="U277:W277"/>
    <mergeCell ref="X277:AB277"/>
    <mergeCell ref="M278:O278"/>
    <mergeCell ref="P278:T278"/>
    <mergeCell ref="U276:W276"/>
    <mergeCell ref="P276:T276"/>
    <mergeCell ref="U278:W278"/>
    <mergeCell ref="X276:AB276"/>
    <mergeCell ref="X278:AB278"/>
    <mergeCell ref="X280:AB280"/>
    <mergeCell ref="C284:J284"/>
    <mergeCell ref="K284:L284"/>
    <mergeCell ref="M284:O284"/>
    <mergeCell ref="P284:T284"/>
    <mergeCell ref="U284:W284"/>
    <mergeCell ref="X284:AB284"/>
    <mergeCell ref="C278:J278"/>
    <mergeCell ref="K278:L278"/>
    <mergeCell ref="C276:J276"/>
    <mergeCell ref="K276:L276"/>
    <mergeCell ref="M276:O276"/>
    <mergeCell ref="U291:W291"/>
    <mergeCell ref="X291:AB291"/>
    <mergeCell ref="U292:W292"/>
    <mergeCell ref="X292:AB292"/>
    <mergeCell ref="U293:W293"/>
    <mergeCell ref="X293:AB293"/>
    <mergeCell ref="C293:J293"/>
    <mergeCell ref="K293:L293"/>
    <mergeCell ref="C294:J294"/>
    <mergeCell ref="K294:L294"/>
    <mergeCell ref="M294:O294"/>
    <mergeCell ref="P294:T294"/>
    <mergeCell ref="M293:O293"/>
    <mergeCell ref="P293:T293"/>
    <mergeCell ref="U294:W294"/>
    <mergeCell ref="X294:AB294"/>
    <mergeCell ref="A314:A315"/>
    <mergeCell ref="B314:D315"/>
    <mergeCell ref="E314:F315"/>
    <mergeCell ref="G314:N314"/>
    <mergeCell ref="P307:T307"/>
    <mergeCell ref="U307:W307"/>
    <mergeCell ref="P305:T305"/>
    <mergeCell ref="C292:J292"/>
    <mergeCell ref="K292:L292"/>
    <mergeCell ref="M292:O292"/>
    <mergeCell ref="P292:T292"/>
    <mergeCell ref="G315:J315"/>
    <mergeCell ref="K315:N315"/>
    <mergeCell ref="Q315:T315"/>
    <mergeCell ref="U315:X315"/>
    <mergeCell ref="O314:P315"/>
    <mergeCell ref="Q314:X314"/>
    <mergeCell ref="O317:P317"/>
    <mergeCell ref="Q317:T317"/>
    <mergeCell ref="U317:X317"/>
    <mergeCell ref="B317:D317"/>
    <mergeCell ref="E317:F317"/>
    <mergeCell ref="G317:J317"/>
    <mergeCell ref="K317:N317"/>
    <mergeCell ref="X296:AB296"/>
    <mergeCell ref="P300:T300"/>
    <mergeCell ref="P301:T301"/>
    <mergeCell ref="P302:T302"/>
    <mergeCell ref="B329:D329"/>
    <mergeCell ref="E329:F329"/>
    <mergeCell ref="G329:J329"/>
    <mergeCell ref="K329:N329"/>
    <mergeCell ref="O329:P329"/>
    <mergeCell ref="Q329:T329"/>
    <mergeCell ref="U329:X329"/>
    <mergeCell ref="X307:AB307"/>
    <mergeCell ref="K310:O310"/>
    <mergeCell ref="P303:T303"/>
    <mergeCell ref="U303:W303"/>
    <mergeCell ref="X303:AB303"/>
    <mergeCell ref="X305:AB305"/>
    <mergeCell ref="B324:D324"/>
    <mergeCell ref="E324:F324"/>
    <mergeCell ref="G324:J324"/>
    <mergeCell ref="K324:N324"/>
    <mergeCell ref="O324:P324"/>
    <mergeCell ref="Q324:T324"/>
    <mergeCell ref="U324:X324"/>
    <mergeCell ref="B330:D330"/>
    <mergeCell ref="E330:F330"/>
    <mergeCell ref="G330:J330"/>
    <mergeCell ref="K330:N330"/>
    <mergeCell ref="O330:P330"/>
    <mergeCell ref="Q330:T330"/>
    <mergeCell ref="U330:X330"/>
    <mergeCell ref="B327:D327"/>
    <mergeCell ref="E327:F327"/>
    <mergeCell ref="G327:J327"/>
    <mergeCell ref="K327:N327"/>
    <mergeCell ref="O327:P327"/>
    <mergeCell ref="Q327:T327"/>
    <mergeCell ref="U327:X327"/>
    <mergeCell ref="B328:D328"/>
    <mergeCell ref="E328:F328"/>
    <mergeCell ref="G328:J328"/>
    <mergeCell ref="K328:N328"/>
    <mergeCell ref="O328:P328"/>
    <mergeCell ref="Q328:T328"/>
    <mergeCell ref="U328:X328"/>
    <mergeCell ref="Q335:T335"/>
    <mergeCell ref="U335:X335"/>
    <mergeCell ref="G340:J340"/>
    <mergeCell ref="K340:N340"/>
    <mergeCell ref="Q340:T340"/>
    <mergeCell ref="U340:X340"/>
    <mergeCell ref="O339:P340"/>
    <mergeCell ref="Q339:X339"/>
    <mergeCell ref="G335:J335"/>
    <mergeCell ref="K335:N335"/>
    <mergeCell ref="B331:D331"/>
    <mergeCell ref="E331:F331"/>
    <mergeCell ref="G331:J331"/>
    <mergeCell ref="K331:N331"/>
    <mergeCell ref="O331:P331"/>
    <mergeCell ref="Q331:T331"/>
    <mergeCell ref="U331:X331"/>
    <mergeCell ref="B332:D332"/>
    <mergeCell ref="E332:F332"/>
    <mergeCell ref="G332:J332"/>
    <mergeCell ref="K332:N332"/>
    <mergeCell ref="O332:P332"/>
    <mergeCell ref="Q332:T332"/>
    <mergeCell ref="U332:X332"/>
    <mergeCell ref="O342:P342"/>
    <mergeCell ref="Q342:T342"/>
    <mergeCell ref="U342:X342"/>
    <mergeCell ref="B342:D342"/>
    <mergeCell ref="E342:F342"/>
    <mergeCell ref="G342:J342"/>
    <mergeCell ref="K342:N342"/>
    <mergeCell ref="B352:D352"/>
    <mergeCell ref="E352:F352"/>
    <mergeCell ref="G352:J352"/>
    <mergeCell ref="K352:N352"/>
    <mergeCell ref="O352:P352"/>
    <mergeCell ref="Q352:T352"/>
    <mergeCell ref="U352:X352"/>
    <mergeCell ref="A339:A340"/>
    <mergeCell ref="B339:D340"/>
    <mergeCell ref="E339:F340"/>
    <mergeCell ref="G339:N339"/>
    <mergeCell ref="B348:D348"/>
    <mergeCell ref="E348:F348"/>
    <mergeCell ref="G348:J348"/>
    <mergeCell ref="K348:N348"/>
    <mergeCell ref="O348:P348"/>
    <mergeCell ref="Q348:T348"/>
    <mergeCell ref="U348:X348"/>
    <mergeCell ref="B349:D349"/>
    <mergeCell ref="E349:F349"/>
    <mergeCell ref="G349:J349"/>
    <mergeCell ref="K349:N349"/>
    <mergeCell ref="O349:P349"/>
    <mergeCell ref="Q349:T349"/>
    <mergeCell ref="U349:X349"/>
    <mergeCell ref="B355:D355"/>
    <mergeCell ref="E355:F355"/>
    <mergeCell ref="G355:J355"/>
    <mergeCell ref="K355:N355"/>
    <mergeCell ref="O355:P355"/>
    <mergeCell ref="Q355:T355"/>
    <mergeCell ref="U355:X355"/>
    <mergeCell ref="B356:D356"/>
    <mergeCell ref="E356:F356"/>
    <mergeCell ref="G356:J356"/>
    <mergeCell ref="K356:N356"/>
    <mergeCell ref="O356:P356"/>
    <mergeCell ref="Q356:T356"/>
    <mergeCell ref="U356:X356"/>
    <mergeCell ref="B353:D353"/>
    <mergeCell ref="E353:F353"/>
    <mergeCell ref="G353:J353"/>
    <mergeCell ref="K353:N353"/>
    <mergeCell ref="O353:P353"/>
    <mergeCell ref="Q353:T353"/>
    <mergeCell ref="U353:X353"/>
    <mergeCell ref="B354:D354"/>
    <mergeCell ref="E354:F354"/>
    <mergeCell ref="G354:J354"/>
    <mergeCell ref="K354:N354"/>
    <mergeCell ref="O354:P354"/>
    <mergeCell ref="Q354:T354"/>
    <mergeCell ref="U354:X354"/>
    <mergeCell ref="A364:A365"/>
    <mergeCell ref="B364:D365"/>
    <mergeCell ref="E364:F365"/>
    <mergeCell ref="G364:N364"/>
    <mergeCell ref="Q360:T360"/>
    <mergeCell ref="U360:X360"/>
    <mergeCell ref="G365:J365"/>
    <mergeCell ref="K365:N365"/>
    <mergeCell ref="Q365:T365"/>
    <mergeCell ref="U365:X365"/>
    <mergeCell ref="O364:P365"/>
    <mergeCell ref="Q364:X364"/>
    <mergeCell ref="G360:J360"/>
    <mergeCell ref="K360:N360"/>
    <mergeCell ref="M363:X363"/>
    <mergeCell ref="Y364:Z365"/>
    <mergeCell ref="AA364:AD365"/>
    <mergeCell ref="Q367:T367"/>
    <mergeCell ref="U367:X367"/>
    <mergeCell ref="B367:D367"/>
    <mergeCell ref="E367:F367"/>
    <mergeCell ref="G367:J367"/>
    <mergeCell ref="K367:N367"/>
    <mergeCell ref="O367:P367"/>
    <mergeCell ref="B368:D368"/>
    <mergeCell ref="E368:F368"/>
    <mergeCell ref="G368:J368"/>
    <mergeCell ref="K368:N368"/>
    <mergeCell ref="O368:P368"/>
    <mergeCell ref="Q368:T368"/>
    <mergeCell ref="U368:X368"/>
    <mergeCell ref="B357:D357"/>
    <mergeCell ref="E357:F357"/>
    <mergeCell ref="G357:J357"/>
    <mergeCell ref="K357:N357"/>
    <mergeCell ref="O357:P357"/>
    <mergeCell ref="Q357:T357"/>
    <mergeCell ref="U357:X357"/>
    <mergeCell ref="B371:D371"/>
    <mergeCell ref="E371:F371"/>
    <mergeCell ref="G371:J371"/>
    <mergeCell ref="K371:N371"/>
    <mergeCell ref="O371:P371"/>
    <mergeCell ref="Q371:T371"/>
    <mergeCell ref="U371:X371"/>
    <mergeCell ref="B372:D372"/>
    <mergeCell ref="E372:F372"/>
    <mergeCell ref="G372:J372"/>
    <mergeCell ref="K372:N372"/>
    <mergeCell ref="O372:P372"/>
    <mergeCell ref="Q372:T372"/>
    <mergeCell ref="U372:X372"/>
    <mergeCell ref="B369:D369"/>
    <mergeCell ref="E369:F369"/>
    <mergeCell ref="G369:J369"/>
    <mergeCell ref="K369:N369"/>
    <mergeCell ref="O369:P369"/>
    <mergeCell ref="Q369:T369"/>
    <mergeCell ref="U369:X369"/>
    <mergeCell ref="B370:D370"/>
    <mergeCell ref="E370:F370"/>
    <mergeCell ref="G370:J370"/>
    <mergeCell ref="K370:N370"/>
    <mergeCell ref="O370:P370"/>
    <mergeCell ref="Q370:T370"/>
    <mergeCell ref="U370:X370"/>
    <mergeCell ref="B375:D375"/>
    <mergeCell ref="E375:F375"/>
    <mergeCell ref="G375:J375"/>
    <mergeCell ref="K375:N375"/>
    <mergeCell ref="O375:P375"/>
    <mergeCell ref="Q375:T375"/>
    <mergeCell ref="U375:X375"/>
    <mergeCell ref="B376:D376"/>
    <mergeCell ref="E376:F376"/>
    <mergeCell ref="G376:J376"/>
    <mergeCell ref="K376:N376"/>
    <mergeCell ref="O376:P376"/>
    <mergeCell ref="Q376:T376"/>
    <mergeCell ref="U376:X376"/>
    <mergeCell ref="B373:D373"/>
    <mergeCell ref="E373:F373"/>
    <mergeCell ref="G373:J373"/>
    <mergeCell ref="K373:N373"/>
    <mergeCell ref="O373:P373"/>
    <mergeCell ref="Q373:T373"/>
    <mergeCell ref="U373:X373"/>
    <mergeCell ref="B374:D374"/>
    <mergeCell ref="E374:F374"/>
    <mergeCell ref="G374:J374"/>
    <mergeCell ref="K374:N374"/>
    <mergeCell ref="O374:P374"/>
    <mergeCell ref="Q374:T374"/>
    <mergeCell ref="U374:X374"/>
    <mergeCell ref="B379:D379"/>
    <mergeCell ref="E379:F379"/>
    <mergeCell ref="G379:J379"/>
    <mergeCell ref="K379:N379"/>
    <mergeCell ref="O379:P379"/>
    <mergeCell ref="Q379:T379"/>
    <mergeCell ref="U379:X379"/>
    <mergeCell ref="B381:D381"/>
    <mergeCell ref="E381:F381"/>
    <mergeCell ref="G381:J381"/>
    <mergeCell ref="K381:N381"/>
    <mergeCell ref="O381:P381"/>
    <mergeCell ref="Q381:T381"/>
    <mergeCell ref="U381:X381"/>
    <mergeCell ref="B377:D377"/>
    <mergeCell ref="E377:F377"/>
    <mergeCell ref="G377:J377"/>
    <mergeCell ref="K377:N377"/>
    <mergeCell ref="O377:P377"/>
    <mergeCell ref="Q377:T377"/>
    <mergeCell ref="U377:X377"/>
    <mergeCell ref="B378:D378"/>
    <mergeCell ref="E378:F378"/>
    <mergeCell ref="G378:J378"/>
    <mergeCell ref="K378:N378"/>
    <mergeCell ref="O378:P378"/>
    <mergeCell ref="Q378:T378"/>
    <mergeCell ref="U378:X378"/>
    <mergeCell ref="F391:G391"/>
    <mergeCell ref="H391:J391"/>
    <mergeCell ref="K391:N391"/>
    <mergeCell ref="R391:U391"/>
    <mergeCell ref="B382:D382"/>
    <mergeCell ref="E382:F382"/>
    <mergeCell ref="G382:J382"/>
    <mergeCell ref="K382:N382"/>
    <mergeCell ref="O382:P382"/>
    <mergeCell ref="Q382:T382"/>
    <mergeCell ref="U382:X382"/>
    <mergeCell ref="A389:A390"/>
    <mergeCell ref="B389:E390"/>
    <mergeCell ref="F389:G390"/>
    <mergeCell ref="H389:J390"/>
    <mergeCell ref="Q385:T385"/>
    <mergeCell ref="U385:X385"/>
    <mergeCell ref="K390:N390"/>
    <mergeCell ref="O390:Q390"/>
    <mergeCell ref="R390:U390"/>
    <mergeCell ref="V390:Y390"/>
    <mergeCell ref="K389:Y389"/>
    <mergeCell ref="G385:J385"/>
    <mergeCell ref="K385:N385"/>
    <mergeCell ref="B392:E392"/>
    <mergeCell ref="F392:G392"/>
    <mergeCell ref="H392:J392"/>
    <mergeCell ref="K392:N392"/>
    <mergeCell ref="O392:Q392"/>
    <mergeCell ref="R392:U392"/>
    <mergeCell ref="V392:Y392"/>
    <mergeCell ref="Z392:AA392"/>
    <mergeCell ref="AB392:AE392"/>
    <mergeCell ref="AF392:AI392"/>
    <mergeCell ref="B402:E402"/>
    <mergeCell ref="F402:G402"/>
    <mergeCell ref="H402:J402"/>
    <mergeCell ref="K402:N402"/>
    <mergeCell ref="O402:Q402"/>
    <mergeCell ref="R402:U402"/>
    <mergeCell ref="V402:Y402"/>
    <mergeCell ref="Z402:AA402"/>
    <mergeCell ref="AB402:AE402"/>
    <mergeCell ref="AF402:AI402"/>
    <mergeCell ref="B398:E398"/>
    <mergeCell ref="F398:G398"/>
    <mergeCell ref="H398:J398"/>
    <mergeCell ref="K398:N398"/>
    <mergeCell ref="O398:Q398"/>
    <mergeCell ref="R398:U398"/>
    <mergeCell ref="V398:Y398"/>
    <mergeCell ref="Z398:AA398"/>
    <mergeCell ref="AB398:AE398"/>
    <mergeCell ref="AF398:AI398"/>
    <mergeCell ref="B399:E399"/>
    <mergeCell ref="F399:G399"/>
    <mergeCell ref="B403:E403"/>
    <mergeCell ref="F403:G403"/>
    <mergeCell ref="H403:J403"/>
    <mergeCell ref="K403:N403"/>
    <mergeCell ref="O403:Q403"/>
    <mergeCell ref="R403:U403"/>
    <mergeCell ref="V403:Y403"/>
    <mergeCell ref="Z403:AA403"/>
    <mergeCell ref="AB403:AE403"/>
    <mergeCell ref="AF403:AI403"/>
    <mergeCell ref="B404:E404"/>
    <mergeCell ref="F404:G404"/>
    <mergeCell ref="H404:J404"/>
    <mergeCell ref="K404:N404"/>
    <mergeCell ref="O404:Q404"/>
    <mergeCell ref="R404:U404"/>
    <mergeCell ref="V404:Y404"/>
    <mergeCell ref="Z404:AA404"/>
    <mergeCell ref="AB404:AE404"/>
    <mergeCell ref="AF404:AI404"/>
    <mergeCell ref="B405:E405"/>
    <mergeCell ref="F405:G405"/>
    <mergeCell ref="H405:J405"/>
    <mergeCell ref="K405:N405"/>
    <mergeCell ref="O405:Q405"/>
    <mergeCell ref="R405:U405"/>
    <mergeCell ref="V405:Y405"/>
    <mergeCell ref="Z405:AA405"/>
    <mergeCell ref="AB405:AE405"/>
    <mergeCell ref="AF405:AI405"/>
    <mergeCell ref="B406:E406"/>
    <mergeCell ref="F406:G406"/>
    <mergeCell ref="H406:J406"/>
    <mergeCell ref="K406:N406"/>
    <mergeCell ref="O406:Q406"/>
    <mergeCell ref="R406:U406"/>
    <mergeCell ref="V406:Y406"/>
    <mergeCell ref="Z406:AA406"/>
    <mergeCell ref="AB406:AE406"/>
    <mergeCell ref="AF406:AI406"/>
    <mergeCell ref="B407:E407"/>
    <mergeCell ref="F407:G407"/>
    <mergeCell ref="H407:J407"/>
    <mergeCell ref="K407:N407"/>
    <mergeCell ref="O407:Q407"/>
    <mergeCell ref="R407:U407"/>
    <mergeCell ref="V407:Y407"/>
    <mergeCell ref="Z407:AA407"/>
    <mergeCell ref="AF407:AI407"/>
    <mergeCell ref="F408:G408"/>
    <mergeCell ref="H408:J408"/>
    <mergeCell ref="K408:N408"/>
    <mergeCell ref="R408:U408"/>
    <mergeCell ref="V408:Y408"/>
    <mergeCell ref="AF408:AI408"/>
    <mergeCell ref="X419:AB419"/>
    <mergeCell ref="B414:B415"/>
    <mergeCell ref="C414:J415"/>
    <mergeCell ref="K414:L415"/>
    <mergeCell ref="M414:O415"/>
    <mergeCell ref="AB407:AE407"/>
    <mergeCell ref="P426:T426"/>
    <mergeCell ref="M419:O419"/>
    <mergeCell ref="P419:T419"/>
    <mergeCell ref="AB410:AE410"/>
    <mergeCell ref="AF410:AI410"/>
    <mergeCell ref="P414:T415"/>
    <mergeCell ref="U414:W415"/>
    <mergeCell ref="X414:AB415"/>
    <mergeCell ref="V410:Y410"/>
    <mergeCell ref="U419:W419"/>
    <mergeCell ref="C427:J427"/>
    <mergeCell ref="K427:L427"/>
    <mergeCell ref="M427:O427"/>
    <mergeCell ref="U426:W426"/>
    <mergeCell ref="X426:AB426"/>
    <mergeCell ref="C419:J419"/>
    <mergeCell ref="K419:L419"/>
    <mergeCell ref="C426:J426"/>
    <mergeCell ref="K426:L426"/>
    <mergeCell ref="M426:O426"/>
    <mergeCell ref="R410:U410"/>
    <mergeCell ref="C425:J425"/>
    <mergeCell ref="K425:L425"/>
    <mergeCell ref="M425:O425"/>
    <mergeCell ref="P425:T425"/>
    <mergeCell ref="U425:W425"/>
    <mergeCell ref="X425:AB425"/>
    <mergeCell ref="U421:W421"/>
    <mergeCell ref="X421:AB421"/>
    <mergeCell ref="C422:J422"/>
    <mergeCell ref="K422:L422"/>
    <mergeCell ref="M422:O422"/>
    <mergeCell ref="C428:J428"/>
    <mergeCell ref="K428:L428"/>
    <mergeCell ref="M428:O428"/>
    <mergeCell ref="P428:T428"/>
    <mergeCell ref="U428:W428"/>
    <mergeCell ref="X428:AB428"/>
    <mergeCell ref="M429:O429"/>
    <mergeCell ref="P429:T429"/>
    <mergeCell ref="U427:W427"/>
    <mergeCell ref="P427:T427"/>
    <mergeCell ref="U429:W429"/>
    <mergeCell ref="X427:AB427"/>
    <mergeCell ref="X429:AB429"/>
    <mergeCell ref="X431:AB431"/>
    <mergeCell ref="C435:J435"/>
    <mergeCell ref="K435:L435"/>
    <mergeCell ref="M435:O435"/>
    <mergeCell ref="P435:T435"/>
    <mergeCell ref="U435:W435"/>
    <mergeCell ref="X435:AB435"/>
    <mergeCell ref="C429:J429"/>
    <mergeCell ref="K429:L429"/>
    <mergeCell ref="P431:T431"/>
    <mergeCell ref="A465:A466"/>
    <mergeCell ref="B465:D466"/>
    <mergeCell ref="E465:F466"/>
    <mergeCell ref="G465:N465"/>
    <mergeCell ref="P447:T447"/>
    <mergeCell ref="P458:T458"/>
    <mergeCell ref="U458:W458"/>
    <mergeCell ref="X458:AB458"/>
    <mergeCell ref="C443:J443"/>
    <mergeCell ref="K443:L443"/>
    <mergeCell ref="M443:O443"/>
    <mergeCell ref="P443:T443"/>
    <mergeCell ref="C442:J442"/>
    <mergeCell ref="K442:L442"/>
    <mergeCell ref="M442:O442"/>
    <mergeCell ref="P442:T442"/>
    <mergeCell ref="U442:W442"/>
    <mergeCell ref="X442:AB442"/>
    <mergeCell ref="U443:W443"/>
    <mergeCell ref="X443:AB443"/>
    <mergeCell ref="U444:W444"/>
    <mergeCell ref="X444:AB444"/>
    <mergeCell ref="C444:J444"/>
    <mergeCell ref="K444:L444"/>
    <mergeCell ref="C445:J445"/>
    <mergeCell ref="K445:L445"/>
    <mergeCell ref="M445:O445"/>
    <mergeCell ref="P445:T445"/>
    <mergeCell ref="M444:O444"/>
    <mergeCell ref="P444:T444"/>
    <mergeCell ref="B468:D468"/>
    <mergeCell ref="E468:F468"/>
    <mergeCell ref="G468:J468"/>
    <mergeCell ref="K468:N468"/>
    <mergeCell ref="G466:J466"/>
    <mergeCell ref="K466:N466"/>
    <mergeCell ref="Q466:T466"/>
    <mergeCell ref="U466:X466"/>
    <mergeCell ref="B469:D469"/>
    <mergeCell ref="E469:F469"/>
    <mergeCell ref="G469:J469"/>
    <mergeCell ref="K469:N469"/>
    <mergeCell ref="O469:P469"/>
    <mergeCell ref="Q469:T469"/>
    <mergeCell ref="U469:X469"/>
    <mergeCell ref="P451:T451"/>
    <mergeCell ref="P452:T452"/>
    <mergeCell ref="P453:T453"/>
    <mergeCell ref="K461:O461"/>
    <mergeCell ref="P454:T454"/>
    <mergeCell ref="U454:W454"/>
    <mergeCell ref="X454:AB454"/>
    <mergeCell ref="X456:AB456"/>
    <mergeCell ref="P456:T456"/>
    <mergeCell ref="O465:P466"/>
    <mergeCell ref="Q465:X465"/>
    <mergeCell ref="B481:D481"/>
    <mergeCell ref="E481:F481"/>
    <mergeCell ref="G481:J481"/>
    <mergeCell ref="K481:N481"/>
    <mergeCell ref="O481:P481"/>
    <mergeCell ref="Q481:T481"/>
    <mergeCell ref="U481:X481"/>
    <mergeCell ref="B482:D482"/>
    <mergeCell ref="E482:F482"/>
    <mergeCell ref="G482:J482"/>
    <mergeCell ref="K482:N482"/>
    <mergeCell ref="O482:P482"/>
    <mergeCell ref="Q482:T482"/>
    <mergeCell ref="U482:X482"/>
    <mergeCell ref="B479:D479"/>
    <mergeCell ref="E479:F479"/>
    <mergeCell ref="G479:J479"/>
    <mergeCell ref="K479:N479"/>
    <mergeCell ref="O479:P479"/>
    <mergeCell ref="Q479:T479"/>
    <mergeCell ref="U479:X479"/>
    <mergeCell ref="B480:D480"/>
    <mergeCell ref="E480:F480"/>
    <mergeCell ref="G480:J480"/>
    <mergeCell ref="K480:N480"/>
    <mergeCell ref="O480:P480"/>
    <mergeCell ref="Q480:T480"/>
    <mergeCell ref="U480:X480"/>
    <mergeCell ref="B483:D483"/>
    <mergeCell ref="E483:F483"/>
    <mergeCell ref="G483:J483"/>
    <mergeCell ref="K483:N483"/>
    <mergeCell ref="O483:P483"/>
    <mergeCell ref="Q483:T483"/>
    <mergeCell ref="U483:X483"/>
    <mergeCell ref="A490:A491"/>
    <mergeCell ref="B490:D491"/>
    <mergeCell ref="E490:F491"/>
    <mergeCell ref="G490:N490"/>
    <mergeCell ref="Q486:T486"/>
    <mergeCell ref="U486:X486"/>
    <mergeCell ref="G491:J491"/>
    <mergeCell ref="K491:N491"/>
    <mergeCell ref="Q491:T491"/>
    <mergeCell ref="U491:X491"/>
    <mergeCell ref="O490:P491"/>
    <mergeCell ref="Q490:X490"/>
    <mergeCell ref="G486:J486"/>
    <mergeCell ref="K486:N486"/>
    <mergeCell ref="G504:J504"/>
    <mergeCell ref="K504:N504"/>
    <mergeCell ref="O504:P504"/>
    <mergeCell ref="Q504:T504"/>
    <mergeCell ref="U504:X504"/>
    <mergeCell ref="B505:D505"/>
    <mergeCell ref="E505:F505"/>
    <mergeCell ref="G505:J505"/>
    <mergeCell ref="K505:N505"/>
    <mergeCell ref="O505:P505"/>
    <mergeCell ref="Q505:T505"/>
    <mergeCell ref="U505:X505"/>
    <mergeCell ref="B493:D493"/>
    <mergeCell ref="E493:F493"/>
    <mergeCell ref="G493:J493"/>
    <mergeCell ref="K493:N493"/>
    <mergeCell ref="O493:P493"/>
    <mergeCell ref="B503:D503"/>
    <mergeCell ref="E503:F503"/>
    <mergeCell ref="G503:J503"/>
    <mergeCell ref="K503:N503"/>
    <mergeCell ref="O503:P503"/>
    <mergeCell ref="Q503:T503"/>
    <mergeCell ref="U503:X503"/>
    <mergeCell ref="Q493:T493"/>
    <mergeCell ref="B494:D494"/>
    <mergeCell ref="E494:F494"/>
    <mergeCell ref="G494:J494"/>
    <mergeCell ref="K494:N494"/>
    <mergeCell ref="O494:P494"/>
    <mergeCell ref="Q494:T494"/>
    <mergeCell ref="U494:X494"/>
    <mergeCell ref="B508:D508"/>
    <mergeCell ref="E508:F508"/>
    <mergeCell ref="G508:J508"/>
    <mergeCell ref="K508:N508"/>
    <mergeCell ref="O508:P508"/>
    <mergeCell ref="Q508:T508"/>
    <mergeCell ref="U508:X508"/>
    <mergeCell ref="Q511:T511"/>
    <mergeCell ref="U511:X511"/>
    <mergeCell ref="A515:A516"/>
    <mergeCell ref="B515:D516"/>
    <mergeCell ref="E515:F516"/>
    <mergeCell ref="G515:N515"/>
    <mergeCell ref="G511:J511"/>
    <mergeCell ref="K511:N511"/>
    <mergeCell ref="M514:X514"/>
    <mergeCell ref="B506:D506"/>
    <mergeCell ref="E506:F506"/>
    <mergeCell ref="G506:J506"/>
    <mergeCell ref="K506:N506"/>
    <mergeCell ref="O506:P506"/>
    <mergeCell ref="Q506:T506"/>
    <mergeCell ref="U506:X506"/>
    <mergeCell ref="B507:D507"/>
    <mergeCell ref="E507:F507"/>
    <mergeCell ref="G507:J507"/>
    <mergeCell ref="K507:N507"/>
    <mergeCell ref="O507:P507"/>
    <mergeCell ref="Q507:T507"/>
    <mergeCell ref="U507:X507"/>
    <mergeCell ref="B518:D518"/>
    <mergeCell ref="E518:F518"/>
    <mergeCell ref="G518:J518"/>
    <mergeCell ref="K518:N518"/>
    <mergeCell ref="G516:J516"/>
    <mergeCell ref="K516:N516"/>
    <mergeCell ref="Q516:T516"/>
    <mergeCell ref="U516:X516"/>
    <mergeCell ref="O515:P516"/>
    <mergeCell ref="B519:D519"/>
    <mergeCell ref="E519:F519"/>
    <mergeCell ref="G519:J519"/>
    <mergeCell ref="K519:N519"/>
    <mergeCell ref="O519:P519"/>
    <mergeCell ref="Q519:T519"/>
    <mergeCell ref="U519:X519"/>
    <mergeCell ref="Q515:X515"/>
    <mergeCell ref="Q518:T518"/>
    <mergeCell ref="U518:X518"/>
    <mergeCell ref="O518:P518"/>
    <mergeCell ref="B522:D522"/>
    <mergeCell ref="E522:F522"/>
    <mergeCell ref="G522:J522"/>
    <mergeCell ref="K522:N522"/>
    <mergeCell ref="O522:P522"/>
    <mergeCell ref="Q522:T522"/>
    <mergeCell ref="U522:X522"/>
    <mergeCell ref="B523:D523"/>
    <mergeCell ref="E523:F523"/>
    <mergeCell ref="G523:J523"/>
    <mergeCell ref="K523:N523"/>
    <mergeCell ref="O523:P523"/>
    <mergeCell ref="Q523:T523"/>
    <mergeCell ref="U523:X523"/>
    <mergeCell ref="B520:D520"/>
    <mergeCell ref="E520:F520"/>
    <mergeCell ref="G520:J520"/>
    <mergeCell ref="K520:N520"/>
    <mergeCell ref="O520:P520"/>
    <mergeCell ref="Q520:T520"/>
    <mergeCell ref="U520:X520"/>
    <mergeCell ref="B521:D521"/>
    <mergeCell ref="E521:F521"/>
    <mergeCell ref="G521:J521"/>
    <mergeCell ref="K521:N521"/>
    <mergeCell ref="O521:P521"/>
    <mergeCell ref="Q521:T521"/>
    <mergeCell ref="U521:X521"/>
    <mergeCell ref="B526:D526"/>
    <mergeCell ref="E526:F526"/>
    <mergeCell ref="G526:J526"/>
    <mergeCell ref="K526:N526"/>
    <mergeCell ref="O526:P526"/>
    <mergeCell ref="Q526:T526"/>
    <mergeCell ref="U526:X526"/>
    <mergeCell ref="B527:D527"/>
    <mergeCell ref="E527:F527"/>
    <mergeCell ref="G527:J527"/>
    <mergeCell ref="K527:N527"/>
    <mergeCell ref="O527:P527"/>
    <mergeCell ref="Q527:T527"/>
    <mergeCell ref="U527:X527"/>
    <mergeCell ref="B524:D524"/>
    <mergeCell ref="E524:F524"/>
    <mergeCell ref="G524:J524"/>
    <mergeCell ref="K524:N524"/>
    <mergeCell ref="O524:P524"/>
    <mergeCell ref="Q524:T524"/>
    <mergeCell ref="U524:X524"/>
    <mergeCell ref="B525:D525"/>
    <mergeCell ref="E525:F525"/>
    <mergeCell ref="G525:J525"/>
    <mergeCell ref="K525:N525"/>
    <mergeCell ref="O525:P525"/>
    <mergeCell ref="Q525:T525"/>
    <mergeCell ref="U525:X525"/>
    <mergeCell ref="B530:D530"/>
    <mergeCell ref="E530:F530"/>
    <mergeCell ref="G530:J530"/>
    <mergeCell ref="K530:N530"/>
    <mergeCell ref="O530:P530"/>
    <mergeCell ref="Q530:T530"/>
    <mergeCell ref="U530:X530"/>
    <mergeCell ref="B532:D532"/>
    <mergeCell ref="E532:F532"/>
    <mergeCell ref="G532:J532"/>
    <mergeCell ref="K532:N532"/>
    <mergeCell ref="O532:P532"/>
    <mergeCell ref="Q532:T532"/>
    <mergeCell ref="U532:X532"/>
    <mergeCell ref="B528:D528"/>
    <mergeCell ref="E528:F528"/>
    <mergeCell ref="G528:J528"/>
    <mergeCell ref="K528:N528"/>
    <mergeCell ref="O528:P528"/>
    <mergeCell ref="Q528:T528"/>
    <mergeCell ref="U528:X528"/>
    <mergeCell ref="B529:D529"/>
    <mergeCell ref="E529:F529"/>
    <mergeCell ref="G529:J529"/>
    <mergeCell ref="K529:N529"/>
    <mergeCell ref="O529:P529"/>
    <mergeCell ref="Q529:T529"/>
    <mergeCell ref="U529:X529"/>
    <mergeCell ref="B533:D533"/>
    <mergeCell ref="E533:F533"/>
    <mergeCell ref="G533:J533"/>
    <mergeCell ref="K533:N533"/>
    <mergeCell ref="O533:P533"/>
    <mergeCell ref="Q533:T533"/>
    <mergeCell ref="U533:X533"/>
    <mergeCell ref="A540:A541"/>
    <mergeCell ref="B540:E541"/>
    <mergeCell ref="F540:G541"/>
    <mergeCell ref="H540:J541"/>
    <mergeCell ref="Q536:T536"/>
    <mergeCell ref="U536:X536"/>
    <mergeCell ref="K536:N536"/>
    <mergeCell ref="G536:J536"/>
    <mergeCell ref="Z540:AA541"/>
    <mergeCell ref="AB540:AI540"/>
    <mergeCell ref="K541:N541"/>
    <mergeCell ref="O541:Q541"/>
    <mergeCell ref="R541:U541"/>
    <mergeCell ref="V541:Y541"/>
    <mergeCell ref="AB541:AE541"/>
    <mergeCell ref="AF541:AI541"/>
    <mergeCell ref="V553:Y553"/>
    <mergeCell ref="Z553:AA553"/>
    <mergeCell ref="AB555:AE555"/>
    <mergeCell ref="AF555:AI555"/>
    <mergeCell ref="V542:Y542"/>
    <mergeCell ref="AF542:AI542"/>
    <mergeCell ref="B548:E548"/>
    <mergeCell ref="F548:G548"/>
    <mergeCell ref="H548:J548"/>
    <mergeCell ref="K548:N548"/>
    <mergeCell ref="O548:Q548"/>
    <mergeCell ref="R548:U548"/>
    <mergeCell ref="F542:G542"/>
    <mergeCell ref="H542:J542"/>
    <mergeCell ref="K542:N542"/>
    <mergeCell ref="R542:U542"/>
    <mergeCell ref="AB548:AE548"/>
    <mergeCell ref="AF548:AI548"/>
    <mergeCell ref="B553:E553"/>
    <mergeCell ref="F553:G553"/>
    <mergeCell ref="H553:J553"/>
    <mergeCell ref="K553:N553"/>
    <mergeCell ref="O553:Q553"/>
    <mergeCell ref="R553:U553"/>
    <mergeCell ref="AB553:AE553"/>
    <mergeCell ref="AF553:AI553"/>
    <mergeCell ref="V548:Y548"/>
    <mergeCell ref="Z548:AA548"/>
    <mergeCell ref="B549:E549"/>
    <mergeCell ref="F549:G549"/>
    <mergeCell ref="H549:J549"/>
    <mergeCell ref="K549:N549"/>
    <mergeCell ref="O556:Q556"/>
    <mergeCell ref="R556:U556"/>
    <mergeCell ref="V554:Y554"/>
    <mergeCell ref="Z554:AA554"/>
    <mergeCell ref="AB556:AE556"/>
    <mergeCell ref="AF556:AI556"/>
    <mergeCell ref="B557:E557"/>
    <mergeCell ref="F557:G557"/>
    <mergeCell ref="H557:J557"/>
    <mergeCell ref="K557:N557"/>
    <mergeCell ref="O557:Q557"/>
    <mergeCell ref="R557:U557"/>
    <mergeCell ref="V555:Y555"/>
    <mergeCell ref="Z555:AA555"/>
    <mergeCell ref="B554:E554"/>
    <mergeCell ref="F554:G554"/>
    <mergeCell ref="H554:J554"/>
    <mergeCell ref="K554:N554"/>
    <mergeCell ref="O554:Q554"/>
    <mergeCell ref="R554:U554"/>
    <mergeCell ref="AB554:AE554"/>
    <mergeCell ref="AF554:AI554"/>
    <mergeCell ref="B555:E555"/>
    <mergeCell ref="F555:G555"/>
    <mergeCell ref="H555:J555"/>
    <mergeCell ref="K555:N555"/>
    <mergeCell ref="O555:Q555"/>
    <mergeCell ref="R555:U555"/>
    <mergeCell ref="AF559:AI559"/>
    <mergeCell ref="AB557:AE557"/>
    <mergeCell ref="AF557:AI557"/>
    <mergeCell ref="B558:E558"/>
    <mergeCell ref="F558:G558"/>
    <mergeCell ref="H558:J558"/>
    <mergeCell ref="K558:N558"/>
    <mergeCell ref="O558:Q558"/>
    <mergeCell ref="R558:U558"/>
    <mergeCell ref="V556:Y556"/>
    <mergeCell ref="Z556:AA556"/>
    <mergeCell ref="B565:B566"/>
    <mergeCell ref="C565:J566"/>
    <mergeCell ref="K565:L566"/>
    <mergeCell ref="M565:O566"/>
    <mergeCell ref="AB558:AE558"/>
    <mergeCell ref="AF558:AI558"/>
    <mergeCell ref="F559:G559"/>
    <mergeCell ref="H559:J559"/>
    <mergeCell ref="K559:N559"/>
    <mergeCell ref="R559:U559"/>
    <mergeCell ref="AB561:AE561"/>
    <mergeCell ref="AF561:AI561"/>
    <mergeCell ref="P565:T566"/>
    <mergeCell ref="U565:W566"/>
    <mergeCell ref="X565:AB566"/>
    <mergeCell ref="V557:Y557"/>
    <mergeCell ref="Z557:AA557"/>
    <mergeCell ref="B556:E556"/>
    <mergeCell ref="F556:G556"/>
    <mergeCell ref="H556:J556"/>
    <mergeCell ref="K556:N556"/>
    <mergeCell ref="V558:Y558"/>
    <mergeCell ref="Z558:AA558"/>
    <mergeCell ref="C579:J579"/>
    <mergeCell ref="K593:L593"/>
    <mergeCell ref="M593:O593"/>
    <mergeCell ref="P593:T593"/>
    <mergeCell ref="X580:AB580"/>
    <mergeCell ref="X582:AB582"/>
    <mergeCell ref="C586:J586"/>
    <mergeCell ref="K586:L586"/>
    <mergeCell ref="M586:O586"/>
    <mergeCell ref="P586:T586"/>
    <mergeCell ref="U586:W586"/>
    <mergeCell ref="U593:W593"/>
    <mergeCell ref="X593:AB593"/>
    <mergeCell ref="U577:W577"/>
    <mergeCell ref="X577:AB577"/>
    <mergeCell ref="C570:J570"/>
    <mergeCell ref="K570:L570"/>
    <mergeCell ref="C577:J577"/>
    <mergeCell ref="K577:L577"/>
    <mergeCell ref="M577:O577"/>
    <mergeCell ref="P577:T577"/>
    <mergeCell ref="M570:O570"/>
    <mergeCell ref="P570:T570"/>
    <mergeCell ref="M578:O578"/>
    <mergeCell ref="K579:L579"/>
    <mergeCell ref="M579:O579"/>
    <mergeCell ref="P579:T579"/>
    <mergeCell ref="U579:W579"/>
    <mergeCell ref="V559:Y559"/>
    <mergeCell ref="C578:J578"/>
    <mergeCell ref="C594:J594"/>
    <mergeCell ref="K594:L594"/>
    <mergeCell ref="M594:O594"/>
    <mergeCell ref="P594:T594"/>
    <mergeCell ref="C593:J593"/>
    <mergeCell ref="X596:AB596"/>
    <mergeCell ref="C595:J595"/>
    <mergeCell ref="K595:L595"/>
    <mergeCell ref="C596:J596"/>
    <mergeCell ref="K596:L596"/>
    <mergeCell ref="M596:O596"/>
    <mergeCell ref="P596:T596"/>
    <mergeCell ref="M595:O595"/>
    <mergeCell ref="P595:T595"/>
    <mergeCell ref="U595:W595"/>
    <mergeCell ref="X586:AB586"/>
    <mergeCell ref="C580:J580"/>
    <mergeCell ref="K580:L580"/>
    <mergeCell ref="M580:O580"/>
    <mergeCell ref="P580:T580"/>
    <mergeCell ref="U580:W580"/>
    <mergeCell ref="C590:J590"/>
    <mergeCell ref="K590:L590"/>
    <mergeCell ref="M590:O590"/>
    <mergeCell ref="P590:T590"/>
    <mergeCell ref="U590:W590"/>
    <mergeCell ref="X590:AB590"/>
    <mergeCell ref="C591:J591"/>
    <mergeCell ref="K591:L591"/>
    <mergeCell ref="M591:O591"/>
    <mergeCell ref="P591:T591"/>
    <mergeCell ref="U591:W591"/>
    <mergeCell ref="V561:Y561"/>
    <mergeCell ref="P607:T607"/>
    <mergeCell ref="X598:AB598"/>
    <mergeCell ref="P602:T602"/>
    <mergeCell ref="P603:T603"/>
    <mergeCell ref="P604:T604"/>
    <mergeCell ref="U596:W596"/>
    <mergeCell ref="R561:U561"/>
    <mergeCell ref="P582:T582"/>
    <mergeCell ref="P598:T598"/>
    <mergeCell ref="U594:W594"/>
    <mergeCell ref="X594:AB594"/>
    <mergeCell ref="X595:AB595"/>
    <mergeCell ref="U578:W578"/>
    <mergeCell ref="P578:T578"/>
    <mergeCell ref="X578:AB578"/>
    <mergeCell ref="T627:W627"/>
    <mergeCell ref="X627:AA627"/>
    <mergeCell ref="U570:W570"/>
    <mergeCell ref="X570:AB570"/>
    <mergeCell ref="AB623:AE623"/>
    <mergeCell ref="AB624:AE624"/>
    <mergeCell ref="AB625:AE625"/>
    <mergeCell ref="AB626:AE626"/>
    <mergeCell ref="T617:W618"/>
    <mergeCell ref="K624:S624"/>
    <mergeCell ref="X621:AA621"/>
    <mergeCell ref="T622:W622"/>
    <mergeCell ref="T621:W621"/>
    <mergeCell ref="X622:AA622"/>
    <mergeCell ref="K621:S621"/>
    <mergeCell ref="K622:S622"/>
    <mergeCell ref="K578:L578"/>
    <mergeCell ref="M637:P637"/>
    <mergeCell ref="Q637:T637"/>
    <mergeCell ref="U637:X637"/>
    <mergeCell ref="M638:P638"/>
    <mergeCell ref="Q638:T638"/>
    <mergeCell ref="U638:X638"/>
    <mergeCell ref="M639:P639"/>
    <mergeCell ref="Q639:T639"/>
    <mergeCell ref="U639:X639"/>
    <mergeCell ref="M640:P640"/>
    <mergeCell ref="Q640:T640"/>
    <mergeCell ref="U640:X640"/>
    <mergeCell ref="M641:P641"/>
    <mergeCell ref="Q641:T641"/>
    <mergeCell ref="U641:X641"/>
    <mergeCell ref="M642:P642"/>
    <mergeCell ref="Q642:T642"/>
    <mergeCell ref="U642:X642"/>
    <mergeCell ref="X579:AB579"/>
    <mergeCell ref="H639:L639"/>
    <mergeCell ref="P609:T609"/>
    <mergeCell ref="U609:W609"/>
    <mergeCell ref="X609:AB609"/>
    <mergeCell ref="P605:T605"/>
    <mergeCell ref="U605:W605"/>
    <mergeCell ref="X605:AB605"/>
    <mergeCell ref="X607:AB607"/>
    <mergeCell ref="M636:P636"/>
    <mergeCell ref="Q636:T636"/>
    <mergeCell ref="U636:X636"/>
    <mergeCell ref="K628:S628"/>
    <mergeCell ref="Q646:T646"/>
    <mergeCell ref="U646:X646"/>
    <mergeCell ref="M643:P643"/>
    <mergeCell ref="Q643:T643"/>
    <mergeCell ref="U643:X643"/>
    <mergeCell ref="M644:P644"/>
    <mergeCell ref="Q644:T644"/>
    <mergeCell ref="U644:X644"/>
    <mergeCell ref="M653:P653"/>
    <mergeCell ref="Q651:T651"/>
    <mergeCell ref="Q653:T653"/>
    <mergeCell ref="M648:P648"/>
    <mergeCell ref="Q648:T648"/>
    <mergeCell ref="H648:L648"/>
    <mergeCell ref="M647:P647"/>
    <mergeCell ref="Q647:T647"/>
    <mergeCell ref="U647:X647"/>
    <mergeCell ref="H645:L645"/>
    <mergeCell ref="H646:L646"/>
    <mergeCell ref="H647:L647"/>
    <mergeCell ref="M645:P645"/>
    <mergeCell ref="Q645:T645"/>
    <mergeCell ref="U645:X645"/>
    <mergeCell ref="M657:P657"/>
    <mergeCell ref="Q657:T657"/>
    <mergeCell ref="U657:X657"/>
    <mergeCell ref="M655:P655"/>
    <mergeCell ref="Q655:T655"/>
    <mergeCell ref="U655:X655"/>
    <mergeCell ref="H636:L636"/>
    <mergeCell ref="H637:L637"/>
    <mergeCell ref="H656:L656"/>
    <mergeCell ref="H657:L657"/>
    <mergeCell ref="H658:L658"/>
    <mergeCell ref="H649:L649"/>
    <mergeCell ref="H650:L650"/>
    <mergeCell ref="H651:L651"/>
    <mergeCell ref="H652:L652"/>
    <mergeCell ref="H653:L653"/>
    <mergeCell ref="H654:L654"/>
    <mergeCell ref="H655:L655"/>
    <mergeCell ref="U651:X651"/>
    <mergeCell ref="M652:P652"/>
    <mergeCell ref="Q652:T652"/>
    <mergeCell ref="U648:X648"/>
    <mergeCell ref="H640:L640"/>
    <mergeCell ref="H641:L641"/>
    <mergeCell ref="H642:L642"/>
    <mergeCell ref="H643:L643"/>
    <mergeCell ref="H644:L644"/>
    <mergeCell ref="M649:P649"/>
    <mergeCell ref="Q649:T649"/>
    <mergeCell ref="U649:X649"/>
    <mergeCell ref="M650:P650"/>
    <mergeCell ref="M646:P646"/>
    <mergeCell ref="H659:L659"/>
    <mergeCell ref="A647:G647"/>
    <mergeCell ref="G83:J83"/>
    <mergeCell ref="K83:N83"/>
    <mergeCell ref="G184:J184"/>
    <mergeCell ref="K184:N184"/>
    <mergeCell ref="G209:J209"/>
    <mergeCell ref="A659:G659"/>
    <mergeCell ref="A636:G640"/>
    <mergeCell ref="A642:G646"/>
    <mergeCell ref="A648:G652"/>
    <mergeCell ref="A654:G658"/>
    <mergeCell ref="A641:G641"/>
    <mergeCell ref="A653:G653"/>
    <mergeCell ref="K540:Y540"/>
    <mergeCell ref="P129:T129"/>
    <mergeCell ref="P280:T280"/>
    <mergeCell ref="P296:T296"/>
    <mergeCell ref="K238:Y238"/>
    <mergeCell ref="O216:P216"/>
    <mergeCell ref="Q216:T216"/>
    <mergeCell ref="H634:L635"/>
    <mergeCell ref="H638:L638"/>
    <mergeCell ref="Q656:T656"/>
    <mergeCell ref="M651:P651"/>
    <mergeCell ref="M212:X212"/>
    <mergeCell ref="K209:N209"/>
    <mergeCell ref="U493:X493"/>
    <mergeCell ref="O468:P468"/>
    <mergeCell ref="Q468:T468"/>
    <mergeCell ref="U468:X468"/>
    <mergeCell ref="A634:G635"/>
    <mergeCell ref="Y660:AB660"/>
    <mergeCell ref="AC660:AF660"/>
    <mergeCell ref="Y659:AB659"/>
    <mergeCell ref="AC659:AF659"/>
    <mergeCell ref="U659:X659"/>
    <mergeCell ref="AC653:AF653"/>
    <mergeCell ref="Y634:AF634"/>
    <mergeCell ref="Y635:AB635"/>
    <mergeCell ref="AC635:AF635"/>
    <mergeCell ref="Y641:AB641"/>
    <mergeCell ref="AC641:AF641"/>
    <mergeCell ref="M659:P659"/>
    <mergeCell ref="Q659:T659"/>
    <mergeCell ref="M635:P635"/>
    <mergeCell ref="Q635:T635"/>
    <mergeCell ref="U635:X635"/>
    <mergeCell ref="Y647:AB647"/>
    <mergeCell ref="AC647:AF647"/>
    <mergeCell ref="Y653:AB653"/>
    <mergeCell ref="M634:X634"/>
    <mergeCell ref="M658:P658"/>
    <mergeCell ref="Q658:T658"/>
    <mergeCell ref="U658:X658"/>
    <mergeCell ref="Q650:T650"/>
    <mergeCell ref="U650:X650"/>
    <mergeCell ref="U652:X652"/>
    <mergeCell ref="U656:X656"/>
    <mergeCell ref="M654:P654"/>
    <mergeCell ref="Q654:T654"/>
    <mergeCell ref="U654:X654"/>
    <mergeCell ref="M656:P656"/>
    <mergeCell ref="U653:X653"/>
    <mergeCell ref="Y12:Z13"/>
    <mergeCell ref="AA12:AD13"/>
    <mergeCell ref="AE30:AH30"/>
    <mergeCell ref="AA33:AD33"/>
    <mergeCell ref="AE33:AH33"/>
    <mergeCell ref="AA37:AD38"/>
    <mergeCell ref="AE37:AH38"/>
    <mergeCell ref="Y45:Z45"/>
    <mergeCell ref="AA45:AD45"/>
    <mergeCell ref="AE45:AH45"/>
    <mergeCell ref="Y50:Z50"/>
    <mergeCell ref="AA50:AD50"/>
    <mergeCell ref="AE50:AH50"/>
    <mergeCell ref="Y51:Z51"/>
    <mergeCell ref="AA51:AD51"/>
    <mergeCell ref="AE51:AH51"/>
    <mergeCell ref="AA15:AD15"/>
    <mergeCell ref="AE15:AH15"/>
    <mergeCell ref="Y16:Z16"/>
    <mergeCell ref="AA16:AD16"/>
    <mergeCell ref="AE16:AH16"/>
    <mergeCell ref="Y17:Z17"/>
    <mergeCell ref="AA17:AD17"/>
    <mergeCell ref="AE17:AH17"/>
    <mergeCell ref="Y27:Z27"/>
    <mergeCell ref="AA27:AD27"/>
    <mergeCell ref="AE27:AH27"/>
    <mergeCell ref="Y28:Z28"/>
    <mergeCell ref="AA28:AD28"/>
    <mergeCell ref="Y52:Z52"/>
    <mergeCell ref="AA52:AD52"/>
    <mergeCell ref="AE52:AH52"/>
    <mergeCell ref="Y30:Z30"/>
    <mergeCell ref="AA30:AD30"/>
    <mergeCell ref="AE53:AH53"/>
    <mergeCell ref="Y37:Z38"/>
    <mergeCell ref="AA54:AD54"/>
    <mergeCell ref="AE54:AH54"/>
    <mergeCell ref="Y55:Z55"/>
    <mergeCell ref="AA55:AD55"/>
    <mergeCell ref="AE55:AH55"/>
    <mergeCell ref="AA58:AD58"/>
    <mergeCell ref="AE58:AH58"/>
    <mergeCell ref="Y62:Z63"/>
    <mergeCell ref="AA62:AD63"/>
    <mergeCell ref="AE62:AH63"/>
    <mergeCell ref="AA65:AD65"/>
    <mergeCell ref="AE65:AH65"/>
    <mergeCell ref="Y66:Z66"/>
    <mergeCell ref="AA66:AD66"/>
    <mergeCell ref="AE66:AH66"/>
    <mergeCell ref="AA53:AD53"/>
    <mergeCell ref="Y54:Z54"/>
    <mergeCell ref="AE67:AH67"/>
    <mergeCell ref="Y68:Z68"/>
    <mergeCell ref="AA68:AD68"/>
    <mergeCell ref="AE68:AH68"/>
    <mergeCell ref="Y69:Z69"/>
    <mergeCell ref="AA69:AD69"/>
    <mergeCell ref="AE69:AH69"/>
    <mergeCell ref="Y70:Z70"/>
    <mergeCell ref="AA70:AD70"/>
    <mergeCell ref="AE70:AH70"/>
    <mergeCell ref="AA71:AD71"/>
    <mergeCell ref="AE71:AH71"/>
    <mergeCell ref="Y72:Z72"/>
    <mergeCell ref="AA72:AD72"/>
    <mergeCell ref="AE72:AH72"/>
    <mergeCell ref="Y73:Z73"/>
    <mergeCell ref="AA73:AD73"/>
    <mergeCell ref="AE73:AH73"/>
    <mergeCell ref="Y67:Z67"/>
    <mergeCell ref="AA67:AD67"/>
    <mergeCell ref="AE74:AH74"/>
    <mergeCell ref="Y75:Z75"/>
    <mergeCell ref="AA75:AD75"/>
    <mergeCell ref="AE75:AH75"/>
    <mergeCell ref="Y76:Z76"/>
    <mergeCell ref="AA76:AD76"/>
    <mergeCell ref="AE76:AH76"/>
    <mergeCell ref="AA77:AD77"/>
    <mergeCell ref="AE77:AH77"/>
    <mergeCell ref="Y79:Z79"/>
    <mergeCell ref="AA79:AD79"/>
    <mergeCell ref="AE79:AH79"/>
    <mergeCell ref="Y80:Z80"/>
    <mergeCell ref="AA80:AD80"/>
    <mergeCell ref="AE80:AH80"/>
    <mergeCell ref="AA83:AD83"/>
    <mergeCell ref="AE83:AH83"/>
    <mergeCell ref="Y74:Z74"/>
    <mergeCell ref="AA74:AD74"/>
    <mergeCell ref="AE163:AH164"/>
    <mergeCell ref="Y166:Z166"/>
    <mergeCell ref="AA166:AD166"/>
    <mergeCell ref="AE166:AH166"/>
    <mergeCell ref="V104:Y104"/>
    <mergeCell ref="AB102:AE102"/>
    <mergeCell ref="Z103:AA103"/>
    <mergeCell ref="V101:Y101"/>
    <mergeCell ref="AF108:AI108"/>
    <mergeCell ref="K87:Y87"/>
    <mergeCell ref="O88:Q88"/>
    <mergeCell ref="O95:Q95"/>
    <mergeCell ref="O96:Q96"/>
    <mergeCell ref="O101:Q101"/>
    <mergeCell ref="AB101:AE101"/>
    <mergeCell ref="O102:Q102"/>
    <mergeCell ref="AB87:AI87"/>
    <mergeCell ref="AB88:AE88"/>
    <mergeCell ref="AF89:AI89"/>
    <mergeCell ref="X140:AB140"/>
    <mergeCell ref="Y176:Z176"/>
    <mergeCell ref="AA176:AD176"/>
    <mergeCell ref="AE176:AH176"/>
    <mergeCell ref="Y177:Z177"/>
    <mergeCell ref="AA177:AD177"/>
    <mergeCell ref="AE177:AH177"/>
    <mergeCell ref="Y178:Z178"/>
    <mergeCell ref="AA178:AD178"/>
    <mergeCell ref="AE178:AH178"/>
    <mergeCell ref="Y179:Z179"/>
    <mergeCell ref="AA179:AD179"/>
    <mergeCell ref="AE179:AH179"/>
    <mergeCell ref="Y180:Z180"/>
    <mergeCell ref="AA180:AD180"/>
    <mergeCell ref="AE180:AH180"/>
    <mergeCell ref="Y163:Z164"/>
    <mergeCell ref="AA163:AD164"/>
    <mergeCell ref="Y171:Z171"/>
    <mergeCell ref="AA171:AD171"/>
    <mergeCell ref="AE171:AH171"/>
    <mergeCell ref="AE181:AH181"/>
    <mergeCell ref="AA184:AD184"/>
    <mergeCell ref="AE184:AH184"/>
    <mergeCell ref="Y188:Z189"/>
    <mergeCell ref="AA188:AD189"/>
    <mergeCell ref="AE188:AH189"/>
    <mergeCell ref="Y191:Z191"/>
    <mergeCell ref="AA191:AD191"/>
    <mergeCell ref="AE191:AH191"/>
    <mergeCell ref="Y201:Z201"/>
    <mergeCell ref="AA201:AD201"/>
    <mergeCell ref="AE201:AH201"/>
    <mergeCell ref="Y202:Z202"/>
    <mergeCell ref="AA202:AD202"/>
    <mergeCell ref="AE202:AH202"/>
    <mergeCell ref="Y203:Z203"/>
    <mergeCell ref="AA203:AD203"/>
    <mergeCell ref="AE203:AH203"/>
    <mergeCell ref="Y181:Z181"/>
    <mergeCell ref="AA181:AD181"/>
    <mergeCell ref="AE204:AH204"/>
    <mergeCell ref="Y205:Z205"/>
    <mergeCell ref="AA205:AD205"/>
    <mergeCell ref="AE205:AH205"/>
    <mergeCell ref="Y206:Z206"/>
    <mergeCell ref="AA206:AD206"/>
    <mergeCell ref="AE206:AH206"/>
    <mergeCell ref="AA209:AD209"/>
    <mergeCell ref="AE209:AH209"/>
    <mergeCell ref="Y213:Z214"/>
    <mergeCell ref="AA213:AD214"/>
    <mergeCell ref="AE213:AH214"/>
    <mergeCell ref="Y216:Z216"/>
    <mergeCell ref="AA216:AD216"/>
    <mergeCell ref="AE216:AH216"/>
    <mergeCell ref="Y217:Z217"/>
    <mergeCell ref="AA217:AD217"/>
    <mergeCell ref="AE217:AH217"/>
    <mergeCell ref="Y204:Z204"/>
    <mergeCell ref="AA204:AD204"/>
    <mergeCell ref="Y218:Z218"/>
    <mergeCell ref="AA218:AD218"/>
    <mergeCell ref="AE218:AH218"/>
    <mergeCell ref="Y219:Z219"/>
    <mergeCell ref="AA219:AD219"/>
    <mergeCell ref="AE219:AH219"/>
    <mergeCell ref="Y220:Z220"/>
    <mergeCell ref="AA220:AD220"/>
    <mergeCell ref="AE220:AH220"/>
    <mergeCell ref="Y221:Z221"/>
    <mergeCell ref="AA221:AD221"/>
    <mergeCell ref="AE221:AH221"/>
    <mergeCell ref="Y222:Z222"/>
    <mergeCell ref="AA222:AD222"/>
    <mergeCell ref="AE222:AH222"/>
    <mergeCell ref="Y223:Z223"/>
    <mergeCell ref="AA223:AD223"/>
    <mergeCell ref="AE223:AH223"/>
    <mergeCell ref="Y224:Z224"/>
    <mergeCell ref="AA224:AD224"/>
    <mergeCell ref="AE224:AH224"/>
    <mergeCell ref="Y225:Z225"/>
    <mergeCell ref="AA225:AD225"/>
    <mergeCell ref="AE225:AH225"/>
    <mergeCell ref="Y226:Z226"/>
    <mergeCell ref="AA226:AD226"/>
    <mergeCell ref="AE226:AH226"/>
    <mergeCell ref="Y227:Z227"/>
    <mergeCell ref="AA227:AD227"/>
    <mergeCell ref="AE227:AH227"/>
    <mergeCell ref="Y228:Z228"/>
    <mergeCell ref="AA228:AD228"/>
    <mergeCell ref="AE228:AH228"/>
    <mergeCell ref="Y230:Z230"/>
    <mergeCell ref="AA230:AD230"/>
    <mergeCell ref="AE230:AH230"/>
    <mergeCell ref="AE231:AH231"/>
    <mergeCell ref="AA234:AD234"/>
    <mergeCell ref="AE234:AH234"/>
    <mergeCell ref="Y314:Z315"/>
    <mergeCell ref="AA314:AD315"/>
    <mergeCell ref="AE314:AH315"/>
    <mergeCell ref="Y317:Z317"/>
    <mergeCell ref="AA317:AD317"/>
    <mergeCell ref="AE317:AH317"/>
    <mergeCell ref="Y327:Z327"/>
    <mergeCell ref="AA327:AD327"/>
    <mergeCell ref="AE327:AH327"/>
    <mergeCell ref="Y328:Z328"/>
    <mergeCell ref="AA328:AD328"/>
    <mergeCell ref="AE328:AH328"/>
    <mergeCell ref="Y329:Z329"/>
    <mergeCell ref="AA329:AD329"/>
    <mergeCell ref="AE329:AH329"/>
    <mergeCell ref="AF239:AI239"/>
    <mergeCell ref="AE323:AH323"/>
    <mergeCell ref="AA324:AD324"/>
    <mergeCell ref="AE324:AH324"/>
    <mergeCell ref="AE318:AH318"/>
    <mergeCell ref="Y324:Z324"/>
    <mergeCell ref="AF252:AI252"/>
    <mergeCell ref="AF248:AI248"/>
    <mergeCell ref="AF250:AI250"/>
    <mergeCell ref="AF244:AI244"/>
    <mergeCell ref="AF245:AI245"/>
    <mergeCell ref="AF246:AI246"/>
    <mergeCell ref="AE330:AH330"/>
    <mergeCell ref="Y331:Z331"/>
    <mergeCell ref="AA331:AD331"/>
    <mergeCell ref="AE331:AH331"/>
    <mergeCell ref="Y332:Z332"/>
    <mergeCell ref="AA332:AD332"/>
    <mergeCell ref="AE332:AH332"/>
    <mergeCell ref="AA335:AD335"/>
    <mergeCell ref="AE335:AH335"/>
    <mergeCell ref="Y339:Z340"/>
    <mergeCell ref="AA339:AD340"/>
    <mergeCell ref="AE339:AH340"/>
    <mergeCell ref="Y342:Z342"/>
    <mergeCell ref="AA342:AD342"/>
    <mergeCell ref="AE342:AH342"/>
    <mergeCell ref="Y352:Z352"/>
    <mergeCell ref="AA352:AD352"/>
    <mergeCell ref="AE352:AH352"/>
    <mergeCell ref="Y330:Z330"/>
    <mergeCell ref="AA330:AD330"/>
    <mergeCell ref="Y348:Z348"/>
    <mergeCell ref="AA348:AD348"/>
    <mergeCell ref="AE348:AH348"/>
    <mergeCell ref="Y349:Z349"/>
    <mergeCell ref="AA349:AD349"/>
    <mergeCell ref="AE349:AH349"/>
    <mergeCell ref="Y353:Z353"/>
    <mergeCell ref="AA353:AD353"/>
    <mergeCell ref="AE353:AH353"/>
    <mergeCell ref="Y354:Z354"/>
    <mergeCell ref="AA354:AD354"/>
    <mergeCell ref="AE354:AH354"/>
    <mergeCell ref="Y355:Z355"/>
    <mergeCell ref="AA355:AD355"/>
    <mergeCell ref="AE355:AH355"/>
    <mergeCell ref="Y356:Z356"/>
    <mergeCell ref="AA356:AD356"/>
    <mergeCell ref="AE356:AH356"/>
    <mergeCell ref="Y357:Z357"/>
    <mergeCell ref="AA357:AD357"/>
    <mergeCell ref="AE357:AH357"/>
    <mergeCell ref="AA360:AD360"/>
    <mergeCell ref="AE360:AH360"/>
    <mergeCell ref="AE364:AH365"/>
    <mergeCell ref="Y367:Z367"/>
    <mergeCell ref="AA367:AD367"/>
    <mergeCell ref="AE367:AH367"/>
    <mergeCell ref="Y368:Z368"/>
    <mergeCell ref="AA368:AD368"/>
    <mergeCell ref="AE368:AH368"/>
    <mergeCell ref="Y369:Z369"/>
    <mergeCell ref="AA369:AD369"/>
    <mergeCell ref="AE369:AH369"/>
    <mergeCell ref="Y370:Z370"/>
    <mergeCell ref="AA370:AD370"/>
    <mergeCell ref="AE370:AH370"/>
    <mergeCell ref="Y371:Z371"/>
    <mergeCell ref="AA371:AD371"/>
    <mergeCell ref="AE371:AH371"/>
    <mergeCell ref="Y372:Z372"/>
    <mergeCell ref="AA372:AD372"/>
    <mergeCell ref="AE372:AH372"/>
    <mergeCell ref="AE373:AH373"/>
    <mergeCell ref="Y374:Z374"/>
    <mergeCell ref="AA374:AD374"/>
    <mergeCell ref="AE374:AH374"/>
    <mergeCell ref="Y375:Z375"/>
    <mergeCell ref="AA375:AD375"/>
    <mergeCell ref="AE375:AH375"/>
    <mergeCell ref="Y376:Z376"/>
    <mergeCell ref="AA376:AD376"/>
    <mergeCell ref="AE376:AH376"/>
    <mergeCell ref="Y377:Z377"/>
    <mergeCell ref="AA377:AD377"/>
    <mergeCell ref="AE377:AH377"/>
    <mergeCell ref="Y378:Z378"/>
    <mergeCell ref="AA378:AD378"/>
    <mergeCell ref="AE378:AH378"/>
    <mergeCell ref="Y379:Z379"/>
    <mergeCell ref="AA379:AD379"/>
    <mergeCell ref="AE379:AH379"/>
    <mergeCell ref="Y373:Z373"/>
    <mergeCell ref="AA373:AD373"/>
    <mergeCell ref="AE381:AH381"/>
    <mergeCell ref="Y382:Z382"/>
    <mergeCell ref="AA382:AD382"/>
    <mergeCell ref="AE382:AH382"/>
    <mergeCell ref="AA385:AD385"/>
    <mergeCell ref="AE385:AH385"/>
    <mergeCell ref="Y465:Z466"/>
    <mergeCell ref="AA465:AD466"/>
    <mergeCell ref="AE465:AH466"/>
    <mergeCell ref="Y468:Z468"/>
    <mergeCell ref="AA468:AD468"/>
    <mergeCell ref="AE468:AH468"/>
    <mergeCell ref="Y469:Z469"/>
    <mergeCell ref="AA469:AD469"/>
    <mergeCell ref="AE469:AH469"/>
    <mergeCell ref="Y479:Z479"/>
    <mergeCell ref="AA479:AD479"/>
    <mergeCell ref="AE479:AH479"/>
    <mergeCell ref="X447:AB447"/>
    <mergeCell ref="V391:Y391"/>
    <mergeCell ref="Y381:Z381"/>
    <mergeCell ref="AA381:AD381"/>
    <mergeCell ref="U445:W445"/>
    <mergeCell ref="X445:AB445"/>
    <mergeCell ref="AF391:AI391"/>
    <mergeCell ref="Z389:AA390"/>
    <mergeCell ref="AB389:AI389"/>
    <mergeCell ref="AB390:AE390"/>
    <mergeCell ref="AF390:AI390"/>
    <mergeCell ref="X437:AB437"/>
    <mergeCell ref="U470:X470"/>
    <mergeCell ref="Y470:Z470"/>
    <mergeCell ref="AE480:AH480"/>
    <mergeCell ref="Y481:Z481"/>
    <mergeCell ref="AA481:AD481"/>
    <mergeCell ref="AE481:AH481"/>
    <mergeCell ref="Y482:Z482"/>
    <mergeCell ref="AA482:AD482"/>
    <mergeCell ref="AE482:AH482"/>
    <mergeCell ref="Y483:Z483"/>
    <mergeCell ref="AA483:AD483"/>
    <mergeCell ref="AE483:AH483"/>
    <mergeCell ref="AA486:AD486"/>
    <mergeCell ref="AE486:AH486"/>
    <mergeCell ref="Y490:Z491"/>
    <mergeCell ref="AA490:AD491"/>
    <mergeCell ref="AE490:AH491"/>
    <mergeCell ref="Y493:Z493"/>
    <mergeCell ref="AA493:AD493"/>
    <mergeCell ref="AE493:AH493"/>
    <mergeCell ref="Y480:Z480"/>
    <mergeCell ref="AA480:AD480"/>
    <mergeCell ref="AE503:AH503"/>
    <mergeCell ref="Y504:Z504"/>
    <mergeCell ref="AA504:AD504"/>
    <mergeCell ref="AE504:AH504"/>
    <mergeCell ref="Y505:Z505"/>
    <mergeCell ref="AA505:AD505"/>
    <mergeCell ref="AE505:AH505"/>
    <mergeCell ref="Y506:Z506"/>
    <mergeCell ref="AA506:AD506"/>
    <mergeCell ref="AE506:AH506"/>
    <mergeCell ref="Y507:Z507"/>
    <mergeCell ref="AA507:AD507"/>
    <mergeCell ref="AE507:AH507"/>
    <mergeCell ref="Y508:Z508"/>
    <mergeCell ref="AA508:AD508"/>
    <mergeCell ref="AE508:AH508"/>
    <mergeCell ref="AA511:AD511"/>
    <mergeCell ref="AE511:AH511"/>
    <mergeCell ref="Y503:Z503"/>
    <mergeCell ref="AA503:AD503"/>
    <mergeCell ref="AE515:AH516"/>
    <mergeCell ref="Y518:Z518"/>
    <mergeCell ref="AA518:AD518"/>
    <mergeCell ref="AE518:AH518"/>
    <mergeCell ref="Y519:Z519"/>
    <mergeCell ref="AA519:AD519"/>
    <mergeCell ref="AE519:AH519"/>
    <mergeCell ref="Y520:Z520"/>
    <mergeCell ref="AA520:AD520"/>
    <mergeCell ref="AE520:AH520"/>
    <mergeCell ref="Y521:Z521"/>
    <mergeCell ref="AA521:AD521"/>
    <mergeCell ref="AE521:AH521"/>
    <mergeCell ref="Y522:Z522"/>
    <mergeCell ref="AA522:AD522"/>
    <mergeCell ref="AE522:AH522"/>
    <mergeCell ref="Y523:Z523"/>
    <mergeCell ref="AA523:AD523"/>
    <mergeCell ref="AE523:AH523"/>
    <mergeCell ref="Y515:Z516"/>
    <mergeCell ref="AA515:AD516"/>
    <mergeCell ref="Y530:Z530"/>
    <mergeCell ref="AA530:AD530"/>
    <mergeCell ref="AE530:AH530"/>
    <mergeCell ref="Y532:Z532"/>
    <mergeCell ref="AA532:AD532"/>
    <mergeCell ref="AE532:AH532"/>
    <mergeCell ref="Y533:Z533"/>
    <mergeCell ref="AA533:AD533"/>
    <mergeCell ref="AE533:AH533"/>
    <mergeCell ref="AA536:AD536"/>
    <mergeCell ref="AE536:AH536"/>
    <mergeCell ref="Y524:Z524"/>
    <mergeCell ref="AA524:AD524"/>
    <mergeCell ref="AE524:AH524"/>
    <mergeCell ref="Y525:Z525"/>
    <mergeCell ref="AA525:AD525"/>
    <mergeCell ref="AE525:AH525"/>
    <mergeCell ref="Y526:Z526"/>
    <mergeCell ref="AA526:AD526"/>
    <mergeCell ref="AE526:AH526"/>
    <mergeCell ref="Y527:Z527"/>
    <mergeCell ref="AA527:AD527"/>
    <mergeCell ref="AE527:AH527"/>
    <mergeCell ref="Y528:Z528"/>
    <mergeCell ref="AA528:AD528"/>
    <mergeCell ref="AE528:AH528"/>
    <mergeCell ref="Y529:Z529"/>
    <mergeCell ref="AA529:AD529"/>
    <mergeCell ref="AE529:AH529"/>
    <mergeCell ref="B24:D24"/>
    <mergeCell ref="E24:F24"/>
    <mergeCell ref="G24:J24"/>
    <mergeCell ref="K24:N24"/>
    <mergeCell ref="O24:P24"/>
    <mergeCell ref="Q24:T24"/>
    <mergeCell ref="U24:X24"/>
    <mergeCell ref="Y24:Z24"/>
    <mergeCell ref="AA24:AD24"/>
    <mergeCell ref="AE24:AH24"/>
    <mergeCell ref="B25:D25"/>
    <mergeCell ref="E25:F25"/>
    <mergeCell ref="G25:J25"/>
    <mergeCell ref="K25:N25"/>
    <mergeCell ref="O25:P25"/>
    <mergeCell ref="Q25:T25"/>
    <mergeCell ref="U25:X25"/>
    <mergeCell ref="Y25:Z25"/>
    <mergeCell ref="AA25:AD25"/>
    <mergeCell ref="AE25:AH25"/>
    <mergeCell ref="B26:D26"/>
    <mergeCell ref="E26:F26"/>
    <mergeCell ref="G26:J26"/>
    <mergeCell ref="K26:N26"/>
    <mergeCell ref="O26:P26"/>
    <mergeCell ref="Q26:T26"/>
    <mergeCell ref="U26:X26"/>
    <mergeCell ref="Y26:Z26"/>
    <mergeCell ref="AA26:AD26"/>
    <mergeCell ref="AE26:AH26"/>
    <mergeCell ref="B18:D18"/>
    <mergeCell ref="E18:F18"/>
    <mergeCell ref="G18:J18"/>
    <mergeCell ref="K18:N18"/>
    <mergeCell ref="O18:P18"/>
    <mergeCell ref="Q18:T18"/>
    <mergeCell ref="U18:X18"/>
    <mergeCell ref="Y18:Z18"/>
    <mergeCell ref="AA18:AD18"/>
    <mergeCell ref="AE18:AH18"/>
    <mergeCell ref="B19:D19"/>
    <mergeCell ref="E19:F19"/>
    <mergeCell ref="G19:J19"/>
    <mergeCell ref="K19:N19"/>
    <mergeCell ref="O19:P19"/>
    <mergeCell ref="Q19:T19"/>
    <mergeCell ref="U19:X19"/>
    <mergeCell ref="Y19:Z19"/>
    <mergeCell ref="AA19:AD19"/>
    <mergeCell ref="AE19:AH19"/>
    <mergeCell ref="B20:D20"/>
    <mergeCell ref="E20:F20"/>
    <mergeCell ref="G20:J20"/>
    <mergeCell ref="K20:N20"/>
    <mergeCell ref="O20:P20"/>
    <mergeCell ref="Q20:T20"/>
    <mergeCell ref="U20:X20"/>
    <mergeCell ref="Y20:Z20"/>
    <mergeCell ref="AA20:AD20"/>
    <mergeCell ref="AE20:AH20"/>
    <mergeCell ref="B21:D21"/>
    <mergeCell ref="E21:F21"/>
    <mergeCell ref="G21:J21"/>
    <mergeCell ref="K21:N21"/>
    <mergeCell ref="O21:P21"/>
    <mergeCell ref="Q21:T21"/>
    <mergeCell ref="U21:X21"/>
    <mergeCell ref="Y21:Z21"/>
    <mergeCell ref="AA21:AD21"/>
    <mergeCell ref="AE21:AH21"/>
    <mergeCell ref="B22:D22"/>
    <mergeCell ref="E22:F22"/>
    <mergeCell ref="G22:J22"/>
    <mergeCell ref="K22:N22"/>
    <mergeCell ref="O22:P22"/>
    <mergeCell ref="Q22:T22"/>
    <mergeCell ref="U22:X22"/>
    <mergeCell ref="Y22:Z22"/>
    <mergeCell ref="AA22:AD22"/>
    <mergeCell ref="AE22:AH22"/>
    <mergeCell ref="B23:D23"/>
    <mergeCell ref="E23:F23"/>
    <mergeCell ref="G23:J23"/>
    <mergeCell ref="K23:N23"/>
    <mergeCell ref="O23:P23"/>
    <mergeCell ref="Q23:T23"/>
    <mergeCell ref="U23:X23"/>
    <mergeCell ref="Y23:Z23"/>
    <mergeCell ref="AA23:AD23"/>
    <mergeCell ref="AE23:AH23"/>
    <mergeCell ref="G49:J49"/>
    <mergeCell ref="K49:N49"/>
    <mergeCell ref="O49:P49"/>
    <mergeCell ref="Q49:T49"/>
    <mergeCell ref="U49:X49"/>
    <mergeCell ref="Y49:Z49"/>
    <mergeCell ref="AA49:AD49"/>
    <mergeCell ref="AE49:AH49"/>
    <mergeCell ref="B46:D46"/>
    <mergeCell ref="E46:F46"/>
    <mergeCell ref="G46:J46"/>
    <mergeCell ref="K46:N46"/>
    <mergeCell ref="O46:P46"/>
    <mergeCell ref="Q46:T46"/>
    <mergeCell ref="U46:X46"/>
    <mergeCell ref="Y46:Z46"/>
    <mergeCell ref="AA46:AD46"/>
    <mergeCell ref="AE46:AH46"/>
    <mergeCell ref="B47:D47"/>
    <mergeCell ref="E47:F47"/>
    <mergeCell ref="G47:J47"/>
    <mergeCell ref="K47:N47"/>
    <mergeCell ref="O47:P47"/>
    <mergeCell ref="Q47:T47"/>
    <mergeCell ref="U47:X47"/>
    <mergeCell ref="Y47:Z47"/>
    <mergeCell ref="AA47:AD47"/>
    <mergeCell ref="AE47:AH47"/>
    <mergeCell ref="B40:D40"/>
    <mergeCell ref="E40:F40"/>
    <mergeCell ref="G40:J40"/>
    <mergeCell ref="K40:N40"/>
    <mergeCell ref="O40:P40"/>
    <mergeCell ref="Q40:T40"/>
    <mergeCell ref="U40:X40"/>
    <mergeCell ref="Y40:Z40"/>
    <mergeCell ref="AA40:AD40"/>
    <mergeCell ref="AE40:AH40"/>
    <mergeCell ref="B41:D41"/>
    <mergeCell ref="E41:F41"/>
    <mergeCell ref="G41:J41"/>
    <mergeCell ref="K41:N41"/>
    <mergeCell ref="O41:P41"/>
    <mergeCell ref="Q41:T41"/>
    <mergeCell ref="U41:X41"/>
    <mergeCell ref="Y41:Z41"/>
    <mergeCell ref="AA41:AD41"/>
    <mergeCell ref="AE41:AH41"/>
    <mergeCell ref="B42:D42"/>
    <mergeCell ref="E42:F42"/>
    <mergeCell ref="G42:J42"/>
    <mergeCell ref="K42:N42"/>
    <mergeCell ref="O42:P42"/>
    <mergeCell ref="Q42:T42"/>
    <mergeCell ref="U42:X42"/>
    <mergeCell ref="Y42:Z42"/>
    <mergeCell ref="AA42:AD42"/>
    <mergeCell ref="AE42:AH42"/>
    <mergeCell ref="B43:D43"/>
    <mergeCell ref="E43:F43"/>
    <mergeCell ref="G43:J43"/>
    <mergeCell ref="K43:N43"/>
    <mergeCell ref="O43:P43"/>
    <mergeCell ref="Q43:T43"/>
    <mergeCell ref="U43:X43"/>
    <mergeCell ref="Y43:Z43"/>
    <mergeCell ref="AA43:AD43"/>
    <mergeCell ref="AE43:AH43"/>
    <mergeCell ref="B44:D44"/>
    <mergeCell ref="E44:F44"/>
    <mergeCell ref="G44:J44"/>
    <mergeCell ref="K44:N44"/>
    <mergeCell ref="O44:P44"/>
    <mergeCell ref="Q44:T44"/>
    <mergeCell ref="U44:X44"/>
    <mergeCell ref="Y44:Z44"/>
    <mergeCell ref="AA44:AD44"/>
    <mergeCell ref="AE44:AH44"/>
    <mergeCell ref="B78:D78"/>
    <mergeCell ref="E78:F78"/>
    <mergeCell ref="G78:J78"/>
    <mergeCell ref="K78:N78"/>
    <mergeCell ref="O78:P78"/>
    <mergeCell ref="Q78:T78"/>
    <mergeCell ref="U78:X78"/>
    <mergeCell ref="Y78:Z78"/>
    <mergeCell ref="AA78:AD78"/>
    <mergeCell ref="AE78:AH78"/>
    <mergeCell ref="B48:D48"/>
    <mergeCell ref="E48:F48"/>
    <mergeCell ref="G48:J48"/>
    <mergeCell ref="K48:N48"/>
    <mergeCell ref="O48:P48"/>
    <mergeCell ref="Q48:T48"/>
    <mergeCell ref="U48:X48"/>
    <mergeCell ref="Y48:Z48"/>
    <mergeCell ref="AA48:AD48"/>
    <mergeCell ref="AE48:AH48"/>
    <mergeCell ref="B49:D49"/>
    <mergeCell ref="E49:F49"/>
    <mergeCell ref="B90:E90"/>
    <mergeCell ref="F90:G90"/>
    <mergeCell ref="H90:J90"/>
    <mergeCell ref="K90:N90"/>
    <mergeCell ref="O90:Q90"/>
    <mergeCell ref="R90:U90"/>
    <mergeCell ref="V90:Y90"/>
    <mergeCell ref="Z90:AA90"/>
    <mergeCell ref="AB90:AE90"/>
    <mergeCell ref="AF90:AI90"/>
    <mergeCell ref="B91:E91"/>
    <mergeCell ref="F91:G91"/>
    <mergeCell ref="H91:J91"/>
    <mergeCell ref="K91:N91"/>
    <mergeCell ref="O91:Q91"/>
    <mergeCell ref="R91:U91"/>
    <mergeCell ref="V91:Y91"/>
    <mergeCell ref="Z91:AA91"/>
    <mergeCell ref="AB91:AE91"/>
    <mergeCell ref="AF91:AI91"/>
    <mergeCell ref="B92:E92"/>
    <mergeCell ref="F92:G92"/>
    <mergeCell ref="H92:J92"/>
    <mergeCell ref="K92:N92"/>
    <mergeCell ref="O92:Q92"/>
    <mergeCell ref="R92:U92"/>
    <mergeCell ref="V92:Y92"/>
    <mergeCell ref="Z92:AA92"/>
    <mergeCell ref="AB92:AE92"/>
    <mergeCell ref="AF92:AI92"/>
    <mergeCell ref="B93:E93"/>
    <mergeCell ref="F93:G93"/>
    <mergeCell ref="H93:J93"/>
    <mergeCell ref="K93:N93"/>
    <mergeCell ref="O93:Q93"/>
    <mergeCell ref="R93:U93"/>
    <mergeCell ref="V93:Y93"/>
    <mergeCell ref="Z93:AA93"/>
    <mergeCell ref="AB93:AE93"/>
    <mergeCell ref="AF93:AI93"/>
    <mergeCell ref="V100:Y100"/>
    <mergeCell ref="Z100:AA100"/>
    <mergeCell ref="AB100:AE100"/>
    <mergeCell ref="AF100:AI100"/>
    <mergeCell ref="B94:E94"/>
    <mergeCell ref="F94:G94"/>
    <mergeCell ref="H94:J94"/>
    <mergeCell ref="K94:N94"/>
    <mergeCell ref="O94:Q94"/>
    <mergeCell ref="R94:U94"/>
    <mergeCell ref="V94:Y94"/>
    <mergeCell ref="Z94:AA94"/>
    <mergeCell ref="AB94:AE94"/>
    <mergeCell ref="AF94:AI94"/>
    <mergeCell ref="B97:E97"/>
    <mergeCell ref="F97:G97"/>
    <mergeCell ref="H97:J97"/>
    <mergeCell ref="K97:N97"/>
    <mergeCell ref="O97:Q97"/>
    <mergeCell ref="R97:U97"/>
    <mergeCell ref="V97:Y97"/>
    <mergeCell ref="Z97:AA97"/>
    <mergeCell ref="AB97:AE97"/>
    <mergeCell ref="AF97:AI97"/>
    <mergeCell ref="K118:L118"/>
    <mergeCell ref="M118:O118"/>
    <mergeCell ref="P118:T118"/>
    <mergeCell ref="U118:W118"/>
    <mergeCell ref="X118:AB118"/>
    <mergeCell ref="C119:J119"/>
    <mergeCell ref="K119:L119"/>
    <mergeCell ref="M119:O119"/>
    <mergeCell ref="P119:T119"/>
    <mergeCell ref="U119:W119"/>
    <mergeCell ref="X119:AB119"/>
    <mergeCell ref="R98:U98"/>
    <mergeCell ref="V98:Y98"/>
    <mergeCell ref="Z98:AA98"/>
    <mergeCell ref="AB98:AE98"/>
    <mergeCell ref="AF98:AI98"/>
    <mergeCell ref="B99:E99"/>
    <mergeCell ref="F99:G99"/>
    <mergeCell ref="H99:J99"/>
    <mergeCell ref="K99:N99"/>
    <mergeCell ref="O99:Q99"/>
    <mergeCell ref="R99:U99"/>
    <mergeCell ref="V99:Y99"/>
    <mergeCell ref="Z99:AA99"/>
    <mergeCell ref="AB99:AE99"/>
    <mergeCell ref="AF99:AI99"/>
    <mergeCell ref="B100:E100"/>
    <mergeCell ref="F100:G100"/>
    <mergeCell ref="H100:J100"/>
    <mergeCell ref="K100:N100"/>
    <mergeCell ref="O100:Q100"/>
    <mergeCell ref="R100:U100"/>
    <mergeCell ref="C123:J123"/>
    <mergeCell ref="K123:L123"/>
    <mergeCell ref="M123:O123"/>
    <mergeCell ref="P123:T123"/>
    <mergeCell ref="U123:W123"/>
    <mergeCell ref="X123:AB123"/>
    <mergeCell ref="C120:J120"/>
    <mergeCell ref="K120:L120"/>
    <mergeCell ref="M120:O120"/>
    <mergeCell ref="P120:T120"/>
    <mergeCell ref="U120:W120"/>
    <mergeCell ref="X120:AB120"/>
    <mergeCell ref="C137:J137"/>
    <mergeCell ref="K137:L137"/>
    <mergeCell ref="M137:O137"/>
    <mergeCell ref="P137:T137"/>
    <mergeCell ref="U137:W137"/>
    <mergeCell ref="X137:AB137"/>
    <mergeCell ref="C121:J121"/>
    <mergeCell ref="K121:L121"/>
    <mergeCell ref="M121:O121"/>
    <mergeCell ref="P121:T121"/>
    <mergeCell ref="U121:W121"/>
    <mergeCell ref="X121:AB121"/>
    <mergeCell ref="C122:J122"/>
    <mergeCell ref="K122:L122"/>
    <mergeCell ref="M122:O122"/>
    <mergeCell ref="P122:T122"/>
    <mergeCell ref="U122:W122"/>
    <mergeCell ref="X122:AB122"/>
    <mergeCell ref="C126:J126"/>
    <mergeCell ref="K124:L124"/>
    <mergeCell ref="C138:J138"/>
    <mergeCell ref="K138:L138"/>
    <mergeCell ref="M138:O138"/>
    <mergeCell ref="P138:T138"/>
    <mergeCell ref="U138:W138"/>
    <mergeCell ref="X138:AB138"/>
    <mergeCell ref="C139:J139"/>
    <mergeCell ref="K139:L139"/>
    <mergeCell ref="M139:O139"/>
    <mergeCell ref="P139:T139"/>
    <mergeCell ref="U139:W139"/>
    <mergeCell ref="X139:AB139"/>
    <mergeCell ref="C134:J134"/>
    <mergeCell ref="K134:L134"/>
    <mergeCell ref="M134:O134"/>
    <mergeCell ref="P134:T134"/>
    <mergeCell ref="U134:W134"/>
    <mergeCell ref="X134:AB134"/>
    <mergeCell ref="C135:J135"/>
    <mergeCell ref="K135:L135"/>
    <mergeCell ref="M135:O135"/>
    <mergeCell ref="P135:T135"/>
    <mergeCell ref="U135:W135"/>
    <mergeCell ref="X135:AB135"/>
    <mergeCell ref="C136:J136"/>
    <mergeCell ref="K136:L136"/>
    <mergeCell ref="M136:O136"/>
    <mergeCell ref="P136:T136"/>
    <mergeCell ref="U136:W136"/>
    <mergeCell ref="X136:AB136"/>
  </mergeCells>
  <hyperlinks>
    <hyperlink ref="P5" location="'OVERSEAS INCOME'!A455" display="Irregular Income"/>
  </hyperlinks>
  <printOptions horizontalCentered="1"/>
  <pageMargins left="0.31496062992125984" right="0.35433070866141736" top="0.82677165354330717" bottom="0.78740157480314965" header="0.51181102362204722" footer="0.3"/>
  <pageSetup paperSize="5" scale="64" orientation="portrait"/>
  <headerFooter alignWithMargins="0">
    <oddHeader>&amp;R&amp;"Arial,Bold"&amp;14C.2.2.&amp;P</oddHeader>
    <oddFooter>&amp;R&amp;8Printed on &amp;D, &amp;T</oddFooter>
  </headerFooter>
  <rowBreaks count="8" manualBreakCount="8">
    <brk id="84" max="34" man="1"/>
    <brk id="158" max="34" man="1"/>
    <brk id="260" max="34" man="1"/>
    <brk id="309" max="34" man="1"/>
    <brk id="411" max="34" man="1"/>
    <brk id="460" max="34" man="1"/>
    <brk id="562" max="34" man="1"/>
    <brk id="611" max="34" man="1"/>
  </rowBreak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</sheetPr>
  <dimension ref="A1:DF157"/>
  <sheetViews>
    <sheetView showGridLines="0" zoomScale="80" zoomScaleNormal="80" zoomScaleSheetLayoutView="80" view="pageBreakPreview" workbookViewId="0">
      <selection pane="topLeft" activeCell="AB49" sqref="AB49"/>
    </sheetView>
  </sheetViews>
  <sheetFormatPr defaultColWidth="9.13671875" defaultRowHeight="12.75" baseColWidth="0"/>
  <cols>
    <col min="1" max="1" width="6.13671875" style="1121" customWidth="1"/>
    <col min="2" max="2" width="15.421875" style="1140" customWidth="1"/>
    <col min="3" max="3" width="32.421875" style="237" customWidth="1"/>
    <col min="4" max="4" width="15.13671875" style="1157" customWidth="1"/>
    <col min="5" max="5" width="40.7109375" style="237" hidden="1" customWidth="1"/>
    <col min="6" max="6" width="21.7109375" style="237" customWidth="1"/>
    <col min="7" max="7" width="13.13671875" style="237" customWidth="1"/>
    <col min="8" max="8" width="20.13671875" style="237" customWidth="1"/>
    <col min="9" max="9" width="14.421875" style="1481" customWidth="1"/>
    <col min="10" max="10" width="10.99609375" style="237" bestFit="1" customWidth="1"/>
    <col min="11" max="11" width="18.7109375" style="237" customWidth="1"/>
    <col min="12" max="12" width="24.7109375" style="237" customWidth="1"/>
    <col min="13" max="13" width="19.99609375" style="237" bestFit="1" customWidth="1"/>
    <col min="14" max="14" width="11.13671875" style="237" hidden="1" customWidth="1"/>
    <col min="15" max="15" width="29.7109375" style="237" hidden="1" customWidth="1"/>
    <col min="16" max="16" width="36.7109375" style="237" hidden="1" customWidth="1"/>
    <col min="17" max="17" width="39.13671875" style="237" hidden="1" customWidth="1"/>
    <col min="18" max="18" width="7.13671875" style="237" hidden="1" customWidth="1"/>
    <col min="19" max="19" width="23.13671875" style="237" hidden="1" customWidth="1"/>
    <col min="20" max="20" width="15.99609375" style="237" hidden="1" customWidth="1"/>
    <col min="21" max="21" width="4.7109375" style="237" hidden="1" customWidth="1"/>
    <col min="22" max="22" width="2.99609375" style="237" customWidth="1"/>
    <col min="23" max="23" width="7.421875" style="1230" customWidth="1"/>
    <col min="24" max="24" width="7.421875" style="1230" hidden="1" customWidth="1"/>
    <col min="25" max="25" width="26.13671875" style="423" customWidth="1"/>
    <col min="26" max="26" width="24.13671875" style="423" hidden="1" customWidth="1"/>
    <col min="27" max="27" width="18.7109375" style="1231" customWidth="1"/>
    <col min="28" max="28" width="22.13671875" style="1230" customWidth="1"/>
    <col min="29" max="29" width="5.421875" style="423" customWidth="1"/>
    <col min="30" max="39" width="5.421875" style="237" hidden="1" customWidth="1"/>
    <col min="40" max="40" width="5.421875" style="1094" hidden="1" customWidth="1"/>
    <col min="41" max="41" width="6.421875" style="237" hidden="1" customWidth="1"/>
    <col min="42" max="42" width="24.421875" style="1073" hidden="1" customWidth="1"/>
    <col min="43" max="44" width="9.99609375" style="1074" hidden="1" customWidth="1"/>
    <col min="45" max="45" width="9.99609375" style="237" hidden="1" customWidth="1"/>
    <col min="46" max="46" width="21.421875" style="1074" hidden="1" customWidth="1"/>
    <col min="47" max="47" width="11.7109375" style="1074" hidden="1" customWidth="1"/>
    <col min="48" max="48" width="14.99609375" style="1074" hidden="1" customWidth="1"/>
    <col min="49" max="49" width="16.13671875" style="237" hidden="1" customWidth="1"/>
    <col min="50" max="50" width="4.13671875" style="237" hidden="1" customWidth="1"/>
    <col min="51" max="51" width="9.99609375" style="237" hidden="1" customWidth="1"/>
    <col min="52" max="52" width="6.421875" style="237" hidden="1" customWidth="1"/>
    <col min="53" max="53" width="28.421875" style="237" hidden="1" customWidth="1"/>
    <col min="54" max="54" width="7.7109375" style="237" hidden="1" customWidth="1"/>
    <col min="55" max="55" width="37.421875" style="237" hidden="1" customWidth="1"/>
    <col min="56" max="56" width="11.7109375" style="237" hidden="1" customWidth="1"/>
    <col min="57" max="57" width="14.7109375" style="1121" hidden="1" customWidth="1"/>
    <col min="58" max="58" width="12.7109375" style="1121" hidden="1" customWidth="1"/>
    <col min="59" max="59" width="16.7109375" style="1124" hidden="1" customWidth="1"/>
    <col min="60" max="60" width="16.13671875" style="1074" hidden="1" customWidth="1"/>
    <col min="61" max="61" width="5.7109375" style="250" hidden="1" customWidth="1"/>
    <col min="62" max="62" width="5.7109375" style="1098" hidden="1" customWidth="1"/>
    <col min="63" max="63" width="8.7109375" style="1109" hidden="1" customWidth="1"/>
    <col min="64" max="64" width="7.7109375" style="1113" hidden="1" customWidth="1"/>
    <col min="65" max="65" width="8.7109375" style="237" hidden="1" customWidth="1"/>
    <col min="66" max="66" width="8.7109375" style="1100" hidden="1" customWidth="1"/>
    <col min="67" max="67" width="9.13671875" style="1118" hidden="1" customWidth="1"/>
    <col min="68" max="68" width="7.421875" style="237" hidden="1" customWidth="1"/>
    <col min="69" max="69" width="7.99609375" style="1109" hidden="1" customWidth="1"/>
    <col min="70" max="70" width="8.7109375" style="1102" hidden="1" customWidth="1"/>
    <col min="71" max="71" width="8.13671875" style="1102" hidden="1" customWidth="1"/>
    <col min="72" max="72" width="5.421875" style="1102" hidden="1" customWidth="1"/>
    <col min="73" max="73" width="20.7109375" style="1098" hidden="1" customWidth="1"/>
    <col min="74" max="75" width="10.7109375" style="1098" hidden="1" customWidth="1"/>
    <col min="76" max="76" width="10.7109375" style="1146" hidden="1" customWidth="1"/>
    <col min="77" max="77" width="11.99609375" style="1098" hidden="1" customWidth="1"/>
    <col min="78" max="78" width="10.7109375" style="1144" hidden="1" customWidth="1"/>
    <col min="79" max="80" width="20.7109375" style="1107" hidden="1" customWidth="1"/>
    <col min="81" max="81" width="9.421875" style="1110" hidden="1" customWidth="1"/>
    <col min="82" max="82" width="21.7109375" style="237" hidden="1" customWidth="1"/>
    <col min="83" max="83" width="8.7109375" hidden="1" customWidth="1"/>
    <col min="84" max="84" width="44.421875" hidden="1" customWidth="1"/>
    <col min="85" max="85" width="11.99609375" style="22" hidden="1" customWidth="1"/>
    <col min="86" max="86" width="10.13671875" hidden="1" customWidth="1"/>
    <col min="87" max="87" width="10.13671875" style="1139" hidden="1" customWidth="1"/>
    <col min="88" max="88" width="16.7109375" style="237" hidden="1" customWidth="1"/>
    <col min="89" max="89" width="13.7109375" style="237" hidden="1" customWidth="1"/>
    <col min="90" max="90" width="3.421875" style="237" hidden="1" customWidth="1"/>
    <col min="91" max="91" width="4.421875" style="1131" hidden="1" customWidth="1"/>
    <col min="92" max="92" width="4.421875" style="1121" hidden="1" customWidth="1"/>
    <col min="93" max="93" width="3.421875" style="1121" hidden="1" customWidth="1"/>
    <col min="94" max="94" width="8.7109375" style="1121" hidden="1" customWidth="1"/>
    <col min="95" max="95" width="12.421875" style="237" hidden="1" customWidth="1"/>
    <col min="96" max="96" width="4.421875" style="237" hidden="1" customWidth="1"/>
    <col min="97" max="97" width="7.13671875" style="1133" hidden="1" customWidth="1"/>
    <col min="98" max="98" width="3.421875" style="237" hidden="1" customWidth="1"/>
    <col min="99" max="99" width="4.99609375" style="1109" hidden="1" customWidth="1"/>
    <col min="100" max="100" width="7.13671875" style="237" hidden="1" customWidth="1"/>
    <col min="101" max="101" width="8.7109375" style="237" hidden="1" customWidth="1"/>
    <col min="102" max="102" width="7.7109375" style="1109" hidden="1" customWidth="1"/>
    <col min="103" max="103" width="22.13671875" style="237" hidden="1" customWidth="1"/>
    <col min="104" max="104" width="5.421875" style="237" hidden="1" customWidth="1"/>
    <col min="105" max="105" width="22.7109375" style="237" hidden="1" customWidth="1"/>
    <col min="106" max="106" width="9.99609375" style="237" hidden="1" customWidth="1"/>
    <col min="107" max="107" width="11.99609375" style="237" hidden="1" customWidth="1"/>
    <col min="108" max="108" width="4.13671875" style="237" hidden="1" customWidth="1"/>
    <col min="109" max="109" width="10.7109375" style="237" hidden="1" customWidth="1"/>
    <col min="110" max="110" width="12.99609375" style="237" hidden="1" customWidth="1"/>
    <col min="111" max="111" width="4.99609375" style="237" hidden="1" customWidth="1"/>
    <col min="112" max="112" width="16.99609375" style="237" hidden="1" customWidth="1"/>
    <col min="113" max="114" width="5.421875" style="237" hidden="1" customWidth="1"/>
    <col min="115" max="16383" width="3.421875" style="237" hidden="1" customWidth="1"/>
    <col min="16384" max="16384" width="0.42578125" style="237" hidden="1" customWidth="1"/>
  </cols>
  <sheetData>
    <row r="1" spans="1:36" ht="33" customHeight="1">
      <c r="A1" s="2044" t="s">
        <v>338</v>
      </c>
      <c r="B1" s="2044"/>
      <c r="C1" s="2044"/>
      <c r="D1" s="2044"/>
      <c r="E1" s="2044"/>
      <c r="F1" s="2044"/>
      <c r="G1" s="2044"/>
      <c r="H1" s="2044"/>
      <c r="I1" s="2044"/>
      <c r="J1" s="2044"/>
      <c r="K1" s="2044"/>
      <c r="L1" s="2044"/>
      <c r="M1" s="2044"/>
      <c r="W1" s="2044" t="s">
        <v>1318</v>
      </c>
      <c r="X1" s="2044"/>
      <c r="Y1" s="2044"/>
      <c r="Z1" s="2044"/>
      <c r="AA1" s="2044"/>
      <c r="AB1" s="2044"/>
      <c r="AC1" s="423"/>
      <c r="AD1" s="1289"/>
      <c r="AE1" s="1289"/>
      <c r="AF1" s="1289"/>
      <c r="AG1" s="1289"/>
      <c r="AH1" s="1289"/>
      <c r="AI1" s="1289"/>
      <c r="AJ1" s="1289"/>
    </row>
    <row r="2" spans="1:29" ht="18" customHeight="1">
      <c r="A2" s="1217" t="s">
        <v>339</v>
      </c>
      <c r="B2" s="1503"/>
      <c r="C2" s="863"/>
      <c r="D2" s="1152"/>
      <c r="E2" s="863"/>
      <c r="F2" s="863"/>
      <c r="G2" s="863"/>
      <c r="H2" s="863"/>
      <c r="I2" s="1470"/>
      <c r="J2" s="864"/>
      <c r="K2" s="864"/>
      <c r="L2" s="864"/>
      <c r="M2" s="864"/>
      <c r="W2" s="2043" t="s">
        <v>1319</v>
      </c>
      <c r="X2" s="2043"/>
      <c r="Y2" s="2043"/>
      <c r="Z2" s="2043"/>
      <c r="AA2" s="2043"/>
      <c r="AB2" s="2043"/>
      <c r="AC2" s="423"/>
    </row>
    <row r="3" spans="1:102" s="237" customFormat="1">
      <c r="A3" s="865"/>
      <c r="B3" s="1504"/>
      <c r="C3" s="865"/>
      <c r="D3" s="1153"/>
      <c r="E3" s="865"/>
      <c r="F3" s="865"/>
      <c r="G3" s="865"/>
      <c r="H3" s="865"/>
      <c r="I3" s="1471"/>
      <c r="J3" s="763"/>
      <c r="K3" s="763"/>
      <c r="L3" s="763"/>
      <c r="M3" s="763"/>
      <c r="V3" s="237"/>
      <c r="W3" s="1230"/>
      <c r="X3" s="1230"/>
      <c r="Y3" s="423"/>
      <c r="Z3" s="423"/>
      <c r="AA3" s="1231"/>
      <c r="AB3" s="1230"/>
      <c r="AC3" s="423"/>
      <c r="AF3" s="237"/>
      <c r="AG3" s="237"/>
      <c r="AN3" s="1094"/>
      <c r="AP3" s="1073"/>
      <c r="AQ3" s="1074"/>
      <c r="AR3" s="1074"/>
      <c r="AS3" s="237"/>
      <c r="AT3" s="1074"/>
      <c r="AU3" s="1074"/>
      <c r="AV3" s="1074"/>
      <c r="BE3" s="1121"/>
      <c r="BF3" s="1121"/>
      <c r="BG3" s="1124"/>
      <c r="BH3" s="1074"/>
      <c r="BI3" s="250"/>
      <c r="BJ3" s="1098"/>
      <c r="BK3" s="1109"/>
      <c r="BL3" s="1113"/>
      <c r="BM3" s="237"/>
      <c r="BN3" s="1100"/>
      <c r="BO3" s="1119"/>
      <c r="BP3" s="237"/>
      <c r="BQ3" s="1109"/>
      <c r="BR3" s="1102"/>
      <c r="BS3" s="1102"/>
      <c r="BT3" s="1102"/>
      <c r="BU3" s="1098"/>
      <c r="BV3" s="1098"/>
      <c r="BW3" s="1098"/>
      <c r="BX3" s="1146"/>
      <c r="BY3" s="1098"/>
      <c r="BZ3" s="1144"/>
      <c r="CA3" s="1107"/>
      <c r="CB3" s="1107"/>
      <c r="CC3" s="1110"/>
      <c r="CG3" s="1121"/>
      <c r="CI3" s="1140"/>
      <c r="CM3" s="1131"/>
      <c r="CN3" s="1121"/>
      <c r="CO3" s="1121"/>
      <c r="CP3" s="1121"/>
      <c r="CS3" s="1133"/>
      <c r="CU3" s="1109"/>
      <c r="CW3" s="237"/>
      <c r="CX3" s="1109"/>
    </row>
    <row r="4" spans="1:102" s="237" customFormat="1" ht="13.5" customHeight="1">
      <c r="A4" s="866" t="s">
        <v>838</v>
      </c>
      <c r="B4" s="1505"/>
      <c r="C4" s="865"/>
      <c r="D4" s="1153"/>
      <c r="E4" s="865"/>
      <c r="F4" s="865"/>
      <c r="G4" s="865"/>
      <c r="H4" s="865"/>
      <c r="I4" s="1471"/>
      <c r="J4" s="763"/>
      <c r="K4" s="763"/>
      <c r="L4" s="763"/>
      <c r="M4" s="763"/>
      <c r="V4" s="237"/>
      <c r="W4" s="1230"/>
      <c r="X4" s="1230"/>
      <c r="Y4" s="423"/>
      <c r="Z4" s="423"/>
      <c r="AA4" s="1231"/>
      <c r="AB4" s="1230"/>
      <c r="AC4" s="423"/>
      <c r="AF4" s="237"/>
      <c r="AG4" s="237"/>
      <c r="AN4" s="1094"/>
      <c r="AP4" s="1073"/>
      <c r="AQ4" s="1074"/>
      <c r="AR4" s="1074"/>
      <c r="AS4" s="237"/>
      <c r="AT4" s="1074"/>
      <c r="AU4" s="1074"/>
      <c r="AV4" s="1074"/>
      <c r="BE4" s="1121"/>
      <c r="BF4" s="1121"/>
      <c r="BG4" s="1124"/>
      <c r="BH4" s="1074"/>
      <c r="BI4" s="250"/>
      <c r="BJ4" s="1098"/>
      <c r="BK4" s="1109"/>
      <c r="BL4" s="1113"/>
      <c r="BM4" s="237"/>
      <c r="BN4" s="1100"/>
      <c r="BO4" s="1119"/>
      <c r="BP4" s="237"/>
      <c r="BQ4" s="1109"/>
      <c r="BR4" s="1102"/>
      <c r="BS4" s="1102"/>
      <c r="BT4" s="1102"/>
      <c r="BU4" s="1098"/>
      <c r="BV4" s="1098"/>
      <c r="BW4" s="1098"/>
      <c r="BX4" s="1146"/>
      <c r="BY4" s="1098"/>
      <c r="BZ4" s="1144"/>
      <c r="CA4" s="1107"/>
      <c r="CB4" s="1107"/>
      <c r="CC4" s="1110"/>
      <c r="CG4" s="1121"/>
      <c r="CI4" s="1140"/>
      <c r="CM4" s="1131"/>
      <c r="CN4" s="1121"/>
      <c r="CO4" s="1121"/>
      <c r="CP4" s="1121"/>
      <c r="CS4" s="1133"/>
      <c r="CU4" s="1109"/>
      <c r="CW4" s="237"/>
      <c r="CX4" s="1109"/>
    </row>
    <row r="5" spans="1:102" s="237" customFormat="1" ht="13.5" customHeight="1" thickBot="1">
      <c r="A5" s="1215"/>
      <c r="B5" s="1505"/>
      <c r="C5" s="865"/>
      <c r="D5" s="1153"/>
      <c r="E5" s="865"/>
      <c r="F5" s="865"/>
      <c r="G5" s="865"/>
      <c r="H5" s="865"/>
      <c r="I5" s="1471"/>
      <c r="J5" s="763"/>
      <c r="K5" s="763"/>
      <c r="L5" s="763"/>
      <c r="M5" s="763"/>
      <c r="V5" s="237"/>
      <c r="W5" s="1230"/>
      <c r="X5" s="1230"/>
      <c r="Y5" s="423"/>
      <c r="Z5" s="423"/>
      <c r="AA5" s="1231"/>
      <c r="AB5" s="1230"/>
      <c r="AC5" s="423"/>
      <c r="AF5" s="237"/>
      <c r="AG5" s="237"/>
      <c r="AN5" s="1094"/>
      <c r="AP5" s="1073"/>
      <c r="AQ5" s="1074"/>
      <c r="AR5" s="1074"/>
      <c r="AS5" s="237"/>
      <c r="AT5" s="1074"/>
      <c r="AU5" s="1074"/>
      <c r="AV5" s="1074"/>
      <c r="AY5" s="2045" t="s">
        <v>1111</v>
      </c>
      <c r="AZ5" s="2045"/>
      <c r="BA5" s="2045"/>
      <c r="BB5" s="2045"/>
      <c r="BC5" s="2045"/>
      <c r="BD5" s="2045"/>
      <c r="BE5" s="2045"/>
      <c r="BF5" s="2045"/>
      <c r="BG5" s="2045"/>
      <c r="BH5" s="2045"/>
      <c r="BI5" s="250"/>
      <c r="BJ5" s="1098"/>
      <c r="BK5" s="1109"/>
      <c r="BL5" s="1113"/>
      <c r="BM5" s="237"/>
      <c r="BN5" s="1100"/>
      <c r="BO5" s="1119"/>
      <c r="BP5" s="237"/>
      <c r="BQ5" s="1109"/>
      <c r="BR5" s="1102"/>
      <c r="BS5" s="1102"/>
      <c r="BT5" s="1102"/>
      <c r="BU5" s="1098"/>
      <c r="BV5" s="1098"/>
      <c r="BW5" s="1098"/>
      <c r="BX5" s="1146"/>
      <c r="BY5" s="1098"/>
      <c r="BZ5" s="1144"/>
      <c r="CA5" s="1107"/>
      <c r="CB5" s="1107"/>
      <c r="CC5" s="1110"/>
      <c r="CG5" s="1121"/>
      <c r="CI5" s="1140"/>
      <c r="CM5" s="1131"/>
      <c r="CN5" s="1121"/>
      <c r="CO5" s="1121"/>
      <c r="CP5" s="1121"/>
      <c r="CS5" s="1133"/>
      <c r="CU5" s="1109"/>
      <c r="CW5" s="237"/>
      <c r="CX5" s="1109"/>
    </row>
    <row r="6" spans="1:102" s="252" customFormat="1" ht="13.5" customHeight="1" thickBot="1">
      <c r="A6" s="2032" t="s">
        <v>84</v>
      </c>
      <c r="B6" s="2030" t="s">
        <v>994</v>
      </c>
      <c r="C6" s="2029" t="s">
        <v>340</v>
      </c>
      <c r="D6" s="2034" t="s">
        <v>1090</v>
      </c>
      <c r="E6" s="2015" t="s">
        <v>606</v>
      </c>
      <c r="F6" s="2034" t="s">
        <v>1122</v>
      </c>
      <c r="G6" s="2034" t="s">
        <v>1091</v>
      </c>
      <c r="H6" s="2034" t="s">
        <v>1092</v>
      </c>
      <c r="I6" s="2014" t="s">
        <v>341</v>
      </c>
      <c r="J6" s="2015" t="s">
        <v>342</v>
      </c>
      <c r="K6" s="2015" t="s">
        <v>343</v>
      </c>
      <c r="L6" s="2015"/>
      <c r="M6" s="2016"/>
      <c r="N6" s="252"/>
      <c r="O6" s="1025" t="s">
        <v>1050</v>
      </c>
      <c r="P6" s="1053" t="s">
        <v>995</v>
      </c>
      <c r="Q6" s="1053"/>
      <c r="R6" s="1053" t="s">
        <v>996</v>
      </c>
      <c r="S6" s="1116" t="s">
        <v>1118</v>
      </c>
      <c r="T6" s="1054" t="s">
        <v>997</v>
      </c>
      <c r="U6" s="1054"/>
      <c r="V6" s="237"/>
      <c r="W6" s="2011" t="s">
        <v>339</v>
      </c>
      <c r="X6" s="2011"/>
      <c r="Y6" s="2011"/>
      <c r="Z6" s="1233"/>
      <c r="AA6" s="1234"/>
      <c r="AB6" s="1520"/>
      <c r="AC6" s="423"/>
      <c r="AM6" s="2054" t="s">
        <v>1105</v>
      </c>
      <c r="AN6" s="2054"/>
      <c r="AO6" s="2054"/>
      <c r="AP6" s="2054"/>
      <c r="AQ6" s="2054"/>
      <c r="AR6" s="2054"/>
      <c r="AS6" s="2054"/>
      <c r="AT6" s="2054"/>
      <c r="AU6" s="2054"/>
      <c r="AV6" s="2054"/>
      <c r="AW6" s="2054"/>
      <c r="AY6" s="1502" t="s">
        <v>1102</v>
      </c>
      <c r="AZ6" s="1502"/>
      <c r="BA6" s="1502"/>
      <c r="BB6" s="1502"/>
      <c r="BC6" s="1502"/>
      <c r="BD6" s="1502"/>
      <c r="BE6" s="1502"/>
      <c r="BF6" s="1502"/>
      <c r="BG6" s="1502"/>
      <c r="BH6" s="1502"/>
      <c r="BI6" s="2017" t="s">
        <v>1100</v>
      </c>
      <c r="BJ6" s="2018" t="s">
        <v>1100</v>
      </c>
      <c r="BK6" s="2019"/>
      <c r="BL6" s="2020"/>
      <c r="BM6" s="2017" t="s">
        <v>1116</v>
      </c>
      <c r="BN6" s="2028" t="s">
        <v>1107</v>
      </c>
      <c r="BO6" s="2027" t="s">
        <v>1109</v>
      </c>
      <c r="BP6" s="2017" t="s">
        <v>1106</v>
      </c>
      <c r="BQ6" s="2019" t="s">
        <v>1117</v>
      </c>
      <c r="BR6" s="2024" t="s">
        <v>1102</v>
      </c>
      <c r="BS6" s="2025"/>
      <c r="BT6" s="2025"/>
      <c r="BU6" s="2025"/>
      <c r="BV6" s="2025"/>
      <c r="BW6" s="2025"/>
      <c r="BX6" s="2025"/>
      <c r="BY6" s="2025"/>
      <c r="BZ6" s="2025"/>
      <c r="CA6" s="2025"/>
      <c r="CB6" s="2026"/>
      <c r="CC6" s="1111"/>
      <c r="CD6" s="2022" t="s">
        <v>1115</v>
      </c>
      <c r="CE6" s="2023"/>
      <c r="CF6" s="2023"/>
      <c r="CG6" s="2023"/>
      <c r="CH6" s="2023"/>
      <c r="CI6" s="2023"/>
      <c r="CJ6" s="2023"/>
      <c r="CK6" s="2023"/>
      <c r="CM6" s="1132"/>
      <c r="CN6" s="1126"/>
      <c r="CO6" s="1126"/>
      <c r="CP6" s="1126"/>
      <c r="CS6" s="1134"/>
      <c r="CU6" s="1136"/>
      <c r="CW6" s="252"/>
      <c r="CX6" s="1136"/>
    </row>
    <row r="7" spans="1:103" s="252" customFormat="1" ht="16.5" customHeight="1" thickTop="1" thickBot="1">
      <c r="A7" s="2033"/>
      <c r="B7" s="2031"/>
      <c r="C7" s="1501"/>
      <c r="D7" s="2035"/>
      <c r="E7" s="1033"/>
      <c r="F7" s="2035"/>
      <c r="G7" s="2035"/>
      <c r="H7" s="2035"/>
      <c r="I7" s="2013"/>
      <c r="J7" s="1033"/>
      <c r="K7" s="1501" t="s">
        <v>344</v>
      </c>
      <c r="L7" s="1501" t="s">
        <v>345</v>
      </c>
      <c r="M7" s="1517" t="s">
        <v>346</v>
      </c>
      <c r="N7" s="252"/>
      <c r="O7" s="1035"/>
      <c r="P7" s="2052" t="s">
        <v>998</v>
      </c>
      <c r="Q7" s="2052"/>
      <c r="R7" s="2052"/>
      <c r="S7" s="1518"/>
      <c r="T7" s="1518"/>
      <c r="U7" s="1518"/>
      <c r="V7" s="237"/>
      <c r="W7" s="1516" t="s">
        <v>996</v>
      </c>
      <c r="X7" s="1516"/>
      <c r="Y7" s="1516" t="s">
        <v>995</v>
      </c>
      <c r="Z7" s="1516"/>
      <c r="AA7" s="1519" t="s">
        <v>997</v>
      </c>
      <c r="AB7" s="1516" t="s">
        <v>870</v>
      </c>
      <c r="AC7" s="423"/>
      <c r="AE7" s="252" t="s">
        <v>1085</v>
      </c>
      <c r="AM7" s="1090" t="s">
        <v>1101</v>
      </c>
      <c r="AN7" s="1095" t="s">
        <v>84</v>
      </c>
      <c r="AO7" s="1075" t="s">
        <v>1100</v>
      </c>
      <c r="AP7" s="1076" t="s">
        <v>1103</v>
      </c>
      <c r="AQ7" s="1091" t="s">
        <v>1104</v>
      </c>
      <c r="AR7" s="1091" t="s">
        <v>606</v>
      </c>
      <c r="AS7" s="1090" t="s">
        <v>1122</v>
      </c>
      <c r="AT7" s="1091" t="s">
        <v>1121</v>
      </c>
      <c r="AU7" s="1091" t="s">
        <v>342</v>
      </c>
      <c r="AV7" s="1091" t="s">
        <v>1113</v>
      </c>
      <c r="AW7" s="1090" t="s">
        <v>254</v>
      </c>
      <c r="AX7" s="1070" t="s">
        <v>84</v>
      </c>
      <c r="AY7" s="1502" t="s">
        <v>1110</v>
      </c>
      <c r="AZ7" s="1088" t="s">
        <v>1100</v>
      </c>
      <c r="BA7" s="1088" t="s">
        <v>1103</v>
      </c>
      <c r="BB7" s="1089" t="s">
        <v>1104</v>
      </c>
      <c r="BC7" s="1117" t="s">
        <v>1119</v>
      </c>
      <c r="BD7" s="1117" t="s">
        <v>1122</v>
      </c>
      <c r="BE7" s="1122" t="s">
        <v>1120</v>
      </c>
      <c r="BF7" s="1122" t="s">
        <v>342</v>
      </c>
      <c r="BG7" s="1122" t="s">
        <v>1112</v>
      </c>
      <c r="BH7" s="1089" t="s">
        <v>254</v>
      </c>
      <c r="BI7" s="2017"/>
      <c r="BJ7" s="2018"/>
      <c r="BK7" s="2019"/>
      <c r="BL7" s="2021"/>
      <c r="BM7" s="2017"/>
      <c r="BN7" s="2028"/>
      <c r="BO7" s="2027"/>
      <c r="BP7" s="2017"/>
      <c r="BQ7" s="2019"/>
      <c r="BR7" s="1104"/>
      <c r="BS7" s="1103" t="s">
        <v>1106</v>
      </c>
      <c r="BT7" s="1103"/>
      <c r="BU7" s="1099" t="s">
        <v>1108</v>
      </c>
      <c r="BV7" s="1099" t="s">
        <v>1104</v>
      </c>
      <c r="BW7" s="1099" t="s">
        <v>606</v>
      </c>
      <c r="BX7" s="1147" t="s">
        <v>1122</v>
      </c>
      <c r="BY7" s="1099" t="s">
        <v>1121</v>
      </c>
      <c r="BZ7" s="1145" t="s">
        <v>342</v>
      </c>
      <c r="CA7" s="1108" t="s">
        <v>1113</v>
      </c>
      <c r="CB7" s="1108" t="s">
        <v>1114</v>
      </c>
      <c r="CC7" s="1112" t="s">
        <v>1100</v>
      </c>
      <c r="CD7" s="1105" t="s">
        <v>1108</v>
      </c>
      <c r="CE7" s="1105" t="s">
        <v>1104</v>
      </c>
      <c r="CF7" s="1105" t="s">
        <v>606</v>
      </c>
      <c r="CG7" s="1137" t="s">
        <v>1121</v>
      </c>
      <c r="CH7" s="1105" t="s">
        <v>1122</v>
      </c>
      <c r="CI7" s="1141" t="s">
        <v>342</v>
      </c>
      <c r="CJ7" s="1105" t="s">
        <v>1113</v>
      </c>
      <c r="CK7" s="1105" t="s">
        <v>1114</v>
      </c>
      <c r="CM7" s="1132" t="s">
        <v>1123</v>
      </c>
      <c r="CN7" s="1126" t="s">
        <v>1124</v>
      </c>
      <c r="CO7" s="1126" t="s">
        <v>1125</v>
      </c>
      <c r="CP7" s="1126" t="s">
        <v>1126</v>
      </c>
      <c r="CQ7" s="252" t="s">
        <v>1127</v>
      </c>
      <c r="CR7" s="252" t="s">
        <v>1129</v>
      </c>
      <c r="CS7" s="1134" t="s">
        <v>1128</v>
      </c>
      <c r="CU7" s="1136"/>
      <c r="CW7" s="252"/>
      <c r="CX7" s="1136" t="s">
        <v>1130</v>
      </c>
      <c r="CY7" s="252" t="s">
        <v>1131</v>
      </c>
    </row>
    <row r="8" spans="1:110">
      <c r="A8" s="1299">
        <v>1</v>
      </c>
      <c r="B8" s="1506" t="s">
        <v>1344</v>
      </c>
      <c r="C8" s="1148" t="s">
        <v>999</v>
      </c>
      <c r="D8" s="1148" t="s">
        <v>1093</v>
      </c>
      <c r="E8" s="1148" t="s">
        <v>1380</v>
      </c>
      <c r="F8" s="1148" t="s">
        <v>1377</v>
      </c>
      <c r="G8" s="1148" t="s">
        <v>1380</v>
      </c>
      <c r="H8" s="1148" t="s">
        <v>1380</v>
      </c>
      <c r="I8" s="1472">
        <v>44173</v>
      </c>
      <c r="J8" s="1149" t="s">
        <v>1381</v>
      </c>
      <c r="K8" s="1150">
        <v>222</v>
      </c>
      <c r="L8" s="1151">
        <v>123</v>
      </c>
      <c r="M8" s="1292">
        <f>K8*L8</f>
        <v>0</v>
      </c>
      <c r="N8" s="1071">
        <f>IF(ISNA(VLOOKUP(C8,$P$8:$U$12,5,False))=True,"",VLOOKUP(C8,$P$8:$U$12,5,False))</f>
        <v>0</v>
      </c>
      <c r="O8" s="2053" t="s">
        <v>838</v>
      </c>
      <c r="P8" s="1055" t="s">
        <v>999</v>
      </c>
      <c r="Q8" s="1055" t="s">
        <v>1051</v>
      </c>
      <c r="R8" s="1055" t="s">
        <v>1344</v>
      </c>
      <c r="S8" s="1031">
        <f ca="1">SUMIF($B$8:$M$22,R8,$K$8:$K$22)</f>
        <v>0</v>
      </c>
      <c r="T8" s="1031">
        <f ca="1">SUMIF($B$8:$M$22,R8,$M$8:$M$22)</f>
        <v>0</v>
      </c>
      <c r="U8" s="1072">
        <v>10</v>
      </c>
      <c r="W8" s="1305">
        <f ca="1">IF(Cash&gt;0,R8,IF(SavingAccount&gt;0,R9,IF(CheckingAccoint&gt;0,R10,IF(TimeDeposit&gt;0,R11,IF(OtherCash&gt;0,R12,IF(T13&gt;0,R13,IF(T14&gt;0,R14,IF(T15&gt;0,R15,IF(T16&gt;0,R16,IF(T17&gt;0,R17,IF(T18&gt;0,R18,IF(T19&gt;0,R19,IF(T20&gt;0,R20,IF(T21&gt;0,R21,IF(T22&gt;0,R22,IF(T23&gt;0,R23,IF(T24&gt;0,R24,IF(T25&gt;0,R25,IF(T26&gt;0,R26,IF(T27&gt;0,R27,IF(T28&gt;0,R28,IF(T29&gt;0,R29,IF(T30&gt;0,R30,IF(T31&gt;0,R31,IF(T32&gt;0,R32,IF(T38&gt;0,R38,IF(T39&gt;0,R39,IF(T40&gt;0,R40,IF(T41&gt;0,R41,IF(T42&gt;0,R42,""))))))))))))))))))))))))))))))</f>
        <v>0</v>
      </c>
      <c r="X8" s="1305"/>
      <c r="Y8" s="1306">
        <f ca="1" t="shared" si="0" ref="Y8:Y46">IF(ISNA(VLOOKUP(W8,$AE$8:$AG$46,2,False))=True,"",VLOOKUP(W8,$AE$8:$AG$46,2,False))</f>
        <v>0</v>
      </c>
      <c r="Z8" s="1306">
        <f ca="1" t="shared" si="1" ref="Z8:Z46">IF(ISNA(VLOOKUP(W8,$AE$8:$AG$46,3,False))=True,"",VLOOKUP(W8,$AE$8:$AG$46,3,False))</f>
        <v>0</v>
      </c>
      <c r="AA8" s="1307">
        <f ca="1" t="shared" si="2" ref="AA8:AA46">IF(ISNA(VLOOKUP(W8,$R$8:$T$42,3,False))=True,"",VLOOKUP(W8,$R$8:$T$42,3,False))</f>
        <v>0</v>
      </c>
      <c r="AB8" s="1305">
        <f ca="1">_xlfn.IFNA(IF(ISTEXT(VLOOKUP(W8,'DRAFT A&amp;L'!$B$7:$G$100,4,0)),VLOOKUP(W8,'DRAFT A&amp;L'!$B$7:$G$100,4,0),YEAR(VLOOKUP(W8,'DRAFT A&amp;L'!$B$7:$G$100,4,0))),"")</f>
        <v>0</v>
      </c>
      <c r="AC8" s="423"/>
      <c r="AE8" s="1026" t="s">
        <v>1344</v>
      </c>
      <c r="AF8" s="1036" t="s">
        <v>999</v>
      </c>
      <c r="AG8" s="1036" t="s">
        <v>1051</v>
      </c>
      <c r="AH8" s="237" t="s">
        <v>1093</v>
      </c>
      <c r="AK8" s="1092">
        <f t="shared" si="3" ref="AK8:AK46">COUNTIF($BA$8:$BA$152,AF8)</f>
        <v>0</v>
      </c>
      <c r="AM8" s="1077">
        <f t="shared" si="4" ref="AM8:AM22">IF(M8&gt;0,1,0)</f>
        <v>0</v>
      </c>
      <c r="AN8" s="1096">
        <f>IF(AM8&gt;0,COUNTIF($K$8,"&gt;0"),0)</f>
        <v>0</v>
      </c>
      <c r="AO8" s="1078">
        <f t="shared" si="5" ref="AO8:AO22">B8</f>
        <v>0</v>
      </c>
      <c r="AP8" s="1079">
        <f t="shared" si="6" ref="AP8:AP22">C8</f>
        <v>0</v>
      </c>
      <c r="AQ8" s="1080">
        <f t="shared" si="7" ref="AQ8:AQ22">IF(I8&lt;&gt;"",YEAR(I8),"")</f>
        <v>0</v>
      </c>
      <c r="AR8" s="1080">
        <f t="shared" si="8" ref="AR8:AR26">IF(E8&lt;&gt;"",E8,"")</f>
        <v>0</v>
      </c>
      <c r="AS8" s="1078">
        <f t="shared" si="9" ref="AS8:AS44">F8</f>
        <v>0</v>
      </c>
      <c r="AT8" s="1080">
        <f t="shared" si="10" ref="AT8:AT26">IF(H8&lt;&gt;"",H8,"")</f>
        <v>0</v>
      </c>
      <c r="AU8" s="1080">
        <f t="shared" si="11" ref="AU8:AU22">J8</f>
        <v>0</v>
      </c>
      <c r="AV8" s="1080">
        <f t="shared" si="12" ref="AV8:AV22">K8</f>
        <v>0</v>
      </c>
      <c r="AW8" s="1081">
        <f t="shared" si="13" ref="AW8:AW22">M8</f>
        <v>0</v>
      </c>
      <c r="AX8" s="237">
        <f>IF(AZ8&lt;&gt;"",1,"")</f>
        <v>0</v>
      </c>
      <c r="AY8" s="1087">
        <v>1</v>
      </c>
      <c r="AZ8" s="1087">
        <f t="shared" si="14" ref="AZ8:AZ44">IF(ISNA(VLOOKUP(AY8,$AN$8:$AW$148,2,False))=True,"",VLOOKUP(AY8,$AN$8:$AW$148,2,False))</f>
        <v>0</v>
      </c>
      <c r="BA8" s="1087">
        <f t="shared" si="15" ref="BA8:BA44">IF(ISNA(VLOOKUP(AZ8,$AE$8:$AF$46,2,False))=True,"",VLOOKUP(AZ8,$AE$8:$AF$46,2,False))</f>
        <v>0</v>
      </c>
      <c r="BB8" s="1087">
        <f t="shared" si="16" ref="BB8:BB44">IF(ISNA(VLOOKUP(AY8,$AN$8:$AW$148,4,False))=True,"",VLOOKUP(AY8,$AN$8:$AW$148,4,False))</f>
        <v>0</v>
      </c>
      <c r="BC8" s="1087">
        <f t="shared" si="17" ref="BC8:BC44">IF(ISNA(VLOOKUP(AY8,$AN$8:$AW$148,5,False))=True,"",VLOOKUP(AY8,$AN$8:$AW$148,5,False))</f>
        <v>0</v>
      </c>
      <c r="BD8" s="1087">
        <f t="shared" si="18" ref="BD8:BD18">IF(ISNA(VLOOKUP(AY8,$AN$8:$AW$148,6,False))=True,"",VLOOKUP(AY8,$AN$8:$AW$148,6,False))</f>
        <v>0</v>
      </c>
      <c r="BE8" s="1125">
        <f t="shared" si="19" ref="BE8:BE44">IF(ISNA(VLOOKUP(AY8,$AN$8:$AW$148,7,False))=True,"",VLOOKUP(AY8,$AN$8:$AW$148,7,False))</f>
        <v>0</v>
      </c>
      <c r="BF8" s="1123">
        <f t="shared" si="20" ref="BF8:BF44">IF(ISNA(VLOOKUP($AY8,$AN$8:$AW$148,8,False))=True,"",VLOOKUP($AY8,$AN$8:$AW$148,8,False))</f>
        <v>0</v>
      </c>
      <c r="BG8" s="1120">
        <f t="shared" si="21" ref="BG8:BG44">IF(ISNA(VLOOKUP($AY8,$AN$8:$AW$148,9,False))=True,"",VLOOKUP($AY8,$AN$8:$AW$148,9,False))</f>
        <v>0</v>
      </c>
      <c r="BH8" s="1120">
        <f t="shared" si="22" ref="BH8:BH44">IF(ISNA(VLOOKUP($AY8,$AN$8:$AW$148,10,False))=True,"",VLOOKUP($AY8,$AN$8:$AW$148,10,False))</f>
        <v>0</v>
      </c>
      <c r="BI8" s="250">
        <f>IF(AZ8&lt;&gt;"",AZ8,"")</f>
        <v>0</v>
      </c>
      <c r="BJ8" s="1098">
        <f>BI8</f>
        <v>0</v>
      </c>
      <c r="BK8" s="1115">
        <f>COUNTIFS($AZ:$AZ, AZ8,$BJ:$BJ, "&lt;"&amp;BJ8)+COUNTIFS(AZ$8:AZ8, AZ8, BJ$8:BJ8, BJ8)</f>
        <v>1</v>
      </c>
      <c r="BL8" s="1114">
        <f>BK8/100</f>
        <v>0.01</v>
      </c>
      <c r="BM8" s="1093" t="e">
        <f>BI8+BL8</f>
        <v>#VALUE!</v>
      </c>
      <c r="BN8" s="1101">
        <f>IF(BA8&lt;&gt;"",BM8,"")</f>
        <v>0</v>
      </c>
      <c r="BO8" s="1118">
        <f>IF(BN8&lt;&gt;"",BN8,0)</f>
        <v>0</v>
      </c>
      <c r="BP8" s="237" t="e">
        <f t="shared" si="23" ref="BP8:BP39">SMALL($BN$8:$BN$152,AX8)</f>
        <v>#VALUE!</v>
      </c>
      <c r="BR8" s="1102" t="e">
        <f>IF(BP8&lt;&gt;"",1,"")</f>
        <v>#VALUE!</v>
      </c>
      <c r="BS8" s="1102">
        <f>IFERROR(BP8,"")</f>
        <v>0</v>
      </c>
      <c r="BT8" s="1102">
        <f>IFERROR(CC8,"")</f>
        <v>0</v>
      </c>
      <c r="BU8" s="1098">
        <f>IFERROR(CD8,"")</f>
        <v>0</v>
      </c>
      <c r="BV8" s="1098">
        <f>IFERROR(CE8,"")</f>
        <v>0</v>
      </c>
      <c r="BW8" s="1098">
        <f>IFERROR(CF8,"")</f>
        <v>0</v>
      </c>
      <c r="BX8" s="1146">
        <f>IFERROR(CH8,"")</f>
        <v>0</v>
      </c>
      <c r="BY8" s="1098">
        <f>IFERROR(CG8,"")</f>
        <v>0</v>
      </c>
      <c r="BZ8" s="1144" t="str">
        <f>IFERROR(CI8,"-")</f>
        <v>-</v>
      </c>
      <c r="CA8" s="1107">
        <f t="shared" si="24" ref="CA8:CB8">IFERROR(CJ8,"")</f>
        <v>0</v>
      </c>
      <c r="CB8" s="1107">
        <f t="shared" si="24">IFERROR(CK8,"")</f>
        <v>0</v>
      </c>
      <c r="CC8" s="1110" t="e">
        <f t="shared" si="25" ref="CC8:CC39">INDEX($AZ$8:$AZ$153,MATCH(BP8,$BO$8:$BO$153,0))</f>
        <v>#VALUE!</v>
      </c>
      <c r="CD8" s="1087" t="e">
        <f t="shared" si="26" ref="CD8:CD39">INDEX($BA$8:$BA$153,MATCH(BP8,$BO$8:$BO$153,0))</f>
        <v>#VALUE!</v>
      </c>
      <c r="CE8" s="1106" t="e">
        <f t="shared" si="27" ref="CE8:CE39">INDEX($BB$8:$BB$153,MATCH(BP8,$BO$8:$BO$153,0))</f>
        <v>#VALUE!</v>
      </c>
      <c r="CF8" s="1106" t="e">
        <f t="shared" si="28" ref="CF8:CF39">INDEX(BC$8:BC$153,MATCH(BP8,$BO$8:$BO$153,0))</f>
        <v>#VALUE!</v>
      </c>
      <c r="CG8" s="1118" t="e">
        <f t="shared" si="29" ref="CG8:CG39">INDEX(BE$8:BE$153,MATCH(BP8,$BO$8:$BO$153,0))</f>
        <v>#VALUE!</v>
      </c>
      <c r="CH8" s="1106" t="e">
        <f t="shared" si="30" ref="CH8:CH39">INDEX($BD$8:$BD$153,MATCH($BP8,$BO$8:$BO$153,0))</f>
        <v>#VALUE!</v>
      </c>
      <c r="CI8" s="1142" t="e">
        <f t="shared" si="31" ref="CI8:CI39">INDEX($BF$8:$BF$153,MATCH(BP8,$BO$8:$BO$153,0))</f>
        <v>#VALUE!</v>
      </c>
      <c r="CJ8" s="1106" t="e">
        <f t="shared" si="32" ref="CJ8:CJ39">INDEX($BG$8:$BG$153,MATCH(BP8,$BO$8:$BO$153,0))</f>
        <v>#VALUE!</v>
      </c>
      <c r="CK8" s="1106" t="e">
        <f t="shared" si="33" ref="CK8:CK39">INDEX($BH$8:$BH$153,MATCH(BP8,$BO$8:$BO$153,0))</f>
        <v>#VALUE!</v>
      </c>
      <c r="CM8" s="1131">
        <f t="shared" si="34" ref="CM8:CM39">COUNTIF($CH$8:$CH$228,"&lt;="&amp;CH8)</f>
        <v>145</v>
      </c>
      <c r="CN8" s="1121">
        <f>--ISNUMBER(BX8)</f>
        <v>0</v>
      </c>
      <c r="CO8" s="1121">
        <f>IF(BX8=0,1,0)</f>
        <v>0</v>
      </c>
      <c r="CP8" s="1124">
        <f t="shared" si="35" ref="CP8:CP44">IF(ISNUMBER(BX8),CM8,IF(ISERROR(BX8),CM8,CM8+$CN$154))+$CO$154</f>
        <v>145</v>
      </c>
      <c r="CQ8" s="237">
        <f>IFERROR(INDEX($BX$8:$BX$153,MATCH(SMALL($CP$8:$CP$153,ROWS($CQ$8:CQ8)+$CO$154),$CP$8:$CP$154,0)),"")</f>
        <v>0</v>
      </c>
      <c r="CR8" s="237">
        <v>0.1</v>
      </c>
      <c r="CS8" s="1135">
        <f>CM8+CR8</f>
        <v>145.1</v>
      </c>
      <c r="CT8" s="237">
        <f>COUNTIFS($CM:$CM, CM8,$CS:$CS, "&lt;"&amp;CL)+COUNTIFS(CM$8:CM8, CM8, CS$8:CS8, CS8)</f>
        <v>1</v>
      </c>
      <c r="CU8" s="1109">
        <f>CT8/100</f>
        <v>0.01</v>
      </c>
      <c r="CV8" s="1109">
        <f>CM8+CU8</f>
        <v>145.01</v>
      </c>
      <c r="CW8" s="237" t="e">
        <f t="shared" si="36" ref="CW8:CW39">SMALL(CV$8:CV$153,AX8)</f>
        <v>#VALUE!</v>
      </c>
      <c r="CX8" s="1109">
        <f>IFERROR(CW8,"")</f>
        <v>0</v>
      </c>
      <c r="CY8" s="237" t="e">
        <f t="shared" si="37" ref="CY8:CY39">INDEX(BU$8:BU$152,MATCH($CX8,CV$8:CV$152,0))</f>
        <v>#N/A</v>
      </c>
      <c r="CZ8" s="237" t="e">
        <f t="shared" si="38" ref="CZ8:CZ39">INDEX(BV$8:BV$152,MATCH($CX8,$CV$8:$CV$152,0))</f>
        <v>#N/A</v>
      </c>
      <c r="DA8" s="237" t="e">
        <f t="shared" si="39" ref="DA8:DA39">INDEX(BW$8:BW$152,MATCH($CX8,$CV$8:$CV$152,0))</f>
        <v>#N/A</v>
      </c>
      <c r="DB8" s="237" t="e">
        <f t="shared" si="40" ref="DB8:DB39">INDEX(BX$8:BX$152,MATCH($CX8,$CV$8:$CV$152,0))</f>
        <v>#N/A</v>
      </c>
      <c r="DC8" s="237" t="e">
        <f t="shared" si="41" ref="DC8:DC39">INDEX(BY$8:BY$152,MATCH($CX8,$CV$8:$CV$152,0))</f>
        <v>#N/A</v>
      </c>
      <c r="DD8" s="237" t="e">
        <f t="shared" si="42" ref="DD8:DD39">INDEX(BZ$8:BZ$152,MATCH($CX8,$CV$8:$CV$152,0))</f>
        <v>#N/A</v>
      </c>
      <c r="DE8" s="237" t="e">
        <f t="shared" si="43" ref="DE8:DE39">INDEX(CA$8:CA$152,MATCH($CX8,$CV$8:$CV$152,0))</f>
        <v>#N/A</v>
      </c>
      <c r="DF8" s="237" t="e">
        <f t="shared" si="44" ref="DF8:DF39">INDEX(CB$8:CB$152,MATCH($CX8,$CV$8:$CV$152,0))</f>
        <v>#N/A</v>
      </c>
    </row>
    <row r="9" spans="1:110">
      <c r="A9" s="1299">
        <v>2</v>
      </c>
      <c r="B9" s="1506"/>
      <c r="C9" s="1148"/>
      <c r="D9" s="1148"/>
      <c r="E9" s="1148"/>
      <c r="F9" s="1148"/>
      <c r="G9" s="1148"/>
      <c r="H9" s="1148"/>
      <c r="I9" s="1472"/>
      <c r="J9" s="1149"/>
      <c r="K9" s="1150"/>
      <c r="L9" s="1151"/>
      <c r="M9" s="1292">
        <f t="shared" si="45" ref="M9:M22">K9*L9</f>
        <v>0</v>
      </c>
      <c r="N9" s="1071">
        <f t="shared" si="46" ref="N9:N22">IF(ISNA(VLOOKUP(C9,$P$8:$U$12,5,False))=True,"",VLOOKUP(C9,$P$8:$U$12,5,False))</f>
        <v>0</v>
      </c>
      <c r="O9" s="2046"/>
      <c r="P9" s="1055" t="s">
        <v>1000</v>
      </c>
      <c r="Q9" s="1055" t="s">
        <v>1052</v>
      </c>
      <c r="R9" s="1055" t="s">
        <v>1343</v>
      </c>
      <c r="S9" s="1031">
        <f ca="1" t="shared" si="47" ref="S9:S12">SUMIF($B$8:$M$22,R9,$K$8:$K$22)</f>
        <v>0</v>
      </c>
      <c r="T9" s="1031">
        <f ca="1" t="shared" si="48" ref="T9:T12">SUMIF($B$8:$M$22,R9,$M$8:$M$22)</f>
        <v>0</v>
      </c>
      <c r="U9" s="1072">
        <v>20</v>
      </c>
      <c r="W9" s="1308">
        <f ca="1">IF(AND(SavingAccount&gt;0,R9&lt;&gt;W8),R9,IF(AND(CheckingAccoint&gt;0,R10&lt;&gt;W8),R10,IF(AND(TimeDeposit&gt;0,R11&lt;&gt;W8),R11,IF(AND(OtherCash&lt;&gt;0,R12&lt;&gt;W8),R12,IF(AND(T13&lt;&gt;0,R13&lt;&gt;W8),R13,IF(AND(T14&lt;&gt;0,R14&lt;&gt;W8),R14,IF(AND(T15&lt;&gt;0,R15&lt;&gt;W8),R15,IF(AND(T16&lt;&gt;0,R16&lt;&gt;W8),R16,IF(AND(T17&lt;&gt;0,R17&lt;&gt;W8),R17,IF(AND(T18&lt;&gt;0,R18&lt;&gt;W8),R18,IF(AND(T19&lt;&gt;0,R19&lt;&gt;W8),R19,IF(AND(T20&lt;&gt;0,R20&lt;&gt;W8),R20,IF(AND(T21&lt;&gt;0,R21&lt;&gt;W8),R21,IF(AND(T22&lt;&gt;0,R22&lt;&gt;W8),R22,IF(AND(T23&lt;&gt;0,R23&lt;&gt;W8),R23,IF(AND(T24&lt;&gt;0,R24&lt;&gt;W8),R24,IF(AND(T25&lt;&gt;0,R25&lt;&gt;W8),R25,IF(AND(T26&lt;&gt;0,R26&lt;&gt;W8),R26,IF(AND(T27&lt;&gt;0,R27&lt;&gt;W8),R27,IF(AND(T28&lt;&gt;0,R28&lt;&gt;W8),R28,IF(AND(T29&lt;&gt;0,R29&lt;&gt;W8),R29,IF(AND(T30&lt;&gt;0,R30&lt;&gt;W8),R30,IF(AND(T31&lt;&gt;0,R31&lt;&gt;W8),R31,IF(AND(T32&lt;&gt;0,R32&lt;&gt;W8),R32,IF(AND(T38&lt;&gt;0,R38&lt;&gt;W8),R38,IF(AND(T39&lt;&gt;0,R39&lt;&gt;W8),R39,IF(AND(T40&lt;&gt;0,R40&lt;&gt;W8),R40,IF(AND(T41&lt;&gt;0,R41&lt;&gt;W8),R41,IF(AND(T42&lt;&gt;0,R42&lt;&gt;W8),R42,"")))))))))))))))))))))))))))))</f>
        <v>0</v>
      </c>
      <c r="X9" s="1308"/>
      <c r="Y9" s="1309">
        <f ca="1" t="shared" si="0">IF(ISNA(VLOOKUP(W9,$AE$8:$AG$46,2,False))=True,"",VLOOKUP(W9,$AE$8:$AG$46,2,False))</f>
        <v>0</v>
      </c>
      <c r="Z9" s="1309">
        <f ca="1" t="shared" si="1">IF(ISNA(VLOOKUP(W9,$AE$8:$AG$46,3,False))=True,"",VLOOKUP(W9,$AE$8:$AG$46,3,False))</f>
        <v>0</v>
      </c>
      <c r="AA9" s="1310">
        <f ca="1" t="shared" si="2">IF(ISNA(VLOOKUP(W9,$R$8:$T$42,3,False))=True,"",VLOOKUP(W9,$R$8:$T$42,3,False))</f>
        <v>0</v>
      </c>
      <c r="AB9" s="1521">
        <f ca="1">_xlfn.IFNA(IF(ISTEXT(VLOOKUP(W9,'DRAFT A&amp;L'!$B$7:$G$100,4,0)),VLOOKUP(W9,'DRAFT A&amp;L'!$B$7:$G$100,4,0),YEAR(VLOOKUP(W9,'DRAFT A&amp;L'!$B$7:$G$100,4,0))),"")</f>
        <v>0</v>
      </c>
      <c r="AC9" s="423"/>
      <c r="AE9" s="1026" t="s">
        <v>1343</v>
      </c>
      <c r="AF9" s="1036" t="s">
        <v>1000</v>
      </c>
      <c r="AG9" s="1036" t="s">
        <v>1052</v>
      </c>
      <c r="AH9" s="237" t="s">
        <v>1094</v>
      </c>
      <c r="AK9" s="1092">
        <f t="shared" si="3">COUNTIF($BA$8:$BA$152,AF9)</f>
        <v>0</v>
      </c>
      <c r="AM9" s="1077">
        <f t="shared" si="4">IF(M9&gt;0,1,0)</f>
        <v>0</v>
      </c>
      <c r="AN9" s="1096">
        <f>IF(AM9&gt;0,COUNTIF(AM$8:AM9,"&gt;0"),0)</f>
        <v>0</v>
      </c>
      <c r="AO9" s="1078">
        <f t="shared" si="5">B9</f>
        <v>0</v>
      </c>
      <c r="AP9" s="1079">
        <f t="shared" si="6">C9</f>
        <v>0</v>
      </c>
      <c r="AQ9" s="1080">
        <f t="shared" si="7">IF(I9&lt;&gt;"",YEAR(I9),"")</f>
        <v>0</v>
      </c>
      <c r="AR9" s="1080">
        <f t="shared" si="8">IF(E9&lt;&gt;"",E9,"")</f>
        <v>0</v>
      </c>
      <c r="AS9" s="1078">
        <f t="shared" si="9">F9</f>
        <v>0</v>
      </c>
      <c r="AT9" s="1080">
        <f t="shared" si="10">IF(H9&lt;&gt;"",H9,"")</f>
        <v>0</v>
      </c>
      <c r="AU9" s="1080">
        <f t="shared" si="11">J9</f>
        <v>0</v>
      </c>
      <c r="AV9" s="1080">
        <f t="shared" si="12">K9</f>
        <v>0</v>
      </c>
      <c r="AW9" s="1081">
        <f t="shared" si="13">M9</f>
        <v>0</v>
      </c>
      <c r="AX9" s="237">
        <f>IF(AZ9&lt;&gt;"",AX8+1,"")</f>
        <v>0</v>
      </c>
      <c r="AY9" s="1087">
        <v>2</v>
      </c>
      <c r="AZ9" s="1087">
        <f t="shared" si="14">IF(ISNA(VLOOKUP(AY9,$AN$8:$AW$148,2,False))=True,"",VLOOKUP(AY9,$AN$8:$AW$148,2,False))</f>
        <v>0</v>
      </c>
      <c r="BA9" s="1087">
        <f t="shared" si="15">IF(ISNA(VLOOKUP(AZ9,$AE$8:$AF$46,2,False))=True,"",VLOOKUP(AZ9,$AE$8:$AF$46,2,False))</f>
        <v>0</v>
      </c>
      <c r="BB9" s="1087">
        <f t="shared" si="16">IF(ISNA(VLOOKUP(AY9,$AN$8:$AW$148,4,False))=True,"",VLOOKUP(AY9,$AN$8:$AW$148,4,False))</f>
        <v>0</v>
      </c>
      <c r="BC9" s="1087">
        <f t="shared" si="17">IF(ISNA(VLOOKUP(AY9,$AN$8:$AW$148,5,False))=True,"",VLOOKUP(AY9,$AN$8:$AW$148,5,False))</f>
        <v>0</v>
      </c>
      <c r="BD9" s="1087">
        <f t="shared" si="18">IF(ISNA(VLOOKUP(AY9,$AN$8:$AW$148,6,False))=True,"",VLOOKUP(AY9,$AN$8:$AW$148,6,False))</f>
        <v>0</v>
      </c>
      <c r="BE9" s="1125">
        <f t="shared" si="19">IF(ISNA(VLOOKUP(AY9,$AN$8:$AW$148,7,False))=True,"",VLOOKUP(AY9,$AN$8:$AW$148,7,False))</f>
        <v>0</v>
      </c>
      <c r="BF9" s="1123">
        <f t="shared" si="20">IF(ISNA(VLOOKUP($AY9,$AN$8:$AW$148,8,False))=True,"",VLOOKUP($AY9,$AN$8:$AW$148,8,False))</f>
        <v>0</v>
      </c>
      <c r="BG9" s="1120">
        <f t="shared" si="21">IF(ISNA(VLOOKUP($AY9,$AN$8:$AW$148,9,False))=True,"",VLOOKUP($AY9,$AN$8:$AW$148,9,False))</f>
        <v>0</v>
      </c>
      <c r="BH9" s="1120">
        <f t="shared" si="22">IF(ISNA(VLOOKUP($AY9,$AN$8:$AW$148,10,False))=True,"",VLOOKUP($AY9,$AN$8:$AW$148,10,False))</f>
        <v>0</v>
      </c>
      <c r="BI9" s="250">
        <f t="shared" si="49" ref="BI9:BI63">IF(AZ9&lt;&gt;"",AZ9,"")</f>
        <v>0</v>
      </c>
      <c r="BJ9" s="1098">
        <f t="shared" si="50" ref="BJ9:BJ63">BI9</f>
        <v>0</v>
      </c>
      <c r="BK9" s="1115">
        <f>COUNTIFS($AZ:$AZ, AZ9,$BJ:$BJ, "&lt;"&amp;BJ9)+COUNTIFS(AZ$8:AZ9, AZ9, BJ$8:BJ9, BJ9)</f>
        <v>2</v>
      </c>
      <c r="BL9" s="1114">
        <f t="shared" si="51" ref="BL9:BL63">BK9/100</f>
        <v>0.02</v>
      </c>
      <c r="BM9" s="1093" t="e">
        <f>BJ9+BL9</f>
        <v>#VALUE!</v>
      </c>
      <c r="BN9" s="1101">
        <f t="shared" si="52" ref="BN9:BN44">IF(BA9&lt;&gt;"",BM9,"")</f>
        <v>0</v>
      </c>
      <c r="BO9" s="1118">
        <f t="shared" si="53" ref="BO9:BO63">IF(BN9&lt;&gt;"",BN9,0)</f>
        <v>0</v>
      </c>
      <c r="BP9" s="237" t="e">
        <f t="shared" si="23">SMALL($BN$8:$BN$152,AX9)</f>
        <v>#VALUE!</v>
      </c>
      <c r="BR9" s="1102" t="e">
        <f t="shared" si="54" ref="BR9:BR45">IF(BP9&lt;&gt;"",BR8+1,"")</f>
        <v>#VALUE!</v>
      </c>
      <c r="BS9" s="1102">
        <f t="shared" si="55" ref="BS9:BS63">IFERROR(BP9,"")</f>
        <v>0</v>
      </c>
      <c r="BT9" s="1102">
        <f t="shared" si="56" ref="BT9:BT63">IFERROR(CC9,"")</f>
        <v>0</v>
      </c>
      <c r="BU9" s="1098">
        <f t="shared" si="57" ref="BU9:BU63">IFERROR(CD9,"")</f>
        <v>0</v>
      </c>
      <c r="BV9" s="1098">
        <f t="shared" si="58" ref="BV9:BV63">IFERROR(CE9,"")</f>
        <v>0</v>
      </c>
      <c r="BW9" s="1098">
        <f t="shared" si="59" ref="BW9:BW63">IFERROR(CF9,"")</f>
        <v>0</v>
      </c>
      <c r="BX9" s="1146">
        <f t="shared" si="60" ref="BX9:BX63">IFERROR(CH9,"")</f>
        <v>0</v>
      </c>
      <c r="BY9" s="1098">
        <f t="shared" si="61" ref="BY9:BY63">IFERROR(CG9,"")</f>
        <v>0</v>
      </c>
      <c r="BZ9" s="1144" t="str">
        <f t="shared" si="62" ref="BZ9:BZ63">IFERROR(CI9,"-")</f>
        <v>-</v>
      </c>
      <c r="CA9" s="1107">
        <f t="shared" si="63" ref="CA9:CA63">IFERROR(CJ9,"")</f>
        <v>0</v>
      </c>
      <c r="CB9" s="1107">
        <f t="shared" si="64" ref="CB9:CB63">IFERROR(CK9,"")</f>
        <v>0</v>
      </c>
      <c r="CC9" s="1110" t="e">
        <f t="shared" si="25">INDEX($AZ$8:$AZ$153,MATCH(BP9,$BO$8:$BO$153,0))</f>
        <v>#VALUE!</v>
      </c>
      <c r="CD9" s="1087" t="e">
        <f t="shared" si="26">INDEX($BA$8:$BA$153,MATCH(BP9,$BO$8:$BO$153,0))</f>
        <v>#VALUE!</v>
      </c>
      <c r="CE9" s="1106" t="e">
        <f t="shared" si="27">INDEX($BB$8:$BB$153,MATCH(BP9,$BO$8:$BO$153,0))</f>
        <v>#VALUE!</v>
      </c>
      <c r="CF9" s="1106" t="e">
        <f t="shared" si="28">INDEX(BC$8:BC$153,MATCH(BP9,$BO$8:$BO$153,0))</f>
        <v>#VALUE!</v>
      </c>
      <c r="CG9" s="1118" t="e">
        <f t="shared" si="29">INDEX(BE$8:BE$153,MATCH(BP9,$BO$8:$BO$153,0))</f>
        <v>#VALUE!</v>
      </c>
      <c r="CH9" s="1106" t="e">
        <f t="shared" si="30">INDEX($BD$8:$BD$153,MATCH($BP9,$BO$8:$BO$153,0))</f>
        <v>#VALUE!</v>
      </c>
      <c r="CI9" s="1142" t="e">
        <f t="shared" si="31">INDEX($BF$8:$BF$153,MATCH(BP9,$BO$8:$BO$153,0))</f>
        <v>#VALUE!</v>
      </c>
      <c r="CJ9" s="1106" t="e">
        <f t="shared" si="32">INDEX($BG$8:$BG$153,MATCH(BP9,$BO$8:$BO$153,0))</f>
        <v>#VALUE!</v>
      </c>
      <c r="CK9" s="1106" t="e">
        <f t="shared" si="33">INDEX($BH$8:$BH$153,MATCH(BP9,$BO$8:$BO$153,0))</f>
        <v>#VALUE!</v>
      </c>
      <c r="CM9" s="1131">
        <f t="shared" si="34">COUNTIF($CH$8:$CH$228,"&lt;="&amp;CH9)</f>
        <v>145</v>
      </c>
      <c r="CN9" s="1121">
        <f t="shared" si="65" ref="CN9:CN63">--ISNUMBER(BX9)</f>
        <v>0</v>
      </c>
      <c r="CO9" s="1121">
        <f t="shared" si="66" ref="CO9:CO63">IF(BX9=0,1,0)</f>
        <v>0</v>
      </c>
      <c r="CP9" s="1124">
        <f t="shared" si="35">IF(ISNUMBER(BX9),CM9,IF(ISERROR(BX9),CM9,CM9+$CN$154))+$CO$154</f>
        <v>145</v>
      </c>
      <c r="CQ9" s="237">
        <f>IFERROR(INDEX($BX$8:$BX$153,MATCH(SMALL($CP$8:$CP$153,ROWS($CQ$8:CQ9)+$CO$154),$CP$8:$CP$154,0)),"")</f>
        <v>0</v>
      </c>
      <c r="CR9" s="237">
        <v>0.1</v>
      </c>
      <c r="CS9" s="1135">
        <f t="shared" si="67" ref="CS9:CS63">CM9+CR9</f>
        <v>145.1</v>
      </c>
      <c r="CT9" s="237">
        <f>COUNTIFS($CM:$CM, CM9,$CS:$CS, "&lt;"&amp;CL)+COUNTIFS(CM$8:CM9, CM9, CS$8:CS9, CS9)</f>
        <v>2</v>
      </c>
      <c r="CU9" s="1109">
        <f t="shared" si="68" ref="CU9:CU63">CT9/100</f>
        <v>0.02</v>
      </c>
      <c r="CV9" s="1109">
        <f t="shared" si="69" ref="CV9:CV63">CM9+CU9</f>
        <v>145.02</v>
      </c>
      <c r="CW9" s="237" t="e">
        <f t="shared" si="36">SMALL(CV$8:CV$153,AX9)</f>
        <v>#VALUE!</v>
      </c>
      <c r="CX9" s="1109">
        <f t="shared" si="70" ref="CX9:CX63">IFERROR(CW9,"")</f>
        <v>0</v>
      </c>
      <c r="CY9" s="237" t="e">
        <f t="shared" si="37">INDEX(BU$8:BU$152,MATCH($CX9,CV$8:CV$152,0))</f>
        <v>#N/A</v>
      </c>
      <c r="CZ9" s="237" t="e">
        <f t="shared" si="38">INDEX(BV$8:BV$152,MATCH($CX9,$CV$8:$CV$152,0))</f>
        <v>#N/A</v>
      </c>
      <c r="DA9" s="237" t="e">
        <f t="shared" si="39">INDEX(BW$8:BW$152,MATCH($CX9,$CV$8:$CV$152,0))</f>
        <v>#N/A</v>
      </c>
      <c r="DB9" s="237" t="e">
        <f t="shared" si="40">INDEX(BX$8:BX$152,MATCH($CX9,$CV$8:$CV$152,0))</f>
        <v>#N/A</v>
      </c>
      <c r="DC9" s="237" t="e">
        <f t="shared" si="41">INDEX(BY$8:BY$152,MATCH($CX9,$CV$8:$CV$152,0))</f>
        <v>#N/A</v>
      </c>
      <c r="DD9" s="237" t="e">
        <f t="shared" si="42">INDEX(BZ$8:BZ$152,MATCH($CX9,$CV$8:$CV$152,0))</f>
        <v>#N/A</v>
      </c>
      <c r="DE9" s="237" t="e">
        <f t="shared" si="43">INDEX(CA$8:CA$152,MATCH($CX9,$CV$8:$CV$152,0))</f>
        <v>#N/A</v>
      </c>
      <c r="DF9" s="237" t="e">
        <f t="shared" si="44">INDEX(CB$8:CB$152,MATCH($CX9,$CV$8:$CV$152,0))</f>
        <v>#N/A</v>
      </c>
    </row>
    <row r="10" spans="1:110">
      <c r="A10" s="1299">
        <v>3</v>
      </c>
      <c r="B10" s="1506"/>
      <c r="C10" s="1148"/>
      <c r="D10" s="1148"/>
      <c r="E10" s="1148"/>
      <c r="F10" s="1148"/>
      <c r="G10" s="1148"/>
      <c r="H10" s="1148"/>
      <c r="I10" s="1472"/>
      <c r="J10" s="1149"/>
      <c r="K10" s="1150"/>
      <c r="L10" s="1151"/>
      <c r="M10" s="1292">
        <f t="shared" si="45">K10*L10</f>
        <v>0</v>
      </c>
      <c r="N10" s="1071">
        <f t="shared" si="46">IF(ISNA(VLOOKUP(C10,$P$8:$U$12,5,False))=True,"",VLOOKUP(C10,$P$8:$U$12,5,False))</f>
        <v>0</v>
      </c>
      <c r="O10" s="2046"/>
      <c r="P10" s="1055" t="s">
        <v>1001</v>
      </c>
      <c r="Q10" s="1055" t="s">
        <v>1053</v>
      </c>
      <c r="R10" s="1055" t="s">
        <v>1002</v>
      </c>
      <c r="S10" s="1031">
        <f ca="1" t="shared" si="47">SUMIF($B$8:$M$22,R10,$K$8:$K$22)</f>
        <v>0</v>
      </c>
      <c r="T10" s="1031">
        <f ca="1" t="shared" si="48">SUMIF($B$8:$M$22,R10,$M$8:$M$22)</f>
        <v>0</v>
      </c>
      <c r="U10" s="1072">
        <v>30</v>
      </c>
      <c r="W10" s="1308">
        <f ca="1">IF(AND(CheckingAccoint&gt;0,R10&lt;&gt;W9,R10&lt;&gt;W8),R10,IF(AND(TimeDeposit&gt;0,R11&lt;&gt;W9,R11&lt;&gt;W8),R11,IF(AND(OtherCash&lt;&gt;0,R12&lt;&gt;W9,R12&lt;&gt;W8),R12,IF(AND(T13&lt;&gt;0,R13&lt;&gt;W9,R13&lt;&gt;W8),R13,IF(AND(T14&lt;&gt;0,R14&lt;&gt;W9,R14&lt;&gt;W8),R14,IF(AND(T15&lt;&gt;0,R15&lt;&gt;W9,R15&lt;&gt;W8),R15,IF(AND(T16&lt;&gt;0,R16&lt;&gt;W9,R16&lt;&gt;W8),R16,IF(AND(T17&lt;&gt;0,R17&lt;&gt;W9,R17&lt;&gt;W8),R17,IF(AND(T18&lt;&gt;0,R18&lt;&gt;W9,R18&lt;&gt;W8),R18,IF(AND(T19&lt;&gt;0,R19&lt;&gt;W9,R19&lt;&gt;W8),R19,IF(AND(T20&lt;&gt;0,R20&lt;&gt;W9,R20&lt;&gt;W8),R20,IF(AND(T21&lt;&gt;0,R21&lt;&gt;W9,R21&lt;&gt;W8),R21,IF(AND(T22&lt;&gt;0,R22&lt;&gt;W9,R22&lt;&gt;W8),R22,IF(AND(T23&lt;&gt;0,R23&lt;&gt;W9,R23&lt;&gt;W8),R23,IF(AND(T24&lt;&gt;0,R24&lt;&gt;W9,R24&lt;&gt;W8),R24,IF(AND(T25&lt;&gt;0,R25&lt;&gt;W9,R25&lt;&gt;W8),R25,IF(AND(T26&lt;&gt;0,R26&lt;&gt;W9,R26&lt;&gt;W8),R26,IF(AND(T27&lt;&gt;0,R27&lt;&gt;W9,R27&lt;&gt;W8),R27,IF(AND(T28&lt;&gt;0,R28&lt;&gt;W9,R28&lt;&gt;W8),R28,IF(AND(T29&lt;&gt;0,R29&lt;&gt;W9,R29&lt;&gt;W8),R29,IF(AND(T30&lt;&gt;0,R30&lt;&gt;W9,R30&lt;&gt;W8),R30,IF(AND(T31&lt;&gt;0,R31&lt;&gt;W9,R31&lt;&gt;W8),R31,IF(AND(T32&lt;&gt;0,R32&lt;&gt;W9,R32&lt;&gt;W8),R32,IF(AND(T38&lt;&gt;0,R38&lt;&gt;W9,R38&lt;&gt;W8),R38,IF(AND(T39&lt;&gt;0,R39&lt;&gt;W9,R39&lt;&gt;W8),R39,IF(AND(T40&lt;&gt;0,R40&lt;&gt;W9,R40&lt;&gt;W8),R40,IF(AND(T41&lt;&gt;0,R41&lt;&gt;W9,R41&lt;&gt;W8),R41,IF(AND(T42&lt;&gt;0,R42&lt;&gt;W9,R42&lt;&gt;W8),R42,""))))))))))))))))))))))))))))</f>
        <v>0</v>
      </c>
      <c r="X10" s="1308"/>
      <c r="Y10" s="1309">
        <f ca="1" t="shared" si="0">IF(ISNA(VLOOKUP(W10,$AE$8:$AG$46,2,False))=True,"",VLOOKUP(W10,$AE$8:$AG$46,2,False))</f>
        <v>0</v>
      </c>
      <c r="Z10" s="1309">
        <f ca="1" t="shared" si="1">IF(ISNA(VLOOKUP(W10,$AE$8:$AG$46,3,False))=True,"",VLOOKUP(W10,$AE$8:$AG$46,3,False))</f>
        <v>0</v>
      </c>
      <c r="AA10" s="1310">
        <f ca="1" t="shared" si="2">IF(ISNA(VLOOKUP(W10,$R$8:$T$42,3,False))=True,"",VLOOKUP(W10,$R$8:$T$42,3,False))</f>
        <v>0</v>
      </c>
      <c r="AB10" s="1521">
        <f ca="1">_xlfn.IFNA(IF(ISTEXT(VLOOKUP(W10,'DRAFT A&amp;L'!$B$7:$G$100,4,0)),VLOOKUP(W10,'DRAFT A&amp;L'!$B$7:$G$100,4,0),YEAR(VLOOKUP(W10,'DRAFT A&amp;L'!$B$7:$G$100,4,0))),"")</f>
        <v>0</v>
      </c>
      <c r="AC10" s="423"/>
      <c r="AE10" s="1026" t="s">
        <v>1002</v>
      </c>
      <c r="AF10" s="1036" t="s">
        <v>1001</v>
      </c>
      <c r="AG10" s="1036" t="s">
        <v>1053</v>
      </c>
      <c r="AH10" s="237" t="s">
        <v>1095</v>
      </c>
      <c r="AK10" s="1092">
        <f t="shared" si="3">COUNTIF($BA$8:$BA$152,AF10)</f>
        <v>0</v>
      </c>
      <c r="AM10" s="1077">
        <f t="shared" si="4">IF(M10&gt;0,1,0)</f>
        <v>0</v>
      </c>
      <c r="AN10" s="1096">
        <f>IF(AM10&gt;0,COUNTIF(AM$8:AM10,"&gt;0"),0)</f>
        <v>0</v>
      </c>
      <c r="AO10" s="1078">
        <f t="shared" si="5">B10</f>
        <v>0</v>
      </c>
      <c r="AP10" s="1079">
        <f t="shared" si="6">C10</f>
        <v>0</v>
      </c>
      <c r="AQ10" s="1080">
        <f t="shared" si="7">IF(I10&lt;&gt;"",YEAR(I10),"")</f>
        <v>0</v>
      </c>
      <c r="AR10" s="1080">
        <f t="shared" si="8">IF(E10&lt;&gt;"",E10,"")</f>
        <v>0</v>
      </c>
      <c r="AS10" s="1078">
        <f t="shared" si="9">F10</f>
        <v>0</v>
      </c>
      <c r="AT10" s="1080">
        <f t="shared" si="10">IF(H10&lt;&gt;"",H10,"")</f>
        <v>0</v>
      </c>
      <c r="AU10" s="1080">
        <f t="shared" si="11">J10</f>
        <v>0</v>
      </c>
      <c r="AV10" s="1080">
        <f t="shared" si="12">K10</f>
        <v>0</v>
      </c>
      <c r="AW10" s="1081">
        <f t="shared" si="13">M10</f>
        <v>0</v>
      </c>
      <c r="AX10" s="237">
        <f t="shared" si="71" ref="AX10:AX63">IF(AZ10&lt;&gt;"",AX9+1,"")</f>
        <v>0</v>
      </c>
      <c r="AY10" s="1087">
        <v>3</v>
      </c>
      <c r="AZ10" s="1087">
        <f t="shared" si="14">IF(ISNA(VLOOKUP(AY10,$AN$8:$AW$148,2,False))=True,"",VLOOKUP(AY10,$AN$8:$AW$148,2,False))</f>
        <v>0</v>
      </c>
      <c r="BA10" s="1087">
        <f t="shared" si="15">IF(ISNA(VLOOKUP(AZ10,$AE$8:$AF$46,2,False))=True,"",VLOOKUP(AZ10,$AE$8:$AF$46,2,False))</f>
        <v>0</v>
      </c>
      <c r="BB10" s="1087">
        <f t="shared" si="16">IF(ISNA(VLOOKUP(AY10,$AN$8:$AW$148,4,False))=True,"",VLOOKUP(AY10,$AN$8:$AW$148,4,False))</f>
        <v>0</v>
      </c>
      <c r="BC10" s="1087">
        <f t="shared" si="17">IF(ISNA(VLOOKUP(AY10,$AN$8:$AW$148,5,False))=True,"",VLOOKUP(AY10,$AN$8:$AW$148,5,False))</f>
        <v>0</v>
      </c>
      <c r="BD10" s="1087">
        <f t="shared" si="18">IF(ISNA(VLOOKUP(AY10,$AN$8:$AW$148,6,False))=True,"",VLOOKUP(AY10,$AN$8:$AW$148,6,False))</f>
        <v>0</v>
      </c>
      <c r="BE10" s="1125">
        <f t="shared" si="19">IF(ISNA(VLOOKUP(AY10,$AN$8:$AW$148,7,False))=True,"",VLOOKUP(AY10,$AN$8:$AW$148,7,False))</f>
        <v>0</v>
      </c>
      <c r="BF10" s="1123">
        <f t="shared" si="20">IF(ISNA(VLOOKUP($AY10,$AN$8:$AW$148,8,False))=True,"",VLOOKUP($AY10,$AN$8:$AW$148,8,False))</f>
        <v>0</v>
      </c>
      <c r="BG10" s="1120">
        <f t="shared" si="21">IF(ISNA(VLOOKUP($AY10,$AN$8:$AW$148,9,False))=True,"",VLOOKUP($AY10,$AN$8:$AW$148,9,False))</f>
        <v>0</v>
      </c>
      <c r="BH10" s="1120">
        <f t="shared" si="22">IF(ISNA(VLOOKUP($AY10,$AN$8:$AW$148,10,False))=True,"",VLOOKUP($AY10,$AN$8:$AW$148,10,False))</f>
        <v>0</v>
      </c>
      <c r="BI10" s="250">
        <f t="shared" si="49">IF(AZ10&lt;&gt;"",AZ10,"")</f>
        <v>0</v>
      </c>
      <c r="BJ10" s="1098">
        <f t="shared" si="50">BI10</f>
        <v>0</v>
      </c>
      <c r="BK10" s="1115">
        <f>COUNTIFS($AZ:$AZ, AZ10,$BJ:$BJ, "&lt;"&amp;BJ10)+COUNTIFS(AZ$8:AZ10, AZ10, BJ$8:BJ10, BJ10)</f>
        <v>3</v>
      </c>
      <c r="BL10" s="1114">
        <f t="shared" si="51">BK10/100</f>
        <v>0.03</v>
      </c>
      <c r="BM10" s="1093" t="e">
        <f t="shared" si="72" ref="BM10">BI10+BL10</f>
        <v>#VALUE!</v>
      </c>
      <c r="BN10" s="1101">
        <f t="shared" si="52">IF(BA10&lt;&gt;"",BM10,"")</f>
        <v>0</v>
      </c>
      <c r="BO10" s="1118">
        <f t="shared" si="53">IF(BN10&lt;&gt;"",BN10,0)</f>
        <v>0</v>
      </c>
      <c r="BP10" s="237" t="e">
        <f t="shared" si="23">SMALL($BN$8:$BN$152,AX10)</f>
        <v>#VALUE!</v>
      </c>
      <c r="BR10" s="1102" t="e">
        <f t="shared" si="54">IF(BP10&lt;&gt;"",BR9+1,"")</f>
        <v>#VALUE!</v>
      </c>
      <c r="BS10" s="1102">
        <f t="shared" si="55">IFERROR(BP10,"")</f>
        <v>0</v>
      </c>
      <c r="BT10" s="1102">
        <f t="shared" si="56">IFERROR(CC10,"")</f>
        <v>0</v>
      </c>
      <c r="BU10" s="1098">
        <f t="shared" si="57">IFERROR(CD10,"")</f>
        <v>0</v>
      </c>
      <c r="BV10" s="1098">
        <f t="shared" si="58">IFERROR(CE10,"")</f>
        <v>0</v>
      </c>
      <c r="BW10" s="1098">
        <f t="shared" si="59">IFERROR(CF10,"")</f>
        <v>0</v>
      </c>
      <c r="BX10" s="1146">
        <f t="shared" si="60">IFERROR(CH10,"")</f>
        <v>0</v>
      </c>
      <c r="BY10" s="1098">
        <f t="shared" si="61">IFERROR(CG10,"")</f>
        <v>0</v>
      </c>
      <c r="BZ10" s="1144" t="str">
        <f t="shared" si="62">IFERROR(CI10,"-")</f>
        <v>-</v>
      </c>
      <c r="CA10" s="1107">
        <f t="shared" si="63">IFERROR(CJ10,"")</f>
        <v>0</v>
      </c>
      <c r="CB10" s="1107">
        <f t="shared" si="64">IFERROR(CK10,"")</f>
        <v>0</v>
      </c>
      <c r="CC10" s="1110" t="e">
        <f t="shared" si="25">INDEX($AZ$8:$AZ$153,MATCH(BP10,$BO$8:$BO$153,0))</f>
        <v>#VALUE!</v>
      </c>
      <c r="CD10" s="1087" t="e">
        <f t="shared" si="26">INDEX($BA$8:$BA$153,MATCH(BP10,$BO$8:$BO$153,0))</f>
        <v>#VALUE!</v>
      </c>
      <c r="CE10" s="1106" t="e">
        <f t="shared" si="27">INDEX($BB$8:$BB$153,MATCH(BP10,$BO$8:$BO$153,0))</f>
        <v>#VALUE!</v>
      </c>
      <c r="CF10" s="1106" t="e">
        <f t="shared" si="28">INDEX(BC$8:BC$153,MATCH(BP10,$BO$8:$BO$153,0))</f>
        <v>#VALUE!</v>
      </c>
      <c r="CG10" s="1118" t="e">
        <f t="shared" si="29">INDEX(BE$8:BE$153,MATCH(BP10,$BO$8:$BO$153,0))</f>
        <v>#VALUE!</v>
      </c>
      <c r="CH10" s="1106" t="e">
        <f t="shared" si="30">INDEX($BD$8:$BD$153,MATCH($BP10,$BO$8:$BO$153,0))</f>
        <v>#VALUE!</v>
      </c>
      <c r="CI10" s="1142" t="e">
        <f t="shared" si="31">INDEX($BF$8:$BF$153,MATCH(BP10,$BO$8:$BO$153,0))</f>
        <v>#VALUE!</v>
      </c>
      <c r="CJ10" s="1106" t="e">
        <f t="shared" si="32">INDEX($BG$8:$BG$153,MATCH(BP10,$BO$8:$BO$153,0))</f>
        <v>#VALUE!</v>
      </c>
      <c r="CK10" s="1106" t="e">
        <f t="shared" si="33">INDEX($BH$8:$BH$153,MATCH(BP10,$BO$8:$BO$153,0))</f>
        <v>#VALUE!</v>
      </c>
      <c r="CM10" s="1131">
        <f t="shared" si="34">COUNTIF($CH$8:$CH$228,"&lt;="&amp;CH10)</f>
        <v>145</v>
      </c>
      <c r="CN10" s="1121">
        <f t="shared" si="65">--ISNUMBER(BX10)</f>
        <v>0</v>
      </c>
      <c r="CO10" s="1121">
        <f t="shared" si="66">IF(BX10=0,1,0)</f>
        <v>0</v>
      </c>
      <c r="CP10" s="1124">
        <f t="shared" si="35">IF(ISNUMBER(BX10),CM10,IF(ISERROR(BX10),CM10,CM10+$CN$154))+$CO$154</f>
        <v>145</v>
      </c>
      <c r="CQ10" s="237">
        <f>IFERROR(INDEX($BX$8:$BX$153,MATCH(SMALL($CP$8:$CP$153,ROWS($CQ$8:CQ10)+$CO$154),$CP$8:$CP$154,0)),"")</f>
        <v>0</v>
      </c>
      <c r="CR10" s="237">
        <v>0.1</v>
      </c>
      <c r="CS10" s="1135">
        <f t="shared" si="67">CM10+CR10</f>
        <v>145.1</v>
      </c>
      <c r="CT10" s="237">
        <f>COUNTIFS($CM:$CM, CM10,$CS:$CS, "&lt;"&amp;CL)+COUNTIFS(CM$8:CM10, CM10, CS$8:CS10, CS10)</f>
        <v>3</v>
      </c>
      <c r="CU10" s="1109">
        <f t="shared" si="68">CT10/100</f>
        <v>0.03</v>
      </c>
      <c r="CV10" s="1109">
        <f t="shared" si="69">CM10+CU10</f>
        <v>145.03</v>
      </c>
      <c r="CW10" s="237" t="e">
        <f t="shared" si="36">SMALL(CV$8:CV$153,AX10)</f>
        <v>#VALUE!</v>
      </c>
      <c r="CX10" s="1109">
        <f t="shared" si="70">IFERROR(CW10,"")</f>
        <v>0</v>
      </c>
      <c r="CY10" s="237" t="e">
        <f t="shared" si="37">INDEX(BU$8:BU$152,MATCH($CX10,CV$8:CV$152,0))</f>
        <v>#N/A</v>
      </c>
      <c r="CZ10" s="237" t="e">
        <f t="shared" si="38">INDEX(BV$8:BV$152,MATCH($CX10,$CV$8:$CV$152,0))</f>
        <v>#N/A</v>
      </c>
      <c r="DA10" s="237" t="e">
        <f t="shared" si="39">INDEX(BW$8:BW$152,MATCH($CX10,$CV$8:$CV$152,0))</f>
        <v>#N/A</v>
      </c>
      <c r="DB10" s="237" t="e">
        <f t="shared" si="40">INDEX(BX$8:BX$152,MATCH($CX10,$CV$8:$CV$152,0))</f>
        <v>#N/A</v>
      </c>
      <c r="DC10" s="237" t="e">
        <f t="shared" si="41">INDEX(BY$8:BY$152,MATCH($CX10,$CV$8:$CV$152,0))</f>
        <v>#N/A</v>
      </c>
      <c r="DD10" s="237" t="e">
        <f t="shared" si="42">INDEX(BZ$8:BZ$152,MATCH($CX10,$CV$8:$CV$152,0))</f>
        <v>#N/A</v>
      </c>
      <c r="DE10" s="237" t="e">
        <f t="shared" si="43">INDEX(CA$8:CA$152,MATCH($CX10,$CV$8:$CV$152,0))</f>
        <v>#N/A</v>
      </c>
      <c r="DF10" s="237" t="e">
        <f t="shared" si="44">INDEX(CB$8:CB$152,MATCH($CX10,$CV$8:$CV$152,0))</f>
        <v>#N/A</v>
      </c>
    </row>
    <row r="11" spans="1:110">
      <c r="A11" s="1299">
        <v>4</v>
      </c>
      <c r="B11" s="1506"/>
      <c r="C11" s="1148"/>
      <c r="D11" s="1148"/>
      <c r="E11" s="1148"/>
      <c r="F11" s="1148"/>
      <c r="G11" s="1148"/>
      <c r="H11" s="1148"/>
      <c r="I11" s="1472"/>
      <c r="J11" s="1149"/>
      <c r="K11" s="1150"/>
      <c r="L11" s="1151"/>
      <c r="M11" s="1292">
        <f t="shared" si="45">K11*L11</f>
        <v>0</v>
      </c>
      <c r="N11" s="1071">
        <f t="shared" si="46">IF(ISNA(VLOOKUP(C11,$P$8:$U$12,5,False))=True,"",VLOOKUP(C11,$P$8:$U$12,5,False))</f>
        <v>0</v>
      </c>
      <c r="O11" s="2046"/>
      <c r="P11" s="1055" t="s">
        <v>1003</v>
      </c>
      <c r="Q11" s="1055" t="s">
        <v>1054</v>
      </c>
      <c r="R11" s="1055" t="s">
        <v>1004</v>
      </c>
      <c r="S11" s="1031">
        <f ca="1" t="shared" si="47">SUMIF($B$8:$M$22,R11,$K$8:$K$22)</f>
        <v>0</v>
      </c>
      <c r="T11" s="1031">
        <f ca="1" t="shared" si="48">SUMIF($B$8:$M$22,R11,$M$8:$M$22)</f>
        <v>0</v>
      </c>
      <c r="U11" s="1072">
        <v>40</v>
      </c>
      <c r="W11" s="1308">
        <f ca="1">IF(AND(TimeDeposit&gt;0,R11&lt;&gt;W10,R11&lt;&gt;W9,R11&lt;&gt;W8),R11,IF(AND(OtherCash&lt;&gt;0,R12&lt;&gt;W10,R12&lt;&gt;W9,R12&lt;&gt;W8),R12,IF(AND(T13&lt;&gt;0,R13&lt;&gt;W10,R13&lt;&gt;W9,R13&lt;&gt;W8),R13,IF(AND(T14&lt;&gt;0,R14&lt;&gt;W10,R14&lt;&gt;W9,R14&lt;&gt;W8),R14,IF(AND(T15&lt;&gt;0,R15&lt;&gt;W10,R15&lt;&gt;W9,R15&lt;&gt;W8),R15,IF(AND(T16&lt;&gt;0,R16&lt;&gt;W10,R16&lt;&gt;W9,R16&lt;&gt;W8),R16,IF(AND(T17&lt;&gt;0,R17&lt;&gt;W10,R17&lt;&gt;W9,R17&lt;&gt;W8),R17,IF(AND(T18&lt;&gt;0,R18&lt;&gt;W10,R18&lt;&gt;W9,R18&lt;&gt;W8),R18,IF(AND(T19&lt;&gt;0,R19&lt;&gt;W10,R19&lt;&gt;W9,R19&lt;&gt;W8),R19,IF(AND(T20&lt;&gt;0,R20&lt;&gt;W10,R20&lt;&gt;W9,R20&lt;&gt;W8),R20,IF(AND(T21&lt;&gt;0,R21&lt;&gt;W10,R21&lt;&gt;W9,R21&lt;&gt;W8),R21,IF(AND(T22&lt;&gt;0,R22&lt;&gt;W10,R22&lt;&gt;W9,R22&lt;&gt;W8),R22,IF(AND(T23&lt;&gt;0,R23&lt;&gt;W10,R23&lt;&gt;W9,R23&lt;&gt;W8),R23,IF(AND(T24&lt;&gt;0,R24&lt;&gt;W10,R24&lt;&gt;W9,R24&lt;&gt;W8),R24,IF(AND(T25&lt;&gt;0,R25&lt;&gt;W10,R25&lt;&gt;W9,R25&lt;&gt;W8),R25,IF(AND(T26&lt;&gt;0,R26&lt;&gt;W10,R26&lt;&gt;W9,R26&lt;&gt;W8),R26,IF(AND(T27&lt;&gt;0,R27&lt;&gt;W10,R27&lt;&gt;W9,R27&lt;&gt;W8),R27,IF(AND(T28&lt;&gt;0,R28&lt;&gt;W10,R28&lt;&gt;W9,R28&lt;&gt;W8),R28,IF(AND(T29&lt;&gt;0,R29&lt;&gt;W10,R29&lt;&gt;W9,R29&lt;&gt;W8),R29,IF(AND(T30&lt;&gt;0,R30&lt;&gt;W10,R30&lt;&gt;W9,R30&lt;&gt;W8),R30,IF(AND(T31&lt;&gt;0,R31&lt;&gt;W10,R31&lt;&gt;W9,R31&lt;&gt;W8),R31,IF(AND(T32&lt;&gt;0,R32&lt;&gt;W10,R32&lt;&gt;W9,R32&lt;&gt;W8),R32,IF(AND(T38&lt;&gt;0,R38&lt;&gt;W10,R38&lt;&gt;W9,R38&lt;&gt;W8),R38,IF(AND(T39&lt;&gt;0,R39&lt;&gt;W10,R39&lt;&gt;W9,R39&lt;&gt;W8),R39,IF(AND(T40&lt;&gt;0,R40&lt;&gt;W10,R40&lt;&gt;W9,R40&lt;&gt;W8),R40,IF(AND(T41&lt;&gt;0,R41&lt;&gt;W10,R41&lt;&gt;W9,R41&lt;&gt;W8),R41,IF(AND(T42&lt;&gt;0,R42&lt;&gt;W10,R42&lt;&gt;W9,R42&lt;&gt;W8),R42,"")))))))))))))))))))))))))))</f>
        <v>0</v>
      </c>
      <c r="X11" s="1308"/>
      <c r="Y11" s="1309">
        <f ca="1" t="shared" si="0">IF(ISNA(VLOOKUP(W11,$AE$8:$AG$46,2,False))=True,"",VLOOKUP(W11,$AE$8:$AG$46,2,False))</f>
        <v>0</v>
      </c>
      <c r="Z11" s="1309">
        <f ca="1" t="shared" si="1">IF(ISNA(VLOOKUP(W11,$AE$8:$AG$46,3,False))=True,"",VLOOKUP(W11,$AE$8:$AG$46,3,False))</f>
        <v>0</v>
      </c>
      <c r="AA11" s="1310">
        <f ca="1" t="shared" si="2">IF(ISNA(VLOOKUP(W11,$R$8:$T$42,3,False))=True,"",VLOOKUP(W11,$R$8:$T$42,3,False))</f>
        <v>0</v>
      </c>
      <c r="AB11" s="1521">
        <f ca="1">_xlfn.IFNA(IF(ISTEXT(VLOOKUP(W11,'DRAFT A&amp;L'!$B$7:$G$100,4,0)),VLOOKUP(W11,'DRAFT A&amp;L'!$B$7:$G$100,4,0),YEAR(VLOOKUP(W11,'DRAFT A&amp;L'!$B$7:$G$100,4,0))),"")</f>
        <v>0</v>
      </c>
      <c r="AC11" s="423"/>
      <c r="AE11" s="1026" t="s">
        <v>1004</v>
      </c>
      <c r="AF11" s="1036" t="s">
        <v>1003</v>
      </c>
      <c r="AG11" s="1036" t="s">
        <v>1054</v>
      </c>
      <c r="AH11" s="237" t="s">
        <v>1096</v>
      </c>
      <c r="AK11" s="1092">
        <f t="shared" si="3">COUNTIF($BA$8:$BA$152,AF11)</f>
        <v>0</v>
      </c>
      <c r="AM11" s="1077">
        <f t="shared" si="4">IF(M11&gt;0,1,0)</f>
        <v>0</v>
      </c>
      <c r="AN11" s="1096">
        <f>IF(AM11&gt;0,COUNTIF(AM$8:AM11,"&gt;0"),0)</f>
        <v>0</v>
      </c>
      <c r="AO11" s="1078">
        <f t="shared" si="5">B11</f>
        <v>0</v>
      </c>
      <c r="AP11" s="1079">
        <f t="shared" si="6">C11</f>
        <v>0</v>
      </c>
      <c r="AQ11" s="1080">
        <f t="shared" si="7">IF(I11&lt;&gt;"",YEAR(I11),"")</f>
        <v>0</v>
      </c>
      <c r="AR11" s="1080">
        <f t="shared" si="8">IF(E11&lt;&gt;"",E11,"")</f>
        <v>0</v>
      </c>
      <c r="AS11" s="1078">
        <f t="shared" si="9">F11</f>
        <v>0</v>
      </c>
      <c r="AT11" s="1080">
        <f t="shared" si="10">IF(H11&lt;&gt;"",H11,"")</f>
        <v>0</v>
      </c>
      <c r="AU11" s="1080">
        <f t="shared" si="11">J11</f>
        <v>0</v>
      </c>
      <c r="AV11" s="1080">
        <f t="shared" si="12">K11</f>
        <v>0</v>
      </c>
      <c r="AW11" s="1081">
        <f t="shared" si="13">M11</f>
        <v>0</v>
      </c>
      <c r="AX11" s="237">
        <f t="shared" si="71">IF(AZ11&lt;&gt;"",AX10+1,"")</f>
        <v>0</v>
      </c>
      <c r="AY11" s="1087">
        <v>4</v>
      </c>
      <c r="AZ11" s="1087">
        <f t="shared" si="14">IF(ISNA(VLOOKUP(AY11,$AN$8:$AW$148,2,False))=True,"",VLOOKUP(AY11,$AN$8:$AW$148,2,False))</f>
        <v>0</v>
      </c>
      <c r="BA11" s="1087">
        <f t="shared" si="15">IF(ISNA(VLOOKUP(AZ11,$AE$8:$AF$46,2,False))=True,"",VLOOKUP(AZ11,$AE$8:$AF$46,2,False))</f>
        <v>0</v>
      </c>
      <c r="BB11" s="1087">
        <f t="shared" si="16">IF(ISNA(VLOOKUP(AY11,$AN$8:$AW$148,4,False))=True,"",VLOOKUP(AY11,$AN$8:$AW$148,4,False))</f>
        <v>0</v>
      </c>
      <c r="BC11" s="1087">
        <f t="shared" si="17">IF(ISNA(VLOOKUP(AY11,$AN$8:$AW$148,5,False))=True,"",VLOOKUP(AY11,$AN$8:$AW$148,5,False))</f>
        <v>0</v>
      </c>
      <c r="BD11" s="1087">
        <f t="shared" si="18">IF(ISNA(VLOOKUP(AY11,$AN$8:$AW$148,6,False))=True,"",VLOOKUP(AY11,$AN$8:$AW$148,6,False))</f>
        <v>0</v>
      </c>
      <c r="BE11" s="1125">
        <f t="shared" si="19">IF(ISNA(VLOOKUP(AY11,$AN$8:$AW$148,7,False))=True,"",VLOOKUP(AY11,$AN$8:$AW$148,7,False))</f>
        <v>0</v>
      </c>
      <c r="BF11" s="1123">
        <f t="shared" si="20">IF(ISNA(VLOOKUP($AY11,$AN$8:$AW$148,8,False))=True,"",VLOOKUP($AY11,$AN$8:$AW$148,8,False))</f>
        <v>0</v>
      </c>
      <c r="BG11" s="1120">
        <f t="shared" si="21">IF(ISNA(VLOOKUP($AY11,$AN$8:$AW$148,9,False))=True,"",VLOOKUP($AY11,$AN$8:$AW$148,9,False))</f>
        <v>0</v>
      </c>
      <c r="BH11" s="1120">
        <f t="shared" si="22">IF(ISNA(VLOOKUP($AY11,$AN$8:$AW$148,10,False))=True,"",VLOOKUP($AY11,$AN$8:$AW$148,10,False))</f>
        <v>0</v>
      </c>
      <c r="BI11" s="250">
        <f t="shared" si="49">IF(AZ11&lt;&gt;"",AZ11,"")</f>
        <v>0</v>
      </c>
      <c r="BJ11" s="1098">
        <f t="shared" si="50">BI11</f>
        <v>0</v>
      </c>
      <c r="BK11" s="1115">
        <f>COUNTIFS($AZ:$AZ, AZ11,$BJ:$BJ, "&lt;"&amp;BJ11)+COUNTIFS(AZ$8:AZ11, AZ11, BJ$8:BJ11, BJ11)</f>
        <v>4</v>
      </c>
      <c r="BL11" s="1114">
        <f t="shared" si="51">BK11/100</f>
        <v>0.04</v>
      </c>
      <c r="BM11" s="1093" t="e">
        <f t="shared" si="73" ref="BM11">BJ11+BL11</f>
        <v>#VALUE!</v>
      </c>
      <c r="BN11" s="1101">
        <f t="shared" si="52">IF(BA11&lt;&gt;"",BM11,"")</f>
        <v>0</v>
      </c>
      <c r="BO11" s="1118">
        <f t="shared" si="53">IF(BN11&lt;&gt;"",BN11,0)</f>
        <v>0</v>
      </c>
      <c r="BP11" s="237" t="e">
        <f t="shared" si="23">SMALL($BN$8:$BN$152,AX11)</f>
        <v>#VALUE!</v>
      </c>
      <c r="BR11" s="1102" t="e">
        <f t="shared" si="54">IF(BP11&lt;&gt;"",BR10+1,"")</f>
        <v>#VALUE!</v>
      </c>
      <c r="BS11" s="1102">
        <f t="shared" si="55">IFERROR(BP11,"")</f>
        <v>0</v>
      </c>
      <c r="BT11" s="1102">
        <f t="shared" si="56">IFERROR(CC11,"")</f>
        <v>0</v>
      </c>
      <c r="BU11" s="1098">
        <f t="shared" si="57">IFERROR(CD11,"")</f>
        <v>0</v>
      </c>
      <c r="BV11" s="1098">
        <f t="shared" si="58">IFERROR(CE11,"")</f>
        <v>0</v>
      </c>
      <c r="BW11" s="1098">
        <f t="shared" si="59">IFERROR(CF11,"")</f>
        <v>0</v>
      </c>
      <c r="BX11" s="1146">
        <f t="shared" si="60">IFERROR(CH11,"")</f>
        <v>0</v>
      </c>
      <c r="BY11" s="1098">
        <f t="shared" si="61">IFERROR(CG11,"")</f>
        <v>0</v>
      </c>
      <c r="BZ11" s="1144" t="str">
        <f t="shared" si="62">IFERROR(CI11,"-")</f>
        <v>-</v>
      </c>
      <c r="CA11" s="1107">
        <f t="shared" si="63">IFERROR(CJ11,"")</f>
        <v>0</v>
      </c>
      <c r="CB11" s="1107">
        <f t="shared" si="64">IFERROR(CK11,"")</f>
        <v>0</v>
      </c>
      <c r="CC11" s="1110" t="e">
        <f t="shared" si="25">INDEX($AZ$8:$AZ$153,MATCH(BP11,$BO$8:$BO$153,0))</f>
        <v>#VALUE!</v>
      </c>
      <c r="CD11" s="1087" t="e">
        <f t="shared" si="26">INDEX($BA$8:$BA$153,MATCH(BP11,$BO$8:$BO$153,0))</f>
        <v>#VALUE!</v>
      </c>
      <c r="CE11" s="1106" t="e">
        <f t="shared" si="27">INDEX($BB$8:$BB$153,MATCH(BP11,$BO$8:$BO$153,0))</f>
        <v>#VALUE!</v>
      </c>
      <c r="CF11" s="1106" t="e">
        <f t="shared" si="28">INDEX(BC$8:BC$153,MATCH(BP11,$BO$8:$BO$153,0))</f>
        <v>#VALUE!</v>
      </c>
      <c r="CG11" s="1118" t="e">
        <f t="shared" si="29">INDEX(BE$8:BE$153,MATCH(BP11,$BO$8:$BO$153,0))</f>
        <v>#VALUE!</v>
      </c>
      <c r="CH11" s="1106" t="e">
        <f t="shared" si="30">INDEX($BD$8:$BD$153,MATCH($BP11,$BO$8:$BO$153,0))</f>
        <v>#VALUE!</v>
      </c>
      <c r="CI11" s="1142" t="e">
        <f t="shared" si="31">INDEX($BF$8:$BF$153,MATCH(BP11,$BO$8:$BO$153,0))</f>
        <v>#VALUE!</v>
      </c>
      <c r="CJ11" s="1106" t="e">
        <f t="shared" si="32">INDEX($BG$8:$BG$153,MATCH(BP11,$BO$8:$BO$153,0))</f>
        <v>#VALUE!</v>
      </c>
      <c r="CK11" s="1106" t="e">
        <f t="shared" si="33">INDEX($BH$8:$BH$153,MATCH(BP11,$BO$8:$BO$153,0))</f>
        <v>#VALUE!</v>
      </c>
      <c r="CM11" s="1131">
        <f t="shared" si="34">COUNTIF($CH$8:$CH$228,"&lt;="&amp;CH11)</f>
        <v>145</v>
      </c>
      <c r="CN11" s="1121">
        <f t="shared" si="65">--ISNUMBER(BX11)</f>
        <v>0</v>
      </c>
      <c r="CO11" s="1121">
        <f t="shared" si="66">IF(BX11=0,1,0)</f>
        <v>0</v>
      </c>
      <c r="CP11" s="1124">
        <f t="shared" si="35">IF(ISNUMBER(BX11),CM11,IF(ISERROR(BX11),CM11,CM11+$CN$154))+$CO$154</f>
        <v>145</v>
      </c>
      <c r="CQ11" s="237">
        <f>IFERROR(INDEX($BX$8:$BX$153,MATCH(SMALL($CP$8:$CP$153,ROWS($CQ$8:CQ11)+$CO$154),$CP$8:$CP$154,0)),"")</f>
        <v>0</v>
      </c>
      <c r="CR11" s="237">
        <v>0.1</v>
      </c>
      <c r="CS11" s="1135">
        <f t="shared" si="67">CM11+CR11</f>
        <v>145.1</v>
      </c>
      <c r="CT11" s="237">
        <f>COUNTIFS($CM:$CM, CM11,$CS:$CS, "&lt;"&amp;CL)+COUNTIFS(CM$8:CM11, CM11, CS$8:CS11, CS11)</f>
        <v>4</v>
      </c>
      <c r="CU11" s="1109">
        <f t="shared" si="68">CT11/100</f>
        <v>0.04</v>
      </c>
      <c r="CV11" s="1109">
        <f t="shared" si="69">CM11+CU11</f>
        <v>145.04</v>
      </c>
      <c r="CW11" s="237" t="e">
        <f t="shared" si="36">SMALL(CV$8:CV$153,AX11)</f>
        <v>#VALUE!</v>
      </c>
      <c r="CX11" s="1109">
        <f t="shared" si="70">IFERROR(CW11,"")</f>
        <v>0</v>
      </c>
      <c r="CY11" s="237" t="e">
        <f t="shared" si="37">INDEX(BU$8:BU$152,MATCH($CX11,CV$8:CV$152,0))</f>
        <v>#N/A</v>
      </c>
      <c r="CZ11" s="237" t="e">
        <f t="shared" si="38">INDEX(BV$8:BV$152,MATCH($CX11,$CV$8:$CV$152,0))</f>
        <v>#N/A</v>
      </c>
      <c r="DA11" s="237" t="e">
        <f t="shared" si="39">INDEX(BW$8:BW$152,MATCH($CX11,$CV$8:$CV$152,0))</f>
        <v>#N/A</v>
      </c>
      <c r="DB11" s="237" t="e">
        <f t="shared" si="40">INDEX(BX$8:BX$152,MATCH($CX11,$CV$8:$CV$152,0))</f>
        <v>#N/A</v>
      </c>
      <c r="DC11" s="237" t="e">
        <f t="shared" si="41">INDEX(BY$8:BY$152,MATCH($CX11,$CV$8:$CV$152,0))</f>
        <v>#N/A</v>
      </c>
      <c r="DD11" s="237" t="e">
        <f t="shared" si="42">INDEX(BZ$8:BZ$152,MATCH($CX11,$CV$8:$CV$152,0))</f>
        <v>#N/A</v>
      </c>
      <c r="DE11" s="237" t="e">
        <f t="shared" si="43">INDEX(CA$8:CA$152,MATCH($CX11,$CV$8:$CV$152,0))</f>
        <v>#N/A</v>
      </c>
      <c r="DF11" s="237" t="e">
        <f t="shared" si="44">INDEX(CB$8:CB$152,MATCH($CX11,$CV$8:$CV$152,0))</f>
        <v>#N/A</v>
      </c>
    </row>
    <row r="12" spans="1:110">
      <c r="A12" s="1299">
        <v>5</v>
      </c>
      <c r="B12" s="1506"/>
      <c r="C12" s="1148"/>
      <c r="D12" s="1148"/>
      <c r="E12" s="1148"/>
      <c r="F12" s="1148"/>
      <c r="G12" s="1148"/>
      <c r="H12" s="1148"/>
      <c r="I12" s="1472"/>
      <c r="J12" s="1149"/>
      <c r="K12" s="1150"/>
      <c r="L12" s="1151"/>
      <c r="M12" s="1292">
        <f t="shared" si="45">K12*L12</f>
        <v>0</v>
      </c>
      <c r="N12" s="1071">
        <f t="shared" si="46">IF(ISNA(VLOOKUP(C12,$P$8:$U$12,5,False))=True,"",VLOOKUP(C12,$P$8:$U$12,5,False))</f>
        <v>0</v>
      </c>
      <c r="O12" s="2046"/>
      <c r="P12" s="1057" t="s">
        <v>1005</v>
      </c>
      <c r="Q12" s="1057" t="s">
        <v>1055</v>
      </c>
      <c r="R12" s="1057" t="s">
        <v>1006</v>
      </c>
      <c r="S12" s="1031">
        <f ca="1" t="shared" si="47">SUMIF($B$8:$M$22,R12,$K$8:$K$22)</f>
        <v>0</v>
      </c>
      <c r="T12" s="1031">
        <f ca="1" t="shared" si="48">SUMIF($B$8:$M$22,R12,$M$8:$M$22)</f>
        <v>0</v>
      </c>
      <c r="U12" s="1072">
        <v>50</v>
      </c>
      <c r="W12" s="1308">
        <f ca="1">IF(AND(OtherCash&lt;&gt;0,R12&lt;&gt;W10,R12&lt;&gt;W11,R12&lt;&gt;W9,R12&lt;&gt;W8),R12,IF(AND(T13&lt;&gt;0,R13&lt;&gt;W11,R13&lt;&gt;W10,R13&lt;&gt;W9,R13&lt;&gt;W8),R13,IF(AND(T14&lt;&gt;0,R14&lt;&gt;W11,R14&lt;&gt;W10,R14&lt;&gt;W9,R14&lt;&gt;W8),R14,IF(AND(T15&lt;&gt;0,R15&lt;&gt;W11,R15&lt;&gt;W10,R15&lt;&gt;W9,R15&lt;&gt;W8),R15,IF(AND(T16&lt;&gt;0,R16&lt;&gt;W11,R16&lt;&gt;W10,R16&lt;&gt;W9,R16&lt;&gt;W8),R16,IF(AND(T17&lt;&gt;0,R17&lt;&gt;W11,R17&lt;&gt;W10,R17&lt;&gt;W9,R17&lt;&gt;W8),R17,IF(AND(T18&lt;&gt;0,R18&lt;&gt;W11,R18&lt;&gt;W10,R18&lt;&gt;W9,R18&lt;&gt;W8),R18,IF(AND(T19&lt;&gt;0,R19&lt;&gt;W11,R19&lt;&gt;W10,R19&lt;&gt;W9,R19&lt;&gt;W8),R19,IF(AND(T20&lt;&gt;0,R20&lt;&gt;W11,R20&lt;&gt;W10,R20&lt;&gt;W9,R20&lt;&gt;W8),R20,IF(AND(T21&lt;&gt;0,R21&lt;&gt;W11,R21&lt;&gt;W10,R21&lt;&gt;W9,R21&lt;&gt;W8),R21,IF(AND(T22&lt;&gt;0,R22&lt;&gt;W11,R22&lt;&gt;W10,R22&lt;&gt;W9,R22&lt;&gt;W8),R22,IF(AND(T23&lt;&gt;0,R23&lt;&gt;W11,R23&lt;&gt;W10,R23&lt;&gt;W9,R23&lt;&gt;W8),R23,IF(AND(T24&lt;&gt;0,R24&lt;&gt;W11,R24&lt;&gt;W10,R24&lt;&gt;W9,R24&lt;&gt;W8),R24,IF(AND(T25&lt;&gt;0,R25&lt;&gt;W11,R25&lt;&gt;W10,R25&lt;&gt;W9,R25&lt;&gt;W8),R25,IF(AND(T26&lt;&gt;0,R26&lt;&gt;W11,R26&lt;&gt;W10,R26&lt;&gt;W9,R26&lt;&gt;W8),R26,IF(AND(T27&lt;&gt;0,R27&lt;&gt;W11,R27&lt;&gt;W10,R27&lt;&gt;W9,R27&lt;&gt;W8),R27,IF(AND(T28&lt;&gt;0,R28&lt;&gt;W11,R28&lt;&gt;W10,R28&lt;&gt;W9,R28&lt;&gt;W8),R28,IF(AND(T29&lt;&gt;0,R29&lt;&gt;W11,R29&lt;&gt;W10,R29&lt;&gt;W9,R29&lt;&gt;W8),R29,IF(AND(T30&lt;&gt;0,R30&lt;&gt;W11,R30&lt;&gt;W10,R30&lt;&gt;W9,R30&lt;&gt;W8),R30,IF(AND(T31&lt;&gt;0,R31&lt;&gt;W11,R31&lt;&gt;W10,R31&lt;&gt;W9,R31&lt;&gt;W8),R31,IF(AND(T32&lt;&gt;0,R32&lt;&gt;W11,R32&lt;&gt;W10,R32&lt;&gt;W9,R32&lt;&gt;W8),R32,IF(AND(T38&lt;&gt;0,R38&lt;&gt;W11,R38&lt;&gt;W10,R38&lt;&gt;W9,R38&lt;&gt;W8),R38,IF(AND(T39&lt;&gt;0,R39&lt;&gt;W11,R39&lt;&gt;W10,R39&lt;&gt;W9,R39&lt;&gt;W8),R39,IF(AND(T40&lt;&gt;0,R40&lt;&gt;W11,R40&lt;&gt;W10,R40&lt;&gt;W9,R40&lt;&gt;W8),R40,IF(AND(T41&lt;&gt;0,R41&lt;&gt;W11,R41&lt;&gt;W10,R41&lt;&gt;W9,R41&lt;&gt;W8),R41,IF(AND(T42&lt;&gt;0,R42&lt;&gt;W11,R42&lt;&gt;W10,R42&lt;&gt;W9,R42&lt;&gt;W8),R42,""))))))))))))))))))))))))))</f>
        <v>0</v>
      </c>
      <c r="X12" s="1308"/>
      <c r="Y12" s="1309">
        <f ca="1" t="shared" si="0">IF(ISNA(VLOOKUP(W12,$AE$8:$AG$46,2,False))=True,"",VLOOKUP(W12,$AE$8:$AG$46,2,False))</f>
        <v>0</v>
      </c>
      <c r="Z12" s="1309">
        <f ca="1" t="shared" si="1">IF(ISNA(VLOOKUP(W12,$AE$8:$AG$46,3,False))=True,"",VLOOKUP(W12,$AE$8:$AG$46,3,False))</f>
        <v>0</v>
      </c>
      <c r="AA12" s="1310">
        <f ca="1" t="shared" si="2">IF(ISNA(VLOOKUP(W12,$R$8:$T$42,3,False))=True,"",VLOOKUP(W12,$R$8:$T$42,3,False))</f>
        <v>0</v>
      </c>
      <c r="AB12" s="1521">
        <f ca="1">_xlfn.IFNA(IF(ISTEXT(VLOOKUP(W12,'DRAFT A&amp;L'!$B$7:$G$100,4,0)),VLOOKUP(W12,'DRAFT A&amp;L'!$B$7:$G$100,4,0),YEAR(VLOOKUP(W12,'DRAFT A&amp;L'!$B$7:$G$100,4,0))),"")</f>
        <v>0</v>
      </c>
      <c r="AC12" s="423"/>
      <c r="AE12" s="1027" t="s">
        <v>1006</v>
      </c>
      <c r="AF12" s="1037" t="s">
        <v>1005</v>
      </c>
      <c r="AG12" s="1037" t="s">
        <v>1055</v>
      </c>
      <c r="AK12" s="1092">
        <f t="shared" si="3">COUNTIF($BA$8:$BA$152,AF12)</f>
        <v>0</v>
      </c>
      <c r="AM12" s="1077">
        <f t="shared" si="4">IF(M12&gt;0,1,0)</f>
        <v>0</v>
      </c>
      <c r="AN12" s="1096">
        <f>IF(AM12&gt;0,COUNTIF(AM$8:AM12,"&gt;0"),0)</f>
        <v>0</v>
      </c>
      <c r="AO12" s="1078">
        <f t="shared" si="5">B12</f>
        <v>0</v>
      </c>
      <c r="AP12" s="1079">
        <f t="shared" si="6">C12</f>
        <v>0</v>
      </c>
      <c r="AQ12" s="1080">
        <f t="shared" si="7">IF(I12&lt;&gt;"",YEAR(I12),"")</f>
        <v>0</v>
      </c>
      <c r="AR12" s="1080">
        <f t="shared" si="8">IF(E12&lt;&gt;"",E12,"")</f>
        <v>0</v>
      </c>
      <c r="AS12" s="1078">
        <f t="shared" si="9">F12</f>
        <v>0</v>
      </c>
      <c r="AT12" s="1080">
        <f t="shared" si="10">IF(H12&lt;&gt;"",H12,"")</f>
        <v>0</v>
      </c>
      <c r="AU12" s="1080">
        <f t="shared" si="11">J12</f>
        <v>0</v>
      </c>
      <c r="AV12" s="1080">
        <f t="shared" si="12">K12</f>
        <v>0</v>
      </c>
      <c r="AW12" s="1081">
        <f t="shared" si="13">M12</f>
        <v>0</v>
      </c>
      <c r="AX12" s="237">
        <f t="shared" si="71">IF(AZ12&lt;&gt;"",AX11+1,"")</f>
        <v>0</v>
      </c>
      <c r="AY12" s="1087">
        <v>5</v>
      </c>
      <c r="AZ12" s="1087">
        <f t="shared" si="14">IF(ISNA(VLOOKUP(AY12,$AN$8:$AW$148,2,False))=True,"",VLOOKUP(AY12,$AN$8:$AW$148,2,False))</f>
        <v>0</v>
      </c>
      <c r="BA12" s="1087">
        <f t="shared" si="15">IF(ISNA(VLOOKUP(AZ12,$AE$8:$AF$46,2,False))=True,"",VLOOKUP(AZ12,$AE$8:$AF$46,2,False))</f>
        <v>0</v>
      </c>
      <c r="BB12" s="1087">
        <f t="shared" si="16">IF(ISNA(VLOOKUP(AY12,$AN$8:$AW$148,4,False))=True,"",VLOOKUP(AY12,$AN$8:$AW$148,4,False))</f>
        <v>0</v>
      </c>
      <c r="BC12" s="1087">
        <f t="shared" si="17">IF(ISNA(VLOOKUP(AY12,$AN$8:$AW$148,5,False))=True,"",VLOOKUP(AY12,$AN$8:$AW$148,5,False))</f>
        <v>0</v>
      </c>
      <c r="BD12" s="1087">
        <f t="shared" si="18">IF(ISNA(VLOOKUP(AY12,$AN$8:$AW$148,6,False))=True,"",VLOOKUP(AY12,$AN$8:$AW$148,6,False))</f>
        <v>0</v>
      </c>
      <c r="BE12" s="1125">
        <f t="shared" si="19">IF(ISNA(VLOOKUP(AY12,$AN$8:$AW$148,7,False))=True,"",VLOOKUP(AY12,$AN$8:$AW$148,7,False))</f>
        <v>0</v>
      </c>
      <c r="BF12" s="1123">
        <f t="shared" si="20">IF(ISNA(VLOOKUP($AY12,$AN$8:$AW$148,8,False))=True,"",VLOOKUP($AY12,$AN$8:$AW$148,8,False))</f>
        <v>0</v>
      </c>
      <c r="BG12" s="1120">
        <f t="shared" si="21">IF(ISNA(VLOOKUP($AY12,$AN$8:$AW$148,9,False))=True,"",VLOOKUP($AY12,$AN$8:$AW$148,9,False))</f>
        <v>0</v>
      </c>
      <c r="BH12" s="1120">
        <f t="shared" si="22">IF(ISNA(VLOOKUP($AY12,$AN$8:$AW$148,10,False))=True,"",VLOOKUP($AY12,$AN$8:$AW$148,10,False))</f>
        <v>0</v>
      </c>
      <c r="BI12" s="250">
        <f t="shared" si="49">IF(AZ12&lt;&gt;"",AZ12,"")</f>
        <v>0</v>
      </c>
      <c r="BJ12" s="1098">
        <f t="shared" si="50">BI12</f>
        <v>0</v>
      </c>
      <c r="BK12" s="1115">
        <f>COUNTIFS($AZ:$AZ, AZ12,$BJ:$BJ, "&lt;"&amp;BJ12)+COUNTIFS(AZ$8:AZ12, AZ12, BJ$8:BJ12, BJ12)</f>
        <v>5</v>
      </c>
      <c r="BL12" s="1114">
        <f t="shared" si="51">BK12/100</f>
        <v>0.05</v>
      </c>
      <c r="BM12" s="1093" t="e">
        <f t="shared" si="74" ref="BM12">BI12+BL12</f>
        <v>#VALUE!</v>
      </c>
      <c r="BN12" s="1101">
        <f t="shared" si="52">IF(BA12&lt;&gt;"",BM12,"")</f>
        <v>0</v>
      </c>
      <c r="BO12" s="1118">
        <f t="shared" si="53">IF(BN12&lt;&gt;"",BN12,0)</f>
        <v>0</v>
      </c>
      <c r="BP12" s="237" t="e">
        <f t="shared" si="23">SMALL($BN$8:$BN$152,AX12)</f>
        <v>#VALUE!</v>
      </c>
      <c r="BR12" s="1102" t="e">
        <f t="shared" si="54">IF(BP12&lt;&gt;"",BR11+1,"")</f>
        <v>#VALUE!</v>
      </c>
      <c r="BS12" s="1102">
        <f t="shared" si="55">IFERROR(BP12,"")</f>
        <v>0</v>
      </c>
      <c r="BT12" s="1102">
        <f t="shared" si="56">IFERROR(CC12,"")</f>
        <v>0</v>
      </c>
      <c r="BU12" s="1098">
        <f t="shared" si="57">IFERROR(CD12,"")</f>
        <v>0</v>
      </c>
      <c r="BV12" s="1098">
        <f t="shared" si="58">IFERROR(CE12,"")</f>
        <v>0</v>
      </c>
      <c r="BW12" s="1098">
        <f t="shared" si="59">IFERROR(CF12,"")</f>
        <v>0</v>
      </c>
      <c r="BX12" s="1146">
        <f t="shared" si="60">IFERROR(CH12,"")</f>
        <v>0</v>
      </c>
      <c r="BY12" s="1098">
        <f t="shared" si="61">IFERROR(CG12,"")</f>
        <v>0</v>
      </c>
      <c r="BZ12" s="1144" t="str">
        <f t="shared" si="62">IFERROR(CI12,"-")</f>
        <v>-</v>
      </c>
      <c r="CA12" s="1107">
        <f t="shared" si="63">IFERROR(CJ12,"")</f>
        <v>0</v>
      </c>
      <c r="CB12" s="1107">
        <f t="shared" si="64">IFERROR(CK12,"")</f>
        <v>0</v>
      </c>
      <c r="CC12" s="1110" t="e">
        <f t="shared" si="25">INDEX($AZ$8:$AZ$153,MATCH(BP12,$BO$8:$BO$153,0))</f>
        <v>#VALUE!</v>
      </c>
      <c r="CD12" s="1087" t="e">
        <f t="shared" si="26">INDEX($BA$8:$BA$153,MATCH(BP12,$BO$8:$BO$153,0))</f>
        <v>#VALUE!</v>
      </c>
      <c r="CE12" s="1106" t="e">
        <f t="shared" si="27">INDEX($BB$8:$BB$153,MATCH(BP12,$BO$8:$BO$153,0))</f>
        <v>#VALUE!</v>
      </c>
      <c r="CF12" s="1106" t="e">
        <f t="shared" si="28">INDEX(BC$8:BC$153,MATCH(BP12,$BO$8:$BO$153,0))</f>
        <v>#VALUE!</v>
      </c>
      <c r="CG12" s="1118" t="e">
        <f t="shared" si="29">INDEX(BE$8:BE$153,MATCH(BP12,$BO$8:$BO$153,0))</f>
        <v>#VALUE!</v>
      </c>
      <c r="CH12" s="1106" t="e">
        <f t="shared" si="30">INDEX($BD$8:$BD$153,MATCH($BP12,$BO$8:$BO$153,0))</f>
        <v>#VALUE!</v>
      </c>
      <c r="CI12" s="1142" t="e">
        <f t="shared" si="31">INDEX($BF$8:$BF$153,MATCH(BP12,$BO$8:$BO$153,0))</f>
        <v>#VALUE!</v>
      </c>
      <c r="CJ12" s="1106" t="e">
        <f t="shared" si="32">INDEX($BG$8:$BG$153,MATCH(BP12,$BO$8:$BO$153,0))</f>
        <v>#VALUE!</v>
      </c>
      <c r="CK12" s="1106" t="e">
        <f t="shared" si="33">INDEX($BH$8:$BH$153,MATCH(BP12,$BO$8:$BO$153,0))</f>
        <v>#VALUE!</v>
      </c>
      <c r="CM12" s="1131">
        <f t="shared" si="34">COUNTIF($CH$8:$CH$228,"&lt;="&amp;CH12)</f>
        <v>145</v>
      </c>
      <c r="CN12" s="1121">
        <f t="shared" si="65">--ISNUMBER(BX12)</f>
        <v>0</v>
      </c>
      <c r="CO12" s="1121">
        <f t="shared" si="66">IF(BX12=0,1,0)</f>
        <v>0</v>
      </c>
      <c r="CP12" s="1124">
        <f t="shared" si="35">IF(ISNUMBER(BX12),CM12,IF(ISERROR(BX12),CM12,CM12+$CN$154))+$CO$154</f>
        <v>145</v>
      </c>
      <c r="CQ12" s="237">
        <f>IFERROR(INDEX($BX$8:$BX$153,MATCH(SMALL($CP$8:$CP$153,ROWS($CQ$8:CQ12)+$CO$154),$CP$8:$CP$154,0)),"")</f>
        <v>0</v>
      </c>
      <c r="CR12" s="237">
        <v>0.1</v>
      </c>
      <c r="CS12" s="1135">
        <f t="shared" si="67">CM12+CR12</f>
        <v>145.1</v>
      </c>
      <c r="CT12" s="237">
        <f>COUNTIFS($CM:$CM, CM12,$CS:$CS, "&lt;"&amp;CL)+COUNTIFS(CM$8:CM12, CM12, CS$8:CS12, CS12)</f>
        <v>5</v>
      </c>
      <c r="CU12" s="1109">
        <f t="shared" si="68">CT12/100</f>
        <v>0.05</v>
      </c>
      <c r="CV12" s="1109">
        <f t="shared" si="69">CM12+CU12</f>
        <v>145.05</v>
      </c>
      <c r="CW12" s="237" t="e">
        <f t="shared" si="36">SMALL(CV$8:CV$153,AX12)</f>
        <v>#VALUE!</v>
      </c>
      <c r="CX12" s="1109">
        <f t="shared" si="70">IFERROR(CW12,"")</f>
        <v>0</v>
      </c>
      <c r="CY12" s="237" t="e">
        <f t="shared" si="37">INDEX(BU$8:BU$152,MATCH($CX12,CV$8:CV$152,0))</f>
        <v>#N/A</v>
      </c>
      <c r="CZ12" s="237" t="e">
        <f t="shared" si="38">INDEX(BV$8:BV$152,MATCH($CX12,$CV$8:$CV$152,0))</f>
        <v>#N/A</v>
      </c>
      <c r="DA12" s="237" t="e">
        <f t="shared" si="39">INDEX(BW$8:BW$152,MATCH($CX12,$CV$8:$CV$152,0))</f>
        <v>#N/A</v>
      </c>
      <c r="DB12" s="237" t="e">
        <f t="shared" si="40">INDEX(BX$8:BX$152,MATCH($CX12,$CV$8:$CV$152,0))</f>
        <v>#N/A</v>
      </c>
      <c r="DC12" s="237" t="e">
        <f t="shared" si="41">INDEX(BY$8:BY$152,MATCH($CX12,$CV$8:$CV$152,0))</f>
        <v>#N/A</v>
      </c>
      <c r="DD12" s="237" t="e">
        <f t="shared" si="42">INDEX(BZ$8:BZ$152,MATCH($CX12,$CV$8:$CV$152,0))</f>
        <v>#N/A</v>
      </c>
      <c r="DE12" s="237" t="e">
        <f t="shared" si="43">INDEX(CA$8:CA$152,MATCH($CX12,$CV$8:$CV$152,0))</f>
        <v>#N/A</v>
      </c>
      <c r="DF12" s="237" t="e">
        <f t="shared" si="44">INDEX(CB$8:CB$152,MATCH($CX12,$CV$8:$CV$152,0))</f>
        <v>#N/A</v>
      </c>
    </row>
    <row r="13" spans="1:110">
      <c r="A13" s="1299">
        <v>6</v>
      </c>
      <c r="B13" s="1506"/>
      <c r="C13" s="1148"/>
      <c r="D13" s="1148"/>
      <c r="E13" s="1148"/>
      <c r="F13" s="1148"/>
      <c r="G13" s="1148"/>
      <c r="H13" s="1148"/>
      <c r="I13" s="1472"/>
      <c r="J13" s="1149"/>
      <c r="K13" s="1150"/>
      <c r="L13" s="1151"/>
      <c r="M13" s="1292">
        <f t="shared" si="45">K13*L13</f>
        <v>0</v>
      </c>
      <c r="N13" s="1071">
        <f t="shared" si="46">IF(ISNA(VLOOKUP(C13,$P$8:$U$12,5,False))=True,"",VLOOKUP(C13,$P$8:$U$12,5,False))</f>
        <v>0</v>
      </c>
      <c r="O13" s="2046" t="s">
        <v>839</v>
      </c>
      <c r="P13" s="1055" t="s">
        <v>1007</v>
      </c>
      <c r="Q13" s="1055" t="s">
        <v>1056</v>
      </c>
      <c r="R13" s="1056" t="s">
        <v>1008</v>
      </c>
      <c r="S13" s="1031">
        <f ca="1">SUMIF($B$29:$M$43,R13,$K$29:$K$43)</f>
        <v>0</v>
      </c>
      <c r="T13" s="1031">
        <f ca="1">SUMIF($B$29:$M$43,R13,$M$29:$M$43)</f>
        <v>0</v>
      </c>
      <c r="U13" s="1031"/>
      <c r="W13" s="1308">
        <f ca="1">IF(AND(T13&lt;&gt;0,R13&lt;&gt;W12,R13&lt;&gt;W11,R13&lt;&gt;W10,R13&lt;&gt;W9,R13&lt;&gt;W8),R13,IF(AND(T14&lt;&gt;0,R14&lt;&gt;W12,R14&lt;&gt;W11,R14&lt;&gt;W10,R14&lt;&gt;W9,R14&lt;&gt;W8),R14,IF(AND(T15&lt;&gt;0,R15&lt;&gt;W12,R15&lt;&gt;W11,R15&lt;&gt;W10,R15&lt;&gt;W9,R15&lt;&gt;W8),R15,IF(AND(T16&lt;&gt;0,R16&lt;&gt;W12,R16&lt;&gt;W11,R16&lt;&gt;W10,R16&lt;&gt;W9,R16&lt;&gt;W8),R16,IF(AND(T17&lt;&gt;0,R17&lt;&gt;W12,R17&lt;&gt;W11,R17&lt;&gt;W10,R17&lt;&gt;W9,R17&lt;&gt;W8),R17,IF(AND(T18&lt;&gt;0,R18&lt;&gt;W12,R18&lt;&gt;W11,R18&lt;&gt;W10,R18&lt;&gt;W9,R18&lt;&gt;W8),R18,IF(AND(T19&lt;&gt;0,R19&lt;&gt;W12,R19&lt;&gt;W11,R19&lt;&gt;W10,R19&lt;&gt;W9,R19&lt;&gt;W8),R19,IF(AND(T20&lt;&gt;0,R20&lt;&gt;W12,R20&lt;&gt;W11,R20&lt;&gt;W10,R20&lt;&gt;W9,R20&lt;&gt;W8),R20,IF(AND(T21&lt;&gt;0,R21&lt;&gt;W12,R21&lt;&gt;W11,R21&lt;&gt;W10,R21&lt;&gt;W9,R21&lt;&gt;W8),R21,IF(AND(T22&lt;&gt;0,R22&lt;&gt;W12,R22&lt;&gt;W11,R22&lt;&gt;W10,R22&lt;&gt;W9,R22&lt;&gt;W8),R22,IF(AND(T23&lt;&gt;0,R23&lt;&gt;W12,R23&lt;&gt;W11,R23&lt;&gt;W10,R23&lt;&gt;W9,R20&lt;&gt;W8),R23,IF(AND(T24&lt;&gt;0,R24&lt;&gt;W12,R24&lt;&gt;W11,R24&lt;&gt;W10,R24&lt;&gt;W9,R24&lt;&gt;W8),R24,IF(AND(T25&lt;&gt;0,R25&lt;&gt;W12,R25&lt;&gt;W11,R25&lt;&gt;W10,R25&lt;&gt;W9,R25&lt;&gt;W8),R25,IF(AND(T26&lt;&gt;0,R26&lt;&gt;W12,R26&lt;&gt;W11,R26&lt;&gt;W10,R26&lt;&gt;W9,R26&lt;&gt;W8),R26,IF(AND(T27&lt;&gt;0,R27&lt;&gt;W12,R27&lt;&gt;W11,R27&lt;&gt;W10,R27&lt;&gt;W9,R27&lt;&gt;W8),R27,IF(AND(T28&lt;&gt;0,R28&lt;&gt;W12,R28&lt;&gt;W11,R28&lt;&gt;W10,R28&lt;&gt;W9,R28&lt;&gt;W8),R28,IF(AND(T29&lt;&gt;0,R29&lt;&gt;W12,R29&lt;&gt;W11,R29&lt;&gt;W10,R29&lt;&gt;W9,R29&lt;&gt;W8),R29,IF(AND(T30&lt;&gt;0,R30&lt;&gt;W12,R30&lt;&gt;W11,R30&lt;&gt;W10,R30&lt;&gt;W9,R30&lt;&gt;W8),R30,IF(AND(T31&lt;&gt;0,R31&lt;&gt;W12,R31&lt;&gt;W11,R31&lt;&gt;W10,R31&lt;&gt;W9,R31&lt;&gt;W8),R31,IF(AND(T32&lt;&gt;0,R32&lt;&gt;W12,R32&lt;&gt;W11,R32&lt;&gt;W10,R32&lt;&gt;W9,R32&lt;&gt;W8),R32,IF(AND(T38&lt;&gt;0,R38&lt;&gt;W12,R38&lt;&gt;W11,R38&lt;&gt;W10,R38&lt;&gt;W9,R38&lt;&gt;W8),R38,IF(AND(T39&lt;&gt;0,R39&lt;&gt;W12,R39&lt;&gt;W11,R39&lt;&gt;W10,R39&lt;&gt;W9,R39&lt;&gt;W8),R39,IF(AND(T40&lt;&gt;0,R40&lt;&gt;W12,R40&lt;&gt;W11,R40&lt;&gt;W10,R40&lt;&gt;W9,R40&lt;&gt;W8),R40,IF(AND(T41&lt;&gt;0,R41&lt;&gt;W12,R41&lt;&gt;W11,R41&lt;&gt;W10,R41&lt;&gt;W9,R41&lt;&gt;W8),R41,IF(AND(T42&lt;&gt;0,R42&lt;&gt;W12,R42&lt;&gt;W11,R42&lt;&gt;W10,R42&lt;&gt;W9,R42&lt;&gt;W8),R42,"")))))))))))))))))))))))))</f>
        <v>0</v>
      </c>
      <c r="X13" s="1308"/>
      <c r="Y13" s="1309">
        <f ca="1" t="shared" si="0">IF(ISNA(VLOOKUP(W13,$AE$8:$AG$46,2,False))=True,"",VLOOKUP(W13,$AE$8:$AG$46,2,False))</f>
        <v>0</v>
      </c>
      <c r="Z13" s="1309">
        <f ca="1" t="shared" si="1">IF(ISNA(VLOOKUP(W13,$AE$8:$AG$46,3,False))=True,"",VLOOKUP(W13,$AE$8:$AG$46,3,False))</f>
        <v>0</v>
      </c>
      <c r="AA13" s="1310">
        <f ca="1" t="shared" si="2">IF(ISNA(VLOOKUP(W13,$R$8:$T$42,3,False))=True,"",VLOOKUP(W13,$R$8:$T$42,3,False))</f>
        <v>0</v>
      </c>
      <c r="AB13" s="1521">
        <f ca="1">_xlfn.IFNA(IF(ISTEXT(VLOOKUP(W13,'DRAFT A&amp;L'!$B$7:$G$100,4,0)),VLOOKUP(W13,'DRAFT A&amp;L'!$B$7:$G$100,4,0),YEAR(VLOOKUP(W13,'DRAFT A&amp;L'!$B$7:$G$100,4,0))),"")</f>
        <v>0</v>
      </c>
      <c r="AC13" s="423"/>
      <c r="AE13" s="1028" t="s">
        <v>1008</v>
      </c>
      <c r="AF13" s="1036" t="s">
        <v>1007</v>
      </c>
      <c r="AG13" s="1036" t="s">
        <v>1056</v>
      </c>
      <c r="AK13" s="1092">
        <f t="shared" si="3">COUNTIF($BA$8:$BA$152,AF13)</f>
        <v>0</v>
      </c>
      <c r="AM13" s="1077">
        <f t="shared" si="4">IF(M13&gt;0,1,0)</f>
        <v>0</v>
      </c>
      <c r="AN13" s="1096">
        <f>IF(AM13&gt;0,COUNTIF(AM$8:AM13,"&gt;0"),0)</f>
        <v>0</v>
      </c>
      <c r="AO13" s="1078">
        <f t="shared" si="5">B13</f>
        <v>0</v>
      </c>
      <c r="AP13" s="1079">
        <f t="shared" si="6">C13</f>
        <v>0</v>
      </c>
      <c r="AQ13" s="1080">
        <f t="shared" si="7">IF(I13&lt;&gt;"",YEAR(I13),"")</f>
        <v>0</v>
      </c>
      <c r="AR13" s="1080">
        <f t="shared" si="8">IF(E13&lt;&gt;"",E13,"")</f>
        <v>0</v>
      </c>
      <c r="AS13" s="1078">
        <f t="shared" si="9">F13</f>
        <v>0</v>
      </c>
      <c r="AT13" s="1080">
        <f t="shared" si="10">IF(H13&lt;&gt;"",H13,"")</f>
        <v>0</v>
      </c>
      <c r="AU13" s="1080">
        <f t="shared" si="11">J13</f>
        <v>0</v>
      </c>
      <c r="AV13" s="1080">
        <f t="shared" si="12">K13</f>
        <v>0</v>
      </c>
      <c r="AW13" s="1081">
        <f t="shared" si="13">M13</f>
        <v>0</v>
      </c>
      <c r="AX13" s="237">
        <f t="shared" si="71">IF(AZ13&lt;&gt;"",AX12+1,"")</f>
        <v>0</v>
      </c>
      <c r="AY13" s="1087">
        <v>6</v>
      </c>
      <c r="AZ13" s="1087">
        <f t="shared" si="14">IF(ISNA(VLOOKUP(AY13,$AN$8:$AW$148,2,False))=True,"",VLOOKUP(AY13,$AN$8:$AW$148,2,False))</f>
        <v>0</v>
      </c>
      <c r="BA13" s="1087">
        <f t="shared" si="15">IF(ISNA(VLOOKUP(AZ13,$AE$8:$AF$46,2,False))=True,"",VLOOKUP(AZ13,$AE$8:$AF$46,2,False))</f>
        <v>0</v>
      </c>
      <c r="BB13" s="1087">
        <f t="shared" si="16">IF(ISNA(VLOOKUP(AY13,$AN$8:$AW$148,4,False))=True,"",VLOOKUP(AY13,$AN$8:$AW$148,4,False))</f>
        <v>0</v>
      </c>
      <c r="BC13" s="1087">
        <f t="shared" si="17">IF(ISNA(VLOOKUP(AY13,$AN$8:$AW$148,5,False))=True,"",VLOOKUP(AY13,$AN$8:$AW$148,5,False))</f>
        <v>0</v>
      </c>
      <c r="BD13" s="1087">
        <f t="shared" si="18">IF(ISNA(VLOOKUP(AY13,$AN$8:$AW$148,6,False))=True,"",VLOOKUP(AY13,$AN$8:$AW$148,6,False))</f>
        <v>0</v>
      </c>
      <c r="BE13" s="1125">
        <f t="shared" si="19">IF(ISNA(VLOOKUP(AY13,$AN$8:$AW$148,7,False))=True,"",VLOOKUP(AY13,$AN$8:$AW$148,7,False))</f>
        <v>0</v>
      </c>
      <c r="BF13" s="1123">
        <f t="shared" si="20">IF(ISNA(VLOOKUP($AY13,$AN$8:$AW$148,8,False))=True,"",VLOOKUP($AY13,$AN$8:$AW$148,8,False))</f>
        <v>0</v>
      </c>
      <c r="BG13" s="1120">
        <f t="shared" si="21">IF(ISNA(VLOOKUP($AY13,$AN$8:$AW$148,9,False))=True,"",VLOOKUP($AY13,$AN$8:$AW$148,9,False))</f>
        <v>0</v>
      </c>
      <c r="BH13" s="1120">
        <f t="shared" si="22">IF(ISNA(VLOOKUP($AY13,$AN$8:$AW$148,10,False))=True,"",VLOOKUP($AY13,$AN$8:$AW$148,10,False))</f>
        <v>0</v>
      </c>
      <c r="BI13" s="250">
        <f t="shared" si="49">IF(AZ13&lt;&gt;"",AZ13,"")</f>
        <v>0</v>
      </c>
      <c r="BJ13" s="1098">
        <f t="shared" si="50">BI13</f>
        <v>0</v>
      </c>
      <c r="BK13" s="1115">
        <f>COUNTIFS($AZ:$AZ, AZ13,$BJ:$BJ, "&lt;"&amp;BJ13)+COUNTIFS(AZ$8:AZ13, AZ13, BJ$8:BJ13, BJ13)</f>
        <v>6</v>
      </c>
      <c r="BL13" s="1114">
        <f t="shared" si="51">BK13/100</f>
        <v>0.06</v>
      </c>
      <c r="BM13" s="1093" t="e">
        <f t="shared" si="75" ref="BM13">BJ13+BL13</f>
        <v>#VALUE!</v>
      </c>
      <c r="BN13" s="1101">
        <f t="shared" si="52">IF(BA13&lt;&gt;"",BM13,"")</f>
        <v>0</v>
      </c>
      <c r="BO13" s="1118">
        <f t="shared" si="53">IF(BN13&lt;&gt;"",BN13,0)</f>
        <v>0</v>
      </c>
      <c r="BP13" s="237" t="e">
        <f t="shared" si="23">SMALL($BN$8:$BN$152,AX13)</f>
        <v>#VALUE!</v>
      </c>
      <c r="BR13" s="1102" t="e">
        <f t="shared" si="54">IF(BP13&lt;&gt;"",BR12+1,"")</f>
        <v>#VALUE!</v>
      </c>
      <c r="BS13" s="1102">
        <f t="shared" si="55">IFERROR(BP13,"")</f>
        <v>0</v>
      </c>
      <c r="BT13" s="1102">
        <f t="shared" si="56">IFERROR(CC13,"")</f>
        <v>0</v>
      </c>
      <c r="BU13" s="1098">
        <f t="shared" si="57">IFERROR(CD13,"")</f>
        <v>0</v>
      </c>
      <c r="BV13" s="1098">
        <f t="shared" si="58">IFERROR(CE13,"")</f>
        <v>0</v>
      </c>
      <c r="BW13" s="1098">
        <f t="shared" si="59">IFERROR(CF13,"")</f>
        <v>0</v>
      </c>
      <c r="BX13" s="1146">
        <f t="shared" si="60">IFERROR(CH13,"")</f>
        <v>0</v>
      </c>
      <c r="BY13" s="1098">
        <f t="shared" si="61">IFERROR(CG13,"")</f>
        <v>0</v>
      </c>
      <c r="BZ13" s="1144" t="str">
        <f t="shared" si="62">IFERROR(CI13,"-")</f>
        <v>-</v>
      </c>
      <c r="CA13" s="1107">
        <f t="shared" si="63">IFERROR(CJ13,"")</f>
        <v>0</v>
      </c>
      <c r="CB13" s="1107">
        <f t="shared" si="64">IFERROR(CK13,"")</f>
        <v>0</v>
      </c>
      <c r="CC13" s="1110" t="e">
        <f t="shared" si="25">INDEX($AZ$8:$AZ$153,MATCH(BP13,$BO$8:$BO$153,0))</f>
        <v>#VALUE!</v>
      </c>
      <c r="CD13" s="1087" t="e">
        <f t="shared" si="26">INDEX($BA$8:$BA$153,MATCH(BP13,$BO$8:$BO$153,0))</f>
        <v>#VALUE!</v>
      </c>
      <c r="CE13" s="1106" t="e">
        <f t="shared" si="27">INDEX($BB$8:$BB$153,MATCH(BP13,$BO$8:$BO$153,0))</f>
        <v>#VALUE!</v>
      </c>
      <c r="CF13" s="1106" t="e">
        <f t="shared" si="28">INDEX(BC$8:BC$153,MATCH(BP13,$BO$8:$BO$153,0))</f>
        <v>#VALUE!</v>
      </c>
      <c r="CG13" s="1118" t="e">
        <f t="shared" si="29">INDEX(BE$8:BE$153,MATCH(BP13,$BO$8:$BO$153,0))</f>
        <v>#VALUE!</v>
      </c>
      <c r="CH13" s="1106" t="e">
        <f t="shared" si="30">INDEX($BD$8:$BD$153,MATCH($BP13,$BO$8:$BO$153,0))</f>
        <v>#VALUE!</v>
      </c>
      <c r="CI13" s="1142" t="e">
        <f t="shared" si="31">INDEX($BF$8:$BF$153,MATCH(BP13,$BO$8:$BO$153,0))</f>
        <v>#VALUE!</v>
      </c>
      <c r="CJ13" s="1106" t="e">
        <f t="shared" si="32">INDEX($BG$8:$BG$153,MATCH(BP13,$BO$8:$BO$153,0))</f>
        <v>#VALUE!</v>
      </c>
      <c r="CK13" s="1106" t="e">
        <f t="shared" si="33">INDEX($BH$8:$BH$153,MATCH(BP13,$BO$8:$BO$153,0))</f>
        <v>#VALUE!</v>
      </c>
      <c r="CM13" s="1131">
        <f t="shared" si="34">COUNTIF($CH$8:$CH$228,"&lt;="&amp;CH13)</f>
        <v>145</v>
      </c>
      <c r="CN13" s="1121">
        <f t="shared" si="65">--ISNUMBER(BX13)</f>
        <v>0</v>
      </c>
      <c r="CO13" s="1121">
        <f t="shared" si="66">IF(BX13=0,1,0)</f>
        <v>0</v>
      </c>
      <c r="CP13" s="1124">
        <f t="shared" si="35">IF(ISNUMBER(BX13),CM13,IF(ISERROR(BX13),CM13,CM13+$CN$154))+$CO$154</f>
        <v>145</v>
      </c>
      <c r="CQ13" s="237">
        <f>IFERROR(INDEX($BX$8:$BX$153,MATCH(SMALL($CP$8:$CP$153,ROWS($CQ$8:CQ13)+$CO$154),$CP$8:$CP$154,0)),"")</f>
        <v>0</v>
      </c>
      <c r="CR13" s="237">
        <v>0.1</v>
      </c>
      <c r="CS13" s="1135">
        <f t="shared" si="67">CM13+CR13</f>
        <v>145.1</v>
      </c>
      <c r="CT13" s="237">
        <f>COUNTIFS($CM:$CM, CM13,$CS:$CS, "&lt;"&amp;CL)+COUNTIFS(CM$8:CM13, CM13, CS$8:CS13, CS13)</f>
        <v>6</v>
      </c>
      <c r="CU13" s="1109">
        <f t="shared" si="68">CT13/100</f>
        <v>0.06</v>
      </c>
      <c r="CV13" s="1109">
        <f t="shared" si="69">CM13+CU13</f>
        <v>145.06</v>
      </c>
      <c r="CW13" s="237" t="e">
        <f t="shared" si="36">SMALL(CV$8:CV$153,AX13)</f>
        <v>#VALUE!</v>
      </c>
      <c r="CX13" s="1109">
        <f t="shared" si="70">IFERROR(CW13,"")</f>
        <v>0</v>
      </c>
      <c r="CY13" s="237" t="e">
        <f t="shared" si="37">INDEX(BU$8:BU$152,MATCH($CX13,CV$8:CV$152,0))</f>
        <v>#N/A</v>
      </c>
      <c r="CZ13" s="237" t="e">
        <f t="shared" si="38">INDEX(BV$8:BV$152,MATCH($CX13,$CV$8:$CV$152,0))</f>
        <v>#N/A</v>
      </c>
      <c r="DA13" s="237" t="e">
        <f t="shared" si="39">INDEX(BW$8:BW$152,MATCH($CX13,$CV$8:$CV$152,0))</f>
        <v>#N/A</v>
      </c>
      <c r="DB13" s="237" t="e">
        <f t="shared" si="40">INDEX(BX$8:BX$152,MATCH($CX13,$CV$8:$CV$152,0))</f>
        <v>#N/A</v>
      </c>
      <c r="DC13" s="237" t="e">
        <f t="shared" si="41">INDEX(BY$8:BY$152,MATCH($CX13,$CV$8:$CV$152,0))</f>
        <v>#N/A</v>
      </c>
      <c r="DD13" s="237" t="e">
        <f t="shared" si="42">INDEX(BZ$8:BZ$152,MATCH($CX13,$CV$8:$CV$152,0))</f>
        <v>#N/A</v>
      </c>
      <c r="DE13" s="237" t="e">
        <f t="shared" si="43">INDEX(CA$8:CA$152,MATCH($CX13,$CV$8:$CV$152,0))</f>
        <v>#N/A</v>
      </c>
      <c r="DF13" s="237" t="e">
        <f t="shared" si="44">INDEX(CB$8:CB$152,MATCH($CX13,$CV$8:$CV$152,0))</f>
        <v>#N/A</v>
      </c>
    </row>
    <row r="14" spans="1:110">
      <c r="A14" s="1299">
        <v>7</v>
      </c>
      <c r="B14" s="1506"/>
      <c r="C14" s="1148"/>
      <c r="D14" s="1148"/>
      <c r="E14" s="1148"/>
      <c r="F14" s="1148"/>
      <c r="G14" s="1148"/>
      <c r="H14" s="1148"/>
      <c r="I14" s="1472"/>
      <c r="J14" s="1149"/>
      <c r="K14" s="1150"/>
      <c r="L14" s="1151"/>
      <c r="M14" s="1292">
        <f t="shared" si="45">K14*L14</f>
        <v>0</v>
      </c>
      <c r="N14" s="1071">
        <f t="shared" si="46">IF(ISNA(VLOOKUP(C14,$P$8:$U$12,5,False))=True,"",VLOOKUP(C14,$P$8:$U$12,5,False))</f>
        <v>0</v>
      </c>
      <c r="O14" s="2046"/>
      <c r="P14" s="1057" t="s">
        <v>1009</v>
      </c>
      <c r="Q14" s="1057" t="s">
        <v>1057</v>
      </c>
      <c r="R14" s="1057" t="s">
        <v>1010</v>
      </c>
      <c r="S14" s="1031">
        <f ca="1">SUMIF($B$29:$M$43,$R14,$K$29:$K$43)</f>
        <v>0</v>
      </c>
      <c r="T14" s="1031">
        <f ca="1">SUMIF($B$29:$M$43,R14,$M$29:$M$43)</f>
        <v>0</v>
      </c>
      <c r="U14" s="1031"/>
      <c r="W14" s="1308">
        <f ca="1">IF(AND(T14&lt;&gt;0,R14&lt;&gt;W13,R14&lt;&gt;W12,R14&lt;&gt;W11,R14&lt;&gt;W10,R14&lt;&gt;W9,R14&lt;&gt;W8),R14,IF(AND(T15&lt;&gt;0,R15&lt;&gt;W13,R15&lt;&gt;W12,R15&lt;&gt;W11,R15&lt;&gt;W10,R15&lt;&gt;W9,R15&lt;&gt;W8),R15,IF(AND(T16&lt;&gt;0,R16&lt;&gt;W13,R16&lt;&gt;W12,R16&lt;&gt;W11,R16&lt;&gt;W10,R16&lt;&gt;W9,R16&lt;&gt;W8),R16,IF(AND(T17&lt;&gt;0,R17&lt;&gt;W13,R17&lt;&gt;W12,R17&lt;&gt;W11,R17&lt;&gt;W10,R17&lt;&gt;W9,R17&lt;&gt;W8),R17,IF(AND(T18&lt;&gt;0,R18&lt;&gt;W13,R18&lt;&gt;W12,R18&lt;&gt;W11,R18&lt;&gt;W10,R18&lt;&gt;W9,R18&lt;&gt;W8),R18,IF(AND(T19&lt;&gt;0,R19&lt;&gt;W13,R19&lt;&gt;W12,R19&lt;&gt;W11,R19&lt;&gt;W10,R19&lt;&gt;W9,R19&lt;&gt;W8),R19,IF(AND(T20&lt;&gt;0,R20&lt;&gt;W13,R20&lt;&gt;W12,R20&lt;&gt;W11,R20&lt;&gt;W10,R20&lt;&gt;W9,R20&lt;&gt;W8),R20,IF(AND(T21&lt;&gt;0,R21&lt;&gt;W13,R21&lt;&gt;W12,R21&lt;&gt;W11,R21&lt;&gt;W10,R21&lt;&gt;W9,R21&lt;&gt;W8),R21,IF(AND(T22&lt;&gt;0,R22&lt;&gt;W13,R22&lt;&gt;W12,R22&lt;&gt;W11,R22&lt;&gt;W10,R22&lt;&gt;W9,R21&lt;&gt;W8),R22,IF(AND(T23&lt;&gt;0,R23&lt;&gt;W13,R23&lt;&gt;W12,R23&lt;&gt;W11,R23&lt;&gt;W10,R23&lt;&gt;W9,R23&lt;&gt;W8),R23,IF(AND(T24&lt;&gt;0,R24&lt;&gt;W13,R24&lt;&gt;W12,R24&lt;&gt;W11,R24&lt;&gt;W10,R24&lt;&gt;W9,R24&lt;&gt;W8),R24,IF(AND(T25&lt;&gt;0,R25&lt;&gt;W13,R25&lt;&gt;W12,R25&lt;&gt;W11,R25&lt;&gt;W10,R25&lt;&gt;W9,R25&lt;&gt;W8),R25,IF(AND(T26&lt;&gt;0,R26&lt;&gt;W13,R26&lt;&gt;W12,R26&lt;&gt;W11,R26&lt;&gt;W10,R26&lt;&gt;W9,R26&lt;&gt;W8),R26,IF(AND(T27&lt;&gt;0,R27&lt;&gt;W13,R27&lt;&gt;W12,R27&lt;&gt;W11,R27&lt;&gt;W10,R27&lt;&gt;W9,R27&lt;&gt;W8),R27,IF(AND(T28&lt;&gt;0,R28&lt;&gt;W13,R28&lt;&gt;W12,R28&lt;&gt;W11,R28&lt;&gt;W10,R28&lt;&gt;W9,R28&lt;&gt;W8),R28,IF(AND(T29&lt;&gt;0,R29&lt;&gt;W13,R29&lt;&gt;W12,R29&lt;&gt;W11,R29&lt;&gt;W10,R29&lt;&gt;W9,R29&lt;&gt;W8),R29,IF(AND(T30&lt;&gt;0,R30&lt;&gt;W13,R30&lt;&gt;W12,R30&lt;&gt;W11,R30&lt;&gt;W10,R30&lt;&gt;W9,R30&lt;&gt;W8),R30,IF(AND(T31&lt;&gt;0,R31&lt;&gt;W13,R31&lt;&gt;W12,R31&lt;&gt;W11,R31&lt;&gt;W10,R31&lt;&gt;W9,R31&lt;&gt;W8),R31,IF(AND(T32&lt;&gt;0,R32&lt;&gt;W13,R32&lt;&gt;W12,R32&lt;&gt;W11,R32&lt;&gt;W10,R32&lt;&gt;W9,R32&lt;&gt;W8),R32,IF(AND(T38&lt;&gt;0,R38&lt;&gt;W13,R38&lt;&gt;W12,R38&lt;&gt;W11,R38&lt;&gt;W10,R38&lt;&gt;W9,R38&lt;&gt;W8),R38,IF(AND(T39&lt;&gt;0,R39&lt;&gt;W13,R39&lt;&gt;W12,R39&lt;&gt;W11,R39&lt;&gt;W10,R39&lt;&gt;W9,R39&lt;&gt;W8),R39,IF(AND(T40&lt;&gt;0,R40&lt;&gt;W13,R40&lt;&gt;W12,R40&lt;&gt;W11,R40&lt;&gt;W10,R40&lt;&gt;W9,R40&lt;&gt;W8),R40,IF(AND(T41&lt;&gt;0,R41&lt;&gt;W13,R41&lt;&gt;W12,R41&lt;&gt;W11,R41&lt;&gt;W10,R41&lt;&gt;W9,R41&lt;&gt;W8),R41,IF(AND(T42&lt;&gt;0,R42&lt;&gt;W13,R42&lt;&gt;W12,R42&lt;&gt;W11,R42&lt;&gt;W10,R42&lt;&gt;W9,R42&lt;&gt;W8),R42,""))))))))))))))))))))))))</f>
        <v>0</v>
      </c>
      <c r="X14" s="1308"/>
      <c r="Y14" s="1309">
        <f ca="1" t="shared" si="0">IF(ISNA(VLOOKUP(W14,$AE$8:$AG$46,2,False))=True,"",VLOOKUP(W14,$AE$8:$AG$46,2,False))</f>
        <v>0</v>
      </c>
      <c r="Z14" s="1309">
        <f ca="1" t="shared" si="1">IF(ISNA(VLOOKUP(W14,$AE$8:$AG$46,3,False))=True,"",VLOOKUP(W14,$AE$8:$AG$46,3,False))</f>
        <v>0</v>
      </c>
      <c r="AA14" s="1310">
        <f ca="1" t="shared" si="2">IF(ISNA(VLOOKUP(W14,$R$8:$T$42,3,False))=True,"",VLOOKUP(W14,$R$8:$T$42,3,False))</f>
        <v>0</v>
      </c>
      <c r="AB14" s="1521">
        <f ca="1">_xlfn.IFNA(IF(ISTEXT(VLOOKUP(W14,'DRAFT A&amp;L'!$B$7:$G$100,4,0)),VLOOKUP(W14,'DRAFT A&amp;L'!$B$7:$G$100,4,0),YEAR(VLOOKUP(W14,'DRAFT A&amp;L'!$B$7:$G$100,4,0))),"")</f>
        <v>0</v>
      </c>
      <c r="AC14" s="423"/>
      <c r="AE14" s="1027" t="s">
        <v>1010</v>
      </c>
      <c r="AF14" s="1037" t="s">
        <v>1009</v>
      </c>
      <c r="AG14" s="1037" t="s">
        <v>1057</v>
      </c>
      <c r="AK14" s="1092">
        <f t="shared" si="3">COUNTIF($BA$8:$BA$152,AF14)</f>
        <v>0</v>
      </c>
      <c r="AM14" s="1077">
        <f t="shared" si="4">IF(M14&gt;0,1,0)</f>
        <v>0</v>
      </c>
      <c r="AN14" s="1096">
        <f>IF(AM14&gt;0,COUNTIF(AM$8:AM14,"&gt;0"),0)</f>
        <v>0</v>
      </c>
      <c r="AO14" s="1078">
        <f t="shared" si="5">B14</f>
        <v>0</v>
      </c>
      <c r="AP14" s="1079">
        <f t="shared" si="6">C14</f>
        <v>0</v>
      </c>
      <c r="AQ14" s="1080">
        <f t="shared" si="7">IF(I14&lt;&gt;"",YEAR(I14),"")</f>
        <v>0</v>
      </c>
      <c r="AR14" s="1080">
        <f t="shared" si="8">IF(E14&lt;&gt;"",E14,"")</f>
        <v>0</v>
      </c>
      <c r="AS14" s="1078">
        <f t="shared" si="9">F14</f>
        <v>0</v>
      </c>
      <c r="AT14" s="1080">
        <f t="shared" si="10">IF(H14&lt;&gt;"",H14,"")</f>
        <v>0</v>
      </c>
      <c r="AU14" s="1080">
        <f t="shared" si="11">J14</f>
        <v>0</v>
      </c>
      <c r="AV14" s="1080">
        <f t="shared" si="12">K14</f>
        <v>0</v>
      </c>
      <c r="AW14" s="1081">
        <f t="shared" si="13">M14</f>
        <v>0</v>
      </c>
      <c r="AX14" s="237">
        <f t="shared" si="71">IF(AZ14&lt;&gt;"",AX13+1,"")</f>
        <v>0</v>
      </c>
      <c r="AY14" s="1087">
        <v>7</v>
      </c>
      <c r="AZ14" s="1087">
        <f t="shared" si="14">IF(ISNA(VLOOKUP(AY14,$AN$8:$AW$148,2,False))=True,"",VLOOKUP(AY14,$AN$8:$AW$148,2,False))</f>
        <v>0</v>
      </c>
      <c r="BA14" s="1087">
        <f t="shared" si="15">IF(ISNA(VLOOKUP(AZ14,$AE$8:$AF$46,2,False))=True,"",VLOOKUP(AZ14,$AE$8:$AF$46,2,False))</f>
        <v>0</v>
      </c>
      <c r="BB14" s="1087">
        <f t="shared" si="16">IF(ISNA(VLOOKUP(AY14,$AN$8:$AW$148,4,False))=True,"",VLOOKUP(AY14,$AN$8:$AW$148,4,False))</f>
        <v>0</v>
      </c>
      <c r="BC14" s="1087">
        <f t="shared" si="17">IF(ISNA(VLOOKUP(AY14,$AN$8:$AW$148,5,False))=True,"",VLOOKUP(AY14,$AN$8:$AW$148,5,False))</f>
        <v>0</v>
      </c>
      <c r="BD14" s="1087">
        <f t="shared" si="18">IF(ISNA(VLOOKUP(AY14,$AN$8:$AW$148,6,False))=True,"",VLOOKUP(AY14,$AN$8:$AW$148,6,False))</f>
        <v>0</v>
      </c>
      <c r="BE14" s="1125">
        <f t="shared" si="19">IF(ISNA(VLOOKUP(AY14,$AN$8:$AW$148,7,False))=True,"",VLOOKUP(AY14,$AN$8:$AW$148,7,False))</f>
        <v>0</v>
      </c>
      <c r="BF14" s="1123">
        <f t="shared" si="20">IF(ISNA(VLOOKUP($AY14,$AN$8:$AW$148,8,False))=True,"",VLOOKUP($AY14,$AN$8:$AW$148,8,False))</f>
        <v>0</v>
      </c>
      <c r="BG14" s="1120">
        <f t="shared" si="21">IF(ISNA(VLOOKUP($AY14,$AN$8:$AW$148,9,False))=True,"",VLOOKUP($AY14,$AN$8:$AW$148,9,False))</f>
        <v>0</v>
      </c>
      <c r="BH14" s="1120">
        <f t="shared" si="22">IF(ISNA(VLOOKUP($AY14,$AN$8:$AW$148,10,False))=True,"",VLOOKUP($AY14,$AN$8:$AW$148,10,False))</f>
        <v>0</v>
      </c>
      <c r="BI14" s="250">
        <f t="shared" si="49">IF(AZ14&lt;&gt;"",AZ14,"")</f>
        <v>0</v>
      </c>
      <c r="BJ14" s="1098">
        <f t="shared" si="50">BI14</f>
        <v>0</v>
      </c>
      <c r="BK14" s="1115">
        <f>COUNTIFS($AZ:$AZ, AZ14,$BJ:$BJ, "&lt;"&amp;BJ14)+COUNTIFS(AZ$8:AZ14, AZ14, BJ$8:BJ14, BJ14)</f>
        <v>7</v>
      </c>
      <c r="BL14" s="1114">
        <f t="shared" si="51">BK14/100</f>
        <v>0.07</v>
      </c>
      <c r="BM14" s="1093" t="e">
        <f t="shared" si="76" ref="BM14">BI14+BL14</f>
        <v>#VALUE!</v>
      </c>
      <c r="BN14" s="1101">
        <f t="shared" si="52">IF(BA14&lt;&gt;"",BM14,"")</f>
        <v>0</v>
      </c>
      <c r="BO14" s="1118">
        <f t="shared" si="53">IF(BN14&lt;&gt;"",BN14,0)</f>
        <v>0</v>
      </c>
      <c r="BP14" s="237" t="e">
        <f t="shared" si="23">SMALL($BN$8:$BN$152,AX14)</f>
        <v>#VALUE!</v>
      </c>
      <c r="BR14" s="1102" t="e">
        <f t="shared" si="54">IF(BP14&lt;&gt;"",BR13+1,"")</f>
        <v>#VALUE!</v>
      </c>
      <c r="BS14" s="1102">
        <f t="shared" si="55">IFERROR(BP14,"")</f>
        <v>0</v>
      </c>
      <c r="BT14" s="1102">
        <f t="shared" si="56">IFERROR(CC14,"")</f>
        <v>0</v>
      </c>
      <c r="BU14" s="1098">
        <f t="shared" si="57">IFERROR(CD14,"")</f>
        <v>0</v>
      </c>
      <c r="BV14" s="1098">
        <f t="shared" si="58">IFERROR(CE14,"")</f>
        <v>0</v>
      </c>
      <c r="BW14" s="1098">
        <f t="shared" si="59">IFERROR(CF14,"")</f>
        <v>0</v>
      </c>
      <c r="BX14" s="1146">
        <f t="shared" si="60">IFERROR(CH14,"")</f>
        <v>0</v>
      </c>
      <c r="BY14" s="1098">
        <f t="shared" si="61">IFERROR(CG14,"")</f>
        <v>0</v>
      </c>
      <c r="BZ14" s="1144" t="str">
        <f t="shared" si="62">IFERROR(CI14,"-")</f>
        <v>-</v>
      </c>
      <c r="CA14" s="1107">
        <f t="shared" si="63">IFERROR(CJ14,"")</f>
        <v>0</v>
      </c>
      <c r="CB14" s="1107">
        <f t="shared" si="64">IFERROR(CK14,"")</f>
        <v>0</v>
      </c>
      <c r="CC14" s="1110" t="e">
        <f t="shared" si="25">INDEX($AZ$8:$AZ$153,MATCH(BP14,$BO$8:$BO$153,0))</f>
        <v>#VALUE!</v>
      </c>
      <c r="CD14" s="1087" t="e">
        <f t="shared" si="26">INDEX($BA$8:$BA$153,MATCH(BP14,$BO$8:$BO$153,0))</f>
        <v>#VALUE!</v>
      </c>
      <c r="CE14" s="1106" t="e">
        <f t="shared" si="27">INDEX($BB$8:$BB$153,MATCH(BP14,$BO$8:$BO$153,0))</f>
        <v>#VALUE!</v>
      </c>
      <c r="CF14" s="1106" t="e">
        <f t="shared" si="28">INDEX(BC$8:BC$153,MATCH(BP14,$BO$8:$BO$153,0))</f>
        <v>#VALUE!</v>
      </c>
      <c r="CG14" s="1118" t="e">
        <f t="shared" si="29">INDEX(BE$8:BE$153,MATCH(BP14,$BO$8:$BO$153,0))</f>
        <v>#VALUE!</v>
      </c>
      <c r="CH14" s="1106" t="e">
        <f t="shared" si="30">INDEX($BD$8:$BD$153,MATCH($BP14,$BO$8:$BO$153,0))</f>
        <v>#VALUE!</v>
      </c>
      <c r="CI14" s="1142" t="e">
        <f t="shared" si="31">INDEX($BF$8:$BF$153,MATCH(BP14,$BO$8:$BO$153,0))</f>
        <v>#VALUE!</v>
      </c>
      <c r="CJ14" s="1106" t="e">
        <f t="shared" si="32">INDEX($BG$8:$BG$153,MATCH(BP14,$BO$8:$BO$153,0))</f>
        <v>#VALUE!</v>
      </c>
      <c r="CK14" s="1106" t="e">
        <f t="shared" si="33">INDEX($BH$8:$BH$153,MATCH(BP14,$BO$8:$BO$153,0))</f>
        <v>#VALUE!</v>
      </c>
      <c r="CM14" s="1131">
        <f t="shared" si="34">COUNTIF($CH$8:$CH$228,"&lt;="&amp;CH14)</f>
        <v>145</v>
      </c>
      <c r="CN14" s="1121">
        <f t="shared" si="65">--ISNUMBER(BX14)</f>
        <v>0</v>
      </c>
      <c r="CO14" s="1121">
        <f t="shared" si="66">IF(BX14=0,1,0)</f>
        <v>0</v>
      </c>
      <c r="CP14" s="1124">
        <f t="shared" si="35">IF(ISNUMBER(BX14),CM14,IF(ISERROR(BX14),CM14,CM14+$CN$154))+$CO$154</f>
        <v>145</v>
      </c>
      <c r="CQ14" s="237">
        <f>IFERROR(INDEX($BX$8:$BX$153,MATCH(SMALL($CP$8:$CP$153,ROWS($CQ$8:CQ14)+$CO$154),$CP$8:$CP$154,0)),"")</f>
        <v>0</v>
      </c>
      <c r="CR14" s="237">
        <v>0.1</v>
      </c>
      <c r="CS14" s="1135">
        <f t="shared" si="67">CM14+CR14</f>
        <v>145.1</v>
      </c>
      <c r="CT14" s="237">
        <f>COUNTIFS($CM:$CM, CM14,$CS:$CS, "&lt;"&amp;CL)+COUNTIFS(CM$8:CM14, CM14, CS$8:CS14, CS14)</f>
        <v>7</v>
      </c>
      <c r="CU14" s="1109">
        <f t="shared" si="68">CT14/100</f>
        <v>0.07</v>
      </c>
      <c r="CV14" s="1109">
        <f t="shared" si="69">CM14+CU14</f>
        <v>145.07</v>
      </c>
      <c r="CW14" s="237" t="e">
        <f t="shared" si="36">SMALL(CV$8:CV$153,AX14)</f>
        <v>#VALUE!</v>
      </c>
      <c r="CX14" s="1109">
        <f t="shared" si="70">IFERROR(CW14,"")</f>
        <v>0</v>
      </c>
      <c r="CY14" s="237" t="e">
        <f t="shared" si="37">INDEX(BU$8:BU$152,MATCH($CX14,CV$8:CV$152,0))</f>
        <v>#N/A</v>
      </c>
      <c r="CZ14" s="237" t="e">
        <f t="shared" si="38">INDEX(BV$8:BV$152,MATCH($CX14,$CV$8:$CV$152,0))</f>
        <v>#N/A</v>
      </c>
      <c r="DA14" s="237" t="e">
        <f t="shared" si="39">INDEX(BW$8:BW$152,MATCH($CX14,$CV$8:$CV$152,0))</f>
        <v>#N/A</v>
      </c>
      <c r="DB14" s="237" t="e">
        <f t="shared" si="40">INDEX(BX$8:BX$152,MATCH($CX14,$CV$8:$CV$152,0))</f>
        <v>#N/A</v>
      </c>
      <c r="DC14" s="237" t="e">
        <f t="shared" si="41">INDEX(BY$8:BY$152,MATCH($CX14,$CV$8:$CV$152,0))</f>
        <v>#N/A</v>
      </c>
      <c r="DD14" s="237" t="e">
        <f t="shared" si="42">INDEX(BZ$8:BZ$152,MATCH($CX14,$CV$8:$CV$152,0))</f>
        <v>#N/A</v>
      </c>
      <c r="DE14" s="237" t="e">
        <f t="shared" si="43">INDEX(CA$8:CA$152,MATCH($CX14,$CV$8:$CV$152,0))</f>
        <v>#N/A</v>
      </c>
      <c r="DF14" s="237" t="e">
        <f t="shared" si="44">INDEX(CB$8:CB$152,MATCH($CX14,$CV$8:$CV$152,0))</f>
        <v>#N/A</v>
      </c>
    </row>
    <row r="15" spans="1:110">
      <c r="A15" s="1299">
        <v>8</v>
      </c>
      <c r="B15" s="1506"/>
      <c r="C15" s="1148"/>
      <c r="D15" s="1148"/>
      <c r="E15" s="1148"/>
      <c r="F15" s="1148"/>
      <c r="G15" s="1148"/>
      <c r="H15" s="1148"/>
      <c r="I15" s="1472"/>
      <c r="J15" s="1149"/>
      <c r="K15" s="1150"/>
      <c r="L15" s="1151"/>
      <c r="M15" s="1292">
        <f t="shared" si="45">K15*L15</f>
        <v>0</v>
      </c>
      <c r="N15" s="1071">
        <f t="shared" si="46">IF(ISNA(VLOOKUP(C15,$P$8:$U$12,5,False))=True,"",VLOOKUP(C15,$P$8:$U$12,5,False))</f>
        <v>0</v>
      </c>
      <c r="O15" s="2046" t="s">
        <v>840</v>
      </c>
      <c r="P15" s="1056" t="s">
        <v>1011</v>
      </c>
      <c r="Q15" s="1056" t="s">
        <v>1058</v>
      </c>
      <c r="R15" s="1056" t="s">
        <v>1012</v>
      </c>
      <c r="S15" s="1031">
        <f ca="1">SUMIF($B$50:$M$64,R15,$K$50:$K$64)</f>
        <v>0</v>
      </c>
      <c r="T15" s="1031">
        <f ca="1" t="shared" si="77" ref="T15:T23">SUMIF($B$50:$M$64,$R15,$M$50:$M$64)</f>
        <v>0</v>
      </c>
      <c r="U15" s="1031"/>
      <c r="W15" s="1308">
        <f ca="1">IF(AND(T15&lt;&gt;0,R15&lt;&gt;W14,R15&lt;&gt;W13,R15&lt;&gt;W12,R15&lt;&gt;W11,R15&lt;&gt;W10,R15&lt;&gt;W9,R15&lt;&gt;W8),R15,IF(AND(T16&lt;&gt;0,R16&lt;&gt;W14,R16&lt;&gt;W13,R16&lt;&gt;W12,R16&lt;&gt;W11,R16&lt;&gt;W10,R16&lt;&gt;W9,R16&lt;&gt;W8),R16,IF(AND(T17&lt;&gt;0,R17&lt;&gt;W14,R17&lt;&gt;W13,R17&lt;&gt;W12,R17&lt;&gt;W11,R17&lt;&gt;W10,R17&lt;&gt;W9,R17&lt;&gt;W8),R17,IF(AND(T18&lt;&gt;0,R18&lt;&gt;W14,R18&lt;&gt;W13,R18&lt;&gt;W12,R18&lt;&gt;W11,R18&lt;&gt;W10,R18&lt;&gt;W9,R18&lt;&gt;W8),R18,IF(AND(T19&lt;&gt;0,R19&lt;&gt;W14,R19&lt;&gt;W13,R19&lt;&gt;W12,R19&lt;&gt;W11,R19&lt;&gt;W10,R19&lt;&gt;W9,R19&lt;&gt;W8),R19,IF(AND(T20&lt;&gt;0,R20&lt;&gt;W14,R20&lt;&gt;W13,R20&lt;&gt;W12,R20&lt;&gt;W11,R20&lt;&gt;W10,R20&lt;&gt;W9,R20&lt;&gt;W8),R20,IF(AND(T21&lt;&gt;0,R21&lt;&gt;W14,R21&lt;&gt;W13,R21&lt;&gt;W12,R21&lt;&gt;W11,R21&lt;&gt;W10,R21&lt;&gt;W9,R21&lt;&gt;W8),R21,IF(AND(T22&lt;&gt;0,R22&lt;&gt;W14,R22&lt;&gt;W13,R22&lt;&gt;W12,R22&lt;&gt;W11,R22&lt;&gt;W10,R22&lt;&gt;W9,R22&lt;&gt;W8),R22,IF(AND(T23&lt;&gt;0,R23&lt;&gt;W14,R23&lt;&gt;W13,R23&lt;&gt;W12,R23&lt;&gt;W11,R23&lt;&gt;W10,R23&lt;&gt;W9,R23&lt;&gt;W8),R23,IF(AND(T24&lt;&gt;0,R24&lt;&gt;W14,R24&lt;&gt;W13,R24&lt;&gt;W12,R24&lt;&gt;W11,R24&lt;&gt;W10,R24&lt;&gt;W9,R24&lt;&gt;W8),R24,IF(AND(T25&lt;&gt;0,R25&lt;&gt;W14,R25&lt;&gt;W13,R25&lt;&gt;W12,R25&lt;&gt;W11,R25&lt;&gt;W10,R25&lt;&gt;W9,R25&lt;&gt;W8),R25,IF(AND(T26&lt;&gt;0,R26&lt;&gt;W14,R26&lt;&gt;W13,R26&lt;&gt;W12,R26&lt;&gt;W11,R26&lt;&gt;W10,R26&lt;&gt;W9,R26&lt;&gt;W8),R26,IF(AND(T27&lt;&gt;0,R27&lt;&gt;W14,R27&lt;&gt;W13,R27&lt;&gt;W12,R27&lt;&gt;W11,R27&lt;&gt;W10,R27&lt;&gt;W9,R27&lt;&gt;W8),R27,IF(AND(T28&lt;&gt;0,R28&lt;&gt;W14,R28&lt;&gt;W13,R28&lt;&gt;W12,R28&lt;&gt;W11,R28&lt;&gt;W10,R28&lt;&gt;W9,R28&lt;&gt;W8),R28,IF(AND(T29&lt;&gt;0,R29&lt;&gt;W14,R29&lt;&gt;W13,R29&lt;&gt;W12,R29&lt;&gt;W11,R29&lt;&gt;W10,R29&lt;&gt;W9,R29&lt;&gt;W8),R29,IF(AND(T30&lt;&gt;0,R30&lt;&gt;W14,R30&lt;&gt;W13,R30&lt;&gt;W12,R30&lt;&gt;W11,R30&lt;&gt;W10,R30&lt;&gt;W9,R30&lt;&gt;W8),R30,IF(AND(T31&lt;&gt;0,R31&lt;&gt;W14,R31&lt;&gt;W13,R31&lt;&gt;W12,R31&lt;&gt;W11,R31&lt;&gt;W10,R31&lt;&gt;W9,R31&lt;&gt;W8),R31,IF(AND(T32&lt;&gt;0,R32&lt;&gt;W14,R32&lt;&gt;W13,R32&lt;&gt;W12,R32&lt;&gt;W11,R32&lt;&gt;W10,R32&lt;&gt;W9,R32&lt;&gt;W8),R32,IF(AND(T38&lt;&gt;0,R38&lt;&gt;W14,R38&lt;&gt;W13,R38&lt;&gt;W12,R38&lt;&gt;W11,R38&lt;&gt;W10,R38&lt;&gt;W9,R38&lt;&gt;W8),R38,IF(AND(T39&lt;&gt;0,R39&lt;&gt;W14,R39&lt;&gt;W13,R39&lt;&gt;W12,R39&lt;&gt;W11,R39&lt;&gt;W10,R39&lt;&gt;W9,R39&lt;&gt;W8),R39,IF(AND(T40&lt;&gt;0,R40&lt;&gt;W14,R40&lt;&gt;W13,R40&lt;&gt;W12,R40&lt;&gt;W11,R40&lt;&gt;W10,R40&lt;&gt;W9,R40&lt;&gt;W8),R40,IF(AND(T41&lt;&gt;0,R41&lt;&gt;W14,R41&lt;&gt;W13,R41&lt;&gt;W12,R41&lt;&gt;W11,R41&lt;&gt;W10,R41&lt;&gt;W9,R41&lt;&gt;W8),R41,IF(AND(T42&lt;&gt;0,R42&lt;&gt;W14,R42&lt;&gt;W13,R42&lt;&gt;W12,R42&lt;&gt;W11,R42&lt;&gt;W10,R42&lt;&gt;W9,R42&lt;&gt;W8),R42,"")))))))))))))))))))))))</f>
        <v>0</v>
      </c>
      <c r="X15" s="1308"/>
      <c r="Y15" s="1309">
        <f ca="1" t="shared" si="0">IF(ISNA(VLOOKUP(W15,$AE$8:$AG$46,2,False))=True,"",VLOOKUP(W15,$AE$8:$AG$46,2,False))</f>
        <v>0</v>
      </c>
      <c r="Z15" s="1309">
        <f ca="1" t="shared" si="1">IF(ISNA(VLOOKUP(W15,$AE$8:$AG$46,3,False))=True,"",VLOOKUP(W15,$AE$8:$AG$46,3,False))</f>
        <v>0</v>
      </c>
      <c r="AA15" s="1310">
        <f ca="1" t="shared" si="2">IF(ISNA(VLOOKUP(W15,$R$8:$T$42,3,False))=True,"",VLOOKUP(W15,$R$8:$T$42,3,False))</f>
        <v>0</v>
      </c>
      <c r="AB15" s="1521">
        <f ca="1">_xlfn.IFNA(IF(ISTEXT(VLOOKUP(W15,'DRAFT A&amp;L'!$B$7:$G$100,4,0)),VLOOKUP(W15,'DRAFT A&amp;L'!$B$7:$G$100,4,0),YEAR(VLOOKUP(W15,'DRAFT A&amp;L'!$B$7:$G$100,4,0))),"")</f>
        <v>0</v>
      </c>
      <c r="AC15" s="423"/>
      <c r="AE15" s="1024" t="s">
        <v>1012</v>
      </c>
      <c r="AF15" s="1035" t="s">
        <v>1011</v>
      </c>
      <c r="AG15" s="1035" t="s">
        <v>1058</v>
      </c>
      <c r="AK15" s="1092">
        <f t="shared" si="3">COUNTIF($BA$8:$BA$152,AF15)</f>
        <v>0</v>
      </c>
      <c r="AM15" s="1077">
        <f t="shared" si="4">IF(M15&gt;0,1,0)</f>
        <v>0</v>
      </c>
      <c r="AN15" s="1096">
        <f>IF(AM15&gt;0,COUNTIF(AM$8:AM15,"&gt;0"),0)</f>
        <v>0</v>
      </c>
      <c r="AO15" s="1078">
        <f t="shared" si="5">B15</f>
        <v>0</v>
      </c>
      <c r="AP15" s="1079">
        <f t="shared" si="6">C15</f>
        <v>0</v>
      </c>
      <c r="AQ15" s="1080">
        <f t="shared" si="7">IF(I15&lt;&gt;"",YEAR(I15),"")</f>
        <v>0</v>
      </c>
      <c r="AR15" s="1080">
        <f t="shared" si="8">IF(E15&lt;&gt;"",E15,"")</f>
        <v>0</v>
      </c>
      <c r="AS15" s="1078">
        <f t="shared" si="9">F15</f>
        <v>0</v>
      </c>
      <c r="AT15" s="1080">
        <f t="shared" si="10">IF(H15&lt;&gt;"",H15,"")</f>
        <v>0</v>
      </c>
      <c r="AU15" s="1080">
        <f t="shared" si="11">J15</f>
        <v>0</v>
      </c>
      <c r="AV15" s="1080">
        <f t="shared" si="12">K15</f>
        <v>0</v>
      </c>
      <c r="AW15" s="1081">
        <f t="shared" si="13">M15</f>
        <v>0</v>
      </c>
      <c r="AX15" s="237">
        <f t="shared" si="71">IF(AZ15&lt;&gt;"",AX14+1,"")</f>
        <v>0</v>
      </c>
      <c r="AY15" s="1087">
        <v>8</v>
      </c>
      <c r="AZ15" s="1087">
        <f t="shared" si="14">IF(ISNA(VLOOKUP(AY15,$AN$8:$AW$148,2,False))=True,"",VLOOKUP(AY15,$AN$8:$AW$148,2,False))</f>
        <v>0</v>
      </c>
      <c r="BA15" s="1087">
        <f t="shared" si="15">IF(ISNA(VLOOKUP(AZ15,$AE$8:$AF$46,2,False))=True,"",VLOOKUP(AZ15,$AE$8:$AF$46,2,False))</f>
        <v>0</v>
      </c>
      <c r="BB15" s="1087">
        <f t="shared" si="16">IF(ISNA(VLOOKUP(AY15,$AN$8:$AW$148,4,False))=True,"",VLOOKUP(AY15,$AN$8:$AW$148,4,False))</f>
        <v>0</v>
      </c>
      <c r="BC15" s="1087">
        <f t="shared" si="17">IF(ISNA(VLOOKUP(AY15,$AN$8:$AW$148,5,False))=True,"",VLOOKUP(AY15,$AN$8:$AW$148,5,False))</f>
        <v>0</v>
      </c>
      <c r="BD15" s="1087">
        <f t="shared" si="18">IF(ISNA(VLOOKUP(AY15,$AN$8:$AW$148,6,False))=True,"",VLOOKUP(AY15,$AN$8:$AW$148,6,False))</f>
        <v>0</v>
      </c>
      <c r="BE15" s="1125">
        <f t="shared" si="19">IF(ISNA(VLOOKUP(AY15,$AN$8:$AW$148,7,False))=True,"",VLOOKUP(AY15,$AN$8:$AW$148,7,False))</f>
        <v>0</v>
      </c>
      <c r="BF15" s="1123">
        <f t="shared" si="20">IF(ISNA(VLOOKUP($AY15,$AN$8:$AW$148,8,False))=True,"",VLOOKUP($AY15,$AN$8:$AW$148,8,False))</f>
        <v>0</v>
      </c>
      <c r="BG15" s="1120">
        <f t="shared" si="21">IF(ISNA(VLOOKUP($AY15,$AN$8:$AW$148,9,False))=True,"",VLOOKUP($AY15,$AN$8:$AW$148,9,False))</f>
        <v>0</v>
      </c>
      <c r="BH15" s="1120">
        <f t="shared" si="22">IF(ISNA(VLOOKUP($AY15,$AN$8:$AW$148,10,False))=True,"",VLOOKUP($AY15,$AN$8:$AW$148,10,False))</f>
        <v>0</v>
      </c>
      <c r="BI15" s="250">
        <f t="shared" si="49">IF(AZ15&lt;&gt;"",AZ15,"")</f>
        <v>0</v>
      </c>
      <c r="BJ15" s="1098">
        <f t="shared" si="50">BI15</f>
        <v>0</v>
      </c>
      <c r="BK15" s="1115">
        <f>COUNTIFS($AZ:$AZ, AZ15,$BJ:$BJ, "&lt;"&amp;BJ15)+COUNTIFS(AZ$8:AZ15, AZ15, BJ$8:BJ15, BJ15)</f>
        <v>8</v>
      </c>
      <c r="BL15" s="1114">
        <f t="shared" si="51">BK15/100</f>
        <v>0.08</v>
      </c>
      <c r="BM15" s="1093" t="e">
        <f t="shared" si="78" ref="BM15">BJ15+BL15</f>
        <v>#VALUE!</v>
      </c>
      <c r="BN15" s="1101">
        <f t="shared" si="52">IF(BA15&lt;&gt;"",BM15,"")</f>
        <v>0</v>
      </c>
      <c r="BO15" s="1118">
        <f t="shared" si="53">IF(BN15&lt;&gt;"",BN15,0)</f>
        <v>0</v>
      </c>
      <c r="BP15" s="237" t="e">
        <f t="shared" si="23">SMALL($BN$8:$BN$152,AX15)</f>
        <v>#VALUE!</v>
      </c>
      <c r="BR15" s="1102" t="e">
        <f t="shared" si="54">IF(BP15&lt;&gt;"",BR14+1,"")</f>
        <v>#VALUE!</v>
      </c>
      <c r="BS15" s="1102">
        <f t="shared" si="55">IFERROR(BP15,"")</f>
        <v>0</v>
      </c>
      <c r="BT15" s="1102">
        <f t="shared" si="56">IFERROR(CC15,"")</f>
        <v>0</v>
      </c>
      <c r="BU15" s="1098">
        <f t="shared" si="57">IFERROR(CD15,"")</f>
        <v>0</v>
      </c>
      <c r="BV15" s="1098">
        <f t="shared" si="58">IFERROR(CE15,"")</f>
        <v>0</v>
      </c>
      <c r="BW15" s="1098">
        <f t="shared" si="59">IFERROR(CF15,"")</f>
        <v>0</v>
      </c>
      <c r="BX15" s="1146">
        <f t="shared" si="60">IFERROR(CH15,"")</f>
        <v>0</v>
      </c>
      <c r="BY15" s="1098">
        <f t="shared" si="61">IFERROR(CG15,"")</f>
        <v>0</v>
      </c>
      <c r="BZ15" s="1144" t="str">
        <f t="shared" si="62">IFERROR(CI15,"-")</f>
        <v>-</v>
      </c>
      <c r="CA15" s="1107">
        <f t="shared" si="63">IFERROR(CJ15,"")</f>
        <v>0</v>
      </c>
      <c r="CB15" s="1107">
        <f t="shared" si="64">IFERROR(CK15,"")</f>
        <v>0</v>
      </c>
      <c r="CC15" s="1110" t="e">
        <f t="shared" si="25">INDEX($AZ$8:$AZ$153,MATCH(BP15,$BO$8:$BO$153,0))</f>
        <v>#VALUE!</v>
      </c>
      <c r="CD15" s="1087" t="e">
        <f t="shared" si="26">INDEX($BA$8:$BA$153,MATCH(BP15,$BO$8:$BO$153,0))</f>
        <v>#VALUE!</v>
      </c>
      <c r="CE15" s="1106" t="e">
        <f t="shared" si="27">INDEX($BB$8:$BB$153,MATCH(BP15,$BO$8:$BO$153,0))</f>
        <v>#VALUE!</v>
      </c>
      <c r="CF15" s="1106" t="e">
        <f t="shared" si="28">INDEX(BC$8:BC$153,MATCH(BP15,$BO$8:$BO$153,0))</f>
        <v>#VALUE!</v>
      </c>
      <c r="CG15" s="1118" t="e">
        <f t="shared" si="29">INDEX(BE$8:BE$153,MATCH(BP15,$BO$8:$BO$153,0))</f>
        <v>#VALUE!</v>
      </c>
      <c r="CH15" s="1106" t="e">
        <f t="shared" si="30">INDEX($BD$8:$BD$153,MATCH($BP15,$BO$8:$BO$153,0))</f>
        <v>#VALUE!</v>
      </c>
      <c r="CI15" s="1142" t="e">
        <f t="shared" si="31">INDEX($BF$8:$BF$153,MATCH(BP15,$BO$8:$BO$153,0))</f>
        <v>#VALUE!</v>
      </c>
      <c r="CJ15" s="1106" t="e">
        <f t="shared" si="32">INDEX($BG$8:$BG$153,MATCH(BP15,$BO$8:$BO$153,0))</f>
        <v>#VALUE!</v>
      </c>
      <c r="CK15" s="1106" t="e">
        <f t="shared" si="33">INDEX($BH$8:$BH$153,MATCH(BP15,$BO$8:$BO$153,0))</f>
        <v>#VALUE!</v>
      </c>
      <c r="CM15" s="1131">
        <f t="shared" si="34">COUNTIF($CH$8:$CH$228,"&lt;="&amp;CH15)</f>
        <v>145</v>
      </c>
      <c r="CN15" s="1121">
        <f t="shared" si="65">--ISNUMBER(BX15)</f>
        <v>0</v>
      </c>
      <c r="CO15" s="1121">
        <f t="shared" si="66">IF(BX15=0,1,0)</f>
        <v>0</v>
      </c>
      <c r="CP15" s="1124">
        <f t="shared" si="35">IF(ISNUMBER(BX15),CM15,IF(ISERROR(BX15),CM15,CM15+$CN$154))+$CO$154</f>
        <v>145</v>
      </c>
      <c r="CQ15" s="237">
        <f>IFERROR(INDEX($BX$8:$BX$153,MATCH(SMALL($CP$8:$CP$153,ROWS($CQ$8:CQ15)+$CO$154),$CP$8:$CP$154,0)),"")</f>
        <v>0</v>
      </c>
      <c r="CR15" s="237">
        <v>0.1</v>
      </c>
      <c r="CS15" s="1135">
        <f t="shared" si="67">CM15+CR15</f>
        <v>145.1</v>
      </c>
      <c r="CT15" s="237">
        <f>COUNTIFS($CM:$CM, CM15,$CS:$CS, "&lt;"&amp;CL)+COUNTIFS(CM$8:CM15, CM15, CS$8:CS15, CS15)</f>
        <v>8</v>
      </c>
      <c r="CU15" s="1109">
        <f t="shared" si="68">CT15/100</f>
        <v>0.08</v>
      </c>
      <c r="CV15" s="1109">
        <f t="shared" si="69">CM15+CU15</f>
        <v>145.08</v>
      </c>
      <c r="CW15" s="237" t="e">
        <f t="shared" si="36">SMALL(CV$8:CV$153,AX15)</f>
        <v>#VALUE!</v>
      </c>
      <c r="CX15" s="1109">
        <f t="shared" si="70">IFERROR(CW15,"")</f>
        <v>0</v>
      </c>
      <c r="CY15" s="237" t="e">
        <f t="shared" si="37">INDEX(BU$8:BU$152,MATCH($CX15,CV$8:CV$152,0))</f>
        <v>#N/A</v>
      </c>
      <c r="CZ15" s="237" t="e">
        <f t="shared" si="38">INDEX(BV$8:BV$152,MATCH($CX15,$CV$8:$CV$152,0))</f>
        <v>#N/A</v>
      </c>
      <c r="DA15" s="237" t="e">
        <f t="shared" si="39">INDEX(BW$8:BW$152,MATCH($CX15,$CV$8:$CV$152,0))</f>
        <v>#N/A</v>
      </c>
      <c r="DB15" s="237" t="e">
        <f t="shared" si="40">INDEX(BX$8:BX$152,MATCH($CX15,$CV$8:$CV$152,0))</f>
        <v>#N/A</v>
      </c>
      <c r="DC15" s="237" t="e">
        <f t="shared" si="41">INDEX(BY$8:BY$152,MATCH($CX15,$CV$8:$CV$152,0))</f>
        <v>#N/A</v>
      </c>
      <c r="DD15" s="237" t="e">
        <f t="shared" si="42">INDEX(BZ$8:BZ$152,MATCH($CX15,$CV$8:$CV$152,0))</f>
        <v>#N/A</v>
      </c>
      <c r="DE15" s="237" t="e">
        <f t="shared" si="43">INDEX(CA$8:CA$152,MATCH($CX15,$CV$8:$CV$152,0))</f>
        <v>#N/A</v>
      </c>
      <c r="DF15" s="237" t="e">
        <f t="shared" si="44">INDEX(CB$8:CB$152,MATCH($CX15,$CV$8:$CV$152,0))</f>
        <v>#N/A</v>
      </c>
    </row>
    <row r="16" spans="1:110">
      <c r="A16" s="1299">
        <v>9</v>
      </c>
      <c r="B16" s="1506"/>
      <c r="C16" s="1148"/>
      <c r="D16" s="1148"/>
      <c r="E16" s="1148"/>
      <c r="F16" s="1148"/>
      <c r="G16" s="1148"/>
      <c r="H16" s="1148"/>
      <c r="I16" s="1472"/>
      <c r="J16" s="1149"/>
      <c r="K16" s="1150"/>
      <c r="L16" s="1151"/>
      <c r="M16" s="1292">
        <f t="shared" si="45">K16*L16</f>
        <v>0</v>
      </c>
      <c r="N16" s="1071">
        <f t="shared" si="46">IF(ISNA(VLOOKUP(C16,$P$8:$U$12,5,False))=True,"",VLOOKUP(C16,$P$8:$U$12,5,False))</f>
        <v>0</v>
      </c>
      <c r="O16" s="2046"/>
      <c r="P16" s="1056" t="s">
        <v>1013</v>
      </c>
      <c r="Q16" s="1056" t="s">
        <v>1059</v>
      </c>
      <c r="R16" s="1056" t="s">
        <v>1014</v>
      </c>
      <c r="S16" s="1031">
        <f ca="1" t="shared" si="79" ref="S16:S23">SUMIF($B$50:$M$64,$R16,$K$50:$K$64)</f>
        <v>0</v>
      </c>
      <c r="T16" s="1031">
        <f ca="1" t="shared" si="77">SUMIF($B$50:$M$64,$R16,$M$50:$M$64)</f>
        <v>0</v>
      </c>
      <c r="U16" s="1031"/>
      <c r="W16" s="1308">
        <f ca="1">IF(AND(T16&lt;&gt;0,R16&lt;&gt;W15,R16&lt;&gt;W14,R16&lt;&gt;W13,R16&lt;&gt;W12,R16&lt;&gt;W11,R16&lt;&gt;W10,R16&lt;&gt;W9,R16&lt;&gt;W8),R16,IF(AND(T17&lt;&gt;0,R17&lt;&gt;W15,R17&lt;&gt;W14,R17&lt;&gt;W13,R17&lt;&gt;W12,R17&lt;&gt;W11,R17&lt;&gt;W10,R17&lt;&gt;W9,R17&lt;&gt;W8),R17,IF(AND(T18&lt;&gt;0,R18&lt;&gt;W15,R18&lt;&gt;W14,R18&lt;&gt;W13,R18&lt;&gt;W12,R18&lt;&gt;W11,R18&lt;&gt;W10,R18&lt;&gt;W9,R18&lt;&gt;W8),R18,IF(AND(T19&lt;&gt;0,R19&lt;&gt;W15,R19&lt;&gt;W14,R19&lt;&gt;W13,R19&lt;&gt;W12,R19&lt;&gt;W11,R19&lt;&gt;W10,R19&lt;&gt;W9,R19&lt;&gt;W8),R19,IF(AND(T20&lt;&gt;0,R20&lt;&gt;W15,R20&lt;&gt;W14,R20&lt;&gt;W13,R20&lt;&gt;W12,R20&lt;&gt;W11,R20&lt;&gt;W10,R20&lt;&gt;W9,R20&lt;&gt;W8),R20,IF(AND(T21&lt;&gt;0,R21&lt;&gt;W15,R21&lt;&gt;W14,R21&lt;&gt;W13,R21&lt;&gt;W12,R21&lt;&gt;W11,R21&lt;&gt;W10,R21&lt;&gt;W9,R21&lt;&gt;W8),R21,IF(AND(T22&lt;&gt;0,R22&lt;&gt;W15,R22&lt;&gt;W14,R22&lt;&gt;W13,R22&lt;&gt;W12,R22&lt;&gt;W11,R22&lt;&gt;W10,R22&lt;&gt;W9,R22&lt;&gt;W8),R22,IF(AND(T23&lt;&gt;0,R23&lt;&gt;W15,R23&lt;&gt;W14,R23&lt;&gt;W13,R23&lt;&gt;W12,R23&lt;&gt;W11,R23&lt;&gt;W10,R23&lt;&gt;W9,R23&lt;&gt;W8),R23,IF(AND(T24&lt;&gt;0,R24&lt;&gt;W15,R24&lt;&gt;W14,R24&lt;&gt;W13,R24&lt;&gt;W12,R24&lt;&gt;W11,R24&lt;&gt;W10,R24&lt;&gt;W9,R24&lt;&gt;W8),R24,IF(AND(T25&lt;&gt;0,R25&lt;&gt;W15,R25&lt;&gt;W14,R25&lt;&gt;W13,R25&lt;&gt;W12,R25&lt;&gt;W11,R25&lt;&gt;W10,R25&lt;&gt;W9,R25&lt;&gt;W8),R25,IF(AND(T26&lt;&gt;0,R26&lt;&gt;W15,R26&lt;&gt;W14,R26&lt;&gt;W13,R26&lt;&gt;W12,R26&lt;&gt;W11,R26&lt;&gt;W10,R26&lt;&gt;W9,R26&lt;&gt;W8),R26,IF(AND(T27&lt;&gt;0,R27&lt;&gt;W15,R27&lt;&gt;W14,R27&lt;&gt;W13,R27&lt;&gt;W12,R27&lt;&gt;W11,R27&lt;&gt;W10,R27&lt;&gt;W9,R27&lt;&gt;W8),R27,IF(AND(T28&lt;&gt;0,R28&lt;&gt;W15,R28&lt;&gt;W14,R28&lt;&gt;W13,R28&lt;&gt;W12,R28&lt;&gt;W11,R28&lt;&gt;W10,R28&lt;&gt;W9,R28&lt;&gt;W8),R28,IF(AND(T29&lt;&gt;0,R29&lt;&gt;W15,R29&lt;&gt;W14,R29&lt;&gt;W13,R29&lt;&gt;W12,R29&lt;&gt;W11,R29&lt;&gt;W10,R29&lt;&gt;W9,R29&lt;&gt;W8),R29,IF(AND(T30&lt;&gt;0,R30&lt;&gt;W15,R30&lt;&gt;W14,R30&lt;&gt;W13,R30&lt;&gt;W12,R30&lt;&gt;W11,R30&lt;&gt;W10,R30&lt;&gt;W9,R30&lt;&gt;W8),R30,IF(AND(T31&lt;&gt;0,R31&lt;&gt;W15,R31&lt;&gt;W14,R31&lt;&gt;W13,R31&lt;&gt;W12,R31&lt;&gt;W11,R31&lt;&gt;W10,R31&lt;&gt;W9,R31&lt;&gt;W8),R31,IF(AND(T32&lt;&gt;0,R32&lt;&gt;W15,R32&lt;&gt;W14,R32&lt;&gt;W13,R32&lt;&gt;W12,R32&lt;&gt;W11,R32&lt;&gt;W10,R32&lt;&gt;W9,R32&lt;&gt;W8),R32,IF(AND(T38&lt;&gt;0,R38&lt;&gt;W15,R38&lt;&gt;W14,R38&lt;&gt;W13,R38&lt;&gt;W12,R38&lt;&gt;W11,R38&lt;&gt;W10,R38&lt;&gt;W9,R38&lt;&gt;W8),R38,IF(AND(T39&lt;&gt;0,R39&lt;&gt;W15,R39&lt;&gt;W14,R39&lt;&gt;W13,R39&lt;&gt;W12,R39&lt;&gt;W11,R39&lt;&gt;W10,R39&lt;&gt;W9,R39&lt;&gt;W8),R39,IF(AND(T40&lt;&gt;0,R40&lt;&gt;W15,R40&lt;&gt;W14,R40&lt;&gt;W13,R40&lt;&gt;W12,R40&lt;&gt;W11,R40&lt;&gt;W10,R40&lt;&gt;W9,R40&lt;&gt;W8),R40,IF(AND(T41&lt;&gt;0,R41&lt;&gt;W15,R41&lt;&gt;W14,R41&lt;&gt;W13,R41&lt;&gt;W12,R41&lt;&gt;W11,R41&lt;&gt;W10,R41&lt;&gt;W9,R41&lt;&gt;W8),R41,IF(AND(T42&lt;&gt;0,R42&lt;&gt;W15,R42&lt;&gt;W14,R42&lt;&gt;W13,R42&lt;&gt;W12,R42&lt;&gt;W11,R42&lt;&gt;W10,R42&lt;&gt;W9,R42&lt;&gt;W8),R42,""))))))))))))))))))))))</f>
        <v>0</v>
      </c>
      <c r="X16" s="1308"/>
      <c r="Y16" s="1309">
        <f ca="1" t="shared" si="0">IF(ISNA(VLOOKUP(W16,$AE$8:$AG$46,2,False))=True,"",VLOOKUP(W16,$AE$8:$AG$46,2,False))</f>
        <v>0</v>
      </c>
      <c r="Z16" s="1309">
        <f ca="1" t="shared" si="1">IF(ISNA(VLOOKUP(W16,$AE$8:$AG$46,3,False))=True,"",VLOOKUP(W16,$AE$8:$AG$46,3,False))</f>
        <v>0</v>
      </c>
      <c r="AA16" s="1310">
        <f ca="1" t="shared" si="2">IF(ISNA(VLOOKUP(W16,$R$8:$T$42,3,False))=True,"",VLOOKUP(W16,$R$8:$T$42,3,False))</f>
        <v>0</v>
      </c>
      <c r="AB16" s="1521">
        <f ca="1">_xlfn.IFNA(IF(ISTEXT(VLOOKUP(W16,'DRAFT A&amp;L'!$B$7:$G$100,4,0)),VLOOKUP(W16,'DRAFT A&amp;L'!$B$7:$G$100,4,0),YEAR(VLOOKUP(W16,'DRAFT A&amp;L'!$B$7:$G$100,4,0))),"")</f>
        <v>0</v>
      </c>
      <c r="AC16" s="423"/>
      <c r="AE16" s="1024" t="s">
        <v>1014</v>
      </c>
      <c r="AF16" s="1035" t="s">
        <v>1013</v>
      </c>
      <c r="AG16" s="1035" t="s">
        <v>1059</v>
      </c>
      <c r="AK16" s="1092">
        <f t="shared" si="3">COUNTIF($BA$8:$BA$152,AF16)</f>
        <v>0</v>
      </c>
      <c r="AM16" s="1077">
        <f t="shared" si="4">IF(M16&gt;0,1,0)</f>
        <v>0</v>
      </c>
      <c r="AN16" s="1096">
        <f>IF(AM16&gt;0,COUNTIF(AM$8:AM16,"&gt;0"),0)</f>
        <v>0</v>
      </c>
      <c r="AO16" s="1078">
        <f t="shared" si="5">B16</f>
        <v>0</v>
      </c>
      <c r="AP16" s="1079">
        <f t="shared" si="6">C16</f>
        <v>0</v>
      </c>
      <c r="AQ16" s="1080">
        <f t="shared" si="7">IF(I16&lt;&gt;"",YEAR(I16),"")</f>
        <v>0</v>
      </c>
      <c r="AR16" s="1080">
        <f t="shared" si="8">IF(E16&lt;&gt;"",E16,"")</f>
        <v>0</v>
      </c>
      <c r="AS16" s="1078">
        <f t="shared" si="9">F16</f>
        <v>0</v>
      </c>
      <c r="AT16" s="1080">
        <f t="shared" si="10">IF(H16&lt;&gt;"",H16,"")</f>
        <v>0</v>
      </c>
      <c r="AU16" s="1080">
        <f t="shared" si="11">J16</f>
        <v>0</v>
      </c>
      <c r="AV16" s="1080">
        <f t="shared" si="12">K16</f>
        <v>0</v>
      </c>
      <c r="AW16" s="1081">
        <f t="shared" si="13">M16</f>
        <v>0</v>
      </c>
      <c r="AX16" s="237">
        <f t="shared" si="71">IF(AZ16&lt;&gt;"",AX15+1,"")</f>
        <v>0</v>
      </c>
      <c r="AY16" s="1087">
        <v>9</v>
      </c>
      <c r="AZ16" s="1087">
        <f t="shared" si="14">IF(ISNA(VLOOKUP(AY16,$AN$8:$AW$148,2,False))=True,"",VLOOKUP(AY16,$AN$8:$AW$148,2,False))</f>
        <v>0</v>
      </c>
      <c r="BA16" s="1087">
        <f t="shared" si="15">IF(ISNA(VLOOKUP(AZ16,$AE$8:$AF$46,2,False))=True,"",VLOOKUP(AZ16,$AE$8:$AF$46,2,False))</f>
        <v>0</v>
      </c>
      <c r="BB16" s="1087">
        <f t="shared" si="16">IF(ISNA(VLOOKUP(AY16,$AN$8:$AW$148,4,False))=True,"",VLOOKUP(AY16,$AN$8:$AW$148,4,False))</f>
        <v>0</v>
      </c>
      <c r="BC16" s="1087">
        <f t="shared" si="17">IF(ISNA(VLOOKUP(AY16,$AN$8:$AW$148,5,False))=True,"",VLOOKUP(AY16,$AN$8:$AW$148,5,False))</f>
        <v>0</v>
      </c>
      <c r="BD16" s="1087">
        <f t="shared" si="18">IF(ISNA(VLOOKUP(AY16,$AN$8:$AW$148,6,False))=True,"",VLOOKUP(AY16,$AN$8:$AW$148,6,False))</f>
        <v>0</v>
      </c>
      <c r="BE16" s="1125">
        <f t="shared" si="19">IF(ISNA(VLOOKUP(AY16,$AN$8:$AW$148,7,False))=True,"",VLOOKUP(AY16,$AN$8:$AW$148,7,False))</f>
        <v>0</v>
      </c>
      <c r="BF16" s="1123">
        <f t="shared" si="20">IF(ISNA(VLOOKUP($AY16,$AN$8:$AW$148,8,False))=True,"",VLOOKUP($AY16,$AN$8:$AW$148,8,False))</f>
        <v>0</v>
      </c>
      <c r="BG16" s="1120">
        <f t="shared" si="21">IF(ISNA(VLOOKUP($AY16,$AN$8:$AW$148,9,False))=True,"",VLOOKUP($AY16,$AN$8:$AW$148,9,False))</f>
        <v>0</v>
      </c>
      <c r="BH16" s="1120">
        <f t="shared" si="22">IF(ISNA(VLOOKUP($AY16,$AN$8:$AW$148,10,False))=True,"",VLOOKUP($AY16,$AN$8:$AW$148,10,False))</f>
        <v>0</v>
      </c>
      <c r="BI16" s="250">
        <f t="shared" si="49">IF(AZ16&lt;&gt;"",AZ16,"")</f>
        <v>0</v>
      </c>
      <c r="BJ16" s="1098">
        <f t="shared" si="50">BI16</f>
        <v>0</v>
      </c>
      <c r="BK16" s="1115">
        <f>COUNTIFS($AZ:$AZ, AZ16,$BJ:$BJ, "&lt;"&amp;BJ16)+COUNTIFS(AZ$8:AZ16, AZ16, BJ$8:BJ16, BJ16)</f>
        <v>9</v>
      </c>
      <c r="BL16" s="1114">
        <f t="shared" si="51">BK16/100</f>
        <v>0.09</v>
      </c>
      <c r="BM16" s="1093" t="e">
        <f t="shared" si="80" ref="BM16">BI16+BL16</f>
        <v>#VALUE!</v>
      </c>
      <c r="BN16" s="1101">
        <f t="shared" si="52">IF(BA16&lt;&gt;"",BM16,"")</f>
        <v>0</v>
      </c>
      <c r="BO16" s="1118">
        <f t="shared" si="53">IF(BN16&lt;&gt;"",BN16,0)</f>
        <v>0</v>
      </c>
      <c r="BP16" s="237" t="e">
        <f t="shared" si="23">SMALL($BN$8:$BN$152,AX16)</f>
        <v>#VALUE!</v>
      </c>
      <c r="BR16" s="1102" t="e">
        <f t="shared" si="54">IF(BP16&lt;&gt;"",BR15+1,"")</f>
        <v>#VALUE!</v>
      </c>
      <c r="BS16" s="1102">
        <f t="shared" si="55">IFERROR(BP16,"")</f>
        <v>0</v>
      </c>
      <c r="BT16" s="1102">
        <f t="shared" si="56">IFERROR(CC16,"")</f>
        <v>0</v>
      </c>
      <c r="BU16" s="1098">
        <f t="shared" si="57">IFERROR(CD16,"")</f>
        <v>0</v>
      </c>
      <c r="BV16" s="1098">
        <f t="shared" si="58">IFERROR(CE16,"")</f>
        <v>0</v>
      </c>
      <c r="BW16" s="1098">
        <f t="shared" si="59">IFERROR(CF16,"")</f>
        <v>0</v>
      </c>
      <c r="BX16" s="1146">
        <f t="shared" si="60">IFERROR(CH16,"")</f>
        <v>0</v>
      </c>
      <c r="BY16" s="1098">
        <f t="shared" si="61">IFERROR(CG16,"")</f>
        <v>0</v>
      </c>
      <c r="BZ16" s="1144" t="str">
        <f t="shared" si="62">IFERROR(CI16,"-")</f>
        <v>-</v>
      </c>
      <c r="CA16" s="1107">
        <f t="shared" si="63">IFERROR(CJ16,"")</f>
        <v>0</v>
      </c>
      <c r="CB16" s="1107">
        <f t="shared" si="64">IFERROR(CK16,"")</f>
        <v>0</v>
      </c>
      <c r="CC16" s="1110" t="e">
        <f t="shared" si="25">INDEX($AZ$8:$AZ$153,MATCH(BP16,$BO$8:$BO$153,0))</f>
        <v>#VALUE!</v>
      </c>
      <c r="CD16" s="1087" t="e">
        <f t="shared" si="26">INDEX($BA$8:$BA$153,MATCH(BP16,$BO$8:$BO$153,0))</f>
        <v>#VALUE!</v>
      </c>
      <c r="CE16" s="1106" t="e">
        <f t="shared" si="27">INDEX($BB$8:$BB$153,MATCH(BP16,$BO$8:$BO$153,0))</f>
        <v>#VALUE!</v>
      </c>
      <c r="CF16" s="1106" t="e">
        <f t="shared" si="28">INDEX(BC$8:BC$153,MATCH(BP16,$BO$8:$BO$153,0))</f>
        <v>#VALUE!</v>
      </c>
      <c r="CG16" s="1118" t="e">
        <f t="shared" si="29">INDEX(BE$8:BE$153,MATCH(BP16,$BO$8:$BO$153,0))</f>
        <v>#VALUE!</v>
      </c>
      <c r="CH16" s="1106" t="e">
        <f t="shared" si="30">INDEX($BD$8:$BD$153,MATCH($BP16,$BO$8:$BO$153,0))</f>
        <v>#VALUE!</v>
      </c>
      <c r="CI16" s="1142" t="e">
        <f t="shared" si="31">INDEX($BF$8:$BF$153,MATCH(BP16,$BO$8:$BO$153,0))</f>
        <v>#VALUE!</v>
      </c>
      <c r="CJ16" s="1106" t="e">
        <f t="shared" si="32">INDEX($BG$8:$BG$153,MATCH(BP16,$BO$8:$BO$153,0))</f>
        <v>#VALUE!</v>
      </c>
      <c r="CK16" s="1106" t="e">
        <f t="shared" si="33">INDEX($BH$8:$BH$153,MATCH(BP16,$BO$8:$BO$153,0))</f>
        <v>#VALUE!</v>
      </c>
      <c r="CM16" s="1131">
        <f t="shared" si="34">COUNTIF($CH$8:$CH$228,"&lt;="&amp;CH16)</f>
        <v>145</v>
      </c>
      <c r="CN16" s="1121">
        <f t="shared" si="65">--ISNUMBER(BX16)</f>
        <v>0</v>
      </c>
      <c r="CO16" s="1121">
        <f t="shared" si="66">IF(BX16=0,1,0)</f>
        <v>0</v>
      </c>
      <c r="CP16" s="1124">
        <f t="shared" si="35">IF(ISNUMBER(BX16),CM16,IF(ISERROR(BX16),CM16,CM16+$CN$154))+$CO$154</f>
        <v>145</v>
      </c>
      <c r="CQ16" s="237">
        <f>IFERROR(INDEX($BX$8:$BX$153,MATCH(SMALL($CP$8:$CP$153,ROWS($CQ$8:CQ16)+$CO$154),$CP$8:$CP$154,0)),"")</f>
        <v>0</v>
      </c>
      <c r="CR16" s="237">
        <v>0.1</v>
      </c>
      <c r="CS16" s="1135">
        <f t="shared" si="67">CM16+CR16</f>
        <v>145.1</v>
      </c>
      <c r="CT16" s="237">
        <f>COUNTIFS($CM:$CM, CM16,$CS:$CS, "&lt;"&amp;CL)+COUNTIFS(CM$8:CM16, CM16, CS$8:CS16, CS16)</f>
        <v>9</v>
      </c>
      <c r="CU16" s="1109">
        <f t="shared" si="68">CT16/100</f>
        <v>0.09</v>
      </c>
      <c r="CV16" s="1109">
        <f t="shared" si="69">CM16+CU16</f>
        <v>145.09</v>
      </c>
      <c r="CW16" s="237" t="e">
        <f t="shared" si="36">SMALL(CV$8:CV$153,AX16)</f>
        <v>#VALUE!</v>
      </c>
      <c r="CX16" s="1109">
        <f t="shared" si="70">IFERROR(CW16,"")</f>
        <v>0</v>
      </c>
      <c r="CY16" s="237" t="e">
        <f t="shared" si="37">INDEX(BU$8:BU$152,MATCH($CX16,CV$8:CV$152,0))</f>
        <v>#N/A</v>
      </c>
      <c r="CZ16" s="237" t="e">
        <f t="shared" si="38">INDEX(BV$8:BV$152,MATCH($CX16,$CV$8:$CV$152,0))</f>
        <v>#N/A</v>
      </c>
      <c r="DA16" s="237" t="e">
        <f t="shared" si="39">INDEX(BW$8:BW$152,MATCH($CX16,$CV$8:$CV$152,0))</f>
        <v>#N/A</v>
      </c>
      <c r="DB16" s="237" t="e">
        <f t="shared" si="40">INDEX(BX$8:BX$152,MATCH($CX16,$CV$8:$CV$152,0))</f>
        <v>#N/A</v>
      </c>
      <c r="DC16" s="237" t="e">
        <f t="shared" si="41">INDEX(BY$8:BY$152,MATCH($CX16,$CV$8:$CV$152,0))</f>
        <v>#N/A</v>
      </c>
      <c r="DD16" s="237" t="e">
        <f t="shared" si="42">INDEX(BZ$8:BZ$152,MATCH($CX16,$CV$8:$CV$152,0))</f>
        <v>#N/A</v>
      </c>
      <c r="DE16" s="237" t="e">
        <f t="shared" si="43">INDEX(CA$8:CA$152,MATCH($CX16,$CV$8:$CV$152,0))</f>
        <v>#N/A</v>
      </c>
      <c r="DF16" s="237" t="e">
        <f t="shared" si="44">INDEX(CB$8:CB$152,MATCH($CX16,$CV$8:$CV$152,0))</f>
        <v>#N/A</v>
      </c>
    </row>
    <row r="17" spans="1:110">
      <c r="A17" s="1299">
        <v>10</v>
      </c>
      <c r="B17" s="1506"/>
      <c r="C17" s="1148"/>
      <c r="D17" s="1148"/>
      <c r="E17" s="1148"/>
      <c r="F17" s="1148"/>
      <c r="G17" s="1148"/>
      <c r="H17" s="1148"/>
      <c r="I17" s="1472"/>
      <c r="J17" s="1149"/>
      <c r="K17" s="1150"/>
      <c r="L17" s="1151"/>
      <c r="M17" s="1292">
        <f t="shared" si="45">K17*L17</f>
        <v>0</v>
      </c>
      <c r="N17" s="1071">
        <f t="shared" si="46">IF(ISNA(VLOOKUP(C17,$P$8:$U$12,5,False))=True,"",VLOOKUP(C17,$P$8:$U$12,5,False))</f>
        <v>0</v>
      </c>
      <c r="O17" s="2046"/>
      <c r="P17" s="1056" t="s">
        <v>1015</v>
      </c>
      <c r="Q17" s="1056" t="s">
        <v>1060</v>
      </c>
      <c r="R17" s="1056" t="s">
        <v>1016</v>
      </c>
      <c r="S17" s="1031">
        <f ca="1" t="shared" si="79">SUMIF($B$50:$M$64,$R17,$K$50:$K$64)</f>
        <v>0</v>
      </c>
      <c r="T17" s="1031">
        <f ca="1" t="shared" si="77">SUMIF($B$50:$M$64,$R17,$M$50:$M$64)</f>
        <v>0</v>
      </c>
      <c r="U17" s="1031"/>
      <c r="W17" s="1308">
        <f ca="1">IF(AND(T17&lt;&gt;0,R17&lt;&gt;W16,R17&lt;&gt;W15,R17&lt;&gt;W14,R17&lt;&gt;W13,R17&lt;&gt;W12,R17&lt;&gt;W11,R17&lt;&gt;W10,R17&lt;&gt;W9,R17&lt;&gt;W8),R17,IF(AND(T18&lt;&gt;0,R18&lt;&gt;W16,R18&lt;&gt;W15,R18&lt;&gt;W14,R18&lt;&gt;W13,R18&lt;&gt;W12,R18&lt;&gt;W11,R18&lt;&gt;W10,R18&lt;&gt;W9,R18&lt;&gt;RE8),R18,IF(AND(T19&lt;&gt;0,R19&lt;&gt;W16,R19&lt;&gt;W15,R19&lt;&gt;W14,R19&lt;&gt;W13,R19&lt;&gt;W12,R19&lt;&gt;W11,R19&lt;&gt;W10,R19&lt;&gt;W9,R19&lt;&gt;W8),R19,IF(AND(T20&lt;&gt;0,R20&lt;&gt;W16,R20&lt;&gt;W15,R20&lt;&gt;W14,R20&lt;&gt;W13,R20&lt;&gt;W12,R20&lt;&gt;W11,R20&lt;&gt;W10,R20&lt;&gt;W9,R20&lt;&gt;W8),R20,IF(AND(T21&lt;&gt;0,R21&lt;&gt;W16,R21&lt;&gt;W15,R21&lt;&gt;W14,R21&lt;&gt;W13,R21&lt;&gt;W12,R21&lt;&gt;W11,R21&lt;&gt;W10,R21&lt;&gt;W9,R21&lt;&gt;W8),R21,IF(AND(T22&lt;&gt;0,R22&lt;&gt;W16,R22&lt;&gt;W15,R22&lt;&gt;W14,R22&lt;&gt;W13,R22&lt;&gt;W12,R22&lt;&gt;W11,R22&lt;&gt;W10,R22&lt;&gt;W9,R22&lt;&gt;W8),R22,IF(AND(T23&lt;&gt;0,R23&lt;&gt;W16,R23&lt;&gt;W15,R23&lt;&gt;W14,R23&lt;&gt;W13,R23&lt;&gt;W12,R23&lt;&gt;W11,R23&lt;&gt;W10,R23&lt;&gt;W9,R23&lt;&gt;W8),R23,IF(AND(T24&lt;&gt;0,R24&lt;&gt;W16,R24&lt;&gt;W15,R24&lt;&gt;W14,R24&lt;&gt;W13,R24&lt;&gt;W12,R24&lt;&gt;W11,R24&lt;&gt;W10,R24&lt;&gt;W9,R24&lt;&gt;W8),R24,IF(AND(T25&lt;&gt;0,R25&lt;&gt;W16,R25&lt;&gt;W15,R25&lt;&gt;W14,R25&lt;&gt;W13,R25&lt;&gt;W12,R25&lt;&gt;W11,R25&lt;&gt;W10,R25&lt;&gt;W9,R25&lt;&gt;W8),R25,IF(AND(T26&lt;&gt;0,R26&lt;&gt;W16,R26&lt;&gt;W15,R26&lt;&gt;W14,R26&lt;&gt;W13,R26&lt;&gt;W12,R26&lt;&gt;W11,R26&lt;&gt;W10,R26&lt;&gt;W9,R26&lt;&gt;W8),R26,IF(AND(T27&lt;&gt;0,R27&lt;&gt;W16,R27&lt;&gt;W15,R27&lt;&gt;W14,R27&lt;&gt;W13,R27&lt;&gt;W12,R27&lt;&gt;W11,R27&lt;&gt;W10,R27&lt;&gt;W9,R27&lt;&gt;W8),R27,IF(AND(T28&lt;&gt;0,R28&lt;&gt;W16,R28&lt;&gt;W15,R28&lt;&gt;W14,R28&lt;&gt;W13,R28&lt;&gt;W12,R28&lt;&gt;W11,R28&lt;&gt;W10,R28&lt;&gt;W9,R28&lt;&gt;W8),R28,IF(AND(T29&lt;&gt;0,R29&lt;&gt;W16,R29&lt;&gt;W15,R29&lt;&gt;W14,R29&lt;&gt;W13,R29&lt;&gt;W12,R29&lt;&gt;W11,R29&lt;&gt;W10,R29&lt;&gt;W9,R29&lt;&gt;W8),R29,IF(AND(T30&lt;&gt;0,R30&lt;&gt;W16,R30&lt;&gt;W15,R30&lt;&gt;W14,R30&lt;&gt;W13,R30&lt;&gt;W12,R30&lt;&gt;W11,R30&lt;&gt;W10,R30&lt;&gt;W9,R30&lt;&gt;W8),R30,IF(AND(T31&lt;&gt;0,R31&lt;&gt;W16,R31&lt;&gt;W15,R31&lt;&gt;W14,R31&lt;&gt;W13,R31&lt;&gt;W12,R31&lt;&gt;W11,R31&lt;&gt;W10,R31&lt;&gt;W9,R31&lt;&gt;W8),R31,IF(AND(T32&lt;&gt;0,R32&lt;&gt;W16,R32&lt;&gt;W15,R32&lt;&gt;W14,R32&lt;&gt;W13,R32&lt;&gt;W12,R32&lt;&gt;W11,R32&lt;&gt;W10,R32&lt;&gt;W9,R32&lt;&gt;W8),R32,IF(AND(T38&lt;&gt;0,R38&lt;&gt;W16,R38&lt;&gt;W15,R38&lt;&gt;W14,R38&lt;&gt;W13,R38&lt;&gt;W12,R38&lt;&gt;W11,R38&lt;&gt;W10,R38&lt;&gt;W9,R38&lt;&gt;W8),R38,IF(AND(T39&lt;&gt;0,R39&lt;&gt;W16,R39&lt;&gt;W15,R39&lt;&gt;W14,R39&lt;&gt;W13,R39&lt;&gt;W12,R39&lt;&gt;W11,R39&lt;&gt;W10,R39&lt;&gt;W9,R39&lt;&gt;W8),R39,IF(AND(T40&lt;&gt;0,R40&lt;&gt;W16,R40&lt;&gt;W15,R40&lt;&gt;W14,R40&lt;&gt;W13,R40&lt;&gt;W12,R40&lt;&gt;W11,R40&lt;&gt;W10,R40&lt;&gt;W9,R40&lt;&gt;W8),R40,IF(AND(T41&lt;&gt;0,R41&lt;&gt;W16,R41&lt;&gt;W15,R41&lt;&gt;W14,R41&lt;&gt;W13,R41&lt;&gt;W12,R41&lt;&gt;W11,R41&lt;&gt;W10,R41&lt;&gt;W9,R41&lt;&gt;W8),R41,IF(AND(T42&lt;&gt;0,R42&lt;&gt;W16,R42&lt;&gt;W15,R42&lt;&gt;W14,R42&lt;&gt;W13,R42&lt;&gt;W12,R42&lt;&gt;W11,R42&lt;&gt;W10,R42&lt;&gt;W9,R42&lt;&gt;W8),R42,"")))))))))))))))))))))</f>
        <v>0</v>
      </c>
      <c r="X17" s="1308"/>
      <c r="Y17" s="1309">
        <f ca="1" t="shared" si="0">IF(ISNA(VLOOKUP(W17,$AE$8:$AG$46,2,False))=True,"",VLOOKUP(W17,$AE$8:$AG$46,2,False))</f>
        <v>0</v>
      </c>
      <c r="Z17" s="1309">
        <f ca="1" t="shared" si="1">IF(ISNA(VLOOKUP(W17,$AE$8:$AG$46,3,False))=True,"",VLOOKUP(W17,$AE$8:$AG$46,3,False))</f>
        <v>0</v>
      </c>
      <c r="AA17" s="1310">
        <f ca="1" t="shared" si="2">IF(ISNA(VLOOKUP(W17,$R$8:$T$42,3,False))=True,"",VLOOKUP(W17,$R$8:$T$42,3,False))</f>
        <v>0</v>
      </c>
      <c r="AB17" s="1521">
        <f ca="1">_xlfn.IFNA(IF(ISTEXT(VLOOKUP(W17,'DRAFT A&amp;L'!$B$7:$G$100,4,0)),VLOOKUP(W17,'DRAFT A&amp;L'!$B$7:$G$100,4,0),YEAR(VLOOKUP(W17,'DRAFT A&amp;L'!$B$7:$G$100,4,0))),"")</f>
        <v>0</v>
      </c>
      <c r="AC17" s="423"/>
      <c r="AE17" s="1024" t="s">
        <v>1016</v>
      </c>
      <c r="AF17" s="1035" t="s">
        <v>1015</v>
      </c>
      <c r="AG17" s="1035" t="s">
        <v>1060</v>
      </c>
      <c r="AK17" s="1092">
        <f t="shared" si="3">COUNTIF($BA$8:$BA$152,AF17)</f>
        <v>0</v>
      </c>
      <c r="AM17" s="1077">
        <f t="shared" si="4">IF(M17&gt;0,1,0)</f>
        <v>0</v>
      </c>
      <c r="AN17" s="1096">
        <f>IF(AM17&gt;0,COUNTIF(AM$8:AM17,"&gt;0"),0)</f>
        <v>0</v>
      </c>
      <c r="AO17" s="1078">
        <f t="shared" si="5">B17</f>
        <v>0</v>
      </c>
      <c r="AP17" s="1079">
        <f t="shared" si="6">C17</f>
        <v>0</v>
      </c>
      <c r="AQ17" s="1080">
        <f t="shared" si="7">IF(I17&lt;&gt;"",YEAR(I17),"")</f>
        <v>0</v>
      </c>
      <c r="AR17" s="1080">
        <f t="shared" si="8">IF(E17&lt;&gt;"",E17,"")</f>
        <v>0</v>
      </c>
      <c r="AS17" s="1078">
        <f t="shared" si="9">F17</f>
        <v>0</v>
      </c>
      <c r="AT17" s="1080">
        <f t="shared" si="10">IF(H17&lt;&gt;"",H17,"")</f>
        <v>0</v>
      </c>
      <c r="AU17" s="1080">
        <f t="shared" si="11">J17</f>
        <v>0</v>
      </c>
      <c r="AV17" s="1080">
        <f t="shared" si="12">K17</f>
        <v>0</v>
      </c>
      <c r="AW17" s="1081">
        <f t="shared" si="13">M17</f>
        <v>0</v>
      </c>
      <c r="AX17" s="237">
        <f t="shared" si="71">IF(AZ17&lt;&gt;"",AX16+1,"")</f>
        <v>0</v>
      </c>
      <c r="AY17" s="1087">
        <v>10</v>
      </c>
      <c r="AZ17" s="1087">
        <f t="shared" si="14">IF(ISNA(VLOOKUP(AY17,$AN$8:$AW$148,2,False))=True,"",VLOOKUP(AY17,$AN$8:$AW$148,2,False))</f>
        <v>0</v>
      </c>
      <c r="BA17" s="1087">
        <f t="shared" si="15">IF(ISNA(VLOOKUP(AZ17,$AE$8:$AF$46,2,False))=True,"",VLOOKUP(AZ17,$AE$8:$AF$46,2,False))</f>
        <v>0</v>
      </c>
      <c r="BB17" s="1087">
        <f t="shared" si="16">IF(ISNA(VLOOKUP(AY17,$AN$8:$AW$148,4,False))=True,"",VLOOKUP(AY17,$AN$8:$AW$148,4,False))</f>
        <v>0</v>
      </c>
      <c r="BC17" s="1087">
        <f t="shared" si="17">IF(ISNA(VLOOKUP(AY17,$AN$8:$AW$148,5,False))=True,"",VLOOKUP(AY17,$AN$8:$AW$148,5,False))</f>
        <v>0</v>
      </c>
      <c r="BD17" s="1087">
        <f t="shared" si="18">IF(ISNA(VLOOKUP(AY17,$AN$8:$AW$148,6,False))=True,"",VLOOKUP(AY17,$AN$8:$AW$148,6,False))</f>
        <v>0</v>
      </c>
      <c r="BE17" s="1125">
        <f t="shared" si="19">IF(ISNA(VLOOKUP(AY17,$AN$8:$AW$148,7,False))=True,"",VLOOKUP(AY17,$AN$8:$AW$148,7,False))</f>
        <v>0</v>
      </c>
      <c r="BF17" s="1123">
        <f t="shared" si="20">IF(ISNA(VLOOKUP($AY17,$AN$8:$AW$148,8,False))=True,"",VLOOKUP($AY17,$AN$8:$AW$148,8,False))</f>
        <v>0</v>
      </c>
      <c r="BG17" s="1120">
        <f t="shared" si="21">IF(ISNA(VLOOKUP($AY17,$AN$8:$AW$148,9,False))=True,"",VLOOKUP($AY17,$AN$8:$AW$148,9,False))</f>
        <v>0</v>
      </c>
      <c r="BH17" s="1120">
        <f t="shared" si="22">IF(ISNA(VLOOKUP($AY17,$AN$8:$AW$148,10,False))=True,"",VLOOKUP($AY17,$AN$8:$AW$148,10,False))</f>
        <v>0</v>
      </c>
      <c r="BI17" s="250">
        <f t="shared" si="49">IF(AZ17&lt;&gt;"",AZ17,"")</f>
        <v>0</v>
      </c>
      <c r="BJ17" s="1098">
        <f t="shared" si="50">BI17</f>
        <v>0</v>
      </c>
      <c r="BK17" s="1115">
        <f>COUNTIFS($AZ:$AZ, AZ17,$BJ:$BJ, "&lt;"&amp;BJ17)+COUNTIFS(AZ$8:AZ17, AZ17, BJ$8:BJ17, BJ17)</f>
        <v>10</v>
      </c>
      <c r="BL17" s="1114">
        <f t="shared" si="51">BK17/100</f>
        <v>0.1</v>
      </c>
      <c r="BM17" s="1093" t="e">
        <f t="shared" si="81" ref="BM17">BJ17+BL17</f>
        <v>#VALUE!</v>
      </c>
      <c r="BN17" s="1101">
        <f t="shared" si="52">IF(BA17&lt;&gt;"",BM17,"")</f>
        <v>0</v>
      </c>
      <c r="BO17" s="1118">
        <f t="shared" si="53">IF(BN17&lt;&gt;"",BN17,0)</f>
        <v>0</v>
      </c>
      <c r="BP17" s="237" t="e">
        <f t="shared" si="23">SMALL($BN$8:$BN$152,AX17)</f>
        <v>#VALUE!</v>
      </c>
      <c r="BR17" s="1102" t="e">
        <f t="shared" si="54">IF(BP17&lt;&gt;"",BR16+1,"")</f>
        <v>#VALUE!</v>
      </c>
      <c r="BS17" s="1102">
        <f t="shared" si="55">IFERROR(BP17,"")</f>
        <v>0</v>
      </c>
      <c r="BT17" s="1102">
        <f t="shared" si="56">IFERROR(CC17,"")</f>
        <v>0</v>
      </c>
      <c r="BU17" s="1098">
        <f t="shared" si="57">IFERROR(CD17,"")</f>
        <v>0</v>
      </c>
      <c r="BV17" s="1098">
        <f t="shared" si="58">IFERROR(CE17,"")</f>
        <v>0</v>
      </c>
      <c r="BW17" s="1098">
        <f t="shared" si="59">IFERROR(CF17,"")</f>
        <v>0</v>
      </c>
      <c r="BX17" s="1146">
        <f t="shared" si="60">IFERROR(CH17,"")</f>
        <v>0</v>
      </c>
      <c r="BY17" s="1098">
        <f t="shared" si="61">IFERROR(CG17,"")</f>
        <v>0</v>
      </c>
      <c r="BZ17" s="1144" t="str">
        <f t="shared" si="62">IFERROR(CI17,"-")</f>
        <v>-</v>
      </c>
      <c r="CA17" s="1107">
        <f t="shared" si="63">IFERROR(CJ17,"")</f>
        <v>0</v>
      </c>
      <c r="CB17" s="1107">
        <f t="shared" si="64">IFERROR(CK17,"")</f>
        <v>0</v>
      </c>
      <c r="CC17" s="1110" t="e">
        <f t="shared" si="25">INDEX($AZ$8:$AZ$153,MATCH(BP17,$BO$8:$BO$153,0))</f>
        <v>#VALUE!</v>
      </c>
      <c r="CD17" s="1087" t="e">
        <f t="shared" si="26">INDEX($BA$8:$BA$153,MATCH(BP17,$BO$8:$BO$153,0))</f>
        <v>#VALUE!</v>
      </c>
      <c r="CE17" s="1106" t="e">
        <f t="shared" si="27">INDEX($BB$8:$BB$153,MATCH(BP17,$BO$8:$BO$153,0))</f>
        <v>#VALUE!</v>
      </c>
      <c r="CF17" s="1106" t="e">
        <f t="shared" si="28">INDEX(BC$8:BC$153,MATCH(BP17,$BO$8:$BO$153,0))</f>
        <v>#VALUE!</v>
      </c>
      <c r="CG17" s="1118" t="e">
        <f t="shared" si="29">INDEX(BE$8:BE$153,MATCH(BP17,$BO$8:$BO$153,0))</f>
        <v>#VALUE!</v>
      </c>
      <c r="CH17" s="1106" t="e">
        <f t="shared" si="30">INDEX($BD$8:$BD$153,MATCH($BP17,$BO$8:$BO$153,0))</f>
        <v>#VALUE!</v>
      </c>
      <c r="CI17" s="1142" t="e">
        <f t="shared" si="31">INDEX($BF$8:$BF$153,MATCH(BP17,$BO$8:$BO$153,0))</f>
        <v>#VALUE!</v>
      </c>
      <c r="CJ17" s="1106" t="e">
        <f t="shared" si="32">INDEX($BG$8:$BG$153,MATCH(BP17,$BO$8:$BO$153,0))</f>
        <v>#VALUE!</v>
      </c>
      <c r="CK17" s="1106" t="e">
        <f t="shared" si="33">INDEX($BH$8:$BH$153,MATCH(BP17,$BO$8:$BO$153,0))</f>
        <v>#VALUE!</v>
      </c>
      <c r="CM17" s="1131">
        <f t="shared" si="34">COUNTIF($CH$8:$CH$228,"&lt;="&amp;CH17)</f>
        <v>145</v>
      </c>
      <c r="CN17" s="1121">
        <f t="shared" si="65">--ISNUMBER(BX17)</f>
        <v>0</v>
      </c>
      <c r="CO17" s="1121">
        <f t="shared" si="66">IF(BX17=0,1,0)</f>
        <v>0</v>
      </c>
      <c r="CP17" s="1124">
        <f t="shared" si="35">IF(ISNUMBER(BX17),CM17,IF(ISERROR(BX17),CM17,CM17+$CN$154))+$CO$154</f>
        <v>145</v>
      </c>
      <c r="CQ17" s="237">
        <f>IFERROR(INDEX($BX$8:$BX$153,MATCH(SMALL($CP$8:$CP$153,ROWS($CQ$8:CQ17)+$CO$154),$CP$8:$CP$154,0)),"")</f>
        <v>0</v>
      </c>
      <c r="CR17" s="237">
        <v>0.1</v>
      </c>
      <c r="CS17" s="1135">
        <f t="shared" si="67">CM17+CR17</f>
        <v>145.1</v>
      </c>
      <c r="CT17" s="237">
        <f>COUNTIFS($CM:$CM, CM17,$CS:$CS, "&lt;"&amp;CL)+COUNTIFS(CM$8:CM17, CM17, CS$8:CS17, CS17)</f>
        <v>10</v>
      </c>
      <c r="CU17" s="1109">
        <f t="shared" si="68">CT17/100</f>
        <v>0.1</v>
      </c>
      <c r="CV17" s="1109">
        <f t="shared" si="69">CM17+CU17</f>
        <v>145.1</v>
      </c>
      <c r="CW17" s="237" t="e">
        <f t="shared" si="36">SMALL(CV$8:CV$153,AX17)</f>
        <v>#VALUE!</v>
      </c>
      <c r="CX17" s="1109">
        <f t="shared" si="70">IFERROR(CW17,"")</f>
        <v>0</v>
      </c>
      <c r="CY17" s="237" t="e">
        <f t="shared" si="37">INDEX(BU$8:BU$152,MATCH($CX17,CV$8:CV$152,0))</f>
        <v>#N/A</v>
      </c>
      <c r="CZ17" s="237" t="e">
        <f t="shared" si="38">INDEX(BV$8:BV$152,MATCH($CX17,$CV$8:$CV$152,0))</f>
        <v>#N/A</v>
      </c>
      <c r="DA17" s="237" t="e">
        <f t="shared" si="39">INDEX(BW$8:BW$152,MATCH($CX17,$CV$8:$CV$152,0))</f>
        <v>#N/A</v>
      </c>
      <c r="DB17" s="237" t="e">
        <f t="shared" si="40">INDEX(BX$8:BX$152,MATCH($CX17,$CV$8:$CV$152,0))</f>
        <v>#N/A</v>
      </c>
      <c r="DC17" s="237" t="e">
        <f t="shared" si="41">INDEX(BY$8:BY$152,MATCH($CX17,$CV$8:$CV$152,0))</f>
        <v>#N/A</v>
      </c>
      <c r="DD17" s="237" t="e">
        <f t="shared" si="42">INDEX(BZ$8:BZ$152,MATCH($CX17,$CV$8:$CV$152,0))</f>
        <v>#N/A</v>
      </c>
      <c r="DE17" s="237" t="e">
        <f t="shared" si="43">INDEX(CA$8:CA$152,MATCH($CX17,$CV$8:$CV$152,0))</f>
        <v>#N/A</v>
      </c>
      <c r="DF17" s="237" t="e">
        <f t="shared" si="44">INDEX(CB$8:CB$152,MATCH($CX17,$CV$8:$CV$152,0))</f>
        <v>#N/A</v>
      </c>
    </row>
    <row r="18" spans="1:110">
      <c r="A18" s="1299">
        <v>11</v>
      </c>
      <c r="B18" s="1506"/>
      <c r="C18" s="1148"/>
      <c r="D18" s="1148"/>
      <c r="E18" s="1148"/>
      <c r="F18" s="1148"/>
      <c r="G18" s="1148"/>
      <c r="H18" s="1148"/>
      <c r="I18" s="1472"/>
      <c r="J18" s="1149"/>
      <c r="K18" s="1150"/>
      <c r="L18" s="1151"/>
      <c r="M18" s="1292">
        <f t="shared" si="45">K18*L18</f>
        <v>0</v>
      </c>
      <c r="N18" s="1071">
        <f t="shared" si="46">IF(ISNA(VLOOKUP(C18,$P$8:$U$12,5,False))=True,"",VLOOKUP(C18,$P$8:$U$12,5,False))</f>
        <v>0</v>
      </c>
      <c r="O18" s="2046"/>
      <c r="P18" s="1056" t="s">
        <v>1017</v>
      </c>
      <c r="Q18" s="1056" t="s">
        <v>1061</v>
      </c>
      <c r="R18" s="1056" t="s">
        <v>1018</v>
      </c>
      <c r="S18" s="1031">
        <f ca="1" t="shared" si="79">SUMIF($B$50:$M$64,$R18,$K$50:$K$64)</f>
        <v>0</v>
      </c>
      <c r="T18" s="1031">
        <f ca="1" t="shared" si="77">SUMIF($B$50:$M$64,$R18,$M$50:$M$64)</f>
        <v>0</v>
      </c>
      <c r="U18" s="1031"/>
      <c r="W18" s="1308">
        <f ca="1">IF(AND(T18&lt;&gt;0,R18&lt;&gt;W17,R18&lt;&gt;W16,R18&lt;&gt;W15,R18&lt;&gt;W14,R18&lt;&gt;W13,R18&lt;&gt;W12,R18&lt;&gt;W11,R18&lt;&gt;W10,R18&lt;&gt;W9,R18&lt;&gt;W8),R18,IF(AND(T19&lt;&gt;0,R19&lt;&gt;W17,R19&lt;&gt;W16,R19&lt;&gt;W15,R19&lt;&gt;W14,R19&lt;&gt;W13,R19&lt;&gt;W12,R19&lt;&gt;W11,R19&lt;&gt;W10,R19&lt;&gt;W9,R19&lt;&gt;W8),R19,IF(AND(T20&lt;&gt;0,R20&lt;&gt;W17,R20&lt;&gt;W16,R20&lt;&gt;W15,R20&lt;&gt;W14,R20&lt;&gt;W13,R20&lt;&gt;W12,R20&lt;&gt;W11,R20&lt;&gt;W10,R20&lt;&gt;W9,R20&lt;&gt;W8),R20,IF(AND(T21&lt;&gt;0,R21&lt;&gt;W17,R21&lt;&gt;W16,R21&lt;&gt;W15,R21&lt;&gt;W14,R21&lt;&gt;W13,R21&lt;&gt;W12,R21&lt;&gt;W11,R21&lt;&gt;W10,R21&lt;&gt;W9,R21&lt;&gt;W8),R21,IF(AND(T22&lt;&gt;0,R22&lt;&gt;W17,R22&lt;&gt;W16,R22&lt;&gt;W15,R22&lt;&gt;W14,R22&lt;&gt;W13,R22&lt;&gt;W12,R22&lt;&gt;W11,R22&lt;&gt;W10,R22&lt;&gt;W9,R22&lt;&gt;W8),R22,IF(AND(T23&lt;&gt;0,R23&lt;&gt;W17,R23&lt;&gt;W16,R23&lt;&gt;W15,R23&lt;&gt;W14,R23&lt;&gt;W13,R23&lt;&gt;W12,R23&lt;&gt;W11,R23&lt;&gt;W10,R23&lt;&gt;W9,R23&lt;&gt;W8),R23,IF(AND(T24&lt;&gt;0,R24&lt;&gt;W17,R24&lt;&gt;W16,R24&lt;&gt;W15,R24&lt;&gt;W14,R24&lt;&gt;W13,R24&lt;&gt;W12,R24&lt;&gt;W11,R24&lt;&gt;W10,R24&lt;&gt;W9,R24&lt;&gt;W8),R24,IF(AND(T25&lt;&gt;0,R25&lt;&gt;W17,R25&lt;&gt;W16,R25&lt;&gt;W15,R25&lt;&gt;W14,R25&lt;&gt;W13,R25&lt;&gt;W12,R25&lt;&gt;W11,R25&lt;&gt;W10,R25&lt;&gt;W9,R25&lt;&gt;W8),R25,IF(AND(T26&lt;&gt;0,R26&lt;&gt;W17,R26&lt;&gt;W16,R26&lt;&gt;W15,R26&lt;&gt;W14,R26&lt;&gt;W13,R26&lt;&gt;W12,R26&lt;&gt;W11,R26&lt;&gt;W10,R26&lt;&gt;W9,R26&lt;&gt;W8),R26,IF(AND(T27&lt;&gt;0,R27&lt;&gt;W17,R27&lt;&gt;W16,R27&lt;&gt;W15,R27&lt;&gt;W14,R27&lt;&gt;W13,R27&lt;&gt;W12,R27&lt;&gt;W11,R27&lt;&gt;W10,R27&lt;&gt;W9,R27&lt;&gt;W8),R27,IF(AND(T28&lt;&gt;0,R28&lt;&gt;W17,R28&lt;&gt;W16,R28&lt;&gt;W15,R28&lt;&gt;W14,R28&lt;&gt;W13,R28&lt;&gt;W12,R28&lt;&gt;W11,R28&lt;&gt;W10,R28&lt;&gt;W9,R28&lt;&gt;W8),R28,IF(AND(T29&lt;&gt;0,R29&lt;&gt;W17,R29&lt;&gt;W16,R29&lt;&gt;W15,R29&lt;&gt;W14,R29&lt;&gt;W13,R29&lt;&gt;W12,R29&lt;&gt;W11,R29&lt;&gt;W10,R29&lt;&gt;W9,R29&lt;&gt;W8),R29,IF(AND(T30&lt;&gt;0,R30&lt;&gt;W17,R30&lt;&gt;W16,R30&lt;&gt;W15,R30&lt;&gt;W14,R30&lt;&gt;W13,R30&lt;&gt;W12,R30&lt;&gt;W11,R30&lt;&gt;W10,R30&lt;&gt;W9,R30&lt;&gt;W8),R30,IF(AND(T31&lt;&gt;0,R31&lt;&gt;W17,R31&lt;&gt;W16,R31&lt;&gt;W15,R31&lt;&gt;W14,R31&lt;&gt;W13,R31&lt;&gt;W12,R31&lt;&gt;W11,R31&lt;&gt;W10,R31&lt;&gt;W9,R31&lt;&gt;W8),R31,IF(AND(T32&lt;&gt;0,R32&lt;&gt;W17,R32&lt;&gt;W16,R32&lt;&gt;W15,R32&lt;&gt;W14,R32&lt;&gt;W13,R32&lt;&gt;W12,R32&lt;&gt;W11,R32&lt;&gt;W10,R32&lt;&gt;W9,R32&lt;&gt;W8),R32,IF(AND(T38&lt;&gt;0,R38&lt;&gt;W17,R38&lt;&gt;W16,R38&lt;&gt;W15,R38&lt;&gt;W14,R38&lt;&gt;W13,R38&lt;&gt;W12,R38&lt;&gt;W11,R38&lt;&gt;W10,R38&lt;&gt;W9,R38&lt;&gt;W8),R38,IF(AND(T39&lt;&gt;0,R39&lt;&gt;W17,R39&lt;&gt;W16,R39&lt;&gt;W15,R39&lt;&gt;W14,R39&lt;&gt;W13,R39&lt;&gt;W12,R39&lt;&gt;W11,R39&lt;&gt;W10,R39&lt;&gt;W9,R39&lt;&gt;W8),R39,IF(AND(T40&lt;&gt;0,R40&lt;&gt;W17,R40&lt;&gt;W16,R40&lt;&gt;W15,R40&lt;&gt;W14,R40&lt;&gt;W13,R40&lt;&gt;W12,R40&lt;&gt;W11,R40&lt;&gt;W10,R40&lt;&gt;W9,R40&lt;&gt;W8),R40,IF(AND(T41&lt;&gt;0,R41&lt;&gt;W17,R41&lt;&gt;W16,R41&lt;&gt;W15,R41&lt;&gt;W14,R41&lt;&gt;W13,R41&lt;&gt;W12,R41&lt;&gt;W11,R41&lt;&gt;W10,R41&lt;&gt;W9,R41&lt;&gt;W8),R41,IF(AND(T42&lt;&gt;0,R42&lt;&gt;W17,R42&lt;&gt;W16,R42&lt;&gt;W15,R42&lt;&gt;W14,R42&lt;&gt;W13,R42&lt;&gt;W12,R42&lt;&gt;W11,R42&lt;&gt;W10,R42&lt;&gt;W9,R42&lt;&gt;W8),R42,""))))))))))))))))))))</f>
        <v>0</v>
      </c>
      <c r="X18" s="1308"/>
      <c r="Y18" s="1309">
        <f ca="1" t="shared" si="0">IF(ISNA(VLOOKUP(W18,$AE$8:$AG$46,2,False))=True,"",VLOOKUP(W18,$AE$8:$AG$46,2,False))</f>
        <v>0</v>
      </c>
      <c r="Z18" s="1309">
        <f ca="1" t="shared" si="1">IF(ISNA(VLOOKUP(W18,$AE$8:$AG$46,3,False))=True,"",VLOOKUP(W18,$AE$8:$AG$46,3,False))</f>
        <v>0</v>
      </c>
      <c r="AA18" s="1310">
        <f ca="1" t="shared" si="2">IF(ISNA(VLOOKUP(W18,$R$8:$T$42,3,False))=True,"",VLOOKUP(W18,$R$8:$T$42,3,False))</f>
        <v>0</v>
      </c>
      <c r="AB18" s="1521">
        <f ca="1">_xlfn.IFNA(IF(ISTEXT(VLOOKUP(W18,'DRAFT A&amp;L'!$B$7:$G$100,4,0)),VLOOKUP(W18,'DRAFT A&amp;L'!$B$7:$G$100,4,0),YEAR(VLOOKUP(W18,'DRAFT A&amp;L'!$B$7:$G$100,4,0))),"")</f>
        <v>0</v>
      </c>
      <c r="AC18" s="423"/>
      <c r="AE18" s="1024" t="s">
        <v>1018</v>
      </c>
      <c r="AF18" s="1035" t="s">
        <v>1017</v>
      </c>
      <c r="AG18" s="1035" t="s">
        <v>1061</v>
      </c>
      <c r="AK18" s="1092">
        <f t="shared" si="3">COUNTIF($BA$8:$BA$152,AF18)</f>
        <v>0</v>
      </c>
      <c r="AM18" s="1077">
        <f t="shared" si="4">IF(M18&gt;0,1,0)</f>
        <v>0</v>
      </c>
      <c r="AN18" s="1096">
        <f>IF(AM18&gt;0,COUNTIF(AM$8:AM18,"&gt;0"),0)</f>
        <v>0</v>
      </c>
      <c r="AO18" s="1078">
        <f t="shared" si="5">B18</f>
        <v>0</v>
      </c>
      <c r="AP18" s="1079">
        <f t="shared" si="6">C18</f>
        <v>0</v>
      </c>
      <c r="AQ18" s="1080">
        <f t="shared" si="7">IF(I18&lt;&gt;"",YEAR(I18),"")</f>
        <v>0</v>
      </c>
      <c r="AR18" s="1080">
        <f t="shared" si="8">IF(E18&lt;&gt;"",E18,"")</f>
        <v>0</v>
      </c>
      <c r="AS18" s="1078">
        <f t="shared" si="9">F18</f>
        <v>0</v>
      </c>
      <c r="AT18" s="1080">
        <f t="shared" si="10">IF(H18&lt;&gt;"",H18,"")</f>
        <v>0</v>
      </c>
      <c r="AU18" s="1080">
        <f t="shared" si="11">J18</f>
        <v>0</v>
      </c>
      <c r="AV18" s="1080">
        <f t="shared" si="12">K18</f>
        <v>0</v>
      </c>
      <c r="AW18" s="1081">
        <f t="shared" si="13">M18</f>
        <v>0</v>
      </c>
      <c r="AX18" s="237">
        <f t="shared" si="71">IF(AZ18&lt;&gt;"",AX17+1,"")</f>
        <v>0</v>
      </c>
      <c r="AY18" s="1087">
        <v>11</v>
      </c>
      <c r="AZ18" s="1087">
        <f t="shared" si="14">IF(ISNA(VLOOKUP(AY18,$AN$8:$AW$148,2,False))=True,"",VLOOKUP(AY18,$AN$8:$AW$148,2,False))</f>
        <v>0</v>
      </c>
      <c r="BA18" s="1087">
        <f t="shared" si="15">IF(ISNA(VLOOKUP(AZ18,$AE$8:$AF$46,2,False))=True,"",VLOOKUP(AZ18,$AE$8:$AF$46,2,False))</f>
        <v>0</v>
      </c>
      <c r="BB18" s="1087">
        <f t="shared" si="16">IF(ISNA(VLOOKUP(AY18,$AN$8:$AW$148,4,False))=True,"",VLOOKUP(AY18,$AN$8:$AW$148,4,False))</f>
        <v>0</v>
      </c>
      <c r="BC18" s="1087">
        <f t="shared" si="17">IF(ISNA(VLOOKUP(AY18,$AN$8:$AW$148,5,False))=True,"",VLOOKUP(AY18,$AN$8:$AW$148,5,False))</f>
        <v>0</v>
      </c>
      <c r="BD18" s="1087">
        <f t="shared" si="18">IF(ISNA(VLOOKUP(AY18,$AN$8:$AW$148,6,False))=True,"",VLOOKUP(AY18,$AN$8:$AW$148,6,False))</f>
        <v>0</v>
      </c>
      <c r="BE18" s="1125">
        <f t="shared" si="19">IF(ISNA(VLOOKUP(AY18,$AN$8:$AW$148,7,False))=True,"",VLOOKUP(AY18,$AN$8:$AW$148,7,False))</f>
        <v>0</v>
      </c>
      <c r="BF18" s="1123">
        <f t="shared" si="20">IF(ISNA(VLOOKUP($AY18,$AN$8:$AW$148,8,False))=True,"",VLOOKUP($AY18,$AN$8:$AW$148,8,False))</f>
        <v>0</v>
      </c>
      <c r="BG18" s="1120">
        <f t="shared" si="21">IF(ISNA(VLOOKUP($AY18,$AN$8:$AW$148,9,False))=True,"",VLOOKUP($AY18,$AN$8:$AW$148,9,False))</f>
        <v>0</v>
      </c>
      <c r="BH18" s="1120">
        <f t="shared" si="22">IF(ISNA(VLOOKUP($AY18,$AN$8:$AW$148,10,False))=True,"",VLOOKUP($AY18,$AN$8:$AW$148,10,False))</f>
        <v>0</v>
      </c>
      <c r="BI18" s="250">
        <f t="shared" si="49">IF(AZ18&lt;&gt;"",AZ18,"")</f>
        <v>0</v>
      </c>
      <c r="BJ18" s="1098">
        <f t="shared" si="50">BI18</f>
        <v>0</v>
      </c>
      <c r="BK18" s="1115">
        <f>COUNTIFS($AZ:$AZ, AZ18,$BJ:$BJ, "&lt;"&amp;BJ18)+COUNTIFS(AZ$8:AZ18, AZ18, BJ$8:BJ18, BJ18)</f>
        <v>11</v>
      </c>
      <c r="BL18" s="1114">
        <f t="shared" si="51">BK18/100</f>
        <v>0.11</v>
      </c>
      <c r="BM18" s="1093" t="e">
        <f t="shared" si="82" ref="BM18">BI18+BL18</f>
        <v>#VALUE!</v>
      </c>
      <c r="BN18" s="1101">
        <f t="shared" si="52">IF(BA18&lt;&gt;"",BM18,"")</f>
        <v>0</v>
      </c>
      <c r="BO18" s="1118">
        <f t="shared" si="53">IF(BN18&lt;&gt;"",BN18,0)</f>
        <v>0</v>
      </c>
      <c r="BP18" s="237" t="e">
        <f t="shared" si="23">SMALL($BN$8:$BN$152,AX18)</f>
        <v>#VALUE!</v>
      </c>
      <c r="BR18" s="1102" t="e">
        <f t="shared" si="54">IF(BP18&lt;&gt;"",BR17+1,"")</f>
        <v>#VALUE!</v>
      </c>
      <c r="BS18" s="1102">
        <f t="shared" si="55">IFERROR(BP18,"")</f>
        <v>0</v>
      </c>
      <c r="BT18" s="1102">
        <f t="shared" si="56">IFERROR(CC18,"")</f>
        <v>0</v>
      </c>
      <c r="BU18" s="1098">
        <f t="shared" si="57">IFERROR(CD18,"")</f>
        <v>0</v>
      </c>
      <c r="BV18" s="1098">
        <f t="shared" si="58">IFERROR(CE18,"")</f>
        <v>0</v>
      </c>
      <c r="BW18" s="1098">
        <f t="shared" si="59">IFERROR(CF18,"")</f>
        <v>0</v>
      </c>
      <c r="BX18" s="1146">
        <f t="shared" si="60">IFERROR(CH18,"")</f>
        <v>0</v>
      </c>
      <c r="BY18" s="1098">
        <f t="shared" si="61">IFERROR(CG18,"")</f>
        <v>0</v>
      </c>
      <c r="BZ18" s="1144" t="str">
        <f t="shared" si="62">IFERROR(CI18,"-")</f>
        <v>-</v>
      </c>
      <c r="CA18" s="1107">
        <f t="shared" si="63">IFERROR(CJ18,"")</f>
        <v>0</v>
      </c>
      <c r="CB18" s="1107">
        <f t="shared" si="64">IFERROR(CK18,"")</f>
        <v>0</v>
      </c>
      <c r="CC18" s="1110" t="e">
        <f t="shared" si="25">INDEX($AZ$8:$AZ$153,MATCH(BP18,$BO$8:$BO$153,0))</f>
        <v>#VALUE!</v>
      </c>
      <c r="CD18" s="1087" t="e">
        <f t="shared" si="26">INDEX($BA$8:$BA$153,MATCH(BP18,$BO$8:$BO$153,0))</f>
        <v>#VALUE!</v>
      </c>
      <c r="CE18" s="1106" t="e">
        <f t="shared" si="27">INDEX($BB$8:$BB$153,MATCH(BP18,$BO$8:$BO$153,0))</f>
        <v>#VALUE!</v>
      </c>
      <c r="CF18" s="1106" t="e">
        <f t="shared" si="28">INDEX(BC$8:BC$153,MATCH(BP18,$BO$8:$BO$153,0))</f>
        <v>#VALUE!</v>
      </c>
      <c r="CG18" s="1118" t="e">
        <f t="shared" si="29">INDEX(BE$8:BE$153,MATCH(BP18,$BO$8:$BO$153,0))</f>
        <v>#VALUE!</v>
      </c>
      <c r="CH18" s="1106" t="e">
        <f t="shared" si="30">INDEX($BD$8:$BD$153,MATCH($BP18,$BO$8:$BO$153,0))</f>
        <v>#VALUE!</v>
      </c>
      <c r="CI18" s="1142" t="e">
        <f t="shared" si="31">INDEX($BF$8:$BF$153,MATCH(BP18,$BO$8:$BO$153,0))</f>
        <v>#VALUE!</v>
      </c>
      <c r="CJ18" s="1106" t="e">
        <f t="shared" si="32">INDEX($BG$8:$BG$153,MATCH(BP18,$BO$8:$BO$153,0))</f>
        <v>#VALUE!</v>
      </c>
      <c r="CK18" s="1106" t="e">
        <f t="shared" si="33">INDEX($BH$8:$BH$153,MATCH(BP18,$BO$8:$BO$153,0))</f>
        <v>#VALUE!</v>
      </c>
      <c r="CM18" s="1131">
        <f t="shared" si="34">COUNTIF($CH$8:$CH$228,"&lt;="&amp;CH18)</f>
        <v>145</v>
      </c>
      <c r="CN18" s="1121">
        <f t="shared" si="65">--ISNUMBER(BX18)</f>
        <v>0</v>
      </c>
      <c r="CO18" s="1121">
        <f t="shared" si="66">IF(BX18=0,1,0)</f>
        <v>0</v>
      </c>
      <c r="CP18" s="1124">
        <f t="shared" si="35">IF(ISNUMBER(BX18),CM18,IF(ISERROR(BX18),CM18,CM18+$CN$154))+$CO$154</f>
        <v>145</v>
      </c>
      <c r="CQ18" s="237">
        <f>IFERROR(INDEX($BX$8:$BX$153,MATCH(SMALL($CP$8:$CP$153,ROWS($CQ$8:CQ18)+$CO$154),$CP$8:$CP$154,0)),"")</f>
        <v>0</v>
      </c>
      <c r="CR18" s="237">
        <v>0.1</v>
      </c>
      <c r="CS18" s="1135">
        <f t="shared" si="67">CM18+CR18</f>
        <v>145.1</v>
      </c>
      <c r="CT18" s="237">
        <f>COUNTIFS($CM:$CM, CM18,$CS:$CS, "&lt;"&amp;CL)+COUNTIFS(CM$8:CM18, CM18, CS$8:CS18, CS18)</f>
        <v>11</v>
      </c>
      <c r="CU18" s="1109">
        <f t="shared" si="68">CT18/100</f>
        <v>0.11</v>
      </c>
      <c r="CV18" s="1109">
        <f t="shared" si="69">CM18+CU18</f>
        <v>145.11</v>
      </c>
      <c r="CW18" s="237" t="e">
        <f t="shared" si="36">SMALL(CV$8:CV$153,AX18)</f>
        <v>#VALUE!</v>
      </c>
      <c r="CX18" s="1109">
        <f t="shared" si="70">IFERROR(CW18,"")</f>
        <v>0</v>
      </c>
      <c r="CY18" s="237" t="e">
        <f t="shared" si="37">INDEX(BU$8:BU$152,MATCH($CX18,CV$8:CV$152,0))</f>
        <v>#N/A</v>
      </c>
      <c r="CZ18" s="237" t="e">
        <f t="shared" si="38">INDEX(BV$8:BV$152,MATCH($CX18,$CV$8:$CV$152,0))</f>
        <v>#N/A</v>
      </c>
      <c r="DA18" s="237" t="e">
        <f t="shared" si="39">INDEX(BW$8:BW$152,MATCH($CX18,$CV$8:$CV$152,0))</f>
        <v>#N/A</v>
      </c>
      <c r="DB18" s="237" t="e">
        <f t="shared" si="40">INDEX(BX$8:BX$152,MATCH($CX18,$CV$8:$CV$152,0))</f>
        <v>#N/A</v>
      </c>
      <c r="DC18" s="237" t="e">
        <f t="shared" si="41">INDEX(BY$8:BY$152,MATCH($CX18,$CV$8:$CV$152,0))</f>
        <v>#N/A</v>
      </c>
      <c r="DD18" s="237" t="e">
        <f t="shared" si="42">INDEX(BZ$8:BZ$152,MATCH($CX18,$CV$8:$CV$152,0))</f>
        <v>#N/A</v>
      </c>
      <c r="DE18" s="237" t="e">
        <f t="shared" si="43">INDEX(CA$8:CA$152,MATCH($CX18,$CV$8:$CV$152,0))</f>
        <v>#N/A</v>
      </c>
      <c r="DF18" s="237" t="e">
        <f t="shared" si="44">INDEX(CB$8:CB$152,MATCH($CX18,$CV$8:$CV$152,0))</f>
        <v>#N/A</v>
      </c>
    </row>
    <row r="19" spans="1:110">
      <c r="A19" s="1299">
        <v>12</v>
      </c>
      <c r="B19" s="1506"/>
      <c r="C19" s="1148"/>
      <c r="D19" s="1148"/>
      <c r="E19" s="1148"/>
      <c r="F19" s="1148"/>
      <c r="G19" s="1148"/>
      <c r="H19" s="1148"/>
      <c r="I19" s="1472"/>
      <c r="J19" s="1149"/>
      <c r="K19" s="1150"/>
      <c r="L19" s="1151"/>
      <c r="M19" s="1292">
        <f t="shared" si="45">K19*L19</f>
        <v>0</v>
      </c>
      <c r="N19" s="1071">
        <f t="shared" si="46">IF(ISNA(VLOOKUP(C19,$P$8:$U$12,5,False))=True,"",VLOOKUP(C19,$P$8:$U$12,5,False))</f>
        <v>0</v>
      </c>
      <c r="O19" s="2046"/>
      <c r="P19" s="1055" t="s">
        <v>1019</v>
      </c>
      <c r="Q19" s="1055" t="s">
        <v>1062</v>
      </c>
      <c r="R19" s="1055" t="s">
        <v>1020</v>
      </c>
      <c r="S19" s="1031">
        <f ca="1" t="shared" si="79">SUMIF($B$50:$M$64,$R19,$K$50:$K$64)</f>
        <v>0</v>
      </c>
      <c r="T19" s="1031">
        <f ca="1" t="shared" si="77">SUMIF($B$50:$M$64,$R19,$M$50:$M$64)</f>
        <v>0</v>
      </c>
      <c r="U19" s="1031"/>
      <c r="W19" s="1308">
        <f ca="1">IF(AND(T19&lt;&gt;0,R19&lt;&gt;W18,R19&lt;&gt;W17,R19&lt;&gt;W16,R19&lt;&gt;W15,R19&lt;&gt;W14,R19&lt;&gt;W13,R19&lt;&gt;W12,R19&lt;&gt;W11,R19&lt;&gt;W10,R19&lt;&gt;W9,R19&lt;&gt;W8),R19,IF(AND(T20&lt;&gt;0,R20&lt;&gt;W18,R20&lt;&gt;W17,R20&lt;&gt;W16,R20&lt;&gt;W15,R20&lt;&gt;W14,R20&lt;&gt;W13,R20&lt;&gt;W12,R20&lt;&gt;W11,R20&lt;&gt;W10,R20&lt;&gt;W9,R20&lt;&gt;W8),R20,IF(AND(T21&lt;&gt;0,R21&lt;&gt;W18,R21&lt;&gt;W17,R21&lt;&gt;W16,R21&lt;&gt;W15,R21&lt;&gt;W14,R21&lt;&gt;W13,R21&lt;&gt;W12,R21&lt;&gt;W11,R21&lt;&gt;W10,R21&lt;&gt;W9,R21&lt;&gt;W8),R21,IF(AND(T22&lt;&gt;0,R22&lt;&gt;W18,R22&lt;&gt;W17,R22&lt;&gt;W16,R22&lt;&gt;W15,R22&lt;&gt;W14,R22&lt;&gt;W13,R22&lt;&gt;W12,R22&lt;&gt;W11,R22&lt;&gt;W10,R22&lt;&gt;W9,R22&lt;&gt;W8),R22,IF(AND(T23&lt;&gt;0,R23&lt;&gt;W18,R23&lt;&gt;W17,R23&lt;&gt;W16,R23&lt;&gt;W15,R23&lt;&gt;W14,R23&lt;&gt;W13,R23&lt;&gt;W12,R23&lt;&gt;W11,R23&lt;&gt;W10,R23&lt;&gt;W9,R23&lt;&gt;W8),R23,IF(AND(T24&lt;&gt;0,R24&lt;&gt;W18,R24&lt;&gt;W17,R24&lt;&gt;W16,R24&lt;&gt;W15,R24&lt;&gt;W14,R24&lt;&gt;W13,R24&lt;&gt;W12,R24&lt;&gt;W11,R24&lt;&gt;W10,R24&lt;&gt;W9,R24&lt;&gt;W8),R24,IF(AND(T25&lt;&gt;0,R25&lt;&gt;W18,R25&lt;&gt;W17,R25&lt;&gt;W16,R25&lt;&gt;W15,R25&lt;&gt;W14,R25&lt;&gt;W13,R25&lt;&gt;W12,R25&lt;&gt;W11,R25&lt;&gt;W10,R25&lt;&gt;W9,R25&lt;&gt;W8),R25,IF(AND(T26&lt;&gt;0,R26&lt;&gt;W18,R26&lt;&gt;W17,R26&lt;&gt;W16,R26&lt;&gt;W15,R26&lt;&gt;W14,R26&lt;&gt;W13,R26&lt;&gt;W12,R26&lt;&gt;W11,R26&lt;&gt;W10,R26&lt;&gt;W9,R26&lt;&gt;W8),R26,IF(AND(T27&lt;&gt;0,R27&lt;&gt;W18,R27&lt;&gt;W17,R27&lt;&gt;W16,R27&lt;&gt;W15,R27&lt;&gt;W14,R27&lt;&gt;W13,R27&lt;&gt;W12,R27&lt;&gt;W11,R27&lt;&gt;W10,R27&lt;&gt;W9,R27&lt;&gt;W8),R27,IF(AND(T28&lt;&gt;0,R28&lt;&gt;W18,R28&lt;&gt;W17,R28&lt;&gt;W16,R28&lt;&gt;W15,R28&lt;&gt;W14,R28&lt;&gt;W13,R28&lt;&gt;W12,R28&lt;&gt;W11,R28&lt;&gt;W10,R28&lt;&gt;W9,R28&lt;&gt;W8),R28,IF(AND(T29&lt;&gt;0,R29&lt;&gt;W18,R29&lt;&gt;W17,R29&lt;&gt;W16,R29&lt;&gt;W15,R29&lt;&gt;W14,R29&lt;&gt;W13,R29&lt;&gt;W12,R29&lt;&gt;W11,R29&lt;&gt;W10,R29&lt;&gt;W9,R29&lt;&gt;W8),R29,IF(AND(T30&lt;&gt;0,R30&lt;&gt;W18,R30&lt;&gt;W17,R30&lt;&gt;W16,R30&lt;&gt;W15,R30&lt;&gt;W14,R30&lt;&gt;W13,R30&lt;&gt;W12,R30&lt;&gt;W11,R30&lt;&gt;W10,R30&lt;&gt;W9,R30&lt;&gt;W8),R30,IF(AND(T31&lt;&gt;0,R31&lt;&gt;W18,R31&lt;&gt;W17,R31&lt;&gt;W16,R31&lt;&gt;W15,R31&lt;&gt;W14,R31&lt;&gt;W13,R31&lt;&gt;W12,R31&lt;&gt;W11,R31&lt;&gt;W10,R31&lt;&gt;W9,R31&lt;&gt;W8),R31,IF(AND(T32&lt;&gt;0,R32&lt;&gt;W18,R32&lt;&gt;W17,R32&lt;&gt;W16,R32&lt;&gt;W15,R32&lt;&gt;W14,R32&lt;&gt;W13,R32&lt;&gt;W12,R32&lt;&gt;W11,R32&lt;&gt;W10,R32&lt;&gt;W9,R32&lt;&gt;W8),R32,IF(AND(T38&lt;&gt;0,R38&lt;&gt;W18,R38&lt;&gt;W17,R38&lt;&gt;W16,R38&lt;&gt;W15,R38&lt;&gt;W14,R38&lt;&gt;W13,R38&lt;&gt;W12,R38&lt;&gt;W11,R38&lt;&gt;W10,R38&lt;&gt;W9,R38&lt;&gt;W8),R38,IF(AND(T39&lt;&gt;0,R39&lt;&gt;W18,R39&lt;&gt;W17,R39&lt;&gt;W16,R39&lt;&gt;W15,R39&lt;&gt;W14,R39&lt;&gt;W13,R39&lt;&gt;W12,R39&lt;&gt;W11,R39&lt;&gt;W10,R39&lt;&gt;W9,R39&lt;&gt;W8),R39,IF(AND(T40&lt;&gt;0,R40&lt;&gt;W18,R40&lt;&gt;W17,R40&lt;&gt;W16,R40&lt;&gt;W15,R40&lt;&gt;W14,R40&lt;&gt;W13,R40&lt;&gt;W12,R40&lt;&gt;W11,R40&lt;&gt;W10,R40&lt;&gt;W9,R40&lt;&gt;W8),R40,IF(AND(T41&lt;&gt;0,R41&lt;&gt;W18,R41&lt;&gt;W17,R41&lt;&gt;W16,R41&lt;&gt;W15,R41&lt;&gt;W14,R41&lt;&gt;W13,R41&lt;&gt;W12,R41&lt;&gt;W11,R41&lt;&gt;W10,R41&lt;&gt;W9,R41&lt;&gt;W8),R41,IF(AND(T42&lt;&gt;0,R42&lt;&gt;W18,R42&lt;&gt;W17,R42&lt;&gt;W16,R42&lt;&gt;W15,R42&lt;&gt;W14,R42&lt;&gt;W13,R42&lt;&gt;W12,R42&lt;&gt;W11,R42&lt;&gt;W10,R42&lt;&gt;W9,R42&lt;&gt;W8),R42,"")))))))))))))))))))</f>
        <v>0</v>
      </c>
      <c r="X19" s="1308"/>
      <c r="Y19" s="1309">
        <f ca="1" t="shared" si="0">IF(ISNA(VLOOKUP(W19,$AE$8:$AG$46,2,False))=True,"",VLOOKUP(W19,$AE$8:$AG$46,2,False))</f>
        <v>0</v>
      </c>
      <c r="Z19" s="1309">
        <f ca="1" t="shared" si="1">IF(ISNA(VLOOKUP(W19,$AE$8:$AG$46,3,False))=True,"",VLOOKUP(W19,$AE$8:$AG$46,3,False))</f>
        <v>0</v>
      </c>
      <c r="AA19" s="1310">
        <f ca="1" t="shared" si="2">IF(ISNA(VLOOKUP(W19,$R$8:$T$42,3,False))=True,"",VLOOKUP(W19,$R$8:$T$42,3,False))</f>
        <v>0</v>
      </c>
      <c r="AB19" s="1521">
        <f ca="1">_xlfn.IFNA(IF(ISTEXT(VLOOKUP(W19,'DRAFT A&amp;L'!$B$7:$G$100,4,0)),VLOOKUP(W19,'DRAFT A&amp;L'!$B$7:$G$100,4,0),YEAR(VLOOKUP(W19,'DRAFT A&amp;L'!$B$7:$G$100,4,0))),"")</f>
        <v>0</v>
      </c>
      <c r="AC19" s="423"/>
      <c r="AE19" s="1026" t="s">
        <v>1020</v>
      </c>
      <c r="AF19" s="1036" t="s">
        <v>1019</v>
      </c>
      <c r="AG19" s="1036" t="s">
        <v>1062</v>
      </c>
      <c r="AK19" s="1092">
        <f t="shared" si="3">COUNTIF($BA$8:$BA$152,AF19)</f>
        <v>0</v>
      </c>
      <c r="AM19" s="1077">
        <f t="shared" si="4">IF(M19&gt;0,1,0)</f>
        <v>0</v>
      </c>
      <c r="AN19" s="1096">
        <f>IF(AM19&gt;0,COUNTIF(AM$8:AM19,"&gt;0"),0)</f>
        <v>0</v>
      </c>
      <c r="AO19" s="1078">
        <f t="shared" si="5">B19</f>
        <v>0</v>
      </c>
      <c r="AP19" s="1079">
        <f t="shared" si="6">C19</f>
        <v>0</v>
      </c>
      <c r="AQ19" s="1080">
        <f t="shared" si="7">IF(I19&lt;&gt;"",YEAR(I19),"")</f>
        <v>0</v>
      </c>
      <c r="AR19" s="1080">
        <f t="shared" si="8">IF(E19&lt;&gt;"",E19,"")</f>
        <v>0</v>
      </c>
      <c r="AS19" s="1078">
        <f t="shared" si="9">F19</f>
        <v>0</v>
      </c>
      <c r="AT19" s="1080">
        <f t="shared" si="10">IF(H19&lt;&gt;"",H19,"")</f>
        <v>0</v>
      </c>
      <c r="AU19" s="1080">
        <f t="shared" si="11">J19</f>
        <v>0</v>
      </c>
      <c r="AV19" s="1080">
        <f t="shared" si="12">K19</f>
        <v>0</v>
      </c>
      <c r="AW19" s="1081">
        <f t="shared" si="13">M19</f>
        <v>0</v>
      </c>
      <c r="AX19" s="237">
        <f t="shared" si="71">IF(AZ19&lt;&gt;"",AX18+1,"")</f>
        <v>0</v>
      </c>
      <c r="AY19" s="1087">
        <v>12</v>
      </c>
      <c r="AZ19" s="1087">
        <f t="shared" si="14">IF(ISNA(VLOOKUP(AY19,$AN$8:$AW$148,2,False))=True,"",VLOOKUP(AY19,$AN$8:$AW$148,2,False))</f>
        <v>0</v>
      </c>
      <c r="BA19" s="1087">
        <f t="shared" si="15">IF(ISNA(VLOOKUP(AZ19,$AE$8:$AF$46,2,False))=True,"",VLOOKUP(AZ19,$AE$8:$AF$46,2,False))</f>
        <v>0</v>
      </c>
      <c r="BB19" s="1087">
        <f t="shared" si="16">IF(ISNA(VLOOKUP(AY19,$AN$8:$AW$148,4,False))=True,"",VLOOKUP(AY19,$AN$8:$AW$148,4,False))</f>
        <v>0</v>
      </c>
      <c r="BC19" s="1087">
        <f t="shared" si="17">IF(ISNA(VLOOKUP(AY19,$AN$8:$AW$148,5,False))=True,"",VLOOKUP(AY19,$AN$8:$AW$148,5,False))</f>
        <v>0</v>
      </c>
      <c r="BD19" s="1087" t="str">
        <f>IF(ISNA(VLOOKUP(AY19,$AN$8:$AW$148,6,False))=True," - ",VLOOKUP(AY19,$AN$8:$AW$148,6,False))</f>
        <v> - </v>
      </c>
      <c r="BE19" s="1125">
        <f t="shared" si="19">IF(ISNA(VLOOKUP(AY19,$AN$8:$AW$148,7,False))=True,"",VLOOKUP(AY19,$AN$8:$AW$148,7,False))</f>
        <v>0</v>
      </c>
      <c r="BF19" s="1123">
        <f t="shared" si="20">IF(ISNA(VLOOKUP($AY19,$AN$8:$AW$148,8,False))=True,"",VLOOKUP($AY19,$AN$8:$AW$148,8,False))</f>
        <v>0</v>
      </c>
      <c r="BG19" s="1120">
        <f t="shared" si="21">IF(ISNA(VLOOKUP($AY19,$AN$8:$AW$148,9,False))=True,"",VLOOKUP($AY19,$AN$8:$AW$148,9,False))</f>
        <v>0</v>
      </c>
      <c r="BH19" s="1120">
        <f t="shared" si="22">IF(ISNA(VLOOKUP($AY19,$AN$8:$AW$148,10,False))=True,"",VLOOKUP($AY19,$AN$8:$AW$148,10,False))</f>
        <v>0</v>
      </c>
      <c r="BI19" s="250">
        <f t="shared" si="49">IF(AZ19&lt;&gt;"",AZ19,"")</f>
        <v>0</v>
      </c>
      <c r="BJ19" s="1098">
        <f t="shared" si="50">BI19</f>
        <v>0</v>
      </c>
      <c r="BK19" s="1115">
        <f>COUNTIFS($AZ:$AZ, AZ19,$BJ:$BJ, "&lt;"&amp;BJ19)+COUNTIFS(AZ$8:AZ19, AZ19, BJ$8:BJ19, BJ19)</f>
        <v>12</v>
      </c>
      <c r="BL19" s="1114">
        <f t="shared" si="51">BK19/100</f>
        <v>0.12</v>
      </c>
      <c r="BM19" s="1093" t="e">
        <f t="shared" si="83" ref="BM19">BJ19+BL19</f>
        <v>#VALUE!</v>
      </c>
      <c r="BN19" s="1101">
        <f t="shared" si="52">IF(BA19&lt;&gt;"",BM19,"")</f>
        <v>0</v>
      </c>
      <c r="BO19" s="1118">
        <f t="shared" si="53">IF(BN19&lt;&gt;"",BN19,0)</f>
        <v>0</v>
      </c>
      <c r="BP19" s="237" t="e">
        <f t="shared" si="23">SMALL($BN$8:$BN$152,AX19)</f>
        <v>#VALUE!</v>
      </c>
      <c r="BR19" s="1102" t="e">
        <f t="shared" si="54">IF(BP19&lt;&gt;"",BR18+1,"")</f>
        <v>#VALUE!</v>
      </c>
      <c r="BS19" s="1102">
        <f t="shared" si="55">IFERROR(BP19,"")</f>
        <v>0</v>
      </c>
      <c r="BT19" s="1102">
        <f t="shared" si="56">IFERROR(CC19,"")</f>
        <v>0</v>
      </c>
      <c r="BU19" s="1098">
        <f t="shared" si="57">IFERROR(CD19,"")</f>
        <v>0</v>
      </c>
      <c r="BV19" s="1098">
        <f t="shared" si="58">IFERROR(CE19,"")</f>
        <v>0</v>
      </c>
      <c r="BW19" s="1098">
        <f t="shared" si="59">IFERROR(CF19,"")</f>
        <v>0</v>
      </c>
      <c r="BX19" s="1146">
        <f t="shared" si="60">IFERROR(CH19,"")</f>
        <v>0</v>
      </c>
      <c r="BY19" s="1098">
        <f t="shared" si="61">IFERROR(CG19,"")</f>
        <v>0</v>
      </c>
      <c r="BZ19" s="1144" t="str">
        <f t="shared" si="62">IFERROR(CI19,"-")</f>
        <v>-</v>
      </c>
      <c r="CA19" s="1107">
        <f t="shared" si="63">IFERROR(CJ19,"")</f>
        <v>0</v>
      </c>
      <c r="CB19" s="1107">
        <f t="shared" si="64">IFERROR(CK19,"")</f>
        <v>0</v>
      </c>
      <c r="CC19" s="1110" t="e">
        <f t="shared" si="25">INDEX($AZ$8:$AZ$153,MATCH(BP19,$BO$8:$BO$153,0))</f>
        <v>#VALUE!</v>
      </c>
      <c r="CD19" s="1087" t="e">
        <f t="shared" si="26">INDEX($BA$8:$BA$153,MATCH(BP19,$BO$8:$BO$153,0))</f>
        <v>#VALUE!</v>
      </c>
      <c r="CE19" s="1106" t="e">
        <f t="shared" si="27">INDEX($BB$8:$BB$153,MATCH(BP19,$BO$8:$BO$153,0))</f>
        <v>#VALUE!</v>
      </c>
      <c r="CF19" s="1106" t="e">
        <f t="shared" si="28">INDEX(BC$8:BC$153,MATCH(BP19,$BO$8:$BO$153,0))</f>
        <v>#VALUE!</v>
      </c>
      <c r="CG19" s="1118" t="e">
        <f t="shared" si="29">INDEX(BE$8:BE$153,MATCH(BP19,$BO$8:$BO$153,0))</f>
        <v>#VALUE!</v>
      </c>
      <c r="CH19" s="1106" t="e">
        <f t="shared" si="30">INDEX($BD$8:$BD$153,MATCH($BP19,$BO$8:$BO$153,0))</f>
        <v>#VALUE!</v>
      </c>
      <c r="CI19" s="1142" t="e">
        <f t="shared" si="31">INDEX($BF$8:$BF$153,MATCH(BP19,$BO$8:$BO$153,0))</f>
        <v>#VALUE!</v>
      </c>
      <c r="CJ19" s="1106" t="e">
        <f t="shared" si="32">INDEX($BG$8:$BG$153,MATCH(BP19,$BO$8:$BO$153,0))</f>
        <v>#VALUE!</v>
      </c>
      <c r="CK19" s="1106" t="e">
        <f t="shared" si="33">INDEX($BH$8:$BH$153,MATCH(BP19,$BO$8:$BO$153,0))</f>
        <v>#VALUE!</v>
      </c>
      <c r="CM19" s="1131">
        <f t="shared" si="34">COUNTIF($CH$8:$CH$228,"&lt;="&amp;CH19)</f>
        <v>145</v>
      </c>
      <c r="CN19" s="1121">
        <f t="shared" si="65">--ISNUMBER(BX19)</f>
        <v>0</v>
      </c>
      <c r="CO19" s="1121">
        <f t="shared" si="66">IF(BX19=0,1,0)</f>
        <v>0</v>
      </c>
      <c r="CP19" s="1124">
        <f t="shared" si="35">IF(ISNUMBER(BX19),CM19,IF(ISERROR(BX19),CM19,CM19+$CN$154))+$CO$154</f>
        <v>145</v>
      </c>
      <c r="CQ19" s="237">
        <f>IFERROR(INDEX($BX$8:$BX$153,MATCH(SMALL($CP$8:$CP$153,ROWS($CQ$8:CQ19)+$CO$154),$CP$8:$CP$154,0)),"")</f>
        <v>0</v>
      </c>
      <c r="CR19" s="237">
        <v>0.1</v>
      </c>
      <c r="CS19" s="1135">
        <f t="shared" si="67">CM19+CR19</f>
        <v>145.1</v>
      </c>
      <c r="CT19" s="237">
        <f>COUNTIFS($CM:$CM, CM19,$CS:$CS, "&lt;"&amp;CL)+COUNTIFS(CM$8:CM19, CM19, CS$8:CS19, CS19)</f>
        <v>12</v>
      </c>
      <c r="CU19" s="1109">
        <f t="shared" si="68">CT19/100</f>
        <v>0.12</v>
      </c>
      <c r="CV19" s="1109">
        <f t="shared" si="69">CM19+CU19</f>
        <v>145.12</v>
      </c>
      <c r="CW19" s="237" t="e">
        <f t="shared" si="36">SMALL(CV$8:CV$153,AX19)</f>
        <v>#VALUE!</v>
      </c>
      <c r="CX19" s="1109">
        <f t="shared" si="70">IFERROR(CW19,"")</f>
        <v>0</v>
      </c>
      <c r="CY19" s="237" t="e">
        <f t="shared" si="37">INDEX(BU$8:BU$152,MATCH($CX19,CV$8:CV$152,0))</f>
        <v>#N/A</v>
      </c>
      <c r="CZ19" s="237" t="e">
        <f t="shared" si="38">INDEX(BV$8:BV$152,MATCH($CX19,$CV$8:$CV$152,0))</f>
        <v>#N/A</v>
      </c>
      <c r="DA19" s="237" t="e">
        <f t="shared" si="39">INDEX(BW$8:BW$152,MATCH($CX19,$CV$8:$CV$152,0))</f>
        <v>#N/A</v>
      </c>
      <c r="DB19" s="237" t="e">
        <f t="shared" si="40">INDEX(BX$8:BX$152,MATCH($CX19,$CV$8:$CV$152,0))</f>
        <v>#N/A</v>
      </c>
      <c r="DC19" s="237" t="e">
        <f t="shared" si="41">INDEX(BY$8:BY$152,MATCH($CX19,$CV$8:$CV$152,0))</f>
        <v>#N/A</v>
      </c>
      <c r="DD19" s="237" t="e">
        <f t="shared" si="42">INDEX(BZ$8:BZ$152,MATCH($CX19,$CV$8:$CV$152,0))</f>
        <v>#N/A</v>
      </c>
      <c r="DE19" s="237" t="e">
        <f t="shared" si="43">INDEX(CA$8:CA$152,MATCH($CX19,$CV$8:$CV$152,0))</f>
        <v>#N/A</v>
      </c>
      <c r="DF19" s="237" t="e">
        <f t="shared" si="44">INDEX(CB$8:CB$152,MATCH($CX19,$CV$8:$CV$152,0))</f>
        <v>#N/A</v>
      </c>
    </row>
    <row r="20" spans="1:110">
      <c r="A20" s="1299">
        <v>13</v>
      </c>
      <c r="B20" s="1506"/>
      <c r="C20" s="1148"/>
      <c r="D20" s="1148"/>
      <c r="E20" s="1148"/>
      <c r="F20" s="1148"/>
      <c r="G20" s="1148"/>
      <c r="H20" s="1148"/>
      <c r="I20" s="1472"/>
      <c r="J20" s="1149"/>
      <c r="K20" s="1150"/>
      <c r="L20" s="1151"/>
      <c r="M20" s="1292">
        <f t="shared" si="45">K20*L20</f>
        <v>0</v>
      </c>
      <c r="N20" s="1071">
        <f t="shared" si="46">IF(ISNA(VLOOKUP(C20,$P$8:$U$12,5,False))=True,"",VLOOKUP(C20,$P$8:$U$12,5,False))</f>
        <v>0</v>
      </c>
      <c r="O20" s="2046"/>
      <c r="P20" s="1056" t="s">
        <v>1021</v>
      </c>
      <c r="Q20" s="1056" t="s">
        <v>1063</v>
      </c>
      <c r="R20" s="1056" t="s">
        <v>1022</v>
      </c>
      <c r="S20" s="1031">
        <f ca="1" t="shared" si="79">SUMIF($B$50:$M$64,$R20,$K$50:$K$64)</f>
        <v>0</v>
      </c>
      <c r="T20" s="1031">
        <f ca="1" t="shared" si="77">SUMIF($B$50:$M$64,$R20,$M$50:$M$64)</f>
        <v>0</v>
      </c>
      <c r="U20" s="1031"/>
      <c r="W20" s="1308">
        <f ca="1">IF(AND(T20&lt;&gt;0,R20&lt;&gt;W19,R20&lt;&gt;W18,R20&lt;&gt;W17,R20&lt;&gt;W16,R20&lt;&gt;W15,R20&lt;&gt;W14,R20&lt;&gt;W13,R20&lt;&gt;W12,R20&lt;&gt;W11,R20&lt;&gt;W10,R20&lt;&gt;W9,R20&lt;&gt;W8),R20,IF(AND(T21&lt;&gt;0,R21&lt;&gt;W19,R21&lt;&gt;W18,R21&lt;&gt;W17,R21&lt;&gt;W16,R21&lt;&gt;W15,R21&lt;&gt;W14,R21&lt;&gt;W13,R21&lt;&gt;W12,R21&lt;&gt;W11,R21&lt;&gt;W10,R21&lt;&gt;W9,R21&lt;&gt;W8),R21,IF(AND(T22&lt;&gt;0,R22&lt;&gt;W19,R22&lt;&gt;W18,R22&lt;&gt;W17,R22&lt;&gt;W16,R22&lt;&gt;W15,R22&lt;&gt;W14,R22&lt;&gt;W13,R22&lt;&gt;W12,R22&lt;&gt;W11,R22&lt;&gt;W10,R22&lt;&gt;W9,R22&lt;&gt;W8),R22,IF(AND(T23&lt;&gt;0,R23&lt;&gt;W19,R23&lt;&gt;W18,R23&lt;&gt;W17,R23&lt;&gt;W16,R23&lt;&gt;W15,R23&lt;&gt;W14,R23&lt;&gt;W13,R23&lt;&gt;W12,R23&lt;&gt;W11,R23&lt;&gt;W10,R23&lt;&gt;W9,R23&lt;&gt;W8),R23,IF(AND(T24&lt;&gt;0,R24&lt;&gt;W19,R24&lt;&gt;W18,R24&lt;&gt;W17,R24&lt;&gt;W16,R24&lt;&gt;W15,R24&lt;&gt;W14,R24&lt;&gt;W13,R24&lt;&gt;W12,R24&lt;&gt;W11,R24&lt;&gt;W10,R24&lt;&gt;W9,R24&lt;&gt;W8),R24,IF(AND(T25&lt;&gt;0,R25&lt;&gt;W19,R25&lt;&gt;W18,R25&lt;&gt;W17,R25&lt;&gt;W16,R25&lt;&gt;W15,R25&lt;&gt;W14,R25&lt;&gt;W13,R25&lt;&gt;W12,R25&lt;&gt;W11,R25&lt;&gt;W10,R25&lt;&gt;W9,R25&lt;&gt;W8),R25,IF(AND(T26&lt;&gt;0,R26&lt;&gt;W19,R26&lt;&gt;W18,R26&lt;&gt;W17,R26&lt;&gt;W16,R26&lt;&gt;W15,R26&lt;&gt;W14,R26&lt;&gt;W13,R26&lt;&gt;W12,R26&lt;&gt;W11,R26&lt;&gt;W10,R26&lt;&gt;W9,R26&lt;&gt;W8),R26,IF(AND(T27&lt;&gt;0,R27&lt;&gt;W19,R27&lt;&gt;W18,R27&lt;&gt;W17,R27&lt;&gt;W16,R27&lt;&gt;W15,R27&lt;&gt;W14,R27&lt;&gt;W13,R27&lt;&gt;W12,R27&lt;&gt;W11,R27&lt;&gt;W10,R27&lt;&gt;W9,R27&lt;&gt;W8),R27,IF(AND(T28&lt;&gt;0,R28&lt;&gt;W19,R28&lt;&gt;W18,R28&lt;&gt;W17,R28&lt;&gt;W16,R28&lt;&gt;W15,R28&lt;&gt;W14,R28&lt;&gt;W13,R28&lt;&gt;W12,R28&lt;&gt;W11,R28&lt;&gt;W10,R28&lt;&gt;W9,R28&lt;&gt;W8),R28,IF(AND(T29&lt;&gt;0,R29&lt;&gt;W19,R29&lt;&gt;W18,R29&lt;&gt;W17,R29&lt;&gt;W16,R29&lt;&gt;W15,R29&lt;&gt;W14,R29&lt;&gt;W13,R29&lt;&gt;W12,R29&lt;&gt;W11,R29&lt;&gt;W10,R29&lt;&gt;W9,R29&lt;&gt;W8),R29,IF(AND(T30&lt;&gt;0,R30&lt;&gt;W19,R30&lt;&gt;W18,R30&lt;&gt;W17,R30&lt;&gt;W16,R30&lt;&gt;W15,R30&lt;&gt;W14,R30&lt;&gt;W13,R30&lt;&gt;W12,R30&lt;&gt;W11,R30&lt;&gt;W10,R30&lt;&gt;W9,R30&lt;&gt;W8),R30,IF(AND(T31&lt;&gt;0,R31&lt;&gt;W19,R31&lt;&gt;W18,R31&lt;&gt;W17,R31&lt;&gt;W16,R31&lt;&gt;W15,R31&lt;&gt;W14,R31&lt;&gt;W13,R31&lt;&gt;W12,R31&lt;&gt;W11,R31&lt;&gt;W10,R31&lt;&gt;W9,R31&lt;&gt;W8),R31,IF(AND(T32&lt;&gt;0,R32&lt;&gt;W19,R32&lt;&gt;W18,R32&lt;&gt;W17,R32&lt;&gt;W16,R32&lt;&gt;W15,R32&lt;&gt;W14,R32&lt;&gt;W13,R32&lt;&gt;W12,R32&lt;&gt;W11,R32&lt;&gt;W10,R32&lt;&gt;W9,R32&lt;&gt;W8),R32,IF(AND(T38&lt;&gt;0,R38&lt;&gt;W19,R38&lt;&gt;W18,R38&lt;&gt;W17,R38&lt;&gt;W16,R38&lt;&gt;W15,R38&lt;&gt;W14,R38&lt;&gt;W13,R38&lt;&gt;W12,R38&lt;&gt;W11,R38&lt;&gt;W10,R38&lt;&gt;W9,R38&lt;&gt;W8),R38,IF(AND(T39&lt;&gt;0,R39&lt;&gt;W19,R39&lt;&gt;W18,R39&lt;&gt;W17,R39&lt;&gt;W16,R39&lt;&gt;W15,R39&lt;&gt;W14,R39&lt;&gt;W13,R39&lt;&gt;W12,R39&lt;&gt;W11,R39&lt;&gt;W10,R39&lt;&gt;W9,R39&lt;&gt;W8),R39,IF(AND(T40&lt;&gt;0,R40&lt;&gt;W19,R40&lt;&gt;W18,R40&lt;&gt;W17,R40&lt;&gt;W16,R40&lt;&gt;W15,R40&lt;&gt;W14,R40&lt;&gt;W13,R40&lt;&gt;W12,R40&lt;&gt;W11,R40&lt;&gt;W10,R40&lt;&gt;W9,R40&lt;&gt;W8),R40,IF(AND(T41&lt;&gt;0,R41&lt;&gt;W19,R41&lt;&gt;W18,R41&lt;&gt;W17,R41&lt;&gt;W16,R41&lt;&gt;W15,R41&lt;&gt;W14,R41&lt;&gt;W13,R41&lt;&gt;W12,R41&lt;&gt;W11,R41&lt;&gt;W10,R41&lt;&gt;W9,R41&lt;&gt;W8),R41,IF(AND(T42&lt;&gt;0,R42&lt;&gt;W19,R42&lt;&gt;W18,R42&lt;&gt;W17,R42&lt;&gt;W16,R42&lt;&gt;W15,R42&lt;&gt;W14,R42&lt;&gt;W13,R42&lt;&gt;W12,R42&lt;&gt;W11,R42&lt;&gt;W10,R42&lt;&gt;W9,R42&lt;&gt;W8),R42,""))))))))))))))))))</f>
        <v>0</v>
      </c>
      <c r="X20" s="1308"/>
      <c r="Y20" s="1309">
        <f ca="1" t="shared" si="0">IF(ISNA(VLOOKUP(W20,$AE$8:$AG$46,2,False))=True,"",VLOOKUP(W20,$AE$8:$AG$46,2,False))</f>
        <v>0</v>
      </c>
      <c r="Z20" s="1309">
        <f ca="1" t="shared" si="1">IF(ISNA(VLOOKUP(W20,$AE$8:$AG$46,3,False))=True,"",VLOOKUP(W20,$AE$8:$AG$46,3,False))</f>
        <v>0</v>
      </c>
      <c r="AA20" s="1310">
        <f ca="1" t="shared" si="2">IF(ISNA(VLOOKUP(W20,$R$8:$T$42,3,False))=True,"",VLOOKUP(W20,$R$8:$T$42,3,False))</f>
        <v>0</v>
      </c>
      <c r="AB20" s="1521">
        <f ca="1">_xlfn.IFNA(IF(ISTEXT(VLOOKUP(W20,'DRAFT A&amp;L'!$B$7:$G$100,4,0)),VLOOKUP(W20,'DRAFT A&amp;L'!$B$7:$G$100,4,0),YEAR(VLOOKUP(W20,'DRAFT A&amp;L'!$B$7:$G$100,4,0))),"")</f>
        <v>0</v>
      </c>
      <c r="AC20" s="423"/>
      <c r="AE20" s="1024" t="s">
        <v>1022</v>
      </c>
      <c r="AF20" s="1035" t="s">
        <v>1021</v>
      </c>
      <c r="AG20" s="1035" t="s">
        <v>1063</v>
      </c>
      <c r="AK20" s="1092">
        <f t="shared" si="3">COUNTIF($BA$8:$BA$152,AF20)</f>
        <v>0</v>
      </c>
      <c r="AM20" s="1077">
        <f t="shared" si="4">IF(M20&gt;0,1,0)</f>
        <v>0</v>
      </c>
      <c r="AN20" s="1096">
        <f>IF(AM20&gt;0,COUNTIF(AM$8:AM20,"&gt;0"),0)</f>
        <v>0</v>
      </c>
      <c r="AO20" s="1078">
        <f t="shared" si="5">B20</f>
        <v>0</v>
      </c>
      <c r="AP20" s="1079">
        <f t="shared" si="6">C20</f>
        <v>0</v>
      </c>
      <c r="AQ20" s="1080">
        <f t="shared" si="7">IF(I20&lt;&gt;"",YEAR(I20),"")</f>
        <v>0</v>
      </c>
      <c r="AR20" s="1080">
        <f t="shared" si="8">IF(E20&lt;&gt;"",E20,"")</f>
        <v>0</v>
      </c>
      <c r="AS20" s="1078">
        <f t="shared" si="9">F20</f>
        <v>0</v>
      </c>
      <c r="AT20" s="1080">
        <f t="shared" si="10">IF(H20&lt;&gt;"",H20,"")</f>
        <v>0</v>
      </c>
      <c r="AU20" s="1080">
        <f t="shared" si="11">J20</f>
        <v>0</v>
      </c>
      <c r="AV20" s="1080">
        <f t="shared" si="12">K20</f>
        <v>0</v>
      </c>
      <c r="AW20" s="1081">
        <f t="shared" si="13">M20</f>
        <v>0</v>
      </c>
      <c r="AX20" s="237">
        <f t="shared" si="71">IF(AZ20&lt;&gt;"",AX19+1,"")</f>
        <v>0</v>
      </c>
      <c r="AY20" s="1087">
        <v>13</v>
      </c>
      <c r="AZ20" s="1087">
        <f t="shared" si="14">IF(ISNA(VLOOKUP(AY20,$AN$8:$AW$148,2,False))=True,"",VLOOKUP(AY20,$AN$8:$AW$148,2,False))</f>
        <v>0</v>
      </c>
      <c r="BA20" s="1087">
        <f t="shared" si="15">IF(ISNA(VLOOKUP(AZ20,$AE$8:$AF$46,2,False))=True,"",VLOOKUP(AZ20,$AE$8:$AF$46,2,False))</f>
        <v>0</v>
      </c>
      <c r="BB20" s="1087">
        <f t="shared" si="16">IF(ISNA(VLOOKUP(AY20,$AN$8:$AW$148,4,False))=True,"",VLOOKUP(AY20,$AN$8:$AW$148,4,False))</f>
        <v>0</v>
      </c>
      <c r="BC20" s="1087">
        <f t="shared" si="17">IF(ISNA(VLOOKUP(AY20,$AN$8:$AW$148,5,False))=True,"",VLOOKUP(AY20,$AN$8:$AW$148,5,False))</f>
        <v>0</v>
      </c>
      <c r="BD20" s="1087">
        <f t="shared" si="84" ref="BD20:BD61">IF(ISNA(VLOOKUP(AY20,$AN$8:$AW$148,6,False))=True,"",VLOOKUP(AY20,$AN$8:$AW$148,6,False))</f>
        <v>0</v>
      </c>
      <c r="BE20" s="1125">
        <f t="shared" si="19">IF(ISNA(VLOOKUP(AY20,$AN$8:$AW$148,7,False))=True,"",VLOOKUP(AY20,$AN$8:$AW$148,7,False))</f>
        <v>0</v>
      </c>
      <c r="BF20" s="1123">
        <f t="shared" si="20">IF(ISNA(VLOOKUP($AY20,$AN$8:$AW$148,8,False))=True,"",VLOOKUP($AY20,$AN$8:$AW$148,8,False))</f>
        <v>0</v>
      </c>
      <c r="BG20" s="1120">
        <f t="shared" si="21">IF(ISNA(VLOOKUP($AY20,$AN$8:$AW$148,9,False))=True,"",VLOOKUP($AY20,$AN$8:$AW$148,9,False))</f>
        <v>0</v>
      </c>
      <c r="BH20" s="1120">
        <f t="shared" si="22">IF(ISNA(VLOOKUP($AY20,$AN$8:$AW$148,10,False))=True,"",VLOOKUP($AY20,$AN$8:$AW$148,10,False))</f>
        <v>0</v>
      </c>
      <c r="BI20" s="250">
        <f t="shared" si="49">IF(AZ20&lt;&gt;"",AZ20,"")</f>
        <v>0</v>
      </c>
      <c r="BJ20" s="1098">
        <f t="shared" si="50">BI20</f>
        <v>0</v>
      </c>
      <c r="BK20" s="1115">
        <f>COUNTIFS($AZ:$AZ, AZ20,$BJ:$BJ, "&lt;"&amp;BJ20)+COUNTIFS(AZ$8:AZ20, AZ20, BJ$8:BJ20, BJ20)</f>
        <v>13</v>
      </c>
      <c r="BL20" s="1114">
        <f t="shared" si="51">BK20/100</f>
        <v>0.13</v>
      </c>
      <c r="BM20" s="1093" t="e">
        <f t="shared" si="85" ref="BM20">BI20+BL20</f>
        <v>#VALUE!</v>
      </c>
      <c r="BN20" s="1101">
        <f t="shared" si="52">IF(BA20&lt;&gt;"",BM20,"")</f>
        <v>0</v>
      </c>
      <c r="BO20" s="1118">
        <f t="shared" si="53">IF(BN20&lt;&gt;"",BN20,0)</f>
        <v>0</v>
      </c>
      <c r="BP20" s="237" t="e">
        <f t="shared" si="23">SMALL($BN$8:$BN$152,AX20)</f>
        <v>#VALUE!</v>
      </c>
      <c r="BR20" s="1102" t="e">
        <f t="shared" si="54">IF(BP20&lt;&gt;"",BR19+1,"")</f>
        <v>#VALUE!</v>
      </c>
      <c r="BS20" s="1102">
        <f t="shared" si="55">IFERROR(BP20,"")</f>
        <v>0</v>
      </c>
      <c r="BT20" s="1102">
        <f t="shared" si="56">IFERROR(CC20,"")</f>
        <v>0</v>
      </c>
      <c r="BU20" s="1098">
        <f t="shared" si="57">IFERROR(CD20,"")</f>
        <v>0</v>
      </c>
      <c r="BV20" s="1098">
        <f t="shared" si="58">IFERROR(CE20,"")</f>
        <v>0</v>
      </c>
      <c r="BW20" s="1098">
        <f t="shared" si="59">IFERROR(CF20,"")</f>
        <v>0</v>
      </c>
      <c r="BX20" s="1146">
        <f t="shared" si="60">IFERROR(CH20,"")</f>
        <v>0</v>
      </c>
      <c r="BY20" s="1098">
        <f t="shared" si="61">IFERROR(CG20,"")</f>
        <v>0</v>
      </c>
      <c r="BZ20" s="1144" t="str">
        <f t="shared" si="62">IFERROR(CI20,"-")</f>
        <v>-</v>
      </c>
      <c r="CA20" s="1107">
        <f t="shared" si="63">IFERROR(CJ20,"")</f>
        <v>0</v>
      </c>
      <c r="CB20" s="1107">
        <f t="shared" si="64">IFERROR(CK20,"")</f>
        <v>0</v>
      </c>
      <c r="CC20" s="1110" t="e">
        <f t="shared" si="25">INDEX($AZ$8:$AZ$153,MATCH(BP20,$BO$8:$BO$153,0))</f>
        <v>#VALUE!</v>
      </c>
      <c r="CD20" s="1087" t="e">
        <f t="shared" si="26">INDEX($BA$8:$BA$153,MATCH(BP20,$BO$8:$BO$153,0))</f>
        <v>#VALUE!</v>
      </c>
      <c r="CE20" s="1106" t="e">
        <f t="shared" si="27">INDEX($BB$8:$BB$153,MATCH(BP20,$BO$8:$BO$153,0))</f>
        <v>#VALUE!</v>
      </c>
      <c r="CF20" s="1106" t="e">
        <f t="shared" si="28">INDEX(BC$8:BC$153,MATCH(BP20,$BO$8:$BO$153,0))</f>
        <v>#VALUE!</v>
      </c>
      <c r="CG20" s="1118" t="e">
        <f t="shared" si="29">INDEX(BE$8:BE$153,MATCH(BP20,$BO$8:$BO$153,0))</f>
        <v>#VALUE!</v>
      </c>
      <c r="CH20" s="1106" t="e">
        <f t="shared" si="30">INDEX($BD$8:$BD$153,MATCH($BP20,$BO$8:$BO$153,0))</f>
        <v>#VALUE!</v>
      </c>
      <c r="CI20" s="1142" t="e">
        <f t="shared" si="31">INDEX($BF$8:$BF$153,MATCH(BP20,$BO$8:$BO$153,0))</f>
        <v>#VALUE!</v>
      </c>
      <c r="CJ20" s="1106" t="e">
        <f t="shared" si="32">INDEX($BG$8:$BG$153,MATCH(BP20,$BO$8:$BO$153,0))</f>
        <v>#VALUE!</v>
      </c>
      <c r="CK20" s="1106" t="e">
        <f t="shared" si="33">INDEX($BH$8:$BH$153,MATCH(BP20,$BO$8:$BO$153,0))</f>
        <v>#VALUE!</v>
      </c>
      <c r="CM20" s="1131">
        <f t="shared" si="34">COUNTIF($CH$8:$CH$228,"&lt;="&amp;CH20)</f>
        <v>145</v>
      </c>
      <c r="CN20" s="1121">
        <f t="shared" si="65">--ISNUMBER(BX20)</f>
        <v>0</v>
      </c>
      <c r="CO20" s="1121">
        <f t="shared" si="66">IF(BX20=0,1,0)</f>
        <v>0</v>
      </c>
      <c r="CP20" s="1124">
        <f t="shared" si="35">IF(ISNUMBER(BX20),CM20,IF(ISERROR(BX20),CM20,CM20+$CN$154))+$CO$154</f>
        <v>145</v>
      </c>
      <c r="CQ20" s="237">
        <f>IFERROR(INDEX($BX$8:$BX$153,MATCH(SMALL($CP$8:$CP$153,ROWS($CQ$8:CQ20)+$CO$154),$CP$8:$CP$154,0)),"")</f>
        <v>0</v>
      </c>
      <c r="CR20" s="237">
        <v>0.1</v>
      </c>
      <c r="CS20" s="1135">
        <f t="shared" si="67">CM20+CR20</f>
        <v>145.1</v>
      </c>
      <c r="CT20" s="237">
        <f>COUNTIFS($CM:$CM, CM20,$CS:$CS, "&lt;"&amp;CL)+COUNTIFS(CM$8:CM20, CM20, CS$8:CS20, CS20)</f>
        <v>13</v>
      </c>
      <c r="CU20" s="1109">
        <f t="shared" si="68">CT20/100</f>
        <v>0.13</v>
      </c>
      <c r="CV20" s="1109">
        <f t="shared" si="69">CM20+CU20</f>
        <v>145.13</v>
      </c>
      <c r="CW20" s="237" t="e">
        <f t="shared" si="36">SMALL(CV$8:CV$153,AX20)</f>
        <v>#VALUE!</v>
      </c>
      <c r="CX20" s="1109">
        <f t="shared" si="70">IFERROR(CW20,"")</f>
        <v>0</v>
      </c>
      <c r="CY20" s="237" t="e">
        <f t="shared" si="37">INDEX(BU$8:BU$152,MATCH($CX20,CV$8:CV$152,0))</f>
        <v>#N/A</v>
      </c>
      <c r="CZ20" s="237" t="e">
        <f t="shared" si="38">INDEX(BV$8:BV$152,MATCH($CX20,$CV$8:$CV$152,0))</f>
        <v>#N/A</v>
      </c>
      <c r="DA20" s="237" t="e">
        <f t="shared" si="39">INDEX(BW$8:BW$152,MATCH($CX20,$CV$8:$CV$152,0))</f>
        <v>#N/A</v>
      </c>
      <c r="DB20" s="237" t="e">
        <f t="shared" si="40">INDEX(BX$8:BX$152,MATCH($CX20,$CV$8:$CV$152,0))</f>
        <v>#N/A</v>
      </c>
      <c r="DC20" s="237" t="e">
        <f t="shared" si="41">INDEX(BY$8:BY$152,MATCH($CX20,$CV$8:$CV$152,0))</f>
        <v>#N/A</v>
      </c>
      <c r="DD20" s="237" t="e">
        <f t="shared" si="42">INDEX(BZ$8:BZ$152,MATCH($CX20,$CV$8:$CV$152,0))</f>
        <v>#N/A</v>
      </c>
      <c r="DE20" s="237" t="e">
        <f t="shared" si="43">INDEX(CA$8:CA$152,MATCH($CX20,$CV$8:$CV$152,0))</f>
        <v>#N/A</v>
      </c>
      <c r="DF20" s="237" t="e">
        <f t="shared" si="44">INDEX(CB$8:CB$152,MATCH($CX20,$CV$8:$CV$152,0))</f>
        <v>#N/A</v>
      </c>
    </row>
    <row r="21" spans="1:110">
      <c r="A21" s="1299">
        <v>14</v>
      </c>
      <c r="B21" s="1506"/>
      <c r="C21" s="1148"/>
      <c r="D21" s="1148"/>
      <c r="E21" s="1148"/>
      <c r="F21" s="1148"/>
      <c r="G21" s="1148"/>
      <c r="H21" s="1148"/>
      <c r="I21" s="1472"/>
      <c r="J21" s="1149"/>
      <c r="K21" s="1150"/>
      <c r="L21" s="1151"/>
      <c r="M21" s="1292">
        <f t="shared" si="45">K21*L21</f>
        <v>0</v>
      </c>
      <c r="N21" s="1071">
        <f t="shared" si="46">IF(ISNA(VLOOKUP(C21,$P$8:$U$12,5,False))=True,"",VLOOKUP(C21,$P$8:$U$12,5,False))</f>
        <v>0</v>
      </c>
      <c r="O21" s="2046"/>
      <c r="P21" s="1056" t="s">
        <v>1023</v>
      </c>
      <c r="Q21" s="1056" t="s">
        <v>1064</v>
      </c>
      <c r="R21" s="1056" t="s">
        <v>1024</v>
      </c>
      <c r="S21" s="1031">
        <f ca="1" t="shared" si="79">SUMIF($B$50:$M$64,$R21,$K$50:$K$64)</f>
        <v>0</v>
      </c>
      <c r="T21" s="1031">
        <f ca="1" t="shared" si="77">SUMIF($B$50:$M$64,$R21,$M$50:$M$64)</f>
        <v>0</v>
      </c>
      <c r="U21" s="1031"/>
      <c r="W21" s="1308">
        <f ca="1">IF(AND(T21&lt;&gt;0,R21&lt;&gt;W20,R21&lt;&gt;W19,R21&lt;&gt;W18,R21&lt;&gt;W17,R21&lt;&gt;W16,R21&lt;&gt;W15,R21&lt;&gt;W14,R21&lt;&gt;W13,R21&lt;&gt;W12,R21&lt;&gt;W11,R21&lt;&gt;W10,R21&lt;&gt;W9,R21&lt;&gt;W8),R21,IF(AND(T22&lt;&gt;0,R22&lt;&gt;W20,R22&lt;&gt;W19,R22&lt;&gt;W18,R22&lt;&gt;W17,R22&lt;&gt;W16,R22&lt;&gt;W15,R22&lt;&gt;W14,R22&lt;&gt;W13,R22&lt;&gt;W12,R22&lt;&gt;W11,R22&lt;&gt;W10,R22&lt;&gt;W9,R22&lt;&gt;W8),R22,IF(AND(T23&lt;&gt;0,R23&lt;&gt;W20,R23&lt;&gt;W19,R23&lt;&gt;W18,R23&lt;&gt;W17,R23&lt;&gt;W16,R23&lt;&gt;W15,R23&lt;&gt;W14,R23&lt;&gt;W13,R23&lt;&gt;W12,R23&lt;&gt;W11,R23&lt;&gt;W10,R23&lt;&gt;W9,R23&lt;&gt;W8),R23,IF(AND(T24&lt;&gt;0,R24&lt;&gt;W20,R24&lt;&gt;W19,R24&lt;&gt;W18,R24&lt;&gt;W17,R24&lt;&gt;W16,R24&lt;&gt;W15,R24&lt;&gt;W14,R24&lt;&gt;W13,R24&lt;&gt;W12,R24&lt;&gt;W11,R24&lt;&gt;W10,R24&lt;&gt;W9,R24&lt;&gt;W8),R24,IF(AND(T25&lt;&gt;0,R25&lt;&gt;W20,R25&lt;&gt;W19,R25&lt;&gt;W18,R25&lt;&gt;W17,R25&lt;&gt;W16,R25&lt;&gt;W15,R25&lt;&gt;W14,R25&lt;&gt;W13,R25&lt;&gt;W12,R25&lt;&gt;W11,R25&lt;&gt;W10,R25&lt;&gt;W9,R25&lt;&gt;W8),R25,IF(AND(T26&lt;&gt;0,R26&lt;&gt;W20,R26&lt;&gt;W19,R26&lt;&gt;W18,R26&lt;&gt;W17,R26&lt;&gt;W16,R26&lt;&gt;W15,R26&lt;&gt;W14,R26&lt;&gt;W13,R26&lt;&gt;W12,R26&lt;&gt;W11,R26&lt;&gt;W10,R26&lt;&gt;W9,R26&lt;&gt;W8),R26,IF(AND(T27&lt;&gt;0,R27&lt;&gt;W20,R27&lt;&gt;W19,R27&lt;&gt;W18,R27&lt;&gt;W17,R27&lt;&gt;W16,R27&lt;&gt;W15,R27&lt;&gt;W14,R27&lt;&gt;W13,R27&lt;&gt;W12,R27&lt;&gt;W11,R27&lt;&gt;W10,R27&lt;&gt;W9,R27&lt;&gt;W8),R27,IF(AND(T28&lt;&gt;0,R28&lt;&gt;W20,R28&lt;&gt;W19,R28&lt;&gt;W18,R28&lt;&gt;W17,R28&lt;&gt;W16,R28&lt;&gt;W15,R28&lt;&gt;W14,R28&lt;&gt;W13,R28&lt;&gt;W12,R28&lt;&gt;W11,R28&lt;&gt;W10,R28&lt;&gt;W9,R28&lt;&gt;W8),R28,IF(AND(T29&lt;&gt;0,R29&lt;&gt;W20,R29&lt;&gt;W19,R29&lt;&gt;W18,R29&lt;&gt;W17,R29&lt;&gt;W16,R29&lt;&gt;W15,R29&lt;&gt;W14,R29&lt;&gt;W13,R29&lt;&gt;W12,R29&lt;&gt;W11,R29&lt;&gt;W10,R29&lt;&gt;W9,R29&lt;&gt;W8),R29,IF(AND(T30&lt;&gt;0,R30&lt;&gt;W20,R30&lt;&gt;W19,R30&lt;&gt;W18,R30&lt;&gt;W17,R30&lt;&gt;W16,R30&lt;&gt;W15,R30&lt;&gt;W14,R30&lt;&gt;W13,R30&lt;&gt;W12,R30&lt;&gt;W11,R30&lt;&gt;W10,R30&lt;&gt;W9,R30&lt;&gt;W8),R30,IF(AND(T31&lt;&gt;0,R31&lt;&gt;W20,R31&lt;&gt;W19,R31&lt;&gt;W18,R31&lt;&gt;W17,R31&lt;&gt;W16,R31&lt;&gt;W15,R31&lt;&gt;W14,R31&lt;&gt;W13,R31&lt;&gt;W12,R31&lt;&gt;W11,R31&lt;&gt;W10,R31&lt;&gt;W9,R31&lt;&gt;W8),R31,IF(AND(T32&lt;&gt;0,R32&lt;&gt;W20,R32&lt;&gt;W19,R32&lt;&gt;W18,R32&lt;&gt;W17,R32&lt;&gt;W16,R32&lt;&gt;W15,R32&lt;&gt;W14,R32&lt;&gt;W13,R32&lt;&gt;W12,R32&lt;&gt;W11,R32&lt;&gt;W10,R32&lt;&gt;W9,R32&lt;&gt;W8),R32,IF(AND(T38&lt;&gt;0,R38&lt;&gt;W20,R38&lt;&gt;W19,R38&lt;&gt;W18,R38&lt;&gt;W17,R38&lt;&gt;W16,R38&lt;&gt;W15,R38&lt;&gt;W14,R38&lt;&gt;W13,R38&lt;&gt;W12,R38&lt;&gt;W11,R38&lt;&gt;W10,R38&lt;&gt;W9,R38&lt;&gt;W8),R38,IF(AND(T39&lt;&gt;0,R39&lt;&gt;W20,R39&lt;&gt;W19,R39&lt;&gt;W18,R39&lt;&gt;W17,R39&lt;&gt;W16,R39&lt;&gt;W15,R39&lt;&gt;W14,R39&lt;&gt;W13,R39&lt;&gt;W12,R39&lt;&gt;W11,R39&lt;&gt;W10,R39&lt;&gt;W9,R39&lt;&gt;W8),R39,IF(AND(T40&lt;&gt;0,R40&lt;&gt;W20,R40&lt;&gt;W19,R40&lt;&gt;W18,R40&lt;&gt;W17,R40&lt;&gt;W16,R40&lt;&gt;W15,R40&lt;&gt;W14,R40&lt;&gt;W13,R40&lt;&gt;W12,R40&lt;&gt;W11,R40&lt;&gt;W10,R40&lt;&gt;W9,R40&lt;&gt;W8),R40,IF(AND(T41&lt;&gt;0,R41&lt;&gt;W20,R41&lt;&gt;W19,R41&lt;&gt;W18,R41&lt;&gt;W17,R41&lt;&gt;W16,R41&lt;&gt;W15,R41&lt;&gt;W14,R41&lt;&gt;W13,R41&lt;&gt;W12,R41&lt;&gt;W11,R41&lt;&gt;W10,R41&lt;&gt;W9,R41&lt;&gt;W8),R41,IF(AND(T42&lt;&gt;0,R42&lt;&gt;W20,R42&lt;&gt;W19,R42&lt;&gt;W18,R42&lt;&gt;W17,R42&lt;&gt;W16,R42&lt;&gt;W15,R42&lt;&gt;W14,R42&lt;&gt;W13,R42&lt;&gt;W12,R42&lt;&gt;W11,R42&lt;&gt;W10,R42&lt;&gt;W9,R42&lt;&gt;W8),R42,"")))))))))))))))))</f>
        <v>0</v>
      </c>
      <c r="X21" s="1308"/>
      <c r="Y21" s="1309">
        <f ca="1" t="shared" si="0">IF(ISNA(VLOOKUP(W21,$AE$8:$AG$46,2,False))=True,"",VLOOKUP(W21,$AE$8:$AG$46,2,False))</f>
        <v>0</v>
      </c>
      <c r="Z21" s="1309">
        <f ca="1" t="shared" si="1">IF(ISNA(VLOOKUP(W21,$AE$8:$AG$46,3,False))=True,"",VLOOKUP(W21,$AE$8:$AG$46,3,False))</f>
        <v>0</v>
      </c>
      <c r="AA21" s="1310">
        <f ca="1" t="shared" si="2">IF(ISNA(VLOOKUP(W21,$R$8:$T$42,3,False))=True,"",VLOOKUP(W21,$R$8:$T$42,3,False))</f>
        <v>0</v>
      </c>
      <c r="AB21" s="1521">
        <f ca="1">_xlfn.IFNA(IF(ISTEXT(VLOOKUP(W21,'DRAFT A&amp;L'!$B$7:$G$100,4,0)),VLOOKUP(W21,'DRAFT A&amp;L'!$B$7:$G$100,4,0),YEAR(VLOOKUP(W21,'DRAFT A&amp;L'!$B$7:$G$100,4,0))),"")</f>
        <v>0</v>
      </c>
      <c r="AC21" s="423"/>
      <c r="AE21" s="1024" t="s">
        <v>1024</v>
      </c>
      <c r="AF21" s="1035" t="s">
        <v>1023</v>
      </c>
      <c r="AG21" s="1035" t="s">
        <v>1064</v>
      </c>
      <c r="AK21" s="1092">
        <f t="shared" si="3">COUNTIF($BA$8:$BA$152,AF21)</f>
        <v>0</v>
      </c>
      <c r="AM21" s="1077">
        <f t="shared" si="4">IF(M21&gt;0,1,0)</f>
        <v>0</v>
      </c>
      <c r="AN21" s="1096">
        <f>IF(AM21&gt;0,COUNTIF(AM$8:AM21,"&gt;0"),0)</f>
        <v>0</v>
      </c>
      <c r="AO21" s="1078">
        <f t="shared" si="5">B21</f>
        <v>0</v>
      </c>
      <c r="AP21" s="1079">
        <f t="shared" si="6">C21</f>
        <v>0</v>
      </c>
      <c r="AQ21" s="1080">
        <f t="shared" si="7">IF(I21&lt;&gt;"",YEAR(I21),"")</f>
        <v>0</v>
      </c>
      <c r="AR21" s="1080">
        <f t="shared" si="8">IF(E21&lt;&gt;"",E21,"")</f>
        <v>0</v>
      </c>
      <c r="AS21" s="1078">
        <f t="shared" si="9">F21</f>
        <v>0</v>
      </c>
      <c r="AT21" s="1080">
        <f t="shared" si="10">IF(H21&lt;&gt;"",H21,"")</f>
        <v>0</v>
      </c>
      <c r="AU21" s="1080">
        <f t="shared" si="11">J21</f>
        <v>0</v>
      </c>
      <c r="AV21" s="1080">
        <f t="shared" si="12">K21</f>
        <v>0</v>
      </c>
      <c r="AW21" s="1081">
        <f t="shared" si="13">M21</f>
        <v>0</v>
      </c>
      <c r="AX21" s="237">
        <f t="shared" si="71">IF(AZ21&lt;&gt;"",AX20+1,"")</f>
        <v>0</v>
      </c>
      <c r="AY21" s="1087">
        <v>14</v>
      </c>
      <c r="AZ21" s="1087">
        <f t="shared" si="14">IF(ISNA(VLOOKUP(AY21,$AN$8:$AW$148,2,False))=True,"",VLOOKUP(AY21,$AN$8:$AW$148,2,False))</f>
        <v>0</v>
      </c>
      <c r="BA21" s="1087">
        <f t="shared" si="15">IF(ISNA(VLOOKUP(AZ21,$AE$8:$AF$46,2,False))=True,"",VLOOKUP(AZ21,$AE$8:$AF$46,2,False))</f>
        <v>0</v>
      </c>
      <c r="BB21" s="1087">
        <f t="shared" si="16">IF(ISNA(VLOOKUP(AY21,$AN$8:$AW$148,4,False))=True,"",VLOOKUP(AY21,$AN$8:$AW$148,4,False))</f>
        <v>0</v>
      </c>
      <c r="BC21" s="1087">
        <f t="shared" si="17">IF(ISNA(VLOOKUP(AY21,$AN$8:$AW$148,5,False))=True,"",VLOOKUP(AY21,$AN$8:$AW$148,5,False))</f>
        <v>0</v>
      </c>
      <c r="BD21" s="1087">
        <f t="shared" si="84">IF(ISNA(VLOOKUP(AY21,$AN$8:$AW$148,6,False))=True,"",VLOOKUP(AY21,$AN$8:$AW$148,6,False))</f>
        <v>0</v>
      </c>
      <c r="BE21" s="1125">
        <f t="shared" si="19">IF(ISNA(VLOOKUP(AY21,$AN$8:$AW$148,7,False))=True,"",VLOOKUP(AY21,$AN$8:$AW$148,7,False))</f>
        <v>0</v>
      </c>
      <c r="BF21" s="1123">
        <f t="shared" si="20">IF(ISNA(VLOOKUP($AY21,$AN$8:$AW$148,8,False))=True,"",VLOOKUP($AY21,$AN$8:$AW$148,8,False))</f>
        <v>0</v>
      </c>
      <c r="BG21" s="1120">
        <f t="shared" si="21">IF(ISNA(VLOOKUP($AY21,$AN$8:$AW$148,9,False))=True,"",VLOOKUP($AY21,$AN$8:$AW$148,9,False))</f>
        <v>0</v>
      </c>
      <c r="BH21" s="1120">
        <f t="shared" si="22">IF(ISNA(VLOOKUP($AY21,$AN$8:$AW$148,10,False))=True,"",VLOOKUP($AY21,$AN$8:$AW$148,10,False))</f>
        <v>0</v>
      </c>
      <c r="BI21" s="250">
        <f t="shared" si="49">IF(AZ21&lt;&gt;"",AZ21,"")</f>
        <v>0</v>
      </c>
      <c r="BJ21" s="1098">
        <f t="shared" si="50">BI21</f>
        <v>0</v>
      </c>
      <c r="BK21" s="1115">
        <f>COUNTIFS($AZ:$AZ, AZ21,$BJ:$BJ, "&lt;"&amp;BJ21)+COUNTIFS(AZ$8:AZ21, AZ21, BJ$8:BJ21, BJ21)</f>
        <v>14</v>
      </c>
      <c r="BL21" s="1114">
        <f t="shared" si="51">BK21/100</f>
        <v>0.14</v>
      </c>
      <c r="BM21" s="1093" t="e">
        <f t="shared" si="86" ref="BM21">BJ21+BL21</f>
        <v>#VALUE!</v>
      </c>
      <c r="BN21" s="1101">
        <f t="shared" si="52">IF(BA21&lt;&gt;"",BM21,"")</f>
        <v>0</v>
      </c>
      <c r="BO21" s="1118">
        <f t="shared" si="53">IF(BN21&lt;&gt;"",BN21,0)</f>
        <v>0</v>
      </c>
      <c r="BP21" s="237" t="e">
        <f t="shared" si="23">SMALL($BN$8:$BN$152,AX21)</f>
        <v>#VALUE!</v>
      </c>
      <c r="BR21" s="1102" t="e">
        <f t="shared" si="54">IF(BP21&lt;&gt;"",BR20+1,"")</f>
        <v>#VALUE!</v>
      </c>
      <c r="BS21" s="1102">
        <f t="shared" si="55">IFERROR(BP21,"")</f>
        <v>0</v>
      </c>
      <c r="BT21" s="1102">
        <f t="shared" si="56">IFERROR(CC21,"")</f>
        <v>0</v>
      </c>
      <c r="BU21" s="1098">
        <f t="shared" si="57">IFERROR(CD21,"")</f>
        <v>0</v>
      </c>
      <c r="BV21" s="1098">
        <f t="shared" si="58">IFERROR(CE21,"")</f>
        <v>0</v>
      </c>
      <c r="BW21" s="1098">
        <f t="shared" si="59">IFERROR(CF21,"")</f>
        <v>0</v>
      </c>
      <c r="BX21" s="1146">
        <f t="shared" si="60">IFERROR(CH21,"")</f>
        <v>0</v>
      </c>
      <c r="BY21" s="1098">
        <f t="shared" si="61">IFERROR(CG21,"")</f>
        <v>0</v>
      </c>
      <c r="BZ21" s="1144" t="str">
        <f t="shared" si="62">IFERROR(CI21,"-")</f>
        <v>-</v>
      </c>
      <c r="CA21" s="1107">
        <f t="shared" si="63">IFERROR(CJ21,"")</f>
        <v>0</v>
      </c>
      <c r="CB21" s="1107">
        <f t="shared" si="64">IFERROR(CK21,"")</f>
        <v>0</v>
      </c>
      <c r="CC21" s="1110" t="e">
        <f t="shared" si="25">INDEX($AZ$8:$AZ$153,MATCH(BP21,$BO$8:$BO$153,0))</f>
        <v>#VALUE!</v>
      </c>
      <c r="CD21" s="1087" t="e">
        <f t="shared" si="26">INDEX($BA$8:$BA$153,MATCH(BP21,$BO$8:$BO$153,0))</f>
        <v>#VALUE!</v>
      </c>
      <c r="CE21" s="1106" t="e">
        <f t="shared" si="27">INDEX($BB$8:$BB$153,MATCH(BP21,$BO$8:$BO$153,0))</f>
        <v>#VALUE!</v>
      </c>
      <c r="CF21" s="1106" t="e">
        <f t="shared" si="28">INDEX(BC$8:BC$153,MATCH(BP21,$BO$8:$BO$153,0))</f>
        <v>#VALUE!</v>
      </c>
      <c r="CG21" s="1118" t="e">
        <f t="shared" si="29">INDEX(BE$8:BE$153,MATCH(BP21,$BO$8:$BO$153,0))</f>
        <v>#VALUE!</v>
      </c>
      <c r="CH21" s="1106" t="e">
        <f t="shared" si="30">INDEX($BD$8:$BD$153,MATCH($BP21,$BO$8:$BO$153,0))</f>
        <v>#VALUE!</v>
      </c>
      <c r="CI21" s="1142" t="e">
        <f t="shared" si="31">INDEX($BF$8:$BF$153,MATCH(BP21,$BO$8:$BO$153,0))</f>
        <v>#VALUE!</v>
      </c>
      <c r="CJ21" s="1106" t="e">
        <f t="shared" si="32">INDEX($BG$8:$BG$153,MATCH(BP21,$BO$8:$BO$153,0))</f>
        <v>#VALUE!</v>
      </c>
      <c r="CK21" s="1106" t="e">
        <f t="shared" si="33">INDEX($BH$8:$BH$153,MATCH(BP21,$BO$8:$BO$153,0))</f>
        <v>#VALUE!</v>
      </c>
      <c r="CM21" s="1131">
        <f t="shared" si="34">COUNTIF($CH$8:$CH$228,"&lt;="&amp;CH21)</f>
        <v>145</v>
      </c>
      <c r="CN21" s="1121">
        <f t="shared" si="65">--ISNUMBER(BX21)</f>
        <v>0</v>
      </c>
      <c r="CO21" s="1121">
        <f t="shared" si="66">IF(BX21=0,1,0)</f>
        <v>0</v>
      </c>
      <c r="CP21" s="1124">
        <f t="shared" si="35">IF(ISNUMBER(BX21),CM21,IF(ISERROR(BX21),CM21,CM21+$CN$154))+$CO$154</f>
        <v>145</v>
      </c>
      <c r="CQ21" s="237">
        <f>IFERROR(INDEX($BX$8:$BX$153,MATCH(SMALL($CP$8:$CP$153,ROWS($CQ$8:CQ21)+$CO$154),$CP$8:$CP$154,0)),"")</f>
        <v>0</v>
      </c>
      <c r="CR21" s="237">
        <v>0.1</v>
      </c>
      <c r="CS21" s="1135">
        <f t="shared" si="67">CM21+CR21</f>
        <v>145.1</v>
      </c>
      <c r="CT21" s="237">
        <f>COUNTIFS($CM:$CM, CM21,$CS:$CS, "&lt;"&amp;CL)+COUNTIFS(CM$8:CM21, CM21, CS$8:CS21, CS21)</f>
        <v>14</v>
      </c>
      <c r="CU21" s="1109">
        <f t="shared" si="68">CT21/100</f>
        <v>0.14</v>
      </c>
      <c r="CV21" s="1109">
        <f t="shared" si="69">CM21+CU21</f>
        <v>145.14</v>
      </c>
      <c r="CW21" s="237" t="e">
        <f t="shared" si="36">SMALL(CV$8:CV$153,AX21)</f>
        <v>#VALUE!</v>
      </c>
      <c r="CX21" s="1109">
        <f t="shared" si="70">IFERROR(CW21,"")</f>
        <v>0</v>
      </c>
      <c r="CY21" s="237" t="e">
        <f t="shared" si="37">INDEX(BU$8:BU$152,MATCH($CX21,CV$8:CV$152,0))</f>
        <v>#N/A</v>
      </c>
      <c r="CZ21" s="237" t="e">
        <f t="shared" si="38">INDEX(BV$8:BV$152,MATCH($CX21,$CV$8:$CV$152,0))</f>
        <v>#N/A</v>
      </c>
      <c r="DA21" s="237" t="e">
        <f t="shared" si="39">INDEX(BW$8:BW$152,MATCH($CX21,$CV$8:$CV$152,0))</f>
        <v>#N/A</v>
      </c>
      <c r="DB21" s="237" t="e">
        <f t="shared" si="40">INDEX(BX$8:BX$152,MATCH($CX21,$CV$8:$CV$152,0))</f>
        <v>#N/A</v>
      </c>
      <c r="DC21" s="237" t="e">
        <f t="shared" si="41">INDEX(BY$8:BY$152,MATCH($CX21,$CV$8:$CV$152,0))</f>
        <v>#N/A</v>
      </c>
      <c r="DD21" s="237" t="e">
        <f t="shared" si="42">INDEX(BZ$8:BZ$152,MATCH($CX21,$CV$8:$CV$152,0))</f>
        <v>#N/A</v>
      </c>
      <c r="DE21" s="237" t="e">
        <f t="shared" si="43">INDEX(CA$8:CA$152,MATCH($CX21,$CV$8:$CV$152,0))</f>
        <v>#N/A</v>
      </c>
      <c r="DF21" s="237" t="e">
        <f t="shared" si="44">INDEX(CB$8:CB$152,MATCH($CX21,$CV$8:$CV$152,0))</f>
        <v>#N/A</v>
      </c>
    </row>
    <row r="22" spans="1:110" ht="15" customHeight="1" thickBot="1">
      <c r="A22" s="1467">
        <v>15</v>
      </c>
      <c r="B22" s="1507"/>
      <c r="C22" s="1294"/>
      <c r="D22" s="1294"/>
      <c r="E22" s="1294"/>
      <c r="F22" s="1294"/>
      <c r="G22" s="1294"/>
      <c r="H22" s="1294"/>
      <c r="I22" s="1473"/>
      <c r="J22" s="1295"/>
      <c r="K22" s="1296"/>
      <c r="L22" s="1297"/>
      <c r="M22" s="1298">
        <f t="shared" si="45">K22*L22</f>
        <v>0</v>
      </c>
      <c r="N22" s="1071">
        <f t="shared" si="46">IF(ISNA(VLOOKUP(C22,$P$8:$U$12,5,False))=True,"",VLOOKUP(C22,$P$8:$U$12,5,False))</f>
        <v>0</v>
      </c>
      <c r="O22" s="2046"/>
      <c r="P22" s="1056" t="s">
        <v>1025</v>
      </c>
      <c r="Q22" s="1056" t="s">
        <v>1065</v>
      </c>
      <c r="R22" s="1056" t="s">
        <v>1026</v>
      </c>
      <c r="S22" s="1031">
        <f ca="1" t="shared" si="79">SUMIF($B$50:$M$64,$R22,$K$50:$K$64)</f>
        <v>0</v>
      </c>
      <c r="T22" s="1031">
        <f ca="1" t="shared" si="77">SUMIF($B$50:$M$64,$R22,$M$50:$M$64)</f>
        <v>0</v>
      </c>
      <c r="U22" s="1031"/>
      <c r="W22" s="1308">
        <f ca="1">IF(AND(T22&lt;&gt;0,R22&lt;&gt;W21,R22&lt;&gt;W20,R22&lt;&gt;W19,R22&lt;&gt;W18,R22&lt;&gt;W17,R22&lt;&gt;W16,R22&lt;&gt;W15,R22&lt;&gt;W14,R22&lt;&gt;W13,R22&lt;&gt;W12,R22&lt;&gt;W11,R22&lt;&gt;W10,R22&lt;&gt;W9,R22&lt;&gt;W8),R22,IF(AND(T23&lt;&gt;0,R23&lt;&gt;W21,R23&lt;&gt;W20,R23&lt;&gt;W19,R23&lt;&gt;W18,R23&lt;&gt;W17,R23&lt;&gt;W16,R23&lt;&gt;W15,R23&lt;&gt;W14,R23&lt;&gt;W13,R23&lt;&gt;W12,R23&lt;&gt;W11,R23&lt;&gt;W10,R23&lt;&gt;W9,R23&lt;&gt;W8),R23,IF(AND(T24&lt;&gt;0,R24&lt;&gt;W21,R24&lt;&gt;W20,R24&lt;&gt;W19,R24&lt;&gt;W18,R24&lt;&gt;W17,R24&lt;&gt;W16,R24&lt;&gt;W15,R24&lt;&gt;W14,R24&lt;&gt;W13,R24&lt;&gt;W12,R24&lt;&gt;W11,R24&lt;&gt;W10,R24&lt;&gt;W9,R24&lt;&gt;W8),R24,IF(AND(T25&lt;&gt;0,R25&lt;&gt;W21,R25&lt;&gt;W20,R25&lt;&gt;W19,R25&lt;&gt;W18,R25&lt;&gt;W17,R25&lt;&gt;W16,R25&lt;&gt;W15,R25&lt;&gt;W14,R25&lt;&gt;W13,R25&lt;&gt;W12,R25&lt;&gt;W11,R25&lt;&gt;W10,R25&lt;&gt;W9,R25&lt;&gt;W8),R25,IF(AND(T26&lt;&gt;0,R26&lt;&gt;W21,R26&lt;&gt;W20,R26&lt;&gt;W19,R26&lt;&gt;W18,R26&lt;&gt;W17,R26&lt;&gt;W16,R26&lt;&gt;W15,R26&lt;&gt;W14,R26&lt;&gt;W13,R26&lt;&gt;W12,R26&lt;&gt;W11,R26&lt;&gt;W10,R26&lt;&gt;W9,R26&lt;&gt;W8),R26,IF(AND(T27&lt;&gt;0,R27&lt;&gt;W21,R27&lt;&gt;W20,R27&lt;&gt;W19,R27&lt;&gt;W18,R27&lt;&gt;W17,R27&lt;&gt;W16,R27&lt;&gt;W15,R27&lt;&gt;W14,R27&lt;&gt;W13,R27&lt;&gt;W12,R27&lt;&gt;W11,R27&lt;&gt;W10,R27&lt;&gt;W9,R27&lt;&gt;W8),R27,IF(AND(T28&lt;&gt;0,R28&lt;&gt;W21,R28&lt;&gt;W20,R28&lt;&gt;W19,R28&lt;&gt;W18,R28&lt;&gt;W17,R28&lt;&gt;W16,R28&lt;&gt;W15,R28&lt;&gt;W14,R28&lt;&gt;W13,R28&lt;&gt;W12,R28&lt;&gt;W11,R28&lt;&gt;W10,R28&lt;&gt;W9,R28&lt;&gt;W8),R28,IF(AND(T29&lt;&gt;0,R29&lt;&gt;W21,R29&lt;&gt;W20,R29&lt;&gt;W19,R29&lt;&gt;W18,R29&lt;&gt;W17,R29&lt;&gt;W16,R29&lt;&gt;W15,R29&lt;&gt;W14,R29&lt;&gt;W13,R29&lt;&gt;W12,R29&lt;&gt;W11,R29&lt;&gt;W10,R29&lt;&gt;W9,R29&lt;&gt;W8),R29,IF(AND(T30&lt;&gt;0,R30&lt;&gt;W21,R30&lt;&gt;W20,R30&lt;&gt;W19,R30&lt;&gt;W18,R30&lt;&gt;W17,R30&lt;&gt;W16,R30&lt;&gt;W15,R30&lt;&gt;W14,R30&lt;&gt;W13,R30&lt;&gt;W12,R30&lt;&gt;W11,R30&lt;&gt;W10,R30&lt;&gt;W9,R30&lt;&gt;W8),R30,IF(AND(T31&lt;&gt;0,R31&lt;&gt;W21,R31&lt;&gt;W20,R31&lt;&gt;W19,R31&lt;&gt;W18,R31&lt;&gt;W17,R31&lt;&gt;W16,R31&lt;&gt;W15,R31&lt;&gt;W14,R31&lt;&gt;W13,R31&lt;&gt;W12,R31&lt;&gt;W11,R31&lt;&gt;W10,R31&lt;&gt;W9,R31&lt;&gt;W8),R31,IF(AND(T32&lt;&gt;0,R32&lt;&gt;W21,R32&lt;&gt;W20,R32&lt;&gt;W19,R32&lt;&gt;W18,R32&lt;&gt;W17,R32&lt;&gt;W16,R32&lt;&gt;W15,R32&lt;&gt;W14,R32&lt;&gt;W13,R32&lt;&gt;W12,R32&lt;&gt;W11,R32&lt;&gt;W10,R32&lt;&gt;W9,R32&lt;&gt;W8),R32,IF(AND(T38&lt;&gt;0,R38&lt;&gt;W21,R38&lt;&gt;W20,R38&lt;&gt;W19,R38&lt;&gt;W18,R38&lt;&gt;W17,R38&lt;&gt;W16,R38&lt;&gt;W15,R38&lt;&gt;W14,R38&lt;&gt;W13,R38&lt;&gt;W12,R38&lt;&gt;W11,R38&lt;&gt;W10,R38&lt;&gt;W9,R38&lt;&gt;W8),R38,IF(AND(T39&lt;&gt;0,R39&lt;&gt;W21,R39&lt;&gt;W20,R39&lt;&gt;W19,R39&lt;&gt;W18,R39&lt;&gt;W17,R39&lt;&gt;W16,R39&lt;&gt;W15,R39&lt;&gt;W14,R39&lt;&gt;W13,R39&lt;&gt;W12,R39&lt;&gt;W11,R39&lt;&gt;W10,R39&lt;&gt;W9,R39&lt;&gt;W8),R39,IF(AND(T40&lt;&gt;0,R40&lt;&gt;W21,R40&lt;&gt;W20,R40&lt;&gt;W19,R40&lt;&gt;W18,R40&lt;&gt;W17,R40&lt;&gt;W16,R40&lt;&gt;W15,R40&lt;&gt;W14,R40&lt;&gt;W13,R40&lt;&gt;W12,R40&lt;&gt;W11,R40&lt;&gt;W10,R40&lt;&gt;W9,R40&lt;&gt;W8),R40,IF(AND(T41&lt;&gt;0,R41&lt;&gt;W21,R41&lt;&gt;W20,R41&lt;&gt;W19,R41&lt;&gt;W18,R41&lt;&gt;W17,R41&lt;&gt;W16,R41&lt;&gt;W15,R41&lt;&gt;W14,R41&lt;&gt;W13,R41&lt;&gt;W12,R41&lt;&gt;W11,R41&lt;&gt;W10,R41&lt;&gt;W9,R41&lt;&gt;W8),R41,IF(AND(T42&lt;&gt;0,R42&lt;&gt;W21,R42&lt;&gt;W20,R42&lt;&gt;W19,R42&lt;&gt;W18,R42&lt;&gt;W17,R42&lt;&gt;W16,R42&lt;&gt;W15,R42&lt;&gt;W14,R42&lt;&gt;W13,R42&lt;&gt;W12,R42&lt;&gt;W11,R42&lt;&gt;W10,R42&lt;&gt;W9,R42&lt;&gt;W8),R42,""))))))))))))))))</f>
        <v>0</v>
      </c>
      <c r="X22" s="1308"/>
      <c r="Y22" s="1309">
        <f ca="1" t="shared" si="0">IF(ISNA(VLOOKUP(W22,$AE$8:$AG$46,2,False))=True,"",VLOOKUP(W22,$AE$8:$AG$46,2,False))</f>
        <v>0</v>
      </c>
      <c r="Z22" s="1309">
        <f ca="1" t="shared" si="1">IF(ISNA(VLOOKUP(W22,$AE$8:$AG$46,3,False))=True,"",VLOOKUP(W22,$AE$8:$AG$46,3,False))</f>
        <v>0</v>
      </c>
      <c r="AA22" s="1310">
        <f ca="1" t="shared" si="2">IF(ISNA(VLOOKUP(W22,$R$8:$T$42,3,False))=True,"",VLOOKUP(W22,$R$8:$T$42,3,False))</f>
        <v>0</v>
      </c>
      <c r="AB22" s="1521">
        <f ca="1">_xlfn.IFNA(IF(ISTEXT(VLOOKUP(W22,'DRAFT A&amp;L'!$B$7:$G$100,4,0)),VLOOKUP(W22,'DRAFT A&amp;L'!$B$7:$G$100,4,0),YEAR(VLOOKUP(W22,'DRAFT A&amp;L'!$B$7:$G$100,4,0))),"")</f>
        <v>0</v>
      </c>
      <c r="AC22" s="423"/>
      <c r="AE22" s="1024" t="s">
        <v>1026</v>
      </c>
      <c r="AF22" s="1035" t="s">
        <v>1025</v>
      </c>
      <c r="AG22" s="1035" t="s">
        <v>1065</v>
      </c>
      <c r="AK22" s="1092">
        <f t="shared" si="3">COUNTIF($BA$8:$BA$152,AF22)</f>
        <v>0</v>
      </c>
      <c r="AM22" s="1077">
        <f t="shared" si="4">IF(M22&gt;0,1,0)</f>
        <v>0</v>
      </c>
      <c r="AN22" s="1096">
        <f>IF(AM22&gt;0,COUNTIF(AM$8:AM22,"&gt;0"),0)</f>
        <v>0</v>
      </c>
      <c r="AO22" s="1078">
        <f t="shared" si="5">B22</f>
        <v>0</v>
      </c>
      <c r="AP22" s="1079">
        <f t="shared" si="6">C22</f>
        <v>0</v>
      </c>
      <c r="AQ22" s="1080">
        <f t="shared" si="7">IF(I22&lt;&gt;"",YEAR(I22),"")</f>
        <v>0</v>
      </c>
      <c r="AR22" s="1080">
        <f t="shared" si="8">IF(E22&lt;&gt;"",E22,"")</f>
        <v>0</v>
      </c>
      <c r="AS22" s="1078">
        <f t="shared" si="9">F22</f>
        <v>0</v>
      </c>
      <c r="AT22" s="1080">
        <f t="shared" si="10">IF(H22&lt;&gt;"",H22,"")</f>
        <v>0</v>
      </c>
      <c r="AU22" s="1080">
        <f t="shared" si="11">J22</f>
        <v>0</v>
      </c>
      <c r="AV22" s="1080">
        <f t="shared" si="12">K22</f>
        <v>0</v>
      </c>
      <c r="AW22" s="1081">
        <f t="shared" si="13">M22</f>
        <v>0</v>
      </c>
      <c r="AX22" s="237">
        <f t="shared" si="71">IF(AZ22&lt;&gt;"",AX21+1,"")</f>
        <v>0</v>
      </c>
      <c r="AY22" s="1087">
        <v>15</v>
      </c>
      <c r="AZ22" s="1087">
        <f t="shared" si="14">IF(ISNA(VLOOKUP(AY22,$AN$8:$AW$148,2,False))=True,"",VLOOKUP(AY22,$AN$8:$AW$148,2,False))</f>
        <v>0</v>
      </c>
      <c r="BA22" s="1087">
        <f t="shared" si="15">IF(ISNA(VLOOKUP(AZ22,$AE$8:$AF$46,2,False))=True,"",VLOOKUP(AZ22,$AE$8:$AF$46,2,False))</f>
        <v>0</v>
      </c>
      <c r="BB22" s="1087">
        <f t="shared" si="16">IF(ISNA(VLOOKUP(AY22,$AN$8:$AW$148,4,False))=True,"",VLOOKUP(AY22,$AN$8:$AW$148,4,False))</f>
        <v>0</v>
      </c>
      <c r="BC22" s="1087">
        <f t="shared" si="17">IF(ISNA(VLOOKUP(AY22,$AN$8:$AW$148,5,False))=True,"",VLOOKUP(AY22,$AN$8:$AW$148,5,False))</f>
        <v>0</v>
      </c>
      <c r="BD22" s="1087">
        <f t="shared" si="84">IF(ISNA(VLOOKUP(AY22,$AN$8:$AW$148,6,False))=True,"",VLOOKUP(AY22,$AN$8:$AW$148,6,False))</f>
        <v>0</v>
      </c>
      <c r="BE22" s="1125">
        <f t="shared" si="19">IF(ISNA(VLOOKUP(AY22,$AN$8:$AW$148,7,False))=True,"",VLOOKUP(AY22,$AN$8:$AW$148,7,False))</f>
        <v>0</v>
      </c>
      <c r="BF22" s="1123">
        <f t="shared" si="20">IF(ISNA(VLOOKUP($AY22,$AN$8:$AW$148,8,False))=True,"",VLOOKUP($AY22,$AN$8:$AW$148,8,False))</f>
        <v>0</v>
      </c>
      <c r="BG22" s="1120">
        <f t="shared" si="21">IF(ISNA(VLOOKUP($AY22,$AN$8:$AW$148,9,False))=True,"",VLOOKUP($AY22,$AN$8:$AW$148,9,False))</f>
        <v>0</v>
      </c>
      <c r="BH22" s="1120">
        <f t="shared" si="22">IF(ISNA(VLOOKUP($AY22,$AN$8:$AW$148,10,False))=True,"",VLOOKUP($AY22,$AN$8:$AW$148,10,False))</f>
        <v>0</v>
      </c>
      <c r="BI22" s="250">
        <f t="shared" si="49">IF(AZ22&lt;&gt;"",AZ22,"")</f>
        <v>0</v>
      </c>
      <c r="BJ22" s="1098">
        <f t="shared" si="50">BI22</f>
        <v>0</v>
      </c>
      <c r="BK22" s="1115">
        <f>COUNTIFS($AZ:$AZ, AZ22,$BJ:$BJ, "&lt;"&amp;BJ22)+COUNTIFS(AZ$8:AZ22, AZ22, BJ$8:BJ22, BJ22)</f>
        <v>15</v>
      </c>
      <c r="BL22" s="1114">
        <f t="shared" si="51">BK22/100</f>
        <v>0.15</v>
      </c>
      <c r="BM22" s="1093" t="e">
        <f t="shared" si="87" ref="BM22">BI22+BL22</f>
        <v>#VALUE!</v>
      </c>
      <c r="BN22" s="1101">
        <f t="shared" si="52">IF(BA22&lt;&gt;"",BM22,"")</f>
        <v>0</v>
      </c>
      <c r="BO22" s="1118">
        <f t="shared" si="53">IF(BN22&lt;&gt;"",BN22,0)</f>
        <v>0</v>
      </c>
      <c r="BP22" s="237" t="e">
        <f t="shared" si="23">SMALL($BN$8:$BN$152,AX22)</f>
        <v>#VALUE!</v>
      </c>
      <c r="BR22" s="1102" t="e">
        <f t="shared" si="54">IF(BP22&lt;&gt;"",BR21+1,"")</f>
        <v>#VALUE!</v>
      </c>
      <c r="BS22" s="1102">
        <f t="shared" si="55">IFERROR(BP22,"")</f>
        <v>0</v>
      </c>
      <c r="BT22" s="1102">
        <f t="shared" si="56">IFERROR(CC22,"")</f>
        <v>0</v>
      </c>
      <c r="BU22" s="1098">
        <f t="shared" si="57">IFERROR(CD22,"")</f>
        <v>0</v>
      </c>
      <c r="BV22" s="1098">
        <f t="shared" si="58">IFERROR(CE22,"")</f>
        <v>0</v>
      </c>
      <c r="BW22" s="1098">
        <f t="shared" si="59">IFERROR(CF22,"")</f>
        <v>0</v>
      </c>
      <c r="BX22" s="1146">
        <f t="shared" si="60">IFERROR(CH22,"")</f>
        <v>0</v>
      </c>
      <c r="BY22" s="1098">
        <f t="shared" si="61">IFERROR(CG22,"")</f>
        <v>0</v>
      </c>
      <c r="BZ22" s="1144" t="str">
        <f t="shared" si="62">IFERROR(CI22,"-")</f>
        <v>-</v>
      </c>
      <c r="CA22" s="1107">
        <f t="shared" si="63">IFERROR(CJ22,"")</f>
        <v>0</v>
      </c>
      <c r="CB22" s="1107">
        <f t="shared" si="64">IFERROR(CK22,"")</f>
        <v>0</v>
      </c>
      <c r="CC22" s="1110" t="e">
        <f t="shared" si="25">INDEX($AZ$8:$AZ$153,MATCH(BP22,$BO$8:$BO$153,0))</f>
        <v>#VALUE!</v>
      </c>
      <c r="CD22" s="1087" t="e">
        <f t="shared" si="26">INDEX($BA$8:$BA$153,MATCH(BP22,$BO$8:$BO$153,0))</f>
        <v>#VALUE!</v>
      </c>
      <c r="CE22" s="1106" t="e">
        <f t="shared" si="27">INDEX($BB$8:$BB$153,MATCH(BP22,$BO$8:$BO$153,0))</f>
        <v>#VALUE!</v>
      </c>
      <c r="CF22" s="1106" t="e">
        <f t="shared" si="28">INDEX(BC$8:BC$153,MATCH(BP22,$BO$8:$BO$153,0))</f>
        <v>#VALUE!</v>
      </c>
      <c r="CG22" s="1118" t="e">
        <f t="shared" si="29">INDEX(BE$8:BE$153,MATCH(BP22,$BO$8:$BO$153,0))</f>
        <v>#VALUE!</v>
      </c>
      <c r="CH22" s="1106" t="e">
        <f t="shared" si="30">INDEX($BD$8:$BD$153,MATCH($BP22,$BO$8:$BO$153,0))</f>
        <v>#VALUE!</v>
      </c>
      <c r="CI22" s="1142" t="e">
        <f t="shared" si="31">INDEX($BF$8:$BF$153,MATCH(BP22,$BO$8:$BO$153,0))</f>
        <v>#VALUE!</v>
      </c>
      <c r="CJ22" s="1106" t="e">
        <f t="shared" si="32">INDEX($BG$8:$BG$153,MATCH(BP22,$BO$8:$BO$153,0))</f>
        <v>#VALUE!</v>
      </c>
      <c r="CK22" s="1106" t="e">
        <f t="shared" si="33">INDEX($BH$8:$BH$153,MATCH(BP22,$BO$8:$BO$153,0))</f>
        <v>#VALUE!</v>
      </c>
      <c r="CM22" s="1131">
        <f t="shared" si="34">COUNTIF($CH$8:$CH$228,"&lt;="&amp;CH22)</f>
        <v>145</v>
      </c>
      <c r="CN22" s="1121">
        <f t="shared" si="65">--ISNUMBER(BX22)</f>
        <v>0</v>
      </c>
      <c r="CO22" s="1121">
        <f t="shared" si="66">IF(BX22=0,1,0)</f>
        <v>0</v>
      </c>
      <c r="CP22" s="1124">
        <f t="shared" si="35">IF(ISNUMBER(BX22),CM22,IF(ISERROR(BX22),CM22,CM22+$CN$154))+$CO$154</f>
        <v>145</v>
      </c>
      <c r="CQ22" s="237">
        <f>IFERROR(INDEX($BX$8:$BX$153,MATCH(SMALL($CP$8:$CP$153,ROWS($CQ$8:CQ22)+$CO$154),$CP$8:$CP$154,0)),"")</f>
        <v>0</v>
      </c>
      <c r="CR22" s="237">
        <v>0.1</v>
      </c>
      <c r="CS22" s="1135">
        <f t="shared" si="67">CM22+CR22</f>
        <v>145.1</v>
      </c>
      <c r="CT22" s="237">
        <f>COUNTIFS($CM:$CM, CM22,$CS:$CS, "&lt;"&amp;CL)+COUNTIFS(CM$8:CM22, CM22, CS$8:CS22, CS22)</f>
        <v>15</v>
      </c>
      <c r="CU22" s="1109">
        <f t="shared" si="68">CT22/100</f>
        <v>0.15</v>
      </c>
      <c r="CV22" s="1109">
        <f t="shared" si="69">CM22+CU22</f>
        <v>145.15</v>
      </c>
      <c r="CW22" s="237" t="e">
        <f t="shared" si="36">SMALL(CV$8:CV$153,AX22)</f>
        <v>#VALUE!</v>
      </c>
      <c r="CX22" s="1109">
        <f t="shared" si="70">IFERROR(CW22,"")</f>
        <v>0</v>
      </c>
      <c r="CY22" s="237" t="e">
        <f t="shared" si="37">INDEX(BU$8:BU$152,MATCH($CX22,CV$8:CV$152,0))</f>
        <v>#N/A</v>
      </c>
      <c r="CZ22" s="237" t="e">
        <f t="shared" si="38">INDEX(BV$8:BV$152,MATCH($CX22,$CV$8:$CV$152,0))</f>
        <v>#N/A</v>
      </c>
      <c r="DA22" s="237" t="e">
        <f t="shared" si="39">INDEX(BW$8:BW$152,MATCH($CX22,$CV$8:$CV$152,0))</f>
        <v>#N/A</v>
      </c>
      <c r="DB22" s="237" t="e">
        <f t="shared" si="40">INDEX(BX$8:BX$152,MATCH($CX22,$CV$8:$CV$152,0))</f>
        <v>#N/A</v>
      </c>
      <c r="DC22" s="237" t="e">
        <f t="shared" si="41">INDEX(BY$8:BY$152,MATCH($CX22,$CV$8:$CV$152,0))</f>
        <v>#N/A</v>
      </c>
      <c r="DD22" s="237" t="e">
        <f t="shared" si="42">INDEX(BZ$8:BZ$152,MATCH($CX22,$CV$8:$CV$152,0))</f>
        <v>#N/A</v>
      </c>
      <c r="DE22" s="237" t="e">
        <f t="shared" si="43">INDEX(CA$8:CA$152,MATCH($CX22,$CV$8:$CV$152,0))</f>
        <v>#N/A</v>
      </c>
      <c r="DF22" s="237" t="e">
        <f t="shared" si="44">INDEX(CB$8:CB$152,MATCH($CX22,$CV$8:$CV$152,0))</f>
        <v>#N/A</v>
      </c>
    </row>
    <row r="23" spans="1:110" ht="13.5" customHeight="1" thickBot="1">
      <c r="A23" s="1214"/>
      <c r="B23" s="1504"/>
      <c r="C23" s="865"/>
      <c r="D23" s="1153"/>
      <c r="E23" s="865"/>
      <c r="F23" s="865"/>
      <c r="G23" s="865"/>
      <c r="H23" s="865"/>
      <c r="I23" s="1471"/>
      <c r="J23" s="763"/>
      <c r="K23" s="763"/>
      <c r="L23" s="867"/>
      <c r="M23" s="807"/>
      <c r="O23" s="2046"/>
      <c r="P23" s="1057" t="s">
        <v>1027</v>
      </c>
      <c r="Q23" s="1057" t="s">
        <v>1066</v>
      </c>
      <c r="R23" s="1057" t="s">
        <v>1028</v>
      </c>
      <c r="S23" s="1031">
        <f ca="1" t="shared" si="79">SUMIF($B$50:$M$64,$R23,$K$50:$K$64)</f>
        <v>0</v>
      </c>
      <c r="T23" s="1031">
        <f ca="1" t="shared" si="77">SUMIF($B$50:$M$64,$R23,$M$50:$M$64)</f>
        <v>0</v>
      </c>
      <c r="U23" s="1031"/>
      <c r="W23" s="1308">
        <f ca="1">IF(AND(T23&lt;&gt;0,R23&lt;&gt;W22,R23&lt;&gt;W21,R23&lt;&gt;W20,R23&lt;&gt;W19,R23&lt;&gt;W18,R23&lt;&gt;W17,R23&lt;&gt;W16,R23&lt;&gt;W15,R23&lt;&gt;W14,R23&lt;&gt;W13,R23&lt;&gt;W12,R23&lt;&gt;W11,R23&lt;&gt;W10,R23&lt;&gt;W9,R23&lt;&gt;W8),R23,IF(AND(T24&lt;&gt;0,R24&lt;&gt;W22,R24&lt;&gt;W21,R24&lt;&gt;W20,R24&lt;&gt;W19,R24&lt;&gt;W18,R24&lt;&gt;W17,R24&lt;&gt;W16,R24&lt;&gt;W15,R24&lt;&gt;W14,R24&lt;&gt;W13,R24&lt;&gt;W12,R24&lt;&gt;W11,R24&lt;&gt;W10,R24&lt;&gt;W9,R24&lt;&gt;W8),R24,IF(AND(T25&lt;&gt;0,R25&lt;&gt;W22,R25&lt;&gt;W21,R25&lt;&gt;W20,R25&lt;&gt;W19,R25&lt;&gt;W18,R25&lt;&gt;W17,R25&lt;&gt;W16,R25&lt;&gt;W15,R25&lt;&gt;W14,R25&lt;&gt;W13,R25&lt;&gt;W12,R25&lt;&gt;W11,R25&lt;&gt;W10,R25&lt;&gt;W9,R25&lt;&gt;W8),R25,IF(AND(T26&lt;&gt;0,R26&lt;&gt;W22,R26&lt;&gt;W21,R26&lt;&gt;W20,R26&lt;&gt;W19,R26&lt;&gt;W18,R26&lt;&gt;W17,R26&lt;&gt;W16,R26&lt;&gt;W15,R26&lt;&gt;W14,R26&lt;&gt;W13,R26&lt;&gt;W12,R26&lt;&gt;W11,R26&lt;&gt;W10,R26&lt;&gt;W9,R26&lt;&gt;W8),R26,IF(AND(T27&lt;&gt;0,R27&lt;&gt;W22,R27&lt;&gt;W21,R27&lt;&gt;W20,R27&lt;&gt;W19,R27&lt;&gt;W18,R27&lt;&gt;W17,R27&lt;&gt;W16,R27&lt;&gt;W15,R27&lt;&gt;W14,R27&lt;&gt;W13,R27&lt;&gt;W12,R27&lt;&gt;W11,R27&lt;&gt;W10,R27&lt;&gt;W9,R27&lt;&gt;W8),R27,IF(AND(T28&lt;&gt;0,R28&lt;&gt;W22,R28&lt;&gt;W21,R28&lt;&gt;W20,R28&lt;&gt;W19,R28&lt;&gt;W18,R28&lt;&gt;W17,R28&lt;&gt;W16,R28&lt;&gt;W15,R28&lt;&gt;W14,R28&lt;&gt;W13,R28&lt;&gt;W12,R28&lt;&gt;W11,R28&lt;&gt;W10,R28&lt;&gt;W9,R28&lt;&gt;W8),R28,IF(AND(T29&lt;&gt;0,R29&lt;&gt;W22,R29&lt;&gt;W21,R29&lt;&gt;W20,R29&lt;&gt;W19,R29&lt;&gt;W18,R29&lt;&gt;W17,R29&lt;&gt;W16,R29&lt;&gt;W15,R29&lt;&gt;W14,R29&lt;&gt;W13,R29&lt;&gt;W12,R29&lt;&gt;W11,R29&lt;&gt;W10,R29&lt;&gt;W9,R29&lt;&gt;W8),R29,IF(AND(T30&lt;&gt;0,R30&lt;&gt;W22,R30&lt;&gt;W21,R30&lt;&gt;W20,R30&lt;&gt;W19,R30&lt;&gt;W18,R30&lt;&gt;W17,R30&lt;&gt;W16,R30&lt;&gt;W15,R30&lt;&gt;W14,R30&lt;&gt;W13,R30&lt;&gt;W12,R30&lt;&gt;W11,R30&lt;&gt;W10,R30&lt;&gt;W9,R30&lt;&gt;W8),R30,IF(AND(T31&lt;&gt;0,R31&lt;&gt;W22,R31&lt;&gt;W21,R31&lt;&gt;W20,R31&lt;&gt;W19,R31&lt;&gt;W18,R31&lt;&gt;W17,R31&lt;&gt;W16,R31&lt;&gt;W15,R31&lt;&gt;W14,R31&lt;&gt;W13,R31&lt;&gt;W12,R31&lt;&gt;W11,R31&lt;&gt;W10,R31&lt;&gt;W9,R31&lt;&gt;W8),R31,IF(AND(T32&lt;&gt;0,R32&lt;&gt;W22,R32&lt;&gt;W21,R32&lt;&gt;W20,R32&lt;&gt;W19,R32&lt;&gt;W18,R32&lt;&gt;W17,R32&lt;&gt;W16,R32&lt;&gt;W15,R32&lt;&gt;W14,R32&lt;&gt;W13,R32&lt;&gt;W12,R32&lt;&gt;W11,R32&lt;&gt;W10,R32&lt;&gt;W9,R32&lt;&gt;W8),R32,IF(AND(T38&lt;&gt;0,R38&lt;&gt;W22,R38&lt;&gt;W21,R38&lt;&gt;W20,R38&lt;&gt;W19,R38&lt;&gt;W18,R38&lt;&gt;W17,R38&lt;&gt;W16,R38&lt;&gt;W15,R38&lt;&gt;W14,R38&lt;&gt;W13,R38&lt;&gt;W12,R38&lt;&gt;W11,R38&lt;&gt;W10,R38&lt;&gt;W9,R38&lt;&gt;W8),R38,IF(AND(T39&lt;&gt;0,R39&lt;&gt;W22,R39&lt;&gt;W21,R39&lt;&gt;W20,R39&lt;&gt;W19,R39&lt;&gt;W18,R39&lt;&gt;W17,R39&lt;&gt;W16,R39&lt;&gt;W15,R39&lt;&gt;W14,R39&lt;&gt;W13,R39&lt;&gt;W12,R39&lt;&gt;W11,R39&lt;&gt;W10,R39&lt;&gt;W9,R39&lt;&gt;W8),R39,IF(AND(T40&lt;&gt;0,R40&lt;&gt;W22,R40&lt;&gt;W21,R40&lt;&gt;W20,R40&lt;&gt;W19,R40&lt;&gt;W18,R40&lt;&gt;W17,R40&lt;&gt;W16,R40&lt;&gt;W15,R40&lt;&gt;W14,R40&lt;&gt;W13,R40&lt;&gt;W12,R40&lt;&gt;W11,R40&lt;&gt;W10,R40&lt;&gt;W9,R40&lt;&gt;W8),R40,IF(AND(T41&lt;&gt;0,R41&lt;&gt;W22,R41&lt;&gt;W21,R41&lt;&gt;W20,R41&lt;&gt;W19,R41&lt;&gt;W18,R41&lt;&gt;W17,R41&lt;&gt;W16,R41&lt;&gt;W15,R41&lt;&gt;W14,R41&lt;&gt;W13,R41&lt;&gt;W12,R41&lt;&gt;W11,R41&lt;&gt;W10,R41&lt;&gt;W9,R41&lt;&gt;W8),R41,IF(AND(T42&lt;&gt;0,R42&lt;&gt;W22,R42&lt;&gt;W21,R42&lt;&gt;W20,R42&lt;&gt;W19,R42&lt;&gt;W18,R42&lt;&gt;W17,R42&lt;&gt;W16,R42&lt;&gt;W15,R42&lt;&gt;W14,R42&lt;&gt;W13,R42&lt;&gt;W12,R42&lt;&gt;W11,R42&lt;&gt;W10,R42&lt;&gt;W9,R42&lt;&gt;W8),R42,"")))))))))))))))</f>
        <v>0</v>
      </c>
      <c r="X23" s="1308"/>
      <c r="Y23" s="1309">
        <f ca="1" t="shared" si="0">IF(ISNA(VLOOKUP(W23,$AE$8:$AG$46,2,False))=True,"",VLOOKUP(W23,$AE$8:$AG$46,2,False))</f>
        <v>0</v>
      </c>
      <c r="Z23" s="1309">
        <f ca="1" t="shared" si="1">IF(ISNA(VLOOKUP(W23,$AE$8:$AG$46,3,False))=True,"",VLOOKUP(W23,$AE$8:$AG$46,3,False))</f>
        <v>0</v>
      </c>
      <c r="AA23" s="1310">
        <f ca="1" t="shared" si="2">IF(ISNA(VLOOKUP(W23,$R$8:$T$42,3,False))=True,"",VLOOKUP(W23,$R$8:$T$42,3,False))</f>
        <v>0</v>
      </c>
      <c r="AB23" s="1521">
        <f ca="1">_xlfn.IFNA(IF(ISTEXT(VLOOKUP(W23,'DRAFT A&amp;L'!$B$7:$G$100,4,0)),VLOOKUP(W23,'DRAFT A&amp;L'!$B$7:$G$100,4,0),YEAR(VLOOKUP(W23,'DRAFT A&amp;L'!$B$7:$G$100,4,0))),"")</f>
        <v>0</v>
      </c>
      <c r="AC23" s="423"/>
      <c r="AE23" s="1027" t="s">
        <v>1028</v>
      </c>
      <c r="AF23" s="1037" t="s">
        <v>1027</v>
      </c>
      <c r="AG23" s="1037" t="s">
        <v>1066</v>
      </c>
      <c r="AK23" s="1092">
        <f t="shared" si="3">COUNTIF($BA$8:$BA$152,AF23)</f>
        <v>0</v>
      </c>
      <c r="AM23" s="1077"/>
      <c r="AN23" s="1096"/>
      <c r="AO23" s="1078"/>
      <c r="AP23" s="1079"/>
      <c r="AQ23" s="1080"/>
      <c r="AR23" s="1080">
        <f t="shared" si="8">IF(E23&lt;&gt;"",E23,"")</f>
        <v>0</v>
      </c>
      <c r="AS23" s="1078">
        <f t="shared" si="9">F23</f>
        <v>0</v>
      </c>
      <c r="AT23" s="1080">
        <f t="shared" si="10">IF(H23&lt;&gt;"",H23,"")</f>
        <v>0</v>
      </c>
      <c r="AU23" s="1080">
        <f>J23</f>
        <v>0</v>
      </c>
      <c r="AV23" s="1080"/>
      <c r="AW23" s="1081"/>
      <c r="AX23" s="237">
        <f t="shared" si="71">IF(AZ23&lt;&gt;"",AX22+1,"")</f>
        <v>0</v>
      </c>
      <c r="AY23" s="1087">
        <v>16</v>
      </c>
      <c r="AZ23" s="1087">
        <f t="shared" si="14">IF(ISNA(VLOOKUP(AY23,$AN$8:$AW$148,2,False))=True,"",VLOOKUP(AY23,$AN$8:$AW$148,2,False))</f>
        <v>0</v>
      </c>
      <c r="BA23" s="1087">
        <f t="shared" si="15">IF(ISNA(VLOOKUP(AZ23,$AE$8:$AF$46,2,False))=True,"",VLOOKUP(AZ23,$AE$8:$AF$46,2,False))</f>
        <v>0</v>
      </c>
      <c r="BB23" s="1087">
        <f t="shared" si="16">IF(ISNA(VLOOKUP(AY23,$AN$8:$AW$148,4,False))=True,"",VLOOKUP(AY23,$AN$8:$AW$148,4,False))</f>
        <v>0</v>
      </c>
      <c r="BC23" s="1087">
        <f t="shared" si="17">IF(ISNA(VLOOKUP(AY23,$AN$8:$AW$148,5,False))=True,"",VLOOKUP(AY23,$AN$8:$AW$148,5,False))</f>
        <v>0</v>
      </c>
      <c r="BD23" s="1087">
        <f t="shared" si="84">IF(ISNA(VLOOKUP(AY23,$AN$8:$AW$148,6,False))=True,"",VLOOKUP(AY23,$AN$8:$AW$148,6,False))</f>
        <v>0</v>
      </c>
      <c r="BE23" s="1125">
        <f t="shared" si="19">IF(ISNA(VLOOKUP(AY23,$AN$8:$AW$148,7,False))=True,"",VLOOKUP(AY23,$AN$8:$AW$148,7,False))</f>
        <v>0</v>
      </c>
      <c r="BF23" s="1123">
        <f t="shared" si="20">IF(ISNA(VLOOKUP($AY23,$AN$8:$AW$148,8,False))=True,"",VLOOKUP($AY23,$AN$8:$AW$148,8,False))</f>
        <v>0</v>
      </c>
      <c r="BG23" s="1120">
        <f t="shared" si="21">IF(ISNA(VLOOKUP($AY23,$AN$8:$AW$148,9,False))=True,"",VLOOKUP($AY23,$AN$8:$AW$148,9,False))</f>
        <v>0</v>
      </c>
      <c r="BH23" s="1120">
        <f t="shared" si="22">IF(ISNA(VLOOKUP($AY23,$AN$8:$AW$148,10,False))=True,"",VLOOKUP($AY23,$AN$8:$AW$148,10,False))</f>
        <v>0</v>
      </c>
      <c r="BI23" s="250">
        <f t="shared" si="49">IF(AZ23&lt;&gt;"",AZ23,"")</f>
        <v>0</v>
      </c>
      <c r="BJ23" s="1098">
        <f t="shared" si="50">BI23</f>
        <v>0</v>
      </c>
      <c r="BK23" s="1115">
        <f>COUNTIFS($AZ:$AZ, AZ23,$BJ:$BJ, "&lt;"&amp;BJ23)+COUNTIFS(AZ$8:AZ23, AZ23, BJ$8:BJ23, BJ23)</f>
        <v>16</v>
      </c>
      <c r="BL23" s="1114">
        <f t="shared" si="51">BK23/100</f>
        <v>0.16</v>
      </c>
      <c r="BM23" s="1093" t="e">
        <f t="shared" si="88" ref="BM23">BJ23+BL23</f>
        <v>#VALUE!</v>
      </c>
      <c r="BN23" s="1101">
        <f t="shared" si="52">IF(BA23&lt;&gt;"",BM23,"")</f>
        <v>0</v>
      </c>
      <c r="BO23" s="1118">
        <f t="shared" si="53">IF(BN23&lt;&gt;"",BN23,0)</f>
        <v>0</v>
      </c>
      <c r="BP23" s="237" t="e">
        <f t="shared" si="23">SMALL($BN$8:$BN$152,AX23)</f>
        <v>#VALUE!</v>
      </c>
      <c r="BR23" s="1102" t="e">
        <f t="shared" si="54">IF(BP23&lt;&gt;"",BR22+1,"")</f>
        <v>#VALUE!</v>
      </c>
      <c r="BS23" s="1102">
        <f t="shared" si="55">IFERROR(BP23,"")</f>
        <v>0</v>
      </c>
      <c r="BT23" s="1102">
        <f t="shared" si="56">IFERROR(CC23,"")</f>
        <v>0</v>
      </c>
      <c r="BU23" s="1098">
        <f t="shared" si="57">IFERROR(CD23,"")</f>
        <v>0</v>
      </c>
      <c r="BV23" s="1098">
        <f t="shared" si="58">IFERROR(CE23,"")</f>
        <v>0</v>
      </c>
      <c r="BW23" s="1098">
        <f t="shared" si="59">IFERROR(CF23,"")</f>
        <v>0</v>
      </c>
      <c r="BX23" s="1146">
        <f t="shared" si="60">IFERROR(CH23,"")</f>
        <v>0</v>
      </c>
      <c r="BY23" s="1098">
        <f t="shared" si="61">IFERROR(CG23,"")</f>
        <v>0</v>
      </c>
      <c r="BZ23" s="1144" t="str">
        <f t="shared" si="62">IFERROR(CI23,"-")</f>
        <v>-</v>
      </c>
      <c r="CA23" s="1107">
        <f t="shared" si="63">IFERROR(CJ23,"")</f>
        <v>0</v>
      </c>
      <c r="CB23" s="1107">
        <f t="shared" si="64">IFERROR(CK23,"")</f>
        <v>0</v>
      </c>
      <c r="CC23" s="1110" t="e">
        <f t="shared" si="25">INDEX($AZ$8:$AZ$153,MATCH(BP23,$BO$8:$BO$153,0))</f>
        <v>#VALUE!</v>
      </c>
      <c r="CD23" s="1087" t="e">
        <f t="shared" si="26">INDEX($BA$8:$BA$153,MATCH(BP23,$BO$8:$BO$153,0))</f>
        <v>#VALUE!</v>
      </c>
      <c r="CE23" s="1106" t="e">
        <f t="shared" si="27">INDEX($BB$8:$BB$153,MATCH(BP23,$BO$8:$BO$153,0))</f>
        <v>#VALUE!</v>
      </c>
      <c r="CF23" s="1106" t="e">
        <f t="shared" si="28">INDEX(BC$8:BC$153,MATCH(BP23,$BO$8:$BO$153,0))</f>
        <v>#VALUE!</v>
      </c>
      <c r="CG23" s="1118" t="e">
        <f t="shared" si="29">INDEX(BE$8:BE$153,MATCH(BP23,$BO$8:$BO$153,0))</f>
        <v>#VALUE!</v>
      </c>
      <c r="CH23" s="1106" t="e">
        <f t="shared" si="30">INDEX($BD$8:$BD$153,MATCH($BP23,$BO$8:$BO$153,0))</f>
        <v>#VALUE!</v>
      </c>
      <c r="CI23" s="1142" t="e">
        <f t="shared" si="31">INDEX($BF$8:$BF$153,MATCH(BP23,$BO$8:$BO$153,0))</f>
        <v>#VALUE!</v>
      </c>
      <c r="CJ23" s="1106" t="e">
        <f t="shared" si="32">INDEX($BG$8:$BG$153,MATCH(BP23,$BO$8:$BO$153,0))</f>
        <v>#VALUE!</v>
      </c>
      <c r="CK23" s="1106" t="e">
        <f t="shared" si="33">INDEX($BH$8:$BH$153,MATCH(BP23,$BO$8:$BO$153,0))</f>
        <v>#VALUE!</v>
      </c>
      <c r="CM23" s="1131">
        <f t="shared" si="34">COUNTIF($CH$8:$CH$228,"&lt;="&amp;CH23)</f>
        <v>145</v>
      </c>
      <c r="CN23" s="1121">
        <f t="shared" si="65">--ISNUMBER(BX23)</f>
        <v>0</v>
      </c>
      <c r="CO23" s="1121">
        <f t="shared" si="66">IF(BX23=0,1,0)</f>
        <v>0</v>
      </c>
      <c r="CP23" s="1124">
        <f t="shared" si="35">IF(ISNUMBER(BX23),CM23,IF(ISERROR(BX23),CM23,CM23+$CN$154))+$CO$154</f>
        <v>145</v>
      </c>
      <c r="CQ23" s="237">
        <f>IFERROR(INDEX($BX$8:$BX$153,MATCH(SMALL($CP$8:$CP$153,ROWS($CQ$8:CQ23)+$CO$154),$CP$8:$CP$154,0)),"")</f>
        <v>0</v>
      </c>
      <c r="CR23" s="237">
        <v>0.1</v>
      </c>
      <c r="CS23" s="1135">
        <f t="shared" si="67">CM23+CR23</f>
        <v>145.1</v>
      </c>
      <c r="CT23" s="237">
        <f>COUNTIFS($CM:$CM, CM23,$CS:$CS, "&lt;"&amp;CL)+COUNTIFS(CM$8:CM23, CM23, CS$8:CS23, CS23)</f>
        <v>16</v>
      </c>
      <c r="CU23" s="1109">
        <f t="shared" si="68">CT23/100</f>
        <v>0.16</v>
      </c>
      <c r="CV23" s="1109">
        <f t="shared" si="69">CM23+CU23</f>
        <v>145.16</v>
      </c>
      <c r="CW23" s="237" t="e">
        <f t="shared" si="36">SMALL(CV$8:CV$153,AX23)</f>
        <v>#VALUE!</v>
      </c>
      <c r="CX23" s="1109">
        <f t="shared" si="70">IFERROR(CW23,"")</f>
        <v>0</v>
      </c>
      <c r="CY23" s="237" t="e">
        <f t="shared" si="37">INDEX(BU$8:BU$152,MATCH($CX23,CV$8:CV$152,0))</f>
        <v>#N/A</v>
      </c>
      <c r="CZ23" s="237" t="e">
        <f t="shared" si="38">INDEX(BV$8:BV$152,MATCH($CX23,$CV$8:$CV$152,0))</f>
        <v>#N/A</v>
      </c>
      <c r="DA23" s="237" t="e">
        <f t="shared" si="39">INDEX(BW$8:BW$152,MATCH($CX23,$CV$8:$CV$152,0))</f>
        <v>#N/A</v>
      </c>
      <c r="DB23" s="237" t="e">
        <f t="shared" si="40">INDEX(BX$8:BX$152,MATCH($CX23,$CV$8:$CV$152,0))</f>
        <v>#N/A</v>
      </c>
      <c r="DC23" s="237" t="e">
        <f t="shared" si="41">INDEX(BY$8:BY$152,MATCH($CX23,$CV$8:$CV$152,0))</f>
        <v>#N/A</v>
      </c>
      <c r="DD23" s="237" t="e">
        <f t="shared" si="42">INDEX(BZ$8:BZ$152,MATCH($CX23,$CV$8:$CV$152,0))</f>
        <v>#N/A</v>
      </c>
      <c r="DE23" s="237" t="e">
        <f t="shared" si="43">INDEX(CA$8:CA$152,MATCH($CX23,$CV$8:$CV$152,0))</f>
        <v>#N/A</v>
      </c>
      <c r="DF23" s="237" t="e">
        <f t="shared" si="44">INDEX(CB$8:CB$152,MATCH($CX23,$CV$8:$CV$152,0))</f>
        <v>#N/A</v>
      </c>
    </row>
    <row r="24" spans="1:110" ht="14.25" customHeight="1" thickTop="1" thickBot="1">
      <c r="A24" s="1215"/>
      <c r="B24" s="1505"/>
      <c r="C24" s="773"/>
      <c r="D24" s="1154"/>
      <c r="E24" s="773"/>
      <c r="F24" s="773"/>
      <c r="G24" s="773"/>
      <c r="H24" s="773"/>
      <c r="I24" s="1474"/>
      <c r="J24" s="763"/>
      <c r="K24" s="763"/>
      <c r="L24" s="868" t="s">
        <v>347</v>
      </c>
      <c r="M24" s="260">
        <f>SUM(M8:M22)</f>
        <v>0</v>
      </c>
      <c r="O24" s="2046" t="s">
        <v>841</v>
      </c>
      <c r="P24" s="1056" t="s">
        <v>1029</v>
      </c>
      <c r="Q24" s="1056" t="s">
        <v>1067</v>
      </c>
      <c r="R24" s="1056" t="s">
        <v>1030</v>
      </c>
      <c r="S24" s="1031">
        <f ca="1">SUMIF($B$71:$M$85,$R24,$K$71:$K$85)</f>
        <v>0</v>
      </c>
      <c r="T24" s="1031">
        <f ca="1">SUMIF($B$71:$M$85,$R24,$M$71:$M$85)</f>
        <v>0</v>
      </c>
      <c r="U24" s="1031"/>
      <c r="W24" s="1308">
        <f ca="1">IF(AND(T24&lt;&gt;0,R24&lt;&gt;W23,R24&lt;&gt;W22,R24&lt;&gt;W21,R24&lt;&gt;W20,R24&lt;&gt;W19,R24&lt;&gt;W18,R24&lt;&gt;W17,R24&lt;&gt;W16,R24&lt;&gt;W15,R24&lt;&gt;W14,R24&lt;&gt;W13,R24&lt;&gt;W12,R24&lt;&gt;W11,R24&lt;&gt;W10,R24&lt;&gt;W9,R24&lt;&gt;W8),R24,IF(AND(T25&lt;&gt;0,R25&lt;&gt;W23,R25&lt;&gt;W22,R25&lt;&gt;W21,R25&lt;&gt;W20,R25&lt;&gt;W19,R25&lt;&gt;W18,R25&lt;&gt;W17,R25&lt;&gt;W16,R25&lt;&gt;W15,R25&lt;&gt;W14,R25&lt;&gt;W13,R25&lt;&gt;W12,R25&lt;&gt;W11,R25&lt;&gt;W10,R25&lt;&gt;W9,R25&lt;&gt;W8),R25,IF(AND(T26&lt;&gt;0,R26&lt;&gt;W23,R26&lt;&gt;W22,R26&lt;&gt;W21,R26&lt;&gt;W20,R26&lt;&gt;W19,R26&lt;&gt;W18,R26&lt;&gt;W17,R26&lt;&gt;W16,R26&lt;&gt;W15,R26&lt;&gt;W14,R26&lt;&gt;W13,R26&lt;&gt;W12,R26&lt;&gt;W11,R26&lt;&gt;W10,R26&lt;&gt;W9,R26&lt;&gt;W8),R26,IF(AND(T27&lt;&gt;0,R27&lt;&gt;W23,R27&lt;&gt;W22,R27&lt;&gt;W21,R27&lt;&gt;W20,R27&lt;&gt;W19,R27&lt;&gt;W18,R27&lt;&gt;W17,R27&lt;&gt;W16,R27&lt;&gt;W15,R27&lt;&gt;W14,R27&lt;&gt;W13,R27&lt;&gt;W12,R27&lt;&gt;W11,R27&lt;&gt;W10,R27&lt;&gt;W9,R27&lt;&gt;W8),R27,IF(AND(T28&lt;&gt;0,R28&lt;&gt;W23,R28&lt;&gt;W22,R28&lt;&gt;W21,R28&lt;&gt;W20,R28&lt;&gt;W19,R28&lt;&gt;W18,R28&lt;&gt;W17,R28&lt;&gt;W16,R28&lt;&gt;W15,R28&lt;&gt;W14,R28&lt;&gt;W13,R28&lt;&gt;W12,R28&lt;&gt;W11,R28&lt;&gt;W10,R28&lt;&gt;W9,R28&lt;&gt;W8),R28,IF(AND(T29&lt;&gt;0,R29&lt;&gt;W23,R29&lt;&gt;W22,R29&lt;&gt;W21,R29&lt;&gt;W20,R29&lt;&gt;W19,R29&lt;&gt;W18,R29&lt;&gt;W17,R29&lt;&gt;W16,R29&lt;&gt;W15,R29&lt;&gt;W14,R29&lt;&gt;W13,R29&lt;&gt;W12,R29&lt;&gt;W11,R29&lt;&gt;W10,R29&lt;&gt;W9,R29&lt;&gt;W8),R29,IF(AND(T30&lt;&gt;0,R30&lt;&gt;W23,R30&lt;&gt;W22,R30&lt;&gt;W21,R30&lt;&gt;W20,R30&lt;&gt;W19,R30&lt;&gt;W18,R30&lt;&gt;W17,R30&lt;&gt;W16,R30&lt;&gt;W15,R30&lt;&gt;W14,R30&lt;&gt;W13,R30&lt;&gt;W12,R30&lt;&gt;W11,R30&lt;&gt;W10,R30&lt;&gt;W9,R30&lt;&gt;W8),R30,IF(AND(T31&lt;&gt;0,R31&lt;&gt;W23,R31&lt;&gt;W22,R31&lt;&gt;W21,R31&lt;&gt;W20,R31&lt;&gt;W19,R31&lt;&gt;W18,R31&lt;&gt;W17,R31&lt;&gt;W16,R31&lt;&gt;W15,R31&lt;&gt;W14,R31&lt;&gt;W13,R31&lt;&gt;W12,R31&lt;&gt;W11,R31&lt;&gt;W10,R31&lt;&gt;W9,R31&lt;&gt;W8),R31,IF(AND(T32&lt;&gt;0,R32&lt;&gt;W23,R32&lt;&gt;W22,R32&lt;&gt;W21,R32&lt;&gt;W20,R32&lt;&gt;W19,R32&lt;&gt;W18,R32&lt;&gt;W17,R32&lt;&gt;W16,R32&lt;&gt;W15,R32&lt;&gt;W14,R32&lt;&gt;W13,R32&lt;&gt;W12,R32&lt;&gt;W11,R32&lt;&gt;W10,R32&lt;&gt;W9,R32&lt;&gt;W8),R32,IF(AND(T38&lt;&gt;0,R38&lt;&gt;W23,R38&lt;&gt;W22,R38&lt;&gt;W21,R38&lt;&gt;W20,R38&lt;&gt;W19,R38&lt;&gt;W18,R38&lt;&gt;W17,R38&lt;&gt;W16,R38&lt;&gt;W15,R38&lt;&gt;W14,R38&lt;&gt;W13,R38&lt;&gt;W12,R38&lt;&gt;W11,R38&lt;&gt;W10,R38&lt;&gt;W9,R38&lt;&gt;W8),R38,IF(AND(T39&lt;&gt;0,R39&lt;&gt;W23,R39&lt;&gt;W22,R39&lt;&gt;W21,R39&lt;&gt;W20,R39&lt;&gt;W19,R39&lt;&gt;W18,R39&lt;&gt;W17,R39&lt;&gt;W16,R39&lt;&gt;W15,R39&lt;&gt;W14,R39&lt;&gt;W13,R39&lt;&gt;W12,R39&lt;&gt;W11,R39&lt;&gt;W10,R39&lt;&gt;W9,R39&lt;&gt;W8),R39,IF(AND(T40&lt;&gt;0,R40&lt;&gt;W23,R40&lt;&gt;W22,R40&lt;&gt;W21,R40&lt;&gt;W20,R40&lt;&gt;W19,R40&lt;&gt;W18,R40&lt;&gt;W17,R40&lt;&gt;W16,R40&lt;&gt;W15,R40&lt;&gt;W14,R40&lt;&gt;W13,R40&lt;&gt;W12,R40&lt;&gt;W11,R40&lt;&gt;W10,R40&lt;&gt;W9,R40&lt;&gt;W8),R40,IF(AND(T41&lt;&gt;0,R41&lt;&gt;W23,R41&lt;&gt;W22,R41&lt;&gt;W21,R41&lt;&gt;W20,R41&lt;&gt;W19,R41&lt;&gt;W18,R41&lt;&gt;W17,R41&lt;&gt;W16,R41&lt;&gt;W15,R41&lt;&gt;W14,R41&lt;&gt;W13,R41&lt;&gt;W12,R41&lt;&gt;W11,R41&lt;&gt;W10,R41&lt;&gt;W9,R41&lt;&gt;W8),R41,IF(AND(T42&lt;&gt;0,R42&lt;&gt;W23,R42&lt;&gt;W22,R42&lt;&gt;W21,R42&lt;&gt;W20,R42&lt;&gt;W19,R42&lt;&gt;W18,R42&lt;&gt;W17,R42&lt;&gt;W16,R42&lt;&gt;W15,R42&lt;&gt;W14,R42&lt;&gt;W13,R42&lt;&gt;W12,R42&lt;&gt;W11,R42&lt;&gt;W10,R42&lt;&gt;W9,R42&lt;&gt;W8),R42,""))))))))))))))</f>
        <v>0</v>
      </c>
      <c r="X24" s="1308"/>
      <c r="Y24" s="1309">
        <f ca="1" t="shared" si="0">IF(ISNA(VLOOKUP(W24,$AE$8:$AG$46,2,False))=True,"",VLOOKUP(W24,$AE$8:$AG$46,2,False))</f>
        <v>0</v>
      </c>
      <c r="Z24" s="1309">
        <f ca="1" t="shared" si="1">IF(ISNA(VLOOKUP(W24,$AE$8:$AG$46,3,False))=True,"",VLOOKUP(W24,$AE$8:$AG$46,3,False))</f>
        <v>0</v>
      </c>
      <c r="AA24" s="1310">
        <f ca="1" t="shared" si="2">IF(ISNA(VLOOKUP(W24,$R$8:$T$42,3,False))=True,"",VLOOKUP(W24,$R$8:$T$42,3,False))</f>
        <v>0</v>
      </c>
      <c r="AB24" s="1521">
        <f ca="1">_xlfn.IFNA(IF(ISTEXT(VLOOKUP(W24,'DRAFT A&amp;L'!$B$7:$G$100,4,0)),VLOOKUP(W24,'DRAFT A&amp;L'!$B$7:$G$100,4,0),YEAR(VLOOKUP(W24,'DRAFT A&amp;L'!$B$7:$G$100,4,0))),"")</f>
        <v>0</v>
      </c>
      <c r="AC24" s="423"/>
      <c r="AE24" s="1024" t="s">
        <v>1030</v>
      </c>
      <c r="AF24" s="1035" t="s">
        <v>1029</v>
      </c>
      <c r="AG24" s="1035" t="s">
        <v>1067</v>
      </c>
      <c r="AK24" s="1092">
        <f t="shared" si="3">COUNTIF($BA$8:$BA$152,AF24)</f>
        <v>0</v>
      </c>
      <c r="AM24" s="1077"/>
      <c r="AN24" s="1096"/>
      <c r="AO24" s="1078"/>
      <c r="AP24" s="1079"/>
      <c r="AQ24" s="1080"/>
      <c r="AR24" s="1080">
        <f t="shared" si="8">IF(E24&lt;&gt;"",E24,"")</f>
        <v>0</v>
      </c>
      <c r="AS24" s="1078">
        <f t="shared" si="9">F24</f>
        <v>0</v>
      </c>
      <c r="AT24" s="1080">
        <f t="shared" si="10">IF(H24&lt;&gt;"",H24,"")</f>
        <v>0</v>
      </c>
      <c r="AU24" s="1080">
        <f>J24</f>
        <v>0</v>
      </c>
      <c r="AV24" s="1080"/>
      <c r="AW24" s="1081"/>
      <c r="AX24" s="237">
        <f t="shared" si="71">IF(AZ24&lt;&gt;"",AX23+1,"")</f>
        <v>0</v>
      </c>
      <c r="AY24" s="1087">
        <v>17</v>
      </c>
      <c r="AZ24" s="1087">
        <f t="shared" si="14">IF(ISNA(VLOOKUP(AY24,$AN$8:$AW$148,2,False))=True,"",VLOOKUP(AY24,$AN$8:$AW$148,2,False))</f>
        <v>0</v>
      </c>
      <c r="BA24" s="1087">
        <f t="shared" si="15">IF(ISNA(VLOOKUP(AZ24,$AE$8:$AF$46,2,False))=True,"",VLOOKUP(AZ24,$AE$8:$AF$46,2,False))</f>
        <v>0</v>
      </c>
      <c r="BB24" s="1087">
        <f t="shared" si="16">IF(ISNA(VLOOKUP(AY24,$AN$8:$AW$148,4,False))=True,"",VLOOKUP(AY24,$AN$8:$AW$148,4,False))</f>
        <v>0</v>
      </c>
      <c r="BC24" s="1087">
        <f t="shared" si="17">IF(ISNA(VLOOKUP(AY24,$AN$8:$AW$148,5,False))=True,"",VLOOKUP(AY24,$AN$8:$AW$148,5,False))</f>
        <v>0</v>
      </c>
      <c r="BD24" s="1087">
        <f t="shared" si="84">IF(ISNA(VLOOKUP(AY24,$AN$8:$AW$148,6,False))=True,"",VLOOKUP(AY24,$AN$8:$AW$148,6,False))</f>
        <v>0</v>
      </c>
      <c r="BE24" s="1125">
        <f t="shared" si="19">IF(ISNA(VLOOKUP(AY24,$AN$8:$AW$148,7,False))=True,"",VLOOKUP(AY24,$AN$8:$AW$148,7,False))</f>
        <v>0</v>
      </c>
      <c r="BF24" s="1123">
        <f t="shared" si="20">IF(ISNA(VLOOKUP($AY24,$AN$8:$AW$148,8,False))=True,"",VLOOKUP($AY24,$AN$8:$AW$148,8,False))</f>
        <v>0</v>
      </c>
      <c r="BG24" s="1120">
        <f t="shared" si="21">IF(ISNA(VLOOKUP($AY24,$AN$8:$AW$148,9,False))=True,"",VLOOKUP($AY24,$AN$8:$AW$148,9,False))</f>
        <v>0</v>
      </c>
      <c r="BH24" s="1120">
        <f t="shared" si="22">IF(ISNA(VLOOKUP($AY24,$AN$8:$AW$148,10,False))=True,"",VLOOKUP($AY24,$AN$8:$AW$148,10,False))</f>
        <v>0</v>
      </c>
      <c r="BI24" s="250">
        <f t="shared" si="49">IF(AZ24&lt;&gt;"",AZ24,"")</f>
        <v>0</v>
      </c>
      <c r="BJ24" s="1098">
        <f t="shared" si="50">BI24</f>
        <v>0</v>
      </c>
      <c r="BK24" s="1115">
        <f>COUNTIFS($AZ:$AZ, AZ24,$BJ:$BJ, "&lt;"&amp;BJ24)+COUNTIFS(AZ$8:AZ24, AZ24, BJ$8:BJ24, BJ24)</f>
        <v>17</v>
      </c>
      <c r="BL24" s="1114">
        <f t="shared" si="51">BK24/100</f>
        <v>0.17</v>
      </c>
      <c r="BM24" s="1093" t="e">
        <f t="shared" si="89" ref="BM24">BI24+BL24</f>
        <v>#VALUE!</v>
      </c>
      <c r="BN24" s="1101">
        <f t="shared" si="52">IF(BA24&lt;&gt;"",BM24,"")</f>
        <v>0</v>
      </c>
      <c r="BO24" s="1118">
        <f t="shared" si="53">IF(BN24&lt;&gt;"",BN24,0)</f>
        <v>0</v>
      </c>
      <c r="BP24" s="237" t="e">
        <f t="shared" si="23">SMALL($BN$8:$BN$152,AX24)</f>
        <v>#VALUE!</v>
      </c>
      <c r="BR24" s="1102" t="e">
        <f t="shared" si="54">IF(BP24&lt;&gt;"",BR23+1,"")</f>
        <v>#VALUE!</v>
      </c>
      <c r="BS24" s="1102">
        <f t="shared" si="55">IFERROR(BP24,"")</f>
        <v>0</v>
      </c>
      <c r="BT24" s="1102">
        <f t="shared" si="56">IFERROR(CC24,"")</f>
        <v>0</v>
      </c>
      <c r="BU24" s="1098">
        <f t="shared" si="57">IFERROR(CD24,"")</f>
        <v>0</v>
      </c>
      <c r="BV24" s="1098">
        <f t="shared" si="58">IFERROR(CE24,"")</f>
        <v>0</v>
      </c>
      <c r="BW24" s="1098">
        <f t="shared" si="59">IFERROR(CF24,"")</f>
        <v>0</v>
      </c>
      <c r="BX24" s="1146">
        <f t="shared" si="60">IFERROR(CH24,"")</f>
        <v>0</v>
      </c>
      <c r="BY24" s="1098">
        <f t="shared" si="61">IFERROR(CG24,"")</f>
        <v>0</v>
      </c>
      <c r="BZ24" s="1144" t="str">
        <f t="shared" si="62">IFERROR(CI24,"-")</f>
        <v>-</v>
      </c>
      <c r="CA24" s="1107">
        <f t="shared" si="63">IFERROR(CJ24,"")</f>
        <v>0</v>
      </c>
      <c r="CB24" s="1107">
        <f t="shared" si="64">IFERROR(CK24,"")</f>
        <v>0</v>
      </c>
      <c r="CC24" s="1110" t="e">
        <f t="shared" si="25">INDEX($AZ$8:$AZ$153,MATCH(BP24,$BO$8:$BO$153,0))</f>
        <v>#VALUE!</v>
      </c>
      <c r="CD24" s="1087" t="e">
        <f t="shared" si="26">INDEX($BA$8:$BA$153,MATCH(BP24,$BO$8:$BO$153,0))</f>
        <v>#VALUE!</v>
      </c>
      <c r="CE24" s="1106" t="e">
        <f t="shared" si="27">INDEX($BB$8:$BB$153,MATCH(BP24,$BO$8:$BO$153,0))</f>
        <v>#VALUE!</v>
      </c>
      <c r="CF24" s="1106" t="e">
        <f t="shared" si="28">INDEX(BC$8:BC$153,MATCH(BP24,$BO$8:$BO$153,0))</f>
        <v>#VALUE!</v>
      </c>
      <c r="CG24" s="1118" t="e">
        <f t="shared" si="29">INDEX(BE$8:BE$153,MATCH(BP24,$BO$8:$BO$153,0))</f>
        <v>#VALUE!</v>
      </c>
      <c r="CH24" s="1106" t="e">
        <f t="shared" si="30">INDEX($BD$8:$BD$153,MATCH($BP24,$BO$8:$BO$153,0))</f>
        <v>#VALUE!</v>
      </c>
      <c r="CI24" s="1142" t="e">
        <f t="shared" si="31">INDEX($BF$8:$BF$153,MATCH(BP24,$BO$8:$BO$153,0))</f>
        <v>#VALUE!</v>
      </c>
      <c r="CJ24" s="1106" t="e">
        <f t="shared" si="32">INDEX($BG$8:$BG$153,MATCH(BP24,$BO$8:$BO$153,0))</f>
        <v>#VALUE!</v>
      </c>
      <c r="CK24" s="1106" t="e">
        <f t="shared" si="33">INDEX($BH$8:$BH$153,MATCH(BP24,$BO$8:$BO$153,0))</f>
        <v>#VALUE!</v>
      </c>
      <c r="CM24" s="1131">
        <f t="shared" si="34">COUNTIF($CH$8:$CH$228,"&lt;="&amp;CH24)</f>
        <v>145</v>
      </c>
      <c r="CN24" s="1121">
        <f t="shared" si="65">--ISNUMBER(BX24)</f>
        <v>0</v>
      </c>
      <c r="CO24" s="1121">
        <f t="shared" si="66">IF(BX24=0,1,0)</f>
        <v>0</v>
      </c>
      <c r="CP24" s="1124">
        <f t="shared" si="35">IF(ISNUMBER(BX24),CM24,IF(ISERROR(BX24),CM24,CM24+$CN$154))+$CO$154</f>
        <v>145</v>
      </c>
      <c r="CQ24" s="237">
        <f>IFERROR(INDEX($BX$8:$BX$153,MATCH(SMALL($CP$8:$CP$153,ROWS($CQ$8:CQ24)+$CO$154),$CP$8:$CP$154,0)),"")</f>
        <v>0</v>
      </c>
      <c r="CR24" s="237">
        <v>0.1</v>
      </c>
      <c r="CS24" s="1135">
        <f t="shared" si="67">CM24+CR24</f>
        <v>145.1</v>
      </c>
      <c r="CT24" s="237">
        <f>COUNTIFS($CM:$CM, CM24,$CS:$CS, "&lt;"&amp;CL)+COUNTIFS(CM$8:CM24, CM24, CS$8:CS24, CS24)</f>
        <v>17</v>
      </c>
      <c r="CU24" s="1109">
        <f t="shared" si="68">CT24/100</f>
        <v>0.17</v>
      </c>
      <c r="CV24" s="1109">
        <f t="shared" si="69">CM24+CU24</f>
        <v>145.17</v>
      </c>
      <c r="CW24" s="237" t="e">
        <f t="shared" si="36">SMALL(CV$8:CV$153,AX24)</f>
        <v>#VALUE!</v>
      </c>
      <c r="CX24" s="1109">
        <f t="shared" si="70">IFERROR(CW24,"")</f>
        <v>0</v>
      </c>
      <c r="CY24" s="237" t="e">
        <f t="shared" si="37">INDEX(BU$8:BU$152,MATCH($CX24,CV$8:CV$152,0))</f>
        <v>#N/A</v>
      </c>
      <c r="CZ24" s="237" t="e">
        <f t="shared" si="38">INDEX(BV$8:BV$152,MATCH($CX24,$CV$8:$CV$152,0))</f>
        <v>#N/A</v>
      </c>
      <c r="DA24" s="237" t="e">
        <f t="shared" si="39">INDEX(BW$8:BW$152,MATCH($CX24,$CV$8:$CV$152,0))</f>
        <v>#N/A</v>
      </c>
      <c r="DB24" s="237" t="e">
        <f t="shared" si="40">INDEX(BX$8:BX$152,MATCH($CX24,$CV$8:$CV$152,0))</f>
        <v>#N/A</v>
      </c>
      <c r="DC24" s="237" t="e">
        <f t="shared" si="41">INDEX(BY$8:BY$152,MATCH($CX24,$CV$8:$CV$152,0))</f>
        <v>#N/A</v>
      </c>
      <c r="DD24" s="237" t="e">
        <f t="shared" si="42">INDEX(BZ$8:BZ$152,MATCH($CX24,$CV$8:$CV$152,0))</f>
        <v>#N/A</v>
      </c>
      <c r="DE24" s="237" t="e">
        <f t="shared" si="43">INDEX(CA$8:CA$152,MATCH($CX24,$CV$8:$CV$152,0))</f>
        <v>#N/A</v>
      </c>
      <c r="DF24" s="237" t="e">
        <f t="shared" si="44">INDEX(CB$8:CB$152,MATCH($CX24,$CV$8:$CV$152,0))</f>
        <v>#N/A</v>
      </c>
    </row>
    <row r="25" spans="1:110" ht="13.5" customHeight="1" thickTop="1">
      <c r="A25" s="866" t="s">
        <v>839</v>
      </c>
      <c r="B25" s="1505"/>
      <c r="C25" s="865"/>
      <c r="D25" s="1153"/>
      <c r="E25" s="865"/>
      <c r="F25" s="865"/>
      <c r="G25" s="865"/>
      <c r="H25" s="865"/>
      <c r="I25" s="1471"/>
      <c r="J25" s="763"/>
      <c r="K25" s="763"/>
      <c r="L25" s="867"/>
      <c r="M25" s="807"/>
      <c r="O25" s="2046"/>
      <c r="P25" s="1056" t="s">
        <v>1031</v>
      </c>
      <c r="Q25" s="1056" t="s">
        <v>1068</v>
      </c>
      <c r="R25" s="1056" t="s">
        <v>1032</v>
      </c>
      <c r="S25" s="1031">
        <f ca="1">SUMIF($B$71:$M$85,$R25,$K$71:$K$85)</f>
        <v>0</v>
      </c>
      <c r="T25" s="1031">
        <f ca="1">SUMIF($B$71:$M$85,$R25,$M$71:$M$85)</f>
        <v>0</v>
      </c>
      <c r="U25" s="1031"/>
      <c r="W25" s="1308">
        <f ca="1">IF(AND(T25&lt;&gt;0,R25&lt;&gt;W24,R25&lt;&gt;W23,R25&lt;&gt;W22,R25&lt;&gt;W21,R25&lt;&gt;W20,R25&lt;&gt;W19,R25&lt;&gt;W18,R25&lt;&gt;W17,R25&lt;&gt;W16,R25&lt;&gt;W15,R25&lt;&gt;W14,R25&lt;&gt;W13,R25&lt;&gt;W12,R25&lt;&gt;W11,R25&lt;&gt;W10,R25&lt;&gt;W9,R25&lt;&gt;W8),R25,IF(AND(T26&lt;&gt;0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24,R42&lt;&gt;W23,R42&lt;&gt;W22,R42&lt;&gt;W21,R42&lt;&gt;W20,R42&lt;&gt;W19,R42&lt;&gt;W18,R42&lt;&gt;W17,R42&lt;&gt;W16,R42&lt;&gt;W15,R42&lt;&gt;W14,R42&lt;&gt;W13,R42&lt;&gt;W12,R42&lt;&gt;W11,R42&lt;&gt;W10,R42&lt;&gt;W9,R42&lt;&gt;W8),R42,"")))))))))))))</f>
        <v>0</v>
      </c>
      <c r="X25" s="1308"/>
      <c r="Y25" s="1309">
        <f ca="1" t="shared" si="0">IF(ISNA(VLOOKUP(W25,$AE$8:$AG$46,2,False))=True,"",VLOOKUP(W25,$AE$8:$AG$46,2,False))</f>
        <v>0</v>
      </c>
      <c r="Z25" s="1309">
        <f ca="1" t="shared" si="1">IF(ISNA(VLOOKUP(W25,$AE$8:$AG$46,3,False))=True,"",VLOOKUP(W25,$AE$8:$AG$46,3,False))</f>
        <v>0</v>
      </c>
      <c r="AA25" s="1310">
        <f ca="1" t="shared" si="2">IF(ISNA(VLOOKUP(W25,$R$8:$T$42,3,False))=True,"",VLOOKUP(W25,$R$8:$T$42,3,False))</f>
        <v>0</v>
      </c>
      <c r="AB25" s="1521">
        <f ca="1">_xlfn.IFNA(IF(ISTEXT(VLOOKUP(W25,'DRAFT A&amp;L'!$B$7:$G$100,4,0)),VLOOKUP(W25,'DRAFT A&amp;L'!$B$7:$G$100,4,0),YEAR(VLOOKUP(W25,'DRAFT A&amp;L'!$B$7:$G$100,4,0))),"")</f>
        <v>0</v>
      </c>
      <c r="AC25" s="423"/>
      <c r="AE25" s="1024" t="s">
        <v>1032</v>
      </c>
      <c r="AF25" s="1035" t="s">
        <v>1031</v>
      </c>
      <c r="AG25" s="1035" t="s">
        <v>1068</v>
      </c>
      <c r="AK25" s="1092">
        <f t="shared" si="3">COUNTIF($BA$8:$BA$152,AF25)</f>
        <v>0</v>
      </c>
      <c r="AM25" s="1077"/>
      <c r="AN25" s="1096"/>
      <c r="AO25" s="1078"/>
      <c r="AP25" s="1079"/>
      <c r="AQ25" s="1080"/>
      <c r="AR25" s="1080">
        <f t="shared" si="8">IF(E25&lt;&gt;"",E25,"")</f>
        <v>0</v>
      </c>
      <c r="AS25" s="1078">
        <f t="shared" si="9">F25</f>
        <v>0</v>
      </c>
      <c r="AT25" s="1080">
        <f t="shared" si="10">IF(H25&lt;&gt;"",H25,"")</f>
        <v>0</v>
      </c>
      <c r="AU25" s="1080">
        <f>J25</f>
        <v>0</v>
      </c>
      <c r="AV25" s="1080"/>
      <c r="AW25" s="1081"/>
      <c r="AX25" s="237">
        <f t="shared" si="71">IF(AZ25&lt;&gt;"",AX24+1,"")</f>
        <v>0</v>
      </c>
      <c r="AY25" s="1087">
        <v>18</v>
      </c>
      <c r="AZ25" s="1087">
        <f t="shared" si="14">IF(ISNA(VLOOKUP(AY25,$AN$8:$AW$148,2,False))=True,"",VLOOKUP(AY25,$AN$8:$AW$148,2,False))</f>
        <v>0</v>
      </c>
      <c r="BA25" s="1087">
        <f t="shared" si="15">IF(ISNA(VLOOKUP(AZ25,$AE$8:$AF$46,2,False))=True,"",VLOOKUP(AZ25,$AE$8:$AF$46,2,False))</f>
        <v>0</v>
      </c>
      <c r="BB25" s="1087">
        <f t="shared" si="16">IF(ISNA(VLOOKUP(AY25,$AN$8:$AW$148,4,False))=True,"",VLOOKUP(AY25,$AN$8:$AW$148,4,False))</f>
        <v>0</v>
      </c>
      <c r="BC25" s="1087">
        <f t="shared" si="17">IF(ISNA(VLOOKUP(AY25,$AN$8:$AW$148,5,False))=True,"",VLOOKUP(AY25,$AN$8:$AW$148,5,False))</f>
        <v>0</v>
      </c>
      <c r="BD25" s="1087">
        <f t="shared" si="84">IF(ISNA(VLOOKUP(AY25,$AN$8:$AW$148,6,False))=True,"",VLOOKUP(AY25,$AN$8:$AW$148,6,False))</f>
        <v>0</v>
      </c>
      <c r="BE25" s="1125">
        <f t="shared" si="19">IF(ISNA(VLOOKUP(AY25,$AN$8:$AW$148,7,False))=True,"",VLOOKUP(AY25,$AN$8:$AW$148,7,False))</f>
        <v>0</v>
      </c>
      <c r="BF25" s="1123">
        <f t="shared" si="20">IF(ISNA(VLOOKUP($AY25,$AN$8:$AW$148,8,False))=True,"",VLOOKUP($AY25,$AN$8:$AW$148,8,False))</f>
        <v>0</v>
      </c>
      <c r="BG25" s="1120">
        <f t="shared" si="21">IF(ISNA(VLOOKUP($AY25,$AN$8:$AW$148,9,False))=True,"",VLOOKUP($AY25,$AN$8:$AW$148,9,False))</f>
        <v>0</v>
      </c>
      <c r="BH25" s="1120">
        <f t="shared" si="22">IF(ISNA(VLOOKUP($AY25,$AN$8:$AW$148,10,False))=True,"",VLOOKUP($AY25,$AN$8:$AW$148,10,False))</f>
        <v>0</v>
      </c>
      <c r="BI25" s="250">
        <f t="shared" si="49">IF(AZ25&lt;&gt;"",AZ25,"")</f>
        <v>0</v>
      </c>
      <c r="BJ25" s="1098">
        <f t="shared" si="50">BI25</f>
        <v>0</v>
      </c>
      <c r="BK25" s="1115">
        <f>COUNTIFS($AZ:$AZ, AZ25,$BJ:$BJ, "&lt;"&amp;BJ25)+COUNTIFS(AZ$8:AZ25, AZ25, BJ$8:BJ25, BJ25)</f>
        <v>18</v>
      </c>
      <c r="BL25" s="1114">
        <f t="shared" si="51">BK25/100</f>
        <v>0.18</v>
      </c>
      <c r="BM25" s="1093" t="e">
        <f t="shared" si="90" ref="BM25">BJ25+BL25</f>
        <v>#VALUE!</v>
      </c>
      <c r="BN25" s="1101">
        <f t="shared" si="52">IF(BA25&lt;&gt;"",BM25,"")</f>
        <v>0</v>
      </c>
      <c r="BO25" s="1118">
        <f t="shared" si="53">IF(BN25&lt;&gt;"",BN25,0)</f>
        <v>0</v>
      </c>
      <c r="BP25" s="237" t="e">
        <f t="shared" si="23">SMALL($BN$8:$BN$152,AX25)</f>
        <v>#VALUE!</v>
      </c>
      <c r="BR25" s="1102" t="e">
        <f t="shared" si="54">IF(BP25&lt;&gt;"",BR24+1,"")</f>
        <v>#VALUE!</v>
      </c>
      <c r="BS25" s="1102">
        <f t="shared" si="55">IFERROR(BP25,"")</f>
        <v>0</v>
      </c>
      <c r="BT25" s="1102">
        <f t="shared" si="56">IFERROR(CC25,"")</f>
        <v>0</v>
      </c>
      <c r="BU25" s="1098">
        <f t="shared" si="57">IFERROR(CD25,"")</f>
        <v>0</v>
      </c>
      <c r="BV25" s="1098">
        <f t="shared" si="58">IFERROR(CE25,"")</f>
        <v>0</v>
      </c>
      <c r="BW25" s="1098">
        <f t="shared" si="59">IFERROR(CF25,"")</f>
        <v>0</v>
      </c>
      <c r="BX25" s="1146">
        <f t="shared" si="60">IFERROR(CH25,"")</f>
        <v>0</v>
      </c>
      <c r="BY25" s="1098">
        <f t="shared" si="61">IFERROR(CG25,"")</f>
        <v>0</v>
      </c>
      <c r="BZ25" s="1144" t="str">
        <f t="shared" si="62">IFERROR(CI25,"-")</f>
        <v>-</v>
      </c>
      <c r="CA25" s="1107">
        <f t="shared" si="63">IFERROR(CJ25,"")</f>
        <v>0</v>
      </c>
      <c r="CB25" s="1107">
        <f t="shared" si="64">IFERROR(CK25,"")</f>
        <v>0</v>
      </c>
      <c r="CC25" s="1110" t="e">
        <f t="shared" si="25">INDEX($AZ$8:$AZ$153,MATCH(BP25,$BO$8:$BO$153,0))</f>
        <v>#VALUE!</v>
      </c>
      <c r="CD25" s="1087" t="e">
        <f t="shared" si="26">INDEX($BA$8:$BA$153,MATCH(BP25,$BO$8:$BO$153,0))</f>
        <v>#VALUE!</v>
      </c>
      <c r="CE25" s="1106" t="e">
        <f t="shared" si="27">INDEX($BB$8:$BB$153,MATCH(BP25,$BO$8:$BO$153,0))</f>
        <v>#VALUE!</v>
      </c>
      <c r="CF25" s="1106" t="e">
        <f t="shared" si="28">INDEX(BC$8:BC$153,MATCH(BP25,$BO$8:$BO$153,0))</f>
        <v>#VALUE!</v>
      </c>
      <c r="CG25" s="1118" t="e">
        <f t="shared" si="29">INDEX(BE$8:BE$153,MATCH(BP25,$BO$8:$BO$153,0))</f>
        <v>#VALUE!</v>
      </c>
      <c r="CH25" s="1106" t="e">
        <f t="shared" si="30">INDEX($BD$8:$BD$153,MATCH($BP25,$BO$8:$BO$153,0))</f>
        <v>#VALUE!</v>
      </c>
      <c r="CI25" s="1142" t="e">
        <f t="shared" si="31">INDEX($BF$8:$BF$153,MATCH(BP25,$BO$8:$BO$153,0))</f>
        <v>#VALUE!</v>
      </c>
      <c r="CJ25" s="1106" t="e">
        <f t="shared" si="32">INDEX($BG$8:$BG$153,MATCH(BP25,$BO$8:$BO$153,0))</f>
        <v>#VALUE!</v>
      </c>
      <c r="CK25" s="1106" t="e">
        <f t="shared" si="33">INDEX($BH$8:$BH$153,MATCH(BP25,$BO$8:$BO$153,0))</f>
        <v>#VALUE!</v>
      </c>
      <c r="CM25" s="1131">
        <f t="shared" si="34">COUNTIF($CH$8:$CH$228,"&lt;="&amp;CH25)</f>
        <v>145</v>
      </c>
      <c r="CN25" s="1121">
        <f t="shared" si="65">--ISNUMBER(BX25)</f>
        <v>0</v>
      </c>
      <c r="CO25" s="1121">
        <f t="shared" si="66">IF(BX25=0,1,0)</f>
        <v>0</v>
      </c>
      <c r="CP25" s="1124">
        <f t="shared" si="35">IF(ISNUMBER(BX25),CM25,IF(ISERROR(BX25),CM25,CM25+$CN$154))+$CO$154</f>
        <v>145</v>
      </c>
      <c r="CQ25" s="237">
        <f>IFERROR(INDEX($BX$8:$BX$153,MATCH(SMALL($CP$8:$CP$153,ROWS($CQ$8:CQ25)+$CO$154),$CP$8:$CP$154,0)),"")</f>
        <v>0</v>
      </c>
      <c r="CR25" s="237">
        <v>0.1</v>
      </c>
      <c r="CS25" s="1135">
        <f t="shared" si="67">CM25+CR25</f>
        <v>145.1</v>
      </c>
      <c r="CT25" s="237">
        <f>COUNTIFS($CM:$CM, CM25,$CS:$CS, "&lt;"&amp;CL)+COUNTIFS(CM$8:CM25, CM25, CS$8:CS25, CS25)</f>
        <v>18</v>
      </c>
      <c r="CU25" s="1109">
        <f t="shared" si="68">CT25/100</f>
        <v>0.18</v>
      </c>
      <c r="CV25" s="1109">
        <f t="shared" si="69">CM25+CU25</f>
        <v>145.18</v>
      </c>
      <c r="CW25" s="237" t="e">
        <f t="shared" si="36">SMALL(CV$8:CV$153,AX25)</f>
        <v>#VALUE!</v>
      </c>
      <c r="CX25" s="1109">
        <f t="shared" si="70">IFERROR(CW25,"")</f>
        <v>0</v>
      </c>
      <c r="CY25" s="237" t="e">
        <f t="shared" si="37">INDEX(BU$8:BU$152,MATCH($CX25,CV$8:CV$152,0))</f>
        <v>#N/A</v>
      </c>
      <c r="CZ25" s="237" t="e">
        <f t="shared" si="38">INDEX(BV$8:BV$152,MATCH($CX25,$CV$8:$CV$152,0))</f>
        <v>#N/A</v>
      </c>
      <c r="DA25" s="237" t="e">
        <f t="shared" si="39">INDEX(BW$8:BW$152,MATCH($CX25,$CV$8:$CV$152,0))</f>
        <v>#N/A</v>
      </c>
      <c r="DB25" s="237" t="e">
        <f t="shared" si="40">INDEX(BX$8:BX$152,MATCH($CX25,$CV$8:$CV$152,0))</f>
        <v>#N/A</v>
      </c>
      <c r="DC25" s="237" t="e">
        <f t="shared" si="41">INDEX(BY$8:BY$152,MATCH($CX25,$CV$8:$CV$152,0))</f>
        <v>#N/A</v>
      </c>
      <c r="DD25" s="237" t="e">
        <f t="shared" si="42">INDEX(BZ$8:BZ$152,MATCH($CX25,$CV$8:$CV$152,0))</f>
        <v>#N/A</v>
      </c>
      <c r="DE25" s="237" t="e">
        <f t="shared" si="43">INDEX(CA$8:CA$152,MATCH($CX25,$CV$8:$CV$152,0))</f>
        <v>#N/A</v>
      </c>
      <c r="DF25" s="237" t="e">
        <f t="shared" si="44">INDEX(CB$8:CB$152,MATCH($CX25,$CV$8:$CV$152,0))</f>
        <v>#N/A</v>
      </c>
    </row>
    <row r="26" spans="1:110" ht="13.5" customHeight="1" thickBot="1">
      <c r="A26" s="1215"/>
      <c r="B26" s="1505"/>
      <c r="C26" s="865"/>
      <c r="D26" s="1153"/>
      <c r="E26" s="865"/>
      <c r="F26" s="865"/>
      <c r="G26" s="865"/>
      <c r="H26" s="865"/>
      <c r="I26" s="1471"/>
      <c r="J26" s="763"/>
      <c r="K26" s="763"/>
      <c r="L26" s="867"/>
      <c r="M26" s="807"/>
      <c r="O26" s="2046"/>
      <c r="P26" s="1056" t="s">
        <v>1033</v>
      </c>
      <c r="Q26" s="1056" t="s">
        <v>1069</v>
      </c>
      <c r="R26" s="1056" t="s">
        <v>1034</v>
      </c>
      <c r="S26" s="1031">
        <f ca="1">SUMIF($B$71:$M$85,$R26,$K$71:$K$85)</f>
        <v>0</v>
      </c>
      <c r="T26" s="1031">
        <f ca="1">SUMIF($B$71:$M$85,$R26,$M$71:$M$85)</f>
        <v>0</v>
      </c>
      <c r="U26" s="1031"/>
      <c r="W26" s="1308">
        <f ca="1">IF(AND(T26&lt;&gt;0,R26&lt;&gt;W25,R26&lt;&gt;W24,R26&lt;&gt;W23,R26&lt;&gt;W22,R26&lt;&gt;W21,R26&lt;&gt;W20,R26&lt;&gt;W19,R26&lt;&gt;W18,R26&lt;&gt;W17,R26&lt;&gt;W16,R26&lt;&gt;W15,R26&lt;&gt;W14,R26&lt;&gt;W13,R26&lt;&gt;W12,R26&lt;&gt;W11,R26&lt;&gt;W10,R26&lt;&gt;W9,R26&lt;&gt;W8),R26,IF(AND(T27&lt;&gt;0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)</f>
        <v>0</v>
      </c>
      <c r="X26" s="1308"/>
      <c r="Y26" s="1309">
        <f ca="1" t="shared" si="0">IF(ISNA(VLOOKUP(W26,$AE$8:$AG$46,2,False))=True,"",VLOOKUP(W26,$AE$8:$AG$46,2,False))</f>
        <v>0</v>
      </c>
      <c r="Z26" s="1309">
        <f ca="1" t="shared" si="1">IF(ISNA(VLOOKUP(W26,$AE$8:$AG$46,3,False))=True,"",VLOOKUP(W26,$AE$8:$AG$46,3,False))</f>
        <v>0</v>
      </c>
      <c r="AA26" s="1310">
        <f ca="1" t="shared" si="2">IF(ISNA(VLOOKUP(W26,$R$8:$T$42,3,False))=True,"",VLOOKUP(W26,$R$8:$T$42,3,False))</f>
        <v>0</v>
      </c>
      <c r="AB26" s="1521">
        <f ca="1">_xlfn.IFNA(IF(ISTEXT(VLOOKUP(W26,'DRAFT A&amp;L'!$B$7:$G$100,4,0)),VLOOKUP(W26,'DRAFT A&amp;L'!$B$7:$G$100,4,0),YEAR(VLOOKUP(W26,'DRAFT A&amp;L'!$B$7:$G$100,4,0))),"")</f>
        <v>0</v>
      </c>
      <c r="AC26" s="423"/>
      <c r="AE26" s="1024" t="s">
        <v>1034</v>
      </c>
      <c r="AF26" s="1035" t="s">
        <v>1033</v>
      </c>
      <c r="AG26" s="1035" t="s">
        <v>1069</v>
      </c>
      <c r="AK26" s="1092">
        <f t="shared" si="3">COUNTIF($BA$8:$BA$152,AF26)</f>
        <v>0</v>
      </c>
      <c r="AM26" s="1077"/>
      <c r="AN26" s="1096"/>
      <c r="AO26" s="1078"/>
      <c r="AP26" s="1079"/>
      <c r="AQ26" s="1080"/>
      <c r="AR26" s="1080">
        <f t="shared" si="8">IF(E26&lt;&gt;"",E26,"")</f>
        <v>0</v>
      </c>
      <c r="AS26" s="1078">
        <f t="shared" si="9">F26</f>
        <v>0</v>
      </c>
      <c r="AT26" s="1080">
        <f t="shared" si="10">IF(H26&lt;&gt;"",H26,"")</f>
        <v>0</v>
      </c>
      <c r="AU26" s="1080">
        <f>J26</f>
        <v>0</v>
      </c>
      <c r="AV26" s="1080"/>
      <c r="AW26" s="1081"/>
      <c r="AX26" s="237">
        <f t="shared" si="71">IF(AZ26&lt;&gt;"",AX25+1,"")</f>
        <v>0</v>
      </c>
      <c r="AY26" s="1087">
        <v>19</v>
      </c>
      <c r="AZ26" s="1087">
        <f t="shared" si="14">IF(ISNA(VLOOKUP(AY26,$AN$8:$AW$148,2,False))=True,"",VLOOKUP(AY26,$AN$8:$AW$148,2,False))</f>
        <v>0</v>
      </c>
      <c r="BA26" s="1087">
        <f t="shared" si="15">IF(ISNA(VLOOKUP(AZ26,$AE$8:$AF$46,2,False))=True,"",VLOOKUP(AZ26,$AE$8:$AF$46,2,False))</f>
        <v>0</v>
      </c>
      <c r="BB26" s="1087">
        <f t="shared" si="16">IF(ISNA(VLOOKUP(AY26,$AN$8:$AW$148,4,False))=True,"",VLOOKUP(AY26,$AN$8:$AW$148,4,False))</f>
        <v>0</v>
      </c>
      <c r="BC26" s="1087">
        <f t="shared" si="17">IF(ISNA(VLOOKUP(AY26,$AN$8:$AW$148,5,False))=True,"",VLOOKUP(AY26,$AN$8:$AW$148,5,False))</f>
        <v>0</v>
      </c>
      <c r="BD26" s="1087">
        <f t="shared" si="84">IF(ISNA(VLOOKUP(AY26,$AN$8:$AW$148,6,False))=True,"",VLOOKUP(AY26,$AN$8:$AW$148,6,False))</f>
        <v>0</v>
      </c>
      <c r="BE26" s="1125">
        <f t="shared" si="19">IF(ISNA(VLOOKUP(AY26,$AN$8:$AW$148,7,False))=True,"",VLOOKUP(AY26,$AN$8:$AW$148,7,False))</f>
        <v>0</v>
      </c>
      <c r="BF26" s="1123">
        <f t="shared" si="20">IF(ISNA(VLOOKUP($AY26,$AN$8:$AW$148,8,False))=True,"",VLOOKUP($AY26,$AN$8:$AW$148,8,False))</f>
        <v>0</v>
      </c>
      <c r="BG26" s="1120">
        <f t="shared" si="21">IF(ISNA(VLOOKUP($AY26,$AN$8:$AW$148,9,False))=True,"",VLOOKUP($AY26,$AN$8:$AW$148,9,False))</f>
        <v>0</v>
      </c>
      <c r="BH26" s="1120">
        <f t="shared" si="22">IF(ISNA(VLOOKUP($AY26,$AN$8:$AW$148,10,False))=True,"",VLOOKUP($AY26,$AN$8:$AW$148,10,False))</f>
        <v>0</v>
      </c>
      <c r="BI26" s="250">
        <f t="shared" si="49">IF(AZ26&lt;&gt;"",AZ26,"")</f>
        <v>0</v>
      </c>
      <c r="BJ26" s="1098">
        <f t="shared" si="50">BI26</f>
        <v>0</v>
      </c>
      <c r="BK26" s="1115">
        <f>COUNTIFS($AZ:$AZ, AZ26,$BJ:$BJ, "&lt;"&amp;BJ26)+COUNTIFS(AZ$8:AZ26, AZ26, BJ$8:BJ26, BJ26)</f>
        <v>19</v>
      </c>
      <c r="BL26" s="1114">
        <f t="shared" si="51">BK26/100</f>
        <v>0.19</v>
      </c>
      <c r="BM26" s="1093" t="e">
        <f t="shared" si="91" ref="BM26">BI26+BL26</f>
        <v>#VALUE!</v>
      </c>
      <c r="BN26" s="1101">
        <f t="shared" si="52">IF(BA26&lt;&gt;"",BM26,"")</f>
        <v>0</v>
      </c>
      <c r="BO26" s="1118">
        <f t="shared" si="53">IF(BN26&lt;&gt;"",BN26,0)</f>
        <v>0</v>
      </c>
      <c r="BP26" s="237" t="e">
        <f t="shared" si="23">SMALL($BN$8:$BN$152,AX26)</f>
        <v>#VALUE!</v>
      </c>
      <c r="BR26" s="1102" t="e">
        <f t="shared" si="54">IF(BP26&lt;&gt;"",BR25+1,"")</f>
        <v>#VALUE!</v>
      </c>
      <c r="BS26" s="1102">
        <f t="shared" si="55">IFERROR(BP26,"")</f>
        <v>0</v>
      </c>
      <c r="BT26" s="1102">
        <f t="shared" si="56">IFERROR(CC26,"")</f>
        <v>0</v>
      </c>
      <c r="BU26" s="1098">
        <f t="shared" si="57">IFERROR(CD26,"")</f>
        <v>0</v>
      </c>
      <c r="BV26" s="1098">
        <f t="shared" si="58">IFERROR(CE26,"")</f>
        <v>0</v>
      </c>
      <c r="BW26" s="1098">
        <f t="shared" si="59">IFERROR(CF26,"")</f>
        <v>0</v>
      </c>
      <c r="BX26" s="1146">
        <f t="shared" si="60">IFERROR(CH26,"")</f>
        <v>0</v>
      </c>
      <c r="BY26" s="1098">
        <f t="shared" si="61">IFERROR(CG26,"")</f>
        <v>0</v>
      </c>
      <c r="BZ26" s="1144" t="str">
        <f t="shared" si="62">IFERROR(CI26,"-")</f>
        <v>-</v>
      </c>
      <c r="CA26" s="1107">
        <f t="shared" si="63">IFERROR(CJ26,"")</f>
        <v>0</v>
      </c>
      <c r="CB26" s="1107">
        <f t="shared" si="64">IFERROR(CK26,"")</f>
        <v>0</v>
      </c>
      <c r="CC26" s="1110" t="e">
        <f t="shared" si="25">INDEX($AZ$8:$AZ$153,MATCH(BP26,$BO$8:$BO$153,0))</f>
        <v>#VALUE!</v>
      </c>
      <c r="CD26" s="1087" t="e">
        <f t="shared" si="26">INDEX($BA$8:$BA$153,MATCH(BP26,$BO$8:$BO$153,0))</f>
        <v>#VALUE!</v>
      </c>
      <c r="CE26" s="1106" t="e">
        <f t="shared" si="27">INDEX($BB$8:$BB$153,MATCH(BP26,$BO$8:$BO$153,0))</f>
        <v>#VALUE!</v>
      </c>
      <c r="CF26" s="1106" t="e">
        <f t="shared" si="28">INDEX(BC$8:BC$153,MATCH(BP26,$BO$8:$BO$153,0))</f>
        <v>#VALUE!</v>
      </c>
      <c r="CG26" s="1118" t="e">
        <f t="shared" si="29">INDEX(BE$8:BE$153,MATCH(BP26,$BO$8:$BO$153,0))</f>
        <v>#VALUE!</v>
      </c>
      <c r="CH26" s="1106" t="e">
        <f t="shared" si="30">INDEX($BD$8:$BD$153,MATCH($BP26,$BO$8:$BO$153,0))</f>
        <v>#VALUE!</v>
      </c>
      <c r="CI26" s="1142" t="e">
        <f t="shared" si="31">INDEX($BF$8:$BF$153,MATCH(BP26,$BO$8:$BO$153,0))</f>
        <v>#VALUE!</v>
      </c>
      <c r="CJ26" s="1106" t="e">
        <f t="shared" si="32">INDEX($BG$8:$BG$153,MATCH(BP26,$BO$8:$BO$153,0))</f>
        <v>#VALUE!</v>
      </c>
      <c r="CK26" s="1106" t="e">
        <f t="shared" si="33">INDEX($BH$8:$BH$153,MATCH(BP26,$BO$8:$BO$153,0))</f>
        <v>#VALUE!</v>
      </c>
      <c r="CM26" s="1131">
        <f t="shared" si="34">COUNTIF($CH$8:$CH$228,"&lt;="&amp;CH26)</f>
        <v>145</v>
      </c>
      <c r="CN26" s="1121">
        <f t="shared" si="65">--ISNUMBER(BX26)</f>
        <v>0</v>
      </c>
      <c r="CO26" s="1121">
        <f t="shared" si="66">IF(BX26=0,1,0)</f>
        <v>0</v>
      </c>
      <c r="CP26" s="1124">
        <f t="shared" si="35">IF(ISNUMBER(BX26),CM26,IF(ISERROR(BX26),CM26,CM26+$CN$154))+$CO$154</f>
        <v>145</v>
      </c>
      <c r="CQ26" s="237">
        <f>IFERROR(INDEX($BX$8:$BX$153,MATCH(SMALL($CP$8:$CP$153,ROWS($CQ$8:CQ26)+$CO$154),$CP$8:$CP$154,0)),"")</f>
        <v>0</v>
      </c>
      <c r="CR26" s="237">
        <v>0.1</v>
      </c>
      <c r="CS26" s="1135">
        <f t="shared" si="67">CM26+CR26</f>
        <v>145.1</v>
      </c>
      <c r="CT26" s="237">
        <f>COUNTIFS($CM:$CM, CM26,$CS:$CS, "&lt;"&amp;CL)+COUNTIFS(CM$8:CM26, CM26, CS$8:CS26, CS26)</f>
        <v>19</v>
      </c>
      <c r="CU26" s="1109">
        <f t="shared" si="68">CT26/100</f>
        <v>0.19</v>
      </c>
      <c r="CV26" s="1109">
        <f t="shared" si="69">CM26+CU26</f>
        <v>145.19</v>
      </c>
      <c r="CW26" s="237" t="e">
        <f t="shared" si="36">SMALL(CV$8:CV$153,AX26)</f>
        <v>#VALUE!</v>
      </c>
      <c r="CX26" s="1109">
        <f t="shared" si="70">IFERROR(CW26,"")</f>
        <v>0</v>
      </c>
      <c r="CY26" s="237" t="e">
        <f t="shared" si="37">INDEX(BU$8:BU$152,MATCH($CX26,CV$8:CV$152,0))</f>
        <v>#N/A</v>
      </c>
      <c r="CZ26" s="237" t="e">
        <f t="shared" si="38">INDEX(BV$8:BV$152,MATCH($CX26,$CV$8:$CV$152,0))</f>
        <v>#N/A</v>
      </c>
      <c r="DA26" s="237" t="e">
        <f t="shared" si="39">INDEX(BW$8:BW$152,MATCH($CX26,$CV$8:$CV$152,0))</f>
        <v>#N/A</v>
      </c>
      <c r="DB26" s="237" t="e">
        <f t="shared" si="40">INDEX(BX$8:BX$152,MATCH($CX26,$CV$8:$CV$152,0))</f>
        <v>#N/A</v>
      </c>
      <c r="DC26" s="237" t="e">
        <f t="shared" si="41">INDEX(BY$8:BY$152,MATCH($CX26,$CV$8:$CV$152,0))</f>
        <v>#N/A</v>
      </c>
      <c r="DD26" s="237" t="e">
        <f t="shared" si="42">INDEX(BZ$8:BZ$152,MATCH($CX26,$CV$8:$CV$152,0))</f>
        <v>#N/A</v>
      </c>
      <c r="DE26" s="237" t="e">
        <f t="shared" si="43">INDEX(CA$8:CA$152,MATCH($CX26,$CV$8:$CV$152,0))</f>
        <v>#N/A</v>
      </c>
      <c r="DF26" s="237" t="e">
        <f t="shared" si="44">INDEX(CB$8:CB$152,MATCH($CX26,$CV$8:$CV$152,0))</f>
        <v>#N/A</v>
      </c>
    </row>
    <row r="27" spans="1:110" s="252" customFormat="1" ht="13.5" customHeight="1">
      <c r="A27" s="2032" t="s">
        <v>84</v>
      </c>
      <c r="B27" s="2030" t="s">
        <v>994</v>
      </c>
      <c r="C27" s="2029" t="s">
        <v>340</v>
      </c>
      <c r="D27" s="2034" t="s">
        <v>1090</v>
      </c>
      <c r="E27" s="2015" t="s">
        <v>606</v>
      </c>
      <c r="F27" s="2034" t="s">
        <v>1122</v>
      </c>
      <c r="G27" s="2034" t="s">
        <v>1091</v>
      </c>
      <c r="H27" s="2034" t="s">
        <v>1092</v>
      </c>
      <c r="I27" s="2014" t="s">
        <v>341</v>
      </c>
      <c r="J27" s="2015" t="s">
        <v>342</v>
      </c>
      <c r="K27" s="2015" t="s">
        <v>343</v>
      </c>
      <c r="L27" s="2015"/>
      <c r="M27" s="2016"/>
      <c r="N27" s="252"/>
      <c r="O27" s="2046"/>
      <c r="P27" s="1057" t="s">
        <v>1035</v>
      </c>
      <c r="Q27" s="1057" t="s">
        <v>1070</v>
      </c>
      <c r="R27" s="1057" t="s">
        <v>1036</v>
      </c>
      <c r="S27" s="1031">
        <f ca="1">SUMIF($B$71:$M$85,$R27,$K$71:$K$85)</f>
        <v>0</v>
      </c>
      <c r="T27" s="1031">
        <f ca="1">SUMIF($B$71:$M$85,$R27,$M$71:$M$85)</f>
        <v>0</v>
      </c>
      <c r="U27" s="1031"/>
      <c r="V27" s="237"/>
      <c r="W27" s="1308">
        <f ca="1">IF(AND(T27&lt;&gt;0,R27&lt;&gt;W26,R27&lt;&gt;W25,R27&lt;&gt;W24,R27&lt;&gt;W23,R27&lt;&gt;W22,R27&lt;&gt;W21,R27&lt;&gt;W20,R27&lt;&gt;W19,R27&lt;&gt;W18,R27&lt;&gt;W17,R27&lt;&gt;W16,R27&lt;&gt;W15,R27&lt;&gt;W14,R27&lt;&gt;W13,R27&lt;&gt;W12,R27&lt;&gt;W11,R27&lt;&gt;W10,R27&lt;&gt;W9,R27&lt;&gt;W8),R27,IF(AND(T28&lt;&gt;0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))</f>
        <v>0</v>
      </c>
      <c r="X27" s="1308"/>
      <c r="Y27" s="1309">
        <f ca="1" t="shared" si="0">IF(ISNA(VLOOKUP(W27,$AE$8:$AG$46,2,False))=True,"",VLOOKUP(W27,$AE$8:$AG$46,2,False))</f>
        <v>0</v>
      </c>
      <c r="Z27" s="1309">
        <f ca="1" t="shared" si="1">IF(ISNA(VLOOKUP(W27,$AE$8:$AG$46,3,False))=True,"",VLOOKUP(W27,$AE$8:$AG$46,3,False))</f>
        <v>0</v>
      </c>
      <c r="AA27" s="1310">
        <f ca="1" t="shared" si="2">IF(ISNA(VLOOKUP(W27,$R$8:$T$42,3,False))=True,"",VLOOKUP(W27,$R$8:$T$42,3,False))</f>
        <v>0</v>
      </c>
      <c r="AB27" s="1521">
        <f ca="1">_xlfn.IFNA(IF(ISTEXT(VLOOKUP(W27,'DRAFT A&amp;L'!$B$7:$G$100,4,0)),VLOOKUP(W27,'DRAFT A&amp;L'!$B$7:$G$100,4,0),YEAR(VLOOKUP(W27,'DRAFT A&amp;L'!$B$7:$G$100,4,0))),"")</f>
        <v>0</v>
      </c>
      <c r="AC27" s="423"/>
      <c r="AE27" s="1027" t="s">
        <v>1036</v>
      </c>
      <c r="AF27" s="1037" t="s">
        <v>1035</v>
      </c>
      <c r="AG27" s="1037" t="s">
        <v>1070</v>
      </c>
      <c r="AK27" s="1092">
        <f t="shared" si="3">COUNTIF($BA$8:$BA$152,AF27)</f>
        <v>0</v>
      </c>
      <c r="AM27" s="1077"/>
      <c r="AN27" s="1096"/>
      <c r="AO27" s="1078"/>
      <c r="AP27" s="1079"/>
      <c r="AQ27" s="1080"/>
      <c r="AR27" s="1080"/>
      <c r="AS27" s="1078" t="str">
        <f t="shared" si="9">F27</f>
        <v>COUNTRY</v>
      </c>
      <c r="AT27" s="1080"/>
      <c r="AU27" s="1080"/>
      <c r="AV27" s="1080"/>
      <c r="AW27" s="1081"/>
      <c r="AX27" s="237">
        <f t="shared" si="71">IF(AZ27&lt;&gt;"",AX26+1,"")</f>
        <v>0</v>
      </c>
      <c r="AY27" s="1087">
        <v>20</v>
      </c>
      <c r="AZ27" s="1087">
        <f t="shared" si="14">IF(ISNA(VLOOKUP(AY27,$AN$8:$AW$148,2,False))=True,"",VLOOKUP(AY27,$AN$8:$AW$148,2,False))</f>
        <v>0</v>
      </c>
      <c r="BA27" s="1087">
        <f t="shared" si="15">IF(ISNA(VLOOKUP(AZ27,$AE$8:$AF$46,2,False))=True,"",VLOOKUP(AZ27,$AE$8:$AF$46,2,False))</f>
        <v>0</v>
      </c>
      <c r="BB27" s="1087">
        <f t="shared" si="16">IF(ISNA(VLOOKUP(AY27,$AN$8:$AW$148,4,False))=True,"",VLOOKUP(AY27,$AN$8:$AW$148,4,False))</f>
        <v>0</v>
      </c>
      <c r="BC27" s="1087">
        <f t="shared" si="17">IF(ISNA(VLOOKUP(AY27,$AN$8:$AW$148,5,False))=True,"",VLOOKUP(AY27,$AN$8:$AW$148,5,False))</f>
        <v>0</v>
      </c>
      <c r="BD27" s="1087">
        <f t="shared" si="84">IF(ISNA(VLOOKUP(AY27,$AN$8:$AW$148,6,False))=True,"",VLOOKUP(AY27,$AN$8:$AW$148,6,False))</f>
        <v>0</v>
      </c>
      <c r="BE27" s="1125">
        <f t="shared" si="19">IF(ISNA(VLOOKUP(AY27,$AN$8:$AW$148,7,False))=True,"",VLOOKUP(AY27,$AN$8:$AW$148,7,False))</f>
        <v>0</v>
      </c>
      <c r="BF27" s="1123">
        <f t="shared" si="20">IF(ISNA(VLOOKUP($AY27,$AN$8:$AW$148,8,False))=True,"",VLOOKUP($AY27,$AN$8:$AW$148,8,False))</f>
        <v>0</v>
      </c>
      <c r="BG27" s="1120">
        <f t="shared" si="21">IF(ISNA(VLOOKUP($AY27,$AN$8:$AW$148,9,False))=True,"",VLOOKUP($AY27,$AN$8:$AW$148,9,False))</f>
        <v>0</v>
      </c>
      <c r="BH27" s="1120">
        <f t="shared" si="22">IF(ISNA(VLOOKUP($AY27,$AN$8:$AW$148,10,False))=True,"",VLOOKUP($AY27,$AN$8:$AW$148,10,False))</f>
        <v>0</v>
      </c>
      <c r="BI27" s="250">
        <f t="shared" si="49">IF(AZ27&lt;&gt;"",AZ27,"")</f>
        <v>0</v>
      </c>
      <c r="BJ27" s="1098">
        <f t="shared" si="50">BI27</f>
        <v>0</v>
      </c>
      <c r="BK27" s="1115">
        <f>COUNTIFS($AZ:$AZ, AZ27,$BJ:$BJ, "&lt;"&amp;BJ27)+COUNTIFS(AZ$8:AZ27, AZ27, BJ$8:BJ27, BJ27)</f>
        <v>20</v>
      </c>
      <c r="BL27" s="1114">
        <f t="shared" si="51">BK27/100</f>
        <v>0.2</v>
      </c>
      <c r="BM27" s="1093" t="e">
        <f t="shared" si="92" ref="BM27">BJ27+BL27</f>
        <v>#VALUE!</v>
      </c>
      <c r="BN27" s="1101">
        <f t="shared" si="52">IF(BA27&lt;&gt;"",BM27,"")</f>
        <v>0</v>
      </c>
      <c r="BO27" s="1118">
        <f t="shared" si="53">IF(BN27&lt;&gt;"",BN27,0)</f>
        <v>0</v>
      </c>
      <c r="BP27" s="237" t="e">
        <f t="shared" si="23">SMALL($BN$8:$BN$152,AX27)</f>
        <v>#VALUE!</v>
      </c>
      <c r="BQ27" s="1109"/>
      <c r="BR27" s="1102" t="e">
        <f t="shared" si="54">IF(BP27&lt;&gt;"",BR26+1,"")</f>
        <v>#VALUE!</v>
      </c>
      <c r="BS27" s="1102">
        <f t="shared" si="55">IFERROR(BP27,"")</f>
        <v>0</v>
      </c>
      <c r="BT27" s="1102">
        <f t="shared" si="56">IFERROR(CC27,"")</f>
        <v>0</v>
      </c>
      <c r="BU27" s="1098">
        <f t="shared" si="57">IFERROR(CD27,"")</f>
        <v>0</v>
      </c>
      <c r="BV27" s="1098">
        <f t="shared" si="58">IFERROR(CE27,"")</f>
        <v>0</v>
      </c>
      <c r="BW27" s="1098">
        <f t="shared" si="59">IFERROR(CF27,"")</f>
        <v>0</v>
      </c>
      <c r="BX27" s="1146">
        <f t="shared" si="60">IFERROR(CH27,"")</f>
        <v>0</v>
      </c>
      <c r="BY27" s="1098">
        <f t="shared" si="61">IFERROR(CG27,"")</f>
        <v>0</v>
      </c>
      <c r="BZ27" s="1144" t="str">
        <f t="shared" si="62">IFERROR(CI27,"-")</f>
        <v>-</v>
      </c>
      <c r="CA27" s="1107">
        <f t="shared" si="63">IFERROR(CJ27,"")</f>
        <v>0</v>
      </c>
      <c r="CB27" s="1107">
        <f t="shared" si="64">IFERROR(CK27,"")</f>
        <v>0</v>
      </c>
      <c r="CC27" s="1110" t="e">
        <f t="shared" si="25">INDEX($AZ$8:$AZ$153,MATCH(BP27,$BO$8:$BO$153,0))</f>
        <v>#VALUE!</v>
      </c>
      <c r="CD27" s="1087" t="e">
        <f t="shared" si="26">INDEX($BA$8:$BA$153,MATCH(BP27,$BO$8:$BO$153,0))</f>
        <v>#VALUE!</v>
      </c>
      <c r="CE27" s="1106" t="e">
        <f t="shared" si="27">INDEX($BB$8:$BB$153,MATCH(BP27,$BO$8:$BO$153,0))</f>
        <v>#VALUE!</v>
      </c>
      <c r="CF27" s="1106" t="e">
        <f t="shared" si="28">INDEX(BC$8:BC$153,MATCH(BP27,$BO$8:$BO$153,0))</f>
        <v>#VALUE!</v>
      </c>
      <c r="CG27" s="1118" t="e">
        <f t="shared" si="29">INDEX(BE$8:BE$153,MATCH(BP27,$BO$8:$BO$153,0))</f>
        <v>#VALUE!</v>
      </c>
      <c r="CH27" s="1106" t="e">
        <f t="shared" si="30">INDEX($BD$8:$BD$153,MATCH($BP27,$BO$8:$BO$153,0))</f>
        <v>#VALUE!</v>
      </c>
      <c r="CI27" s="1142" t="e">
        <f t="shared" si="31">INDEX($BF$8:$BF$153,MATCH(BP27,$BO$8:$BO$153,0))</f>
        <v>#VALUE!</v>
      </c>
      <c r="CJ27" s="1106" t="e">
        <f t="shared" si="32">INDEX($BG$8:$BG$153,MATCH(BP27,$BO$8:$BO$153,0))</f>
        <v>#VALUE!</v>
      </c>
      <c r="CK27" s="1106" t="e">
        <f t="shared" si="33">INDEX($BH$8:$BH$153,MATCH(BP27,$BO$8:$BO$153,0))</f>
        <v>#VALUE!</v>
      </c>
      <c r="CM27" s="1131">
        <f t="shared" si="34">COUNTIF($CH$8:$CH$228,"&lt;="&amp;CH27)</f>
        <v>145</v>
      </c>
      <c r="CN27" s="1121">
        <f t="shared" si="65">--ISNUMBER(BX27)</f>
        <v>0</v>
      </c>
      <c r="CO27" s="1121">
        <f t="shared" si="66">IF(BX27=0,1,0)</f>
        <v>0</v>
      </c>
      <c r="CP27" s="1124">
        <f t="shared" si="35">IF(ISNUMBER(BX27),CM27,IF(ISERROR(BX27),CM27,CM27+$CN$154))+$CO$154</f>
        <v>145</v>
      </c>
      <c r="CQ27" s="237">
        <f>IFERROR(INDEX($BX$8:$BX$153,MATCH(SMALL($CP$8:$CP$153,ROWS($CQ$8:CQ27)+$CO$154),$CP$8:$CP$154,0)),"")</f>
        <v>0</v>
      </c>
      <c r="CR27" s="237">
        <v>0.1</v>
      </c>
      <c r="CS27" s="1135">
        <f t="shared" si="67">CM27+CR27</f>
        <v>145.1</v>
      </c>
      <c r="CT27" s="237">
        <f>COUNTIFS($CM:$CM, CM27,$CS:$CS, "&lt;"&amp;CL)+COUNTIFS(CM$8:CM27, CM27, CS$8:CS27, CS27)</f>
        <v>20</v>
      </c>
      <c r="CU27" s="1109">
        <f t="shared" si="68">CT27/100</f>
        <v>0.2</v>
      </c>
      <c r="CV27" s="1109">
        <f t="shared" si="69">CM27+CU27</f>
        <v>145.2</v>
      </c>
      <c r="CW27" s="237" t="e">
        <f t="shared" si="36">SMALL(CV$8:CV$153,AX27)</f>
        <v>#VALUE!</v>
      </c>
      <c r="CX27" s="1109">
        <f t="shared" si="70">IFERROR(CW27,"")</f>
        <v>0</v>
      </c>
      <c r="CY27" s="237" t="e">
        <f t="shared" si="37">INDEX(BU$8:BU$152,MATCH($CX27,CV$8:CV$152,0))</f>
        <v>#N/A</v>
      </c>
      <c r="CZ27" s="237" t="e">
        <f t="shared" si="38">INDEX(BV$8:BV$152,MATCH($CX27,$CV$8:$CV$152,0))</f>
        <v>#N/A</v>
      </c>
      <c r="DA27" s="237" t="e">
        <f t="shared" si="39">INDEX(BW$8:BW$152,MATCH($CX27,$CV$8:$CV$152,0))</f>
        <v>#N/A</v>
      </c>
      <c r="DB27" s="237" t="e">
        <f t="shared" si="40">INDEX(BX$8:BX$152,MATCH($CX27,$CV$8:$CV$152,0))</f>
        <v>#N/A</v>
      </c>
      <c r="DC27" s="237" t="e">
        <f t="shared" si="41">INDEX(BY$8:BY$152,MATCH($CX27,$CV$8:$CV$152,0))</f>
        <v>#N/A</v>
      </c>
      <c r="DD27" s="237" t="e">
        <f t="shared" si="42">INDEX(BZ$8:BZ$152,MATCH($CX27,$CV$8:$CV$152,0))</f>
        <v>#N/A</v>
      </c>
      <c r="DE27" s="237" t="e">
        <f t="shared" si="43">INDEX(CA$8:CA$152,MATCH($CX27,$CV$8:$CV$152,0))</f>
        <v>#N/A</v>
      </c>
      <c r="DF27" s="237" t="e">
        <f t="shared" si="44">INDEX(CB$8:CB$152,MATCH($CX27,$CV$8:$CV$152,0))</f>
        <v>#N/A</v>
      </c>
    </row>
    <row r="28" spans="1:110" s="252" customFormat="1" ht="13.5" customHeight="1">
      <c r="A28" s="2033"/>
      <c r="B28" s="2031"/>
      <c r="C28" s="1501"/>
      <c r="D28" s="2035"/>
      <c r="E28" s="1033"/>
      <c r="F28" s="2035"/>
      <c r="G28" s="2035"/>
      <c r="H28" s="2035"/>
      <c r="I28" s="2013"/>
      <c r="J28" s="1033"/>
      <c r="K28" s="1033" t="s">
        <v>344</v>
      </c>
      <c r="L28" s="1033" t="s">
        <v>345</v>
      </c>
      <c r="M28" s="1290" t="s">
        <v>346</v>
      </c>
      <c r="N28" s="252"/>
      <c r="O28" s="2046" t="s">
        <v>842</v>
      </c>
      <c r="P28" s="1056" t="s">
        <v>1037</v>
      </c>
      <c r="Q28" s="1056" t="s">
        <v>1071</v>
      </c>
      <c r="R28" s="1056" t="s">
        <v>1038</v>
      </c>
      <c r="S28" s="1034">
        <f ca="1" t="shared" si="93" ref="S28:S38">SUMIF($B$92:$M$106,$R28,$K$92:$K$106)</f>
        <v>0</v>
      </c>
      <c r="T28" s="1034">
        <f ca="1" t="shared" si="94" ref="T28:T38">SUMIF($B$92:$M$106,$R28,$M$92:$M$106)</f>
        <v>0</v>
      </c>
      <c r="U28" s="1031"/>
      <c r="V28" s="237"/>
      <c r="W28" s="1308">
        <f ca="1">IF(AND(T28&lt;&gt;0,R28&lt;&gt;W27,R28&lt;&gt;W26,R28&lt;&gt;W25,R28&lt;&gt;W24,R28&lt;&gt;W23,R28&lt;&gt;W22,R28&lt;&gt;W21,R28&lt;&gt;W20,R28&lt;&gt;W19,R28&lt;&gt;W18,R28&lt;&gt;W17,R28&lt;&gt;W16,R28&lt;&gt;W15,R28&lt;&gt;W14,R28&lt;&gt;W13,R28&lt;&gt;W12,R28&lt;&gt;W11,R28&lt;&gt;W10,R28&lt;&gt;W9,R28&lt;&gt;W8),R28,IF(AND(T29&lt;&gt;0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9,37&lt;&gt;W8),R42,""))))))))))</f>
        <v>0</v>
      </c>
      <c r="X28" s="1308"/>
      <c r="Y28" s="1309">
        <f ca="1" t="shared" si="0">IF(ISNA(VLOOKUP(W28,$AE$8:$AG$46,2,False))=True,"",VLOOKUP(W28,$AE$8:$AG$46,2,False))</f>
        <v>0</v>
      </c>
      <c r="Z28" s="1309">
        <f ca="1" t="shared" si="1">IF(ISNA(VLOOKUP(W28,$AE$8:$AG$46,3,False))=True,"",VLOOKUP(W28,$AE$8:$AG$46,3,False))</f>
        <v>0</v>
      </c>
      <c r="AA28" s="1310">
        <f ca="1" t="shared" si="2">IF(ISNA(VLOOKUP(W28,$R$8:$T$42,3,False))=True,"",VLOOKUP(W28,$R$8:$T$42,3,False))</f>
        <v>0</v>
      </c>
      <c r="AB28" s="1521">
        <f ca="1">_xlfn.IFNA(IF(ISTEXT(VLOOKUP(W28,'DRAFT A&amp;L'!$B$7:$G$100,4,0)),VLOOKUP(W28,'DRAFT A&amp;L'!$B$7:$G$100,4,0),YEAR(VLOOKUP(W28,'DRAFT A&amp;L'!$B$7:$G$100,4,0))),"")</f>
        <v>0</v>
      </c>
      <c r="AC28" s="423"/>
      <c r="AE28" s="1024" t="s">
        <v>1038</v>
      </c>
      <c r="AF28" s="1035" t="s">
        <v>1037</v>
      </c>
      <c r="AG28" s="1035" t="s">
        <v>1071</v>
      </c>
      <c r="AK28" s="1092">
        <f t="shared" si="3">COUNTIF($BA$8:$BA$152,AF28)</f>
        <v>0</v>
      </c>
      <c r="AM28" s="1077"/>
      <c r="AN28" s="1096"/>
      <c r="AO28" s="1078"/>
      <c r="AP28" s="1079"/>
      <c r="AQ28" s="1080"/>
      <c r="AR28" s="1080">
        <f t="shared" si="95" ref="AR28:AR47">IF(E28&lt;&gt;"",E28,"")</f>
        <v>0</v>
      </c>
      <c r="AS28" s="1078">
        <f t="shared" si="9">F28</f>
        <v>0</v>
      </c>
      <c r="AT28" s="1080">
        <f t="shared" si="96" ref="AT28:AT47">IF(H28&lt;&gt;"",H28,"")</f>
        <v>0</v>
      </c>
      <c r="AU28" s="1080"/>
      <c r="AV28" s="1080"/>
      <c r="AW28" s="1081"/>
      <c r="AX28" s="237">
        <f t="shared" si="71">IF(AZ28&lt;&gt;"",AX27+1,"")</f>
        <v>0</v>
      </c>
      <c r="AY28" s="1087">
        <v>21</v>
      </c>
      <c r="AZ28" s="1087">
        <f t="shared" si="14">IF(ISNA(VLOOKUP(AY28,$AN$8:$AW$148,2,False))=True,"",VLOOKUP(AY28,$AN$8:$AW$148,2,False))</f>
        <v>0</v>
      </c>
      <c r="BA28" s="1087">
        <f t="shared" si="15">IF(ISNA(VLOOKUP(AZ28,$AE$8:$AF$46,2,False))=True,"",VLOOKUP(AZ28,$AE$8:$AF$46,2,False))</f>
        <v>0</v>
      </c>
      <c r="BB28" s="1087">
        <f t="shared" si="16">IF(ISNA(VLOOKUP(AY28,$AN$8:$AW$148,4,False))=True,"",VLOOKUP(AY28,$AN$8:$AW$148,4,False))</f>
        <v>0</v>
      </c>
      <c r="BC28" s="1087">
        <f t="shared" si="17">IF(ISNA(VLOOKUP(AY28,$AN$8:$AW$148,5,False))=True,"",VLOOKUP(AY28,$AN$8:$AW$148,5,False))</f>
        <v>0</v>
      </c>
      <c r="BD28" s="1087">
        <f t="shared" si="84">IF(ISNA(VLOOKUP(AY28,$AN$8:$AW$148,6,False))=True,"",VLOOKUP(AY28,$AN$8:$AW$148,6,False))</f>
        <v>0</v>
      </c>
      <c r="BE28" s="1125">
        <f t="shared" si="19">IF(ISNA(VLOOKUP(AY28,$AN$8:$AW$148,7,False))=True,"",VLOOKUP(AY28,$AN$8:$AW$148,7,False))</f>
        <v>0</v>
      </c>
      <c r="BF28" s="1123">
        <f t="shared" si="20">IF(ISNA(VLOOKUP($AY28,$AN$8:$AW$148,8,False))=True,"",VLOOKUP($AY28,$AN$8:$AW$148,8,False))</f>
        <v>0</v>
      </c>
      <c r="BG28" s="1120">
        <f t="shared" si="21">IF(ISNA(VLOOKUP($AY28,$AN$8:$AW$148,9,False))=True,"",VLOOKUP($AY28,$AN$8:$AW$148,9,False))</f>
        <v>0</v>
      </c>
      <c r="BH28" s="1120">
        <f t="shared" si="22">IF(ISNA(VLOOKUP($AY28,$AN$8:$AW$148,10,False))=True,"",VLOOKUP($AY28,$AN$8:$AW$148,10,False))</f>
        <v>0</v>
      </c>
      <c r="BI28" s="250">
        <f t="shared" si="49">IF(AZ28&lt;&gt;"",AZ28,"")</f>
        <v>0</v>
      </c>
      <c r="BJ28" s="1098">
        <f t="shared" si="50">BI28</f>
        <v>0</v>
      </c>
      <c r="BK28" s="1115">
        <f>COUNTIFS($AZ:$AZ, AZ28,$BJ:$BJ, "&lt;"&amp;BJ28)+COUNTIFS(AZ$8:AZ28, AZ28, BJ$8:BJ28, BJ28)</f>
        <v>21</v>
      </c>
      <c r="BL28" s="1114">
        <f t="shared" si="51">BK28/100</f>
        <v>0.21</v>
      </c>
      <c r="BM28" s="1093" t="e">
        <f t="shared" si="97" ref="BM28">BI28+BL28</f>
        <v>#VALUE!</v>
      </c>
      <c r="BN28" s="1101">
        <f t="shared" si="52">IF(BA28&lt;&gt;"",BM28,"")</f>
        <v>0</v>
      </c>
      <c r="BO28" s="1118">
        <f t="shared" si="53">IF(BN28&lt;&gt;"",BN28,0)</f>
        <v>0</v>
      </c>
      <c r="BP28" s="237" t="e">
        <f t="shared" si="23">SMALL($BN$8:$BN$152,AX28)</f>
        <v>#VALUE!</v>
      </c>
      <c r="BQ28" s="1109"/>
      <c r="BR28" s="1102" t="e">
        <f t="shared" si="54">IF(BP28&lt;&gt;"",BR27+1,"")</f>
        <v>#VALUE!</v>
      </c>
      <c r="BS28" s="1102">
        <f t="shared" si="55">IFERROR(BP28,"")</f>
        <v>0</v>
      </c>
      <c r="BT28" s="1102">
        <f t="shared" si="56">IFERROR(CC28,"")</f>
        <v>0</v>
      </c>
      <c r="BU28" s="1098">
        <f t="shared" si="57">IFERROR(CD28,"")</f>
        <v>0</v>
      </c>
      <c r="BV28" s="1098">
        <f t="shared" si="58">IFERROR(CE28,"")</f>
        <v>0</v>
      </c>
      <c r="BW28" s="1098">
        <f t="shared" si="59">IFERROR(CF28,"")</f>
        <v>0</v>
      </c>
      <c r="BX28" s="1146">
        <f t="shared" si="60">IFERROR(CH28,"")</f>
        <v>0</v>
      </c>
      <c r="BY28" s="1098">
        <f t="shared" si="61">IFERROR(CG28,"")</f>
        <v>0</v>
      </c>
      <c r="BZ28" s="1144" t="str">
        <f t="shared" si="62">IFERROR(CI28,"-")</f>
        <v>-</v>
      </c>
      <c r="CA28" s="1107">
        <f t="shared" si="63">IFERROR(CJ28,"")</f>
        <v>0</v>
      </c>
      <c r="CB28" s="1107">
        <f t="shared" si="64">IFERROR(CK28,"")</f>
        <v>0</v>
      </c>
      <c r="CC28" s="1110" t="e">
        <f t="shared" si="25">INDEX($AZ$8:$AZ$153,MATCH(BP28,$BO$8:$BO$153,0))</f>
        <v>#VALUE!</v>
      </c>
      <c r="CD28" s="1087" t="e">
        <f t="shared" si="26">INDEX($BA$8:$BA$153,MATCH(BP28,$BO$8:$BO$153,0))</f>
        <v>#VALUE!</v>
      </c>
      <c r="CE28" s="1106" t="e">
        <f t="shared" si="27">INDEX($BB$8:$BB$153,MATCH(BP28,$BO$8:$BO$153,0))</f>
        <v>#VALUE!</v>
      </c>
      <c r="CF28" s="1106" t="e">
        <f t="shared" si="28">INDEX(BC$8:BC$153,MATCH(BP28,$BO$8:$BO$153,0))</f>
        <v>#VALUE!</v>
      </c>
      <c r="CG28" s="1118" t="e">
        <f t="shared" si="29">INDEX(BE$8:BE$153,MATCH(BP28,$BO$8:$BO$153,0))</f>
        <v>#VALUE!</v>
      </c>
      <c r="CH28" s="1106" t="e">
        <f t="shared" si="30">INDEX($BD$8:$BD$153,MATCH($BP28,$BO$8:$BO$153,0))</f>
        <v>#VALUE!</v>
      </c>
      <c r="CI28" s="1142" t="e">
        <f t="shared" si="31">INDEX($BF$8:$BF$153,MATCH(BP28,$BO$8:$BO$153,0))</f>
        <v>#VALUE!</v>
      </c>
      <c r="CJ28" s="1106" t="e">
        <f t="shared" si="32">INDEX($BG$8:$BG$153,MATCH(BP28,$BO$8:$BO$153,0))</f>
        <v>#VALUE!</v>
      </c>
      <c r="CK28" s="1106" t="e">
        <f t="shared" si="33">INDEX($BH$8:$BH$153,MATCH(BP28,$BO$8:$BO$153,0))</f>
        <v>#VALUE!</v>
      </c>
      <c r="CM28" s="1131">
        <f t="shared" si="34">COUNTIF($CH$8:$CH$228,"&lt;="&amp;CH28)</f>
        <v>145</v>
      </c>
      <c r="CN28" s="1121">
        <f t="shared" si="65">--ISNUMBER(BX28)</f>
        <v>0</v>
      </c>
      <c r="CO28" s="1121">
        <f t="shared" si="66">IF(BX28=0,1,0)</f>
        <v>0</v>
      </c>
      <c r="CP28" s="1124">
        <f t="shared" si="35">IF(ISNUMBER(BX28),CM28,IF(ISERROR(BX28),CM28,CM28+$CN$154))+$CO$154</f>
        <v>145</v>
      </c>
      <c r="CQ28" s="237">
        <f>IFERROR(INDEX($BX$8:$BX$153,MATCH(SMALL($CP$8:$CP$153,ROWS($CQ$8:CQ28)+$CO$154),$CP$8:$CP$154,0)),"")</f>
        <v>0</v>
      </c>
      <c r="CR28" s="237">
        <v>0.1</v>
      </c>
      <c r="CS28" s="1135">
        <f t="shared" si="67">CM28+CR28</f>
        <v>145.1</v>
      </c>
      <c r="CT28" s="237">
        <f>COUNTIFS($CM:$CM, CM28,$CS:$CS, "&lt;"&amp;CL)+COUNTIFS(CM$8:CM28, CM28, CS$8:CS28, CS28)</f>
        <v>21</v>
      </c>
      <c r="CU28" s="1109">
        <f t="shared" si="68">CT28/100</f>
        <v>0.21</v>
      </c>
      <c r="CV28" s="1109">
        <f t="shared" si="69">CM28+CU28</f>
        <v>145.21</v>
      </c>
      <c r="CW28" s="237" t="e">
        <f t="shared" si="36">SMALL(CV$8:CV$153,AX28)</f>
        <v>#VALUE!</v>
      </c>
      <c r="CX28" s="1109">
        <f t="shared" si="70">IFERROR(CW28,"")</f>
        <v>0</v>
      </c>
      <c r="CY28" s="237" t="e">
        <f t="shared" si="37">INDEX(BU$8:BU$152,MATCH($CX28,CV$8:CV$152,0))</f>
        <v>#N/A</v>
      </c>
      <c r="CZ28" s="237" t="e">
        <f t="shared" si="38">INDEX(BV$8:BV$152,MATCH($CX28,$CV$8:$CV$152,0))</f>
        <v>#N/A</v>
      </c>
      <c r="DA28" s="237" t="e">
        <f t="shared" si="39">INDEX(BW$8:BW$152,MATCH($CX28,$CV$8:$CV$152,0))</f>
        <v>#N/A</v>
      </c>
      <c r="DB28" s="237" t="e">
        <f t="shared" si="40">INDEX(BX$8:BX$152,MATCH($CX28,$CV$8:$CV$152,0))</f>
        <v>#N/A</v>
      </c>
      <c r="DC28" s="237" t="e">
        <f t="shared" si="41">INDEX(BY$8:BY$152,MATCH($CX28,$CV$8:$CV$152,0))</f>
        <v>#N/A</v>
      </c>
      <c r="DD28" s="237" t="e">
        <f t="shared" si="42">INDEX(BZ$8:BZ$152,MATCH($CX28,$CV$8:$CV$152,0))</f>
        <v>#N/A</v>
      </c>
      <c r="DE28" s="237" t="e">
        <f t="shared" si="43">INDEX(CA$8:CA$152,MATCH($CX28,$CV$8:$CV$152,0))</f>
        <v>#N/A</v>
      </c>
      <c r="DF28" s="237" t="e">
        <f t="shared" si="44">INDEX(CB$8:CB$152,MATCH($CX28,$CV$8:$CV$152,0))</f>
        <v>#N/A</v>
      </c>
    </row>
    <row r="29" spans="1:110" ht="15" customHeight="1">
      <c r="A29" s="1291">
        <v>1</v>
      </c>
      <c r="B29" s="1508" t="s">
        <v>1010</v>
      </c>
      <c r="C29" s="1148" t="s">
        <v>1009</v>
      </c>
      <c r="D29" s="1148" t="s">
        <v>1093</v>
      </c>
      <c r="E29" s="1148" t="s">
        <v>1380</v>
      </c>
      <c r="F29" s="1148" t="s">
        <v>1377</v>
      </c>
      <c r="G29" s="1148" t="s">
        <v>1380</v>
      </c>
      <c r="H29" s="1148" t="s">
        <v>1380</v>
      </c>
      <c r="I29" s="1472">
        <v>44173</v>
      </c>
      <c r="J29" s="1149" t="s">
        <v>1381</v>
      </c>
      <c r="K29" s="1150">
        <v>342</v>
      </c>
      <c r="L29" s="1151">
        <v>12333</v>
      </c>
      <c r="M29" s="1292">
        <f>K29*L29</f>
        <v>0</v>
      </c>
      <c r="O29" s="2046"/>
      <c r="P29" s="1056" t="s">
        <v>1039</v>
      </c>
      <c r="Q29" s="1056" t="s">
        <v>1072</v>
      </c>
      <c r="R29" s="1058" t="s">
        <v>1040</v>
      </c>
      <c r="S29" s="1034">
        <f ca="1" t="shared" si="93">SUMIF($B$92:$M$106,$R29,$K$92:$K$106)</f>
        <v>0</v>
      </c>
      <c r="T29" s="1034">
        <f ca="1" t="shared" si="94">SUMIF($B$92:$M$106,$R29,$M$92:$M$106)</f>
        <v>0</v>
      </c>
      <c r="U29" s="1031"/>
      <c r="W29" s="1308">
        <f ca="1">IF(AND(T29&lt;&gt;0,R29&lt;&gt;W28,R29&lt;&gt;W27,R29&lt;&gt;W26,R29&lt;&gt;W25,R29&lt;&gt;W24,R29&lt;&gt;W23,R29&lt;&gt;W22,R29&lt;&gt;W21,R29&lt;&gt;W20,R29&lt;&gt;W19,R29&lt;&gt;W18,R29&lt;&gt;W17,R29&lt;&gt;W16,R29&lt;&gt;W15,R29&lt;&gt;W14,R29&lt;&gt;W13,R29&lt;&gt;W12,R29&lt;&gt;W11,R29&lt;&gt;W10,R29&lt;&gt;W9,R29&lt;&gt;W8),R29,IF(AND(T30&lt;&gt;0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)</f>
        <v>0</v>
      </c>
      <c r="X29" s="1308"/>
      <c r="Y29" s="1309">
        <f ca="1" t="shared" si="0">IF(ISNA(VLOOKUP(W29,$AE$8:$AG$46,2,False))=True,"",VLOOKUP(W29,$AE$8:$AG$46,2,False))</f>
        <v>0</v>
      </c>
      <c r="Z29" s="1309">
        <f ca="1" t="shared" si="1">IF(ISNA(VLOOKUP(W29,$AE$8:$AG$46,3,False))=True,"",VLOOKUP(W29,$AE$8:$AG$46,3,False))</f>
        <v>0</v>
      </c>
      <c r="AA29" s="1310">
        <f ca="1" t="shared" si="2">IF(ISNA(VLOOKUP(W29,$R$8:$T$42,3,False))=True,"",VLOOKUP(W29,$R$8:$T$42,3,False))</f>
        <v>0</v>
      </c>
      <c r="AB29" s="1521">
        <f ca="1">_xlfn.IFNA(IF(ISTEXT(VLOOKUP(W29,'DRAFT A&amp;L'!$B$7:$G$100,4,0)),VLOOKUP(W29,'DRAFT A&amp;L'!$B$7:$G$100,4,0),YEAR(VLOOKUP(W29,'DRAFT A&amp;L'!$B$7:$G$100,4,0))),"")</f>
        <v>0</v>
      </c>
      <c r="AC29" s="423"/>
      <c r="AE29" s="1029" t="s">
        <v>1040</v>
      </c>
      <c r="AF29" s="1035" t="s">
        <v>1039</v>
      </c>
      <c r="AG29" s="1035" t="s">
        <v>1072</v>
      </c>
      <c r="AK29" s="1092">
        <f t="shared" si="3">COUNTIF($BA$8:$BA$152,AF29)</f>
        <v>0</v>
      </c>
      <c r="AM29" s="1082">
        <f t="shared" si="98" ref="AM29:AM43">IF(M29&gt;0,1,0)</f>
        <v>0</v>
      </c>
      <c r="AN29" s="1096">
        <f>IF(AM29&gt;0,COUNTIF(AM$8:AM29,"&gt;0"),0)</f>
        <v>0</v>
      </c>
      <c r="AO29" s="1083">
        <f t="shared" si="99" ref="AO29:AO43">B29</f>
        <v>0</v>
      </c>
      <c r="AP29" s="1084">
        <f t="shared" si="100" ref="AP29:AP43">C29</f>
        <v>0</v>
      </c>
      <c r="AQ29" s="1085">
        <f t="shared" si="101" ref="AQ29:AQ43">IF(I29&lt;&gt;"",YEAR(I29),"")</f>
        <v>0</v>
      </c>
      <c r="AR29" s="1080">
        <f t="shared" si="95">IF(E29&lt;&gt;"",E29,"")</f>
        <v>0</v>
      </c>
      <c r="AS29" s="1078">
        <f t="shared" si="9">F29</f>
        <v>0</v>
      </c>
      <c r="AT29" s="1080">
        <f t="shared" si="96">IF(H29&lt;&gt;"",H29,"")</f>
        <v>0</v>
      </c>
      <c r="AU29" s="1080">
        <f t="shared" si="102" ref="AU29:AU43">J29</f>
        <v>0</v>
      </c>
      <c r="AV29" s="1080">
        <f t="shared" si="103" ref="AV29:AV43">K29</f>
        <v>0</v>
      </c>
      <c r="AW29" s="1086">
        <f t="shared" si="104" ref="AW29:AW43">M29</f>
        <v>0</v>
      </c>
      <c r="AX29" s="237">
        <f t="shared" si="71">IF(AZ29&lt;&gt;"",AX28+1,"")</f>
        <v>0</v>
      </c>
      <c r="AY29" s="1087">
        <v>22</v>
      </c>
      <c r="AZ29" s="1087">
        <f t="shared" si="14">IF(ISNA(VLOOKUP(AY29,$AN$8:$AW$148,2,False))=True,"",VLOOKUP(AY29,$AN$8:$AW$148,2,False))</f>
        <v>0</v>
      </c>
      <c r="BA29" s="1087">
        <f t="shared" si="15">IF(ISNA(VLOOKUP(AZ29,$AE$8:$AF$46,2,False))=True,"",VLOOKUP(AZ29,$AE$8:$AF$46,2,False))</f>
        <v>0</v>
      </c>
      <c r="BB29" s="1087">
        <f t="shared" si="16">IF(ISNA(VLOOKUP(AY29,$AN$8:$AW$148,4,False))=True,"",VLOOKUP(AY29,$AN$8:$AW$148,4,False))</f>
        <v>0</v>
      </c>
      <c r="BC29" s="1087">
        <f t="shared" si="17">IF(ISNA(VLOOKUP(AY29,$AN$8:$AW$148,5,False))=True,"",VLOOKUP(AY29,$AN$8:$AW$148,5,False))</f>
        <v>0</v>
      </c>
      <c r="BD29" s="1087">
        <f t="shared" si="84">IF(ISNA(VLOOKUP(AY29,$AN$8:$AW$148,6,False))=True,"",VLOOKUP(AY29,$AN$8:$AW$148,6,False))</f>
        <v>0</v>
      </c>
      <c r="BE29" s="1125">
        <f t="shared" si="19">IF(ISNA(VLOOKUP(AY29,$AN$8:$AW$148,7,False))=True,"",VLOOKUP(AY29,$AN$8:$AW$148,7,False))</f>
        <v>0</v>
      </c>
      <c r="BF29" s="1123">
        <f t="shared" si="20">IF(ISNA(VLOOKUP($AY29,$AN$8:$AW$148,8,False))=True,"",VLOOKUP($AY29,$AN$8:$AW$148,8,False))</f>
        <v>0</v>
      </c>
      <c r="BG29" s="1120">
        <f t="shared" si="21">IF(ISNA(VLOOKUP($AY29,$AN$8:$AW$148,9,False))=True,"",VLOOKUP($AY29,$AN$8:$AW$148,9,False))</f>
        <v>0</v>
      </c>
      <c r="BH29" s="1120">
        <f t="shared" si="22">IF(ISNA(VLOOKUP($AY29,$AN$8:$AW$148,10,False))=True,"",VLOOKUP($AY29,$AN$8:$AW$148,10,False))</f>
        <v>0</v>
      </c>
      <c r="BI29" s="250">
        <f t="shared" si="49">IF(AZ29&lt;&gt;"",AZ29,"")</f>
        <v>0</v>
      </c>
      <c r="BJ29" s="1098">
        <f t="shared" si="50">BI29</f>
        <v>0</v>
      </c>
      <c r="BK29" s="1115">
        <f>COUNTIFS($AZ:$AZ, AZ29,$BJ:$BJ, "&lt;"&amp;BJ29)+COUNTIFS(AZ$8:AZ29, AZ29, BJ$8:BJ29, BJ29)</f>
        <v>22</v>
      </c>
      <c r="BL29" s="1114">
        <f t="shared" si="51">BK29/100</f>
        <v>0.22</v>
      </c>
      <c r="BM29" s="1093" t="e">
        <f t="shared" si="105" ref="BM29">BJ29+BL29</f>
        <v>#VALUE!</v>
      </c>
      <c r="BN29" s="1101">
        <f t="shared" si="52">IF(BA29&lt;&gt;"",BM29,"")</f>
        <v>0</v>
      </c>
      <c r="BO29" s="1118">
        <f t="shared" si="53">IF(BN29&lt;&gt;"",BN29,0)</f>
        <v>0</v>
      </c>
      <c r="BP29" s="237" t="e">
        <f t="shared" si="23">SMALL($BN$8:$BN$152,AX29)</f>
        <v>#VALUE!</v>
      </c>
      <c r="BR29" s="1102" t="e">
        <f t="shared" si="54">IF(BP29&lt;&gt;"",BR28+1,"")</f>
        <v>#VALUE!</v>
      </c>
      <c r="BS29" s="1102">
        <f t="shared" si="55">IFERROR(BP29,"")</f>
        <v>0</v>
      </c>
      <c r="BT29" s="1102">
        <f t="shared" si="56">IFERROR(CC29,"")</f>
        <v>0</v>
      </c>
      <c r="BU29" s="1098">
        <f t="shared" si="57">IFERROR(CD29,"")</f>
        <v>0</v>
      </c>
      <c r="BV29" s="1098">
        <f t="shared" si="58">IFERROR(CE29,"")</f>
        <v>0</v>
      </c>
      <c r="BW29" s="1098">
        <f t="shared" si="59">IFERROR(CF29,"")</f>
        <v>0</v>
      </c>
      <c r="BX29" s="1146">
        <f t="shared" si="60">IFERROR(CH29,"")</f>
        <v>0</v>
      </c>
      <c r="BY29" s="1098">
        <f t="shared" si="61">IFERROR(CG29,"")</f>
        <v>0</v>
      </c>
      <c r="BZ29" s="1144" t="str">
        <f t="shared" si="62">IFERROR(CI29,"-")</f>
        <v>-</v>
      </c>
      <c r="CA29" s="1107">
        <f t="shared" si="63">IFERROR(CJ29,"")</f>
        <v>0</v>
      </c>
      <c r="CB29" s="1107">
        <f t="shared" si="64">IFERROR(CK29,"")</f>
        <v>0</v>
      </c>
      <c r="CC29" s="1110" t="e">
        <f t="shared" si="25">INDEX($AZ$8:$AZ$153,MATCH(BP29,$BO$8:$BO$153,0))</f>
        <v>#VALUE!</v>
      </c>
      <c r="CD29" s="1087" t="e">
        <f t="shared" si="26">INDEX($BA$8:$BA$153,MATCH(BP29,$BO$8:$BO$153,0))</f>
        <v>#VALUE!</v>
      </c>
      <c r="CE29" s="1106" t="e">
        <f t="shared" si="27">INDEX($BB$8:$BB$153,MATCH(BP29,$BO$8:$BO$153,0))</f>
        <v>#VALUE!</v>
      </c>
      <c r="CF29" s="1106" t="e">
        <f t="shared" si="28">INDEX(BC$8:BC$153,MATCH(BP29,$BO$8:$BO$153,0))</f>
        <v>#VALUE!</v>
      </c>
      <c r="CG29" s="1118" t="e">
        <f t="shared" si="29">INDEX(BE$8:BE$153,MATCH(BP29,$BO$8:$BO$153,0))</f>
        <v>#VALUE!</v>
      </c>
      <c r="CH29" s="1106" t="e">
        <f t="shared" si="30">INDEX($BD$8:$BD$153,MATCH($BP29,$BO$8:$BO$153,0))</f>
        <v>#VALUE!</v>
      </c>
      <c r="CI29" s="1142" t="e">
        <f t="shared" si="31">INDEX($BF$8:$BF$153,MATCH(BP29,$BO$8:$BO$153,0))</f>
        <v>#VALUE!</v>
      </c>
      <c r="CJ29" s="1106" t="e">
        <f t="shared" si="32">INDEX($BG$8:$BG$153,MATCH(BP29,$BO$8:$BO$153,0))</f>
        <v>#VALUE!</v>
      </c>
      <c r="CK29" s="1106" t="e">
        <f t="shared" si="33">INDEX($BH$8:$BH$153,MATCH(BP29,$BO$8:$BO$153,0))</f>
        <v>#VALUE!</v>
      </c>
      <c r="CM29" s="1131">
        <f t="shared" si="34">COUNTIF($CH$8:$CH$228,"&lt;="&amp;CH29)</f>
        <v>145</v>
      </c>
      <c r="CN29" s="1121">
        <f t="shared" si="65">--ISNUMBER(BX29)</f>
        <v>0</v>
      </c>
      <c r="CO29" s="1121">
        <f t="shared" si="66">IF(BX29=0,1,0)</f>
        <v>0</v>
      </c>
      <c r="CP29" s="1124">
        <f t="shared" si="35">IF(ISNUMBER(BX29),CM29,IF(ISERROR(BX29),CM29,CM29+$CN$154))+$CO$154</f>
        <v>145</v>
      </c>
      <c r="CQ29" s="237">
        <f>IFERROR(INDEX($BX$8:$BX$153,MATCH(SMALL($CP$8:$CP$153,ROWS($CQ$8:CQ29)+$CO$154),$CP$8:$CP$154,0)),"")</f>
        <v>0</v>
      </c>
      <c r="CR29" s="237">
        <v>0.1</v>
      </c>
      <c r="CS29" s="1135">
        <f t="shared" si="67">CM29+CR29</f>
        <v>145.1</v>
      </c>
      <c r="CT29" s="237">
        <f>COUNTIFS($CM:$CM, CM29,$CS:$CS, "&lt;"&amp;CL)+COUNTIFS(CM$8:CM29, CM29, CS$8:CS29, CS29)</f>
        <v>22</v>
      </c>
      <c r="CU29" s="1109">
        <f t="shared" si="68">CT29/100</f>
        <v>0.22</v>
      </c>
      <c r="CV29" s="1109">
        <f t="shared" si="69">CM29+CU29</f>
        <v>145.22</v>
      </c>
      <c r="CW29" s="237" t="e">
        <f t="shared" si="36">SMALL(CV$8:CV$153,AX29)</f>
        <v>#VALUE!</v>
      </c>
      <c r="CX29" s="1109">
        <f t="shared" si="70">IFERROR(CW29,"")</f>
        <v>0</v>
      </c>
      <c r="CY29" s="237" t="e">
        <f t="shared" si="37">INDEX(BU$8:BU$152,MATCH($CX29,CV$8:CV$152,0))</f>
        <v>#N/A</v>
      </c>
      <c r="CZ29" s="237" t="e">
        <f t="shared" si="38">INDEX(BV$8:BV$152,MATCH($CX29,$CV$8:$CV$152,0))</f>
        <v>#N/A</v>
      </c>
      <c r="DA29" s="237" t="e">
        <f t="shared" si="39">INDEX(BW$8:BW$152,MATCH($CX29,$CV$8:$CV$152,0))</f>
        <v>#N/A</v>
      </c>
      <c r="DB29" s="237" t="e">
        <f t="shared" si="40">INDEX(BX$8:BX$152,MATCH($CX29,$CV$8:$CV$152,0))</f>
        <v>#N/A</v>
      </c>
      <c r="DC29" s="237" t="e">
        <f t="shared" si="41">INDEX(BY$8:BY$152,MATCH($CX29,$CV$8:$CV$152,0))</f>
        <v>#N/A</v>
      </c>
      <c r="DD29" s="237" t="e">
        <f t="shared" si="42">INDEX(BZ$8:BZ$152,MATCH($CX29,$CV$8:$CV$152,0))</f>
        <v>#N/A</v>
      </c>
      <c r="DE29" s="237" t="e">
        <f t="shared" si="43">INDEX(CA$8:CA$152,MATCH($CX29,$CV$8:$CV$152,0))</f>
        <v>#N/A</v>
      </c>
      <c r="DF29" s="237" t="e">
        <f t="shared" si="44">INDEX(CB$8:CB$152,MATCH($CX29,$CV$8:$CV$152,0))</f>
        <v>#N/A</v>
      </c>
    </row>
    <row r="30" spans="1:110" ht="15" customHeight="1">
      <c r="A30" s="1291">
        <v>2</v>
      </c>
      <c r="B30" s="1508"/>
      <c r="C30" s="1148"/>
      <c r="D30" s="1148"/>
      <c r="E30" s="1148"/>
      <c r="F30" s="1148"/>
      <c r="G30" s="1148"/>
      <c r="H30" s="1148"/>
      <c r="I30" s="1472"/>
      <c r="J30" s="1149"/>
      <c r="K30" s="1150"/>
      <c r="L30" s="1151"/>
      <c r="M30" s="1292">
        <f t="shared" si="106" ref="M30:M43">K30*L30</f>
        <v>0</v>
      </c>
      <c r="O30" s="2046"/>
      <c r="P30" s="1056" t="s">
        <v>1041</v>
      </c>
      <c r="Q30" s="1056" t="s">
        <v>1073</v>
      </c>
      <c r="R30" s="1058" t="s">
        <v>1042</v>
      </c>
      <c r="S30" s="1034">
        <f ca="1" t="shared" si="93">SUMIF($B$92:$M$106,$R30,$K$92:$K$106)</f>
        <v>0</v>
      </c>
      <c r="T30" s="1034">
        <f ca="1" t="shared" si="94">SUMIF($B$92:$M$106,$R30,$M$92:$M$106)</f>
        <v>0</v>
      </c>
      <c r="U30" s="1031"/>
      <c r="W30" s="1308">
        <f ca="1">IF(AND(T30&lt;&gt;0,R30&lt;&gt;W29,R30&lt;&gt;W28,R30&lt;&gt;W27,R30&lt;&gt;W26,R30&lt;&gt;W25,R30&lt;&gt;W24,R30&lt;&gt;W23,R30&lt;&gt;W22,R30&lt;&gt;W21,R30&lt;&gt;W20,R30&lt;&gt;W19,R30&lt;&gt;W18,R30&lt;&gt;W17,R30&lt;&gt;W16,R30&lt;&gt;W15,R30&lt;&gt;W14,R30&lt;&gt;W13,R30&lt;&gt;W12,R30&lt;&gt;W11,R30&lt;&gt;W10,R30&lt;&gt;W9,R30&lt;&gt;W8),R30,IF(AND(T31&lt;&gt;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W9,R31&lt;&gt;W8),R31,IF(AND(T32&lt;&gt;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))</f>
        <v>0</v>
      </c>
      <c r="X30" s="1308"/>
      <c r="Y30" s="1309">
        <f ca="1" t="shared" si="0">IF(ISNA(VLOOKUP(W30,$AE$8:$AG$46,2,False))=True,"",VLOOKUP(W30,$AE$8:$AG$46,2,False))</f>
        <v>0</v>
      </c>
      <c r="Z30" s="1309">
        <f ca="1" t="shared" si="1">IF(ISNA(VLOOKUP(W30,$AE$8:$AG$46,3,False))=True,"",VLOOKUP(W30,$AE$8:$AG$46,3,False))</f>
        <v>0</v>
      </c>
      <c r="AA30" s="1310">
        <f ca="1" t="shared" si="2">IF(ISNA(VLOOKUP(W30,$R$8:$T$42,3,False))=True,"",VLOOKUP(W30,$R$8:$T$42,3,False))</f>
        <v>0</v>
      </c>
      <c r="AB30" s="1521">
        <f ca="1">_xlfn.IFNA(IF(ISTEXT(VLOOKUP(W30,'DRAFT A&amp;L'!$B$7:$G$100,4,0)),VLOOKUP(W30,'DRAFT A&amp;L'!$B$7:$G$100,4,0),YEAR(VLOOKUP(W30,'DRAFT A&amp;L'!$B$7:$G$100,4,0))),"")</f>
        <v>0</v>
      </c>
      <c r="AC30" s="423"/>
      <c r="AE30" s="1029" t="s">
        <v>1042</v>
      </c>
      <c r="AF30" s="1035" t="s">
        <v>1041</v>
      </c>
      <c r="AG30" s="1035" t="s">
        <v>1073</v>
      </c>
      <c r="AK30" s="1092">
        <f t="shared" si="3">COUNTIF($BA$8:$BA$152,AF30)</f>
        <v>0</v>
      </c>
      <c r="AM30" s="1077">
        <f t="shared" si="98">IF(M30&gt;0,1,0)</f>
        <v>0</v>
      </c>
      <c r="AN30" s="1096">
        <f>IF(AM30&gt;0,COUNTIF(AM$8:AM30,"&gt;0"),0)</f>
        <v>0</v>
      </c>
      <c r="AO30" s="1078">
        <f t="shared" si="99">B30</f>
        <v>0</v>
      </c>
      <c r="AP30" s="1079">
        <f t="shared" si="100">C30</f>
        <v>0</v>
      </c>
      <c r="AQ30" s="1080">
        <f t="shared" si="101">IF(I30&lt;&gt;"",YEAR(I30),"")</f>
        <v>0</v>
      </c>
      <c r="AR30" s="1080">
        <f t="shared" si="95">IF(E30&lt;&gt;"",E30,"")</f>
        <v>0</v>
      </c>
      <c r="AS30" s="1078">
        <f t="shared" si="9">F30</f>
        <v>0</v>
      </c>
      <c r="AT30" s="1080">
        <f t="shared" si="96">IF(H30&lt;&gt;"",H30,"")</f>
        <v>0</v>
      </c>
      <c r="AU30" s="1080">
        <f t="shared" si="102">J30</f>
        <v>0</v>
      </c>
      <c r="AV30" s="1080">
        <f t="shared" si="103">K30</f>
        <v>0</v>
      </c>
      <c r="AW30" s="1081">
        <f t="shared" si="104">M30</f>
        <v>0</v>
      </c>
      <c r="AX30" s="237">
        <f t="shared" si="71">IF(AZ30&lt;&gt;"",AX29+1,"")</f>
        <v>0</v>
      </c>
      <c r="AY30" s="1087">
        <v>23</v>
      </c>
      <c r="AZ30" s="1087">
        <f t="shared" si="14">IF(ISNA(VLOOKUP(AY30,$AN$8:$AW$148,2,False))=True,"",VLOOKUP(AY30,$AN$8:$AW$148,2,False))</f>
        <v>0</v>
      </c>
      <c r="BA30" s="1087">
        <f t="shared" si="15">IF(ISNA(VLOOKUP(AZ30,$AE$8:$AF$46,2,False))=True,"",VLOOKUP(AZ30,$AE$8:$AF$46,2,False))</f>
        <v>0</v>
      </c>
      <c r="BB30" s="1087">
        <f t="shared" si="16">IF(ISNA(VLOOKUP(AY30,$AN$8:$AW$148,4,False))=True,"",VLOOKUP(AY30,$AN$8:$AW$148,4,False))</f>
        <v>0</v>
      </c>
      <c r="BC30" s="1087">
        <f t="shared" si="17">IF(ISNA(VLOOKUP(AY30,$AN$8:$AW$148,5,False))=True,"",VLOOKUP(AY30,$AN$8:$AW$148,5,False))</f>
        <v>0</v>
      </c>
      <c r="BD30" s="1087">
        <f t="shared" si="84">IF(ISNA(VLOOKUP(AY30,$AN$8:$AW$148,6,False))=True,"",VLOOKUP(AY30,$AN$8:$AW$148,6,False))</f>
        <v>0</v>
      </c>
      <c r="BE30" s="1125">
        <f t="shared" si="19">IF(ISNA(VLOOKUP(AY30,$AN$8:$AW$148,7,False))=True,"",VLOOKUP(AY30,$AN$8:$AW$148,7,False))</f>
        <v>0</v>
      </c>
      <c r="BF30" s="1123">
        <f t="shared" si="20">IF(ISNA(VLOOKUP($AY30,$AN$8:$AW$148,8,False))=True,"",VLOOKUP($AY30,$AN$8:$AW$148,8,False))</f>
        <v>0</v>
      </c>
      <c r="BG30" s="1120">
        <f t="shared" si="21">IF(ISNA(VLOOKUP($AY30,$AN$8:$AW$148,9,False))=True,"",VLOOKUP($AY30,$AN$8:$AW$148,9,False))</f>
        <v>0</v>
      </c>
      <c r="BH30" s="1120">
        <f t="shared" si="22">IF(ISNA(VLOOKUP($AY30,$AN$8:$AW$148,10,False))=True,"",VLOOKUP($AY30,$AN$8:$AW$148,10,False))</f>
        <v>0</v>
      </c>
      <c r="BI30" s="250">
        <f t="shared" si="49">IF(AZ30&lt;&gt;"",AZ30,"")</f>
        <v>0</v>
      </c>
      <c r="BJ30" s="1098">
        <f t="shared" si="50">BI30</f>
        <v>0</v>
      </c>
      <c r="BK30" s="1115">
        <f>COUNTIFS($AZ:$AZ, AZ30,$BJ:$BJ, "&lt;"&amp;BJ30)+COUNTIFS(AZ$8:AZ30, AZ30, BJ$8:BJ30, BJ30)</f>
        <v>23</v>
      </c>
      <c r="BL30" s="1114">
        <f t="shared" si="51">BK30/100</f>
        <v>0.23</v>
      </c>
      <c r="BM30" s="1093" t="e">
        <f t="shared" si="107" ref="BM30">BI30+BL30</f>
        <v>#VALUE!</v>
      </c>
      <c r="BN30" s="1101">
        <f t="shared" si="52">IF(BA30&lt;&gt;"",BM30,"")</f>
        <v>0</v>
      </c>
      <c r="BO30" s="1118">
        <f t="shared" si="53">IF(BN30&lt;&gt;"",BN30,0)</f>
        <v>0</v>
      </c>
      <c r="BP30" s="237" t="e">
        <f t="shared" si="23">SMALL($BN$8:$BN$152,AX30)</f>
        <v>#VALUE!</v>
      </c>
      <c r="BR30" s="1102" t="e">
        <f t="shared" si="54">IF(BP30&lt;&gt;"",BR29+1,"")</f>
        <v>#VALUE!</v>
      </c>
      <c r="BS30" s="1102">
        <f t="shared" si="55">IFERROR(BP30,"")</f>
        <v>0</v>
      </c>
      <c r="BT30" s="1102">
        <f t="shared" si="56">IFERROR(CC30,"")</f>
        <v>0</v>
      </c>
      <c r="BU30" s="1098">
        <f t="shared" si="57">IFERROR(CD30,"")</f>
        <v>0</v>
      </c>
      <c r="BV30" s="1098">
        <f t="shared" si="58">IFERROR(CE30,"")</f>
        <v>0</v>
      </c>
      <c r="BW30" s="1098">
        <f t="shared" si="59">IFERROR(CF30,"")</f>
        <v>0</v>
      </c>
      <c r="BX30" s="1146">
        <f t="shared" si="60">IFERROR(CH30,"")</f>
        <v>0</v>
      </c>
      <c r="BY30" s="1098">
        <f t="shared" si="61">IFERROR(CG30,"")</f>
        <v>0</v>
      </c>
      <c r="BZ30" s="1144" t="str">
        <f t="shared" si="62">IFERROR(CI30,"-")</f>
        <v>-</v>
      </c>
      <c r="CA30" s="1107">
        <f t="shared" si="63">IFERROR(CJ30,"")</f>
        <v>0</v>
      </c>
      <c r="CB30" s="1107">
        <f t="shared" si="64">IFERROR(CK30,"")</f>
        <v>0</v>
      </c>
      <c r="CC30" s="1110" t="e">
        <f t="shared" si="25">INDEX($AZ$8:$AZ$153,MATCH(BP30,$BO$8:$BO$153,0))</f>
        <v>#VALUE!</v>
      </c>
      <c r="CD30" s="1087" t="e">
        <f t="shared" si="26">INDEX($BA$8:$BA$153,MATCH(BP30,$BO$8:$BO$153,0))</f>
        <v>#VALUE!</v>
      </c>
      <c r="CE30" s="1106" t="e">
        <f t="shared" si="27">INDEX($BB$8:$BB$153,MATCH(BP30,$BO$8:$BO$153,0))</f>
        <v>#VALUE!</v>
      </c>
      <c r="CF30" s="1106" t="e">
        <f t="shared" si="28">INDEX(BC$8:BC$153,MATCH(BP30,$BO$8:$BO$153,0))</f>
        <v>#VALUE!</v>
      </c>
      <c r="CG30" s="1118" t="e">
        <f t="shared" si="29">INDEX(BE$8:BE$153,MATCH(BP30,$BO$8:$BO$153,0))</f>
        <v>#VALUE!</v>
      </c>
      <c r="CH30" s="1106" t="e">
        <f t="shared" si="30">INDEX($BD$8:$BD$153,MATCH($BP30,$BO$8:$BO$153,0))</f>
        <v>#VALUE!</v>
      </c>
      <c r="CI30" s="1142" t="e">
        <f t="shared" si="31">INDEX($BF$8:$BF$153,MATCH(BP30,$BO$8:$BO$153,0))</f>
        <v>#VALUE!</v>
      </c>
      <c r="CJ30" s="1106" t="e">
        <f t="shared" si="32">INDEX($BG$8:$BG$153,MATCH(BP30,$BO$8:$BO$153,0))</f>
        <v>#VALUE!</v>
      </c>
      <c r="CK30" s="1106" t="e">
        <f t="shared" si="33">INDEX($BH$8:$BH$153,MATCH(BP30,$BO$8:$BO$153,0))</f>
        <v>#VALUE!</v>
      </c>
      <c r="CM30" s="1131">
        <f t="shared" si="34">COUNTIF($CH$8:$CH$228,"&lt;="&amp;CH30)</f>
        <v>145</v>
      </c>
      <c r="CN30" s="1121">
        <f t="shared" si="65">--ISNUMBER(BX30)</f>
        <v>0</v>
      </c>
      <c r="CO30" s="1121">
        <f t="shared" si="66">IF(BX30=0,1,0)</f>
        <v>0</v>
      </c>
      <c r="CP30" s="1124">
        <f t="shared" si="35">IF(ISNUMBER(BX30),CM30,IF(ISERROR(BX30),CM30,CM30+$CN$154))+$CO$154</f>
        <v>145</v>
      </c>
      <c r="CQ30" s="237">
        <f>IFERROR(INDEX($BX$8:$BX$153,MATCH(SMALL($CP$8:$CP$153,ROWS($CQ$8:CQ30)+$CO$154),$CP$8:$CP$154,0)),"")</f>
        <v>0</v>
      </c>
      <c r="CR30" s="237">
        <v>0.1</v>
      </c>
      <c r="CS30" s="1135">
        <f t="shared" si="67">CM30+CR30</f>
        <v>145.1</v>
      </c>
      <c r="CT30" s="237">
        <f>COUNTIFS($CM:$CM, CM30,$CS:$CS, "&lt;"&amp;CL)+COUNTIFS(CM$8:CM30, CM30, CS$8:CS30, CS30)</f>
        <v>23</v>
      </c>
      <c r="CU30" s="1109">
        <f t="shared" si="68">CT30/100</f>
        <v>0.23</v>
      </c>
      <c r="CV30" s="1109">
        <f t="shared" si="69">CM30+CU30</f>
        <v>145.23</v>
      </c>
      <c r="CW30" s="237" t="e">
        <f t="shared" si="36">SMALL(CV$8:CV$153,AX30)</f>
        <v>#VALUE!</v>
      </c>
      <c r="CX30" s="1109">
        <f t="shared" si="70">IFERROR(CW30,"")</f>
        <v>0</v>
      </c>
      <c r="CY30" s="237" t="e">
        <f t="shared" si="37">INDEX(BU$8:BU$152,MATCH($CX30,CV$8:CV$152,0))</f>
        <v>#N/A</v>
      </c>
      <c r="CZ30" s="237" t="e">
        <f t="shared" si="38">INDEX(BV$8:BV$152,MATCH($CX30,$CV$8:$CV$152,0))</f>
        <v>#N/A</v>
      </c>
      <c r="DA30" s="237" t="e">
        <f t="shared" si="39">INDEX(BW$8:BW$152,MATCH($CX30,$CV$8:$CV$152,0))</f>
        <v>#N/A</v>
      </c>
      <c r="DB30" s="237" t="e">
        <f t="shared" si="40">INDEX(BX$8:BX$152,MATCH($CX30,$CV$8:$CV$152,0))</f>
        <v>#N/A</v>
      </c>
      <c r="DC30" s="237" t="e">
        <f t="shared" si="41">INDEX(BY$8:BY$152,MATCH($CX30,$CV$8:$CV$152,0))</f>
        <v>#N/A</v>
      </c>
      <c r="DD30" s="237" t="e">
        <f t="shared" si="42">INDEX(BZ$8:BZ$152,MATCH($CX30,$CV$8:$CV$152,0))</f>
        <v>#N/A</v>
      </c>
      <c r="DE30" s="237" t="e">
        <f t="shared" si="43">INDEX(CA$8:CA$152,MATCH($CX30,$CV$8:$CV$152,0))</f>
        <v>#N/A</v>
      </c>
      <c r="DF30" s="237" t="e">
        <f t="shared" si="44">INDEX(CB$8:CB$152,MATCH($CX30,$CV$8:$CV$152,0))</f>
        <v>#N/A</v>
      </c>
    </row>
    <row r="31" spans="1:110" ht="15" customHeight="1">
      <c r="A31" s="1291">
        <v>3</v>
      </c>
      <c r="B31" s="1508"/>
      <c r="C31" s="1148"/>
      <c r="D31" s="1148"/>
      <c r="E31" s="1148"/>
      <c r="F31" s="1148"/>
      <c r="G31" s="1148"/>
      <c r="H31" s="1148"/>
      <c r="I31" s="1472"/>
      <c r="J31" s="1149"/>
      <c r="K31" s="1150"/>
      <c r="L31" s="1151"/>
      <c r="M31" s="1292">
        <f t="shared" si="106">K31*L31</f>
        <v>0</v>
      </c>
      <c r="O31" s="2046"/>
      <c r="P31" s="1056" t="s">
        <v>1043</v>
      </c>
      <c r="Q31" s="1056" t="s">
        <v>1074</v>
      </c>
      <c r="R31" s="1058" t="s">
        <v>1044</v>
      </c>
      <c r="S31" s="1034">
        <f ca="1" t="shared" si="93">SUMIF($B$92:$M$106,$R31,$K$92:$K$106)</f>
        <v>0</v>
      </c>
      <c r="T31" s="1034">
        <f ca="1" t="shared" si="94">SUMIF($B$92:$M$106,$R31,$M$92:$M$106)</f>
        <v>0</v>
      </c>
      <c r="U31" s="1031"/>
      <c r="W31" s="1308">
        <f ca="1">IF(AND(T31&lt;&gt;0,R31&lt;&gt;W30,R31&lt;&gt;W29,R31&lt;&gt;W28,R31&lt;&gt;W27,R31&lt;&gt;W26,R31&lt;&gt;W25,R31&lt;&gt;W24,R31&lt;&gt;W23,R31&lt;&gt;W22,R31&lt;&gt;W21,R31&lt;&gt;W20,R31&lt;&gt;W19,R31&lt;&gt;W18,R31&lt;&gt;W17,R31&lt;&gt;W16,R31&lt;&gt;W15,R31&lt;&gt;W14,R31&lt;&gt;W13,R31&lt;&gt;W12,R31&lt;&gt;W11,R31&lt;&gt;W10,R31&lt;&gt;U9,R31&lt;&gt;U8),R31,IF(AND(T32&lt;&gt;0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U9,R32&lt;&gt;U8),R32,IF(AND(T38&lt;&gt;0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U9,R38&lt;&gt;U8),R38,IF(AND(T39&lt;&gt;0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U9,R39&lt;&gt;U8),R39,IF(AND(T40&lt;&gt;0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U9,R40&lt;&gt;U8),R40,IF(AND(T41&lt;&gt;0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U9,R41&lt;&gt;U8),R41,IF(AND(T42&lt;&gt;0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U9,R42&lt;&gt;U8),R42,"")))))))</f>
        <v>0</v>
      </c>
      <c r="X31" s="1308"/>
      <c r="Y31" s="1309">
        <f ca="1" t="shared" si="0">IF(ISNA(VLOOKUP(W31,$AE$8:$AG$46,2,False))=True,"",VLOOKUP(W31,$AE$8:$AG$46,2,False))</f>
        <v>0</v>
      </c>
      <c r="Z31" s="1309">
        <f ca="1" t="shared" si="1">IF(ISNA(VLOOKUP(W31,$AE$8:$AG$46,3,False))=True,"",VLOOKUP(W31,$AE$8:$AG$46,3,False))</f>
        <v>0</v>
      </c>
      <c r="AA31" s="1310">
        <f ca="1" t="shared" si="2">IF(ISNA(VLOOKUP(W31,$R$8:$T$42,3,False))=True,"",VLOOKUP(W31,$R$8:$T$42,3,False))</f>
        <v>0</v>
      </c>
      <c r="AB31" s="1522">
        <f ca="1">_xlfn.IFNA(IF(ISTEXT(VLOOKUP(W31,'DRAFT A&amp;L'!$B$7:$G$100,4,0)),VLOOKUP(W31,'DRAFT A&amp;L'!$B$7:$G$100,4,0),YEAR(VLOOKUP(W31,'DRAFT A&amp;L'!$B$7:$G$100,4,0))),"")</f>
        <v>0</v>
      </c>
      <c r="AC31" s="423"/>
      <c r="AE31" s="1029" t="s">
        <v>1044</v>
      </c>
      <c r="AF31" s="1035" t="s">
        <v>1043</v>
      </c>
      <c r="AG31" s="1035" t="s">
        <v>1074</v>
      </c>
      <c r="AK31" s="1092">
        <f t="shared" si="3">COUNTIF($BA$8:$BA$152,AF31)</f>
        <v>0</v>
      </c>
      <c r="AM31" s="1077">
        <f t="shared" si="98">IF(M31&gt;0,1,0)</f>
        <v>0</v>
      </c>
      <c r="AN31" s="1096">
        <f>IF(K31&gt;0,COUNTIF(AM$8:AM31,"&gt;0"),0)</f>
        <v>0</v>
      </c>
      <c r="AO31" s="1078">
        <f t="shared" si="99">B31</f>
        <v>0</v>
      </c>
      <c r="AP31" s="1079">
        <f t="shared" si="100">C31</f>
        <v>0</v>
      </c>
      <c r="AQ31" s="1080">
        <f t="shared" si="101">IF(I31&lt;&gt;"",YEAR(I31),"")</f>
        <v>0</v>
      </c>
      <c r="AR31" s="1080">
        <f t="shared" si="95">IF(E31&lt;&gt;"",E31,"")</f>
        <v>0</v>
      </c>
      <c r="AS31" s="1078">
        <f t="shared" si="9">F31</f>
        <v>0</v>
      </c>
      <c r="AT31" s="1080">
        <f t="shared" si="96">IF(H31&lt;&gt;"",H31,"")</f>
        <v>0</v>
      </c>
      <c r="AU31" s="1080">
        <f t="shared" si="102">J31</f>
        <v>0</v>
      </c>
      <c r="AV31" s="1080">
        <f t="shared" si="103">K31</f>
        <v>0</v>
      </c>
      <c r="AW31" s="1081">
        <f t="shared" si="104">M31</f>
        <v>0</v>
      </c>
      <c r="AX31" s="237">
        <f t="shared" si="71">IF(AZ31&lt;&gt;"",AX30+1,"")</f>
        <v>0</v>
      </c>
      <c r="AY31" s="1087">
        <v>24</v>
      </c>
      <c r="AZ31" s="1087">
        <f t="shared" si="14">IF(ISNA(VLOOKUP(AY31,$AN$8:$AW$148,2,False))=True,"",VLOOKUP(AY31,$AN$8:$AW$148,2,False))</f>
        <v>0</v>
      </c>
      <c r="BA31" s="1087">
        <f t="shared" si="15">IF(ISNA(VLOOKUP(AZ31,$AE$8:$AF$46,2,False))=True,"",VLOOKUP(AZ31,$AE$8:$AF$46,2,False))</f>
        <v>0</v>
      </c>
      <c r="BB31" s="1087">
        <f t="shared" si="16">IF(ISNA(VLOOKUP(AY31,$AN$8:$AW$148,4,False))=True,"",VLOOKUP(AY31,$AN$8:$AW$148,4,False))</f>
        <v>0</v>
      </c>
      <c r="BC31" s="1087">
        <f t="shared" si="17">IF(ISNA(VLOOKUP(AY31,$AN$8:$AW$148,5,False))=True,"",VLOOKUP(AY31,$AN$8:$AW$148,5,False))</f>
        <v>0</v>
      </c>
      <c r="BD31" s="1087">
        <f t="shared" si="84">IF(ISNA(VLOOKUP(AY31,$AN$8:$AW$148,6,False))=True,"",VLOOKUP(AY31,$AN$8:$AW$148,6,False))</f>
        <v>0</v>
      </c>
      <c r="BE31" s="1125">
        <f t="shared" si="19">IF(ISNA(VLOOKUP(AY31,$AN$8:$AW$148,7,False))=True,"",VLOOKUP(AY31,$AN$8:$AW$148,7,False))</f>
        <v>0</v>
      </c>
      <c r="BF31" s="1123">
        <f t="shared" si="20">IF(ISNA(VLOOKUP($AY31,$AN$8:$AW$148,8,False))=True,"",VLOOKUP($AY31,$AN$8:$AW$148,8,False))</f>
        <v>0</v>
      </c>
      <c r="BG31" s="1120">
        <f t="shared" si="21">IF(ISNA(VLOOKUP($AY31,$AN$8:$AW$148,9,False))=True,"",VLOOKUP($AY31,$AN$8:$AW$148,9,False))</f>
        <v>0</v>
      </c>
      <c r="BH31" s="1120">
        <f t="shared" si="22">IF(ISNA(VLOOKUP($AY31,$AN$8:$AW$148,10,False))=True,"",VLOOKUP($AY31,$AN$8:$AW$148,10,False))</f>
        <v>0</v>
      </c>
      <c r="BI31" s="250">
        <f t="shared" si="49">IF(AZ31&lt;&gt;"",AZ31,"")</f>
        <v>0</v>
      </c>
      <c r="BJ31" s="1098">
        <f t="shared" si="50">BI31</f>
        <v>0</v>
      </c>
      <c r="BK31" s="1115">
        <f>COUNTIFS($AZ:$AZ, AZ31,$BJ:$BJ, "&lt;"&amp;BJ31)+COUNTIFS(AZ$8:AZ31, AZ31, BJ$8:BJ31, BJ31)</f>
        <v>24</v>
      </c>
      <c r="BL31" s="1114">
        <f t="shared" si="51">BK31/100</f>
        <v>0.24</v>
      </c>
      <c r="BM31" s="1093" t="e">
        <f t="shared" si="108" ref="BM31">BJ31+BL31</f>
        <v>#VALUE!</v>
      </c>
      <c r="BN31" s="1101">
        <f t="shared" si="52">IF(BA31&lt;&gt;"",BM31,"")</f>
        <v>0</v>
      </c>
      <c r="BO31" s="1118">
        <f t="shared" si="53">IF(BN31&lt;&gt;"",BN31,0)</f>
        <v>0</v>
      </c>
      <c r="BP31" s="237" t="e">
        <f t="shared" si="23">SMALL($BN$8:$BN$152,AX31)</f>
        <v>#VALUE!</v>
      </c>
      <c r="BR31" s="1102" t="e">
        <f t="shared" si="54">IF(BP31&lt;&gt;"",BR30+1,"")</f>
        <v>#VALUE!</v>
      </c>
      <c r="BS31" s="1102">
        <f t="shared" si="55">IFERROR(BP31,"")</f>
        <v>0</v>
      </c>
      <c r="BT31" s="1102">
        <f t="shared" si="56">IFERROR(CC31,"")</f>
        <v>0</v>
      </c>
      <c r="BU31" s="1098">
        <f t="shared" si="57">IFERROR(CD31,"")</f>
        <v>0</v>
      </c>
      <c r="BV31" s="1098">
        <f t="shared" si="58">IFERROR(CE31,"")</f>
        <v>0</v>
      </c>
      <c r="BW31" s="1098">
        <f t="shared" si="59">IFERROR(CF31,"")</f>
        <v>0</v>
      </c>
      <c r="BX31" s="1146">
        <f t="shared" si="60">IFERROR(CH31,"")</f>
        <v>0</v>
      </c>
      <c r="BY31" s="1098">
        <f t="shared" si="61">IFERROR(CG31,"")</f>
        <v>0</v>
      </c>
      <c r="BZ31" s="1144" t="str">
        <f t="shared" si="62">IFERROR(CI31,"-")</f>
        <v>-</v>
      </c>
      <c r="CA31" s="1107">
        <f t="shared" si="63">IFERROR(CJ31,"")</f>
        <v>0</v>
      </c>
      <c r="CB31" s="1107">
        <f t="shared" si="64">IFERROR(CK31,"")</f>
        <v>0</v>
      </c>
      <c r="CC31" s="1110" t="e">
        <f t="shared" si="25">INDEX($AZ$8:$AZ$153,MATCH(BP31,$BO$8:$BO$153,0))</f>
        <v>#VALUE!</v>
      </c>
      <c r="CD31" s="1087" t="e">
        <f t="shared" si="26">INDEX($BA$8:$BA$153,MATCH(BP31,$BO$8:$BO$153,0))</f>
        <v>#VALUE!</v>
      </c>
      <c r="CE31" s="1106" t="e">
        <f t="shared" si="27">INDEX($BB$8:$BB$153,MATCH(BP31,$BO$8:$BO$153,0))</f>
        <v>#VALUE!</v>
      </c>
      <c r="CF31" s="1106" t="e">
        <f t="shared" si="28">INDEX(BC$8:BC$153,MATCH(BP31,$BO$8:$BO$153,0))</f>
        <v>#VALUE!</v>
      </c>
      <c r="CG31" s="1118" t="e">
        <f t="shared" si="29">INDEX(BE$8:BE$153,MATCH(BP31,$BO$8:$BO$153,0))</f>
        <v>#VALUE!</v>
      </c>
      <c r="CH31" s="1106" t="e">
        <f t="shared" si="30">INDEX($BD$8:$BD$153,MATCH($BP31,$BO$8:$BO$153,0))</f>
        <v>#VALUE!</v>
      </c>
      <c r="CI31" s="1142" t="e">
        <f t="shared" si="31">INDEX($BF$8:$BF$153,MATCH(BP31,$BO$8:$BO$153,0))</f>
        <v>#VALUE!</v>
      </c>
      <c r="CJ31" s="1106" t="e">
        <f t="shared" si="32">INDEX($BG$8:$BG$153,MATCH(BP31,$BO$8:$BO$153,0))</f>
        <v>#VALUE!</v>
      </c>
      <c r="CK31" s="1106" t="e">
        <f t="shared" si="33">INDEX($BH$8:$BH$153,MATCH(BP31,$BO$8:$BO$153,0))</f>
        <v>#VALUE!</v>
      </c>
      <c r="CM31" s="1131">
        <f t="shared" si="34">COUNTIF($CH$8:$CH$228,"&lt;="&amp;CH31)</f>
        <v>145</v>
      </c>
      <c r="CN31" s="1121">
        <f t="shared" si="65">--ISNUMBER(BX31)</f>
        <v>0</v>
      </c>
      <c r="CO31" s="1121">
        <f t="shared" si="66">IF(BX31=0,1,0)</f>
        <v>0</v>
      </c>
      <c r="CP31" s="1124">
        <f t="shared" si="35">IF(ISNUMBER(BX31),CM31,IF(ISERROR(BX31),CM31,CM31+$CN$154))+$CO$154</f>
        <v>145</v>
      </c>
      <c r="CQ31" s="237">
        <f>IFERROR(INDEX($BX$8:$BX$153,MATCH(SMALL($CP$8:$CP$153,ROWS($CQ$8:CQ31)+$CO$154),$CP$8:$CP$154,0)),"")</f>
        <v>0</v>
      </c>
      <c r="CR31" s="237">
        <v>0.1</v>
      </c>
      <c r="CS31" s="1135">
        <f t="shared" si="67">CM31+CR31</f>
        <v>145.1</v>
      </c>
      <c r="CT31" s="237">
        <f>COUNTIFS($CM:$CM, CM31,$CS:$CS, "&lt;"&amp;CL)+COUNTIFS(CM$8:CM31, CM31, CS$8:CS31, CS31)</f>
        <v>24</v>
      </c>
      <c r="CU31" s="1109">
        <f t="shared" si="68">CT31/100</f>
        <v>0.24</v>
      </c>
      <c r="CV31" s="1109">
        <f t="shared" si="69">CM31+CU31</f>
        <v>145.24</v>
      </c>
      <c r="CW31" s="237" t="e">
        <f t="shared" si="36">SMALL(CV$8:CV$153,AX31)</f>
        <v>#VALUE!</v>
      </c>
      <c r="CX31" s="1109">
        <f t="shared" si="70">IFERROR(CW31,"")</f>
        <v>0</v>
      </c>
      <c r="CY31" s="237" t="e">
        <f t="shared" si="37">INDEX(BU$8:BU$152,MATCH($CX31,CV$8:CV$152,0))</f>
        <v>#N/A</v>
      </c>
      <c r="CZ31" s="237" t="e">
        <f t="shared" si="38">INDEX(BV$8:BV$152,MATCH($CX31,$CV$8:$CV$152,0))</f>
        <v>#N/A</v>
      </c>
      <c r="DA31" s="237" t="e">
        <f t="shared" si="39">INDEX(BW$8:BW$152,MATCH($CX31,$CV$8:$CV$152,0))</f>
        <v>#N/A</v>
      </c>
      <c r="DB31" s="237" t="e">
        <f t="shared" si="40">INDEX(BX$8:BX$152,MATCH($CX31,$CV$8:$CV$152,0))</f>
        <v>#N/A</v>
      </c>
      <c r="DC31" s="237" t="e">
        <f t="shared" si="41">INDEX(BY$8:BY$152,MATCH($CX31,$CV$8:$CV$152,0))</f>
        <v>#N/A</v>
      </c>
      <c r="DD31" s="237" t="e">
        <f t="shared" si="42">INDEX(BZ$8:BZ$152,MATCH($CX31,$CV$8:$CV$152,0))</f>
        <v>#N/A</v>
      </c>
      <c r="DE31" s="237" t="e">
        <f t="shared" si="43">INDEX(CA$8:CA$152,MATCH($CX31,$CV$8:$CV$152,0))</f>
        <v>#N/A</v>
      </c>
      <c r="DF31" s="237" t="e">
        <f t="shared" si="44">INDEX(CB$8:CB$152,MATCH($CX31,$CV$8:$CV$152,0))</f>
        <v>#N/A</v>
      </c>
    </row>
    <row r="32" spans="1:110" ht="15" customHeight="1">
      <c r="A32" s="1291">
        <v>4</v>
      </c>
      <c r="B32" s="1508"/>
      <c r="C32" s="1148"/>
      <c r="D32" s="1148"/>
      <c r="E32" s="1148"/>
      <c r="F32" s="1148"/>
      <c r="G32" s="1148"/>
      <c r="H32" s="1148"/>
      <c r="I32" s="1472"/>
      <c r="J32" s="1149"/>
      <c r="K32" s="1150"/>
      <c r="L32" s="1151"/>
      <c r="M32" s="1292">
        <f t="shared" si="106">K32*L32</f>
        <v>0</v>
      </c>
      <c r="O32" s="2046"/>
      <c r="P32" s="1056" t="s">
        <v>1046</v>
      </c>
      <c r="Q32" s="1056" t="s">
        <v>1075</v>
      </c>
      <c r="R32" s="1058" t="s">
        <v>1045</v>
      </c>
      <c r="S32" s="1034">
        <f ca="1" t="shared" si="93">SUMIF($B$92:$M$106,$R32,$K$92:$K$106)</f>
        <v>0</v>
      </c>
      <c r="T32" s="1034">
        <f ca="1" t="shared" si="94">SUMIF($B$92:$M$106,$R32,$M$92:$M$106)</f>
        <v>0</v>
      </c>
      <c r="U32" s="1031"/>
      <c r="W32" s="1308">
        <f ca="1">IF(AND(T32&lt;&gt;0,R32&lt;&gt;W31,R32&lt;&gt;W30,R32&lt;&gt;W29,R32&lt;&gt;W28,R32&lt;&gt;W27,R32&lt;&gt;W26,R32&lt;&gt;W25,R32&lt;&gt;W24,R32&lt;&gt;W23,R32&lt;&gt;W22,R32&lt;&gt;W21,R32&lt;&gt;W20,R32&lt;&gt;W19,R32&lt;&gt;W18,R32&lt;&gt;W17,R32&lt;&gt;W16,R32&lt;&gt;W15,R32&lt;&gt;W14,R32&lt;&gt;W13,R32&lt;&gt;W12,R32&lt;&gt;W11,R32&lt;&gt;W10,R32&lt;&gt;W9,R32&lt;&gt;W8),R32,IF(AND(T38&lt;&gt;0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)</f>
        <v>0</v>
      </c>
      <c r="X32" s="1308"/>
      <c r="Y32" s="1309">
        <f ca="1" t="shared" si="0">IF(ISNA(VLOOKUP(W32,$AE$8:$AG$46,2,False))=True,"",VLOOKUP(W32,$AE$8:$AG$46,2,False))</f>
        <v>0</v>
      </c>
      <c r="Z32" s="1309">
        <f ca="1" t="shared" si="1">IF(ISNA(VLOOKUP(W32,$AE$8:$AG$46,3,False))=True,"",VLOOKUP(W32,$AE$8:$AG$46,3,False))</f>
        <v>0</v>
      </c>
      <c r="AA32" s="1310">
        <f ca="1" t="shared" si="2">IF(ISNA(VLOOKUP(W32,$R$8:$T$42,3,False))=True,"",VLOOKUP(W32,$R$8:$T$42,3,False))</f>
        <v>0</v>
      </c>
      <c r="AB32" s="1522">
        <f ca="1">_xlfn.IFNA(IF(ISTEXT(VLOOKUP(W32,'DRAFT A&amp;L'!$B$7:$G$100,4,0)),VLOOKUP(W32,'DRAFT A&amp;L'!$B$7:$G$100,4,0),YEAR(VLOOKUP(W32,'DRAFT A&amp;L'!$B$7:$G$100,4,0))),"")</f>
        <v>0</v>
      </c>
      <c r="AC32" s="423"/>
      <c r="AE32" s="1029" t="s">
        <v>1045</v>
      </c>
      <c r="AF32" s="1035" t="s">
        <v>1046</v>
      </c>
      <c r="AG32" s="1035" t="s">
        <v>1075</v>
      </c>
      <c r="AK32" s="1092">
        <f t="shared" si="3">COUNTIF($BA$8:$BA$152,AF32)</f>
        <v>0</v>
      </c>
      <c r="AM32" s="1082">
        <f t="shared" si="98">IF(M32&gt;0,1,0)</f>
        <v>0</v>
      </c>
      <c r="AN32" s="1096">
        <f>IF(AM32&gt;0,COUNTIF(AM$8:AM32,"&gt;0"),0)</f>
        <v>0</v>
      </c>
      <c r="AO32" s="1083">
        <f t="shared" si="99">B32</f>
        <v>0</v>
      </c>
      <c r="AP32" s="1084">
        <f t="shared" si="100">C32</f>
        <v>0</v>
      </c>
      <c r="AQ32" s="1085">
        <f t="shared" si="101">IF(I32&lt;&gt;"",YEAR(I32),"")</f>
        <v>0</v>
      </c>
      <c r="AR32" s="1080">
        <f t="shared" si="95">IF(E32&lt;&gt;"",E32,"")</f>
        <v>0</v>
      </c>
      <c r="AS32" s="1078">
        <f t="shared" si="9">F32</f>
        <v>0</v>
      </c>
      <c r="AT32" s="1080">
        <f t="shared" si="96">IF(H32&lt;&gt;"",H32,"")</f>
        <v>0</v>
      </c>
      <c r="AU32" s="1080">
        <f t="shared" si="102">J32</f>
        <v>0</v>
      </c>
      <c r="AV32" s="1080">
        <f t="shared" si="103">K32</f>
        <v>0</v>
      </c>
      <c r="AW32" s="1086">
        <f t="shared" si="104">M32</f>
        <v>0</v>
      </c>
      <c r="AX32" s="237">
        <f t="shared" si="71">IF(AZ32&lt;&gt;"",AX31+1,"")</f>
        <v>0</v>
      </c>
      <c r="AY32" s="1087">
        <v>25</v>
      </c>
      <c r="AZ32" s="1087">
        <f t="shared" si="14">IF(ISNA(VLOOKUP(AY32,$AN$8:$AW$148,2,False))=True,"",VLOOKUP(AY32,$AN$8:$AW$148,2,False))</f>
        <v>0</v>
      </c>
      <c r="BA32" s="1087">
        <f t="shared" si="15">IF(ISNA(VLOOKUP(AZ32,$AE$8:$AF$46,2,False))=True,"",VLOOKUP(AZ32,$AE$8:$AF$46,2,False))</f>
        <v>0</v>
      </c>
      <c r="BB32" s="1087">
        <f t="shared" si="16">IF(ISNA(VLOOKUP(AY32,$AN$8:$AW$148,4,False))=True,"",VLOOKUP(AY32,$AN$8:$AW$148,4,False))</f>
        <v>0</v>
      </c>
      <c r="BC32" s="1087">
        <f t="shared" si="17">IF(ISNA(VLOOKUP(AY32,$AN$8:$AW$148,5,False))=True,"",VLOOKUP(AY32,$AN$8:$AW$148,5,False))</f>
        <v>0</v>
      </c>
      <c r="BD32" s="1087">
        <f t="shared" si="84">IF(ISNA(VLOOKUP(AY32,$AN$8:$AW$148,6,False))=True,"",VLOOKUP(AY32,$AN$8:$AW$148,6,False))</f>
        <v>0</v>
      </c>
      <c r="BE32" s="1125">
        <f t="shared" si="19">IF(ISNA(VLOOKUP(AY32,$AN$8:$AW$148,7,False))=True,"",VLOOKUP(AY32,$AN$8:$AW$148,7,False))</f>
        <v>0</v>
      </c>
      <c r="BF32" s="1123">
        <f t="shared" si="20">IF(ISNA(VLOOKUP($AY32,$AN$8:$AW$148,8,False))=True,"",VLOOKUP($AY32,$AN$8:$AW$148,8,False))</f>
        <v>0</v>
      </c>
      <c r="BG32" s="1120">
        <f t="shared" si="21">IF(ISNA(VLOOKUP($AY32,$AN$8:$AW$148,9,False))=True,"",VLOOKUP($AY32,$AN$8:$AW$148,9,False))</f>
        <v>0</v>
      </c>
      <c r="BH32" s="1120">
        <f t="shared" si="22">IF(ISNA(VLOOKUP($AY32,$AN$8:$AW$148,10,False))=True,"",VLOOKUP($AY32,$AN$8:$AW$148,10,False))</f>
        <v>0</v>
      </c>
      <c r="BI32" s="250">
        <f t="shared" si="49">IF(AZ32&lt;&gt;"",AZ32,"")</f>
        <v>0</v>
      </c>
      <c r="BJ32" s="1098">
        <f t="shared" si="50">BI32</f>
        <v>0</v>
      </c>
      <c r="BK32" s="1115">
        <f>COUNTIFS($AZ:$AZ, AZ32,$BJ:$BJ, "&lt;"&amp;BJ32)+COUNTIFS(AZ$8:AZ32, AZ32, BJ$8:BJ32, BJ32)</f>
        <v>25</v>
      </c>
      <c r="BL32" s="1114">
        <f t="shared" si="51">BK32/100</f>
        <v>0.25</v>
      </c>
      <c r="BM32" s="1093" t="e">
        <f t="shared" si="109" ref="BM32">BI32+BL32</f>
        <v>#VALUE!</v>
      </c>
      <c r="BN32" s="1101">
        <f t="shared" si="52">IF(BA32&lt;&gt;"",BM32,"")</f>
        <v>0</v>
      </c>
      <c r="BO32" s="1118">
        <f t="shared" si="53">IF(BN32&lt;&gt;"",BN32,0)</f>
        <v>0</v>
      </c>
      <c r="BP32" s="237" t="e">
        <f t="shared" si="23">SMALL($BN$8:$BN$152,AX32)</f>
        <v>#VALUE!</v>
      </c>
      <c r="BR32" s="1102" t="e">
        <f t="shared" si="54">IF(BP32&lt;&gt;"",BR31+1,"")</f>
        <v>#VALUE!</v>
      </c>
      <c r="BS32" s="1102">
        <f t="shared" si="55">IFERROR(BP32,"")</f>
        <v>0</v>
      </c>
      <c r="BT32" s="1102">
        <f t="shared" si="56">IFERROR(CC32,"")</f>
        <v>0</v>
      </c>
      <c r="BU32" s="1098">
        <f t="shared" si="57">IFERROR(CD32,"")</f>
        <v>0</v>
      </c>
      <c r="BV32" s="1098">
        <f t="shared" si="58">IFERROR(CE32,"")</f>
        <v>0</v>
      </c>
      <c r="BW32" s="1098">
        <f t="shared" si="59">IFERROR(CF32,"")</f>
        <v>0</v>
      </c>
      <c r="BX32" s="1146">
        <f t="shared" si="60">IFERROR(CH32,"")</f>
        <v>0</v>
      </c>
      <c r="BY32" s="1098">
        <f t="shared" si="61">IFERROR(CG32,"")</f>
        <v>0</v>
      </c>
      <c r="BZ32" s="1144" t="str">
        <f t="shared" si="62">IFERROR(CI32,"-")</f>
        <v>-</v>
      </c>
      <c r="CA32" s="1107">
        <f t="shared" si="63">IFERROR(CJ32,"")</f>
        <v>0</v>
      </c>
      <c r="CB32" s="1107">
        <f t="shared" si="64">IFERROR(CK32,"")</f>
        <v>0</v>
      </c>
      <c r="CC32" s="1110" t="e">
        <f t="shared" si="25">INDEX($AZ$8:$AZ$153,MATCH(BP32,$BO$8:$BO$153,0))</f>
        <v>#VALUE!</v>
      </c>
      <c r="CD32" s="1087" t="e">
        <f t="shared" si="26">INDEX($BA$8:$BA$153,MATCH(BP32,$BO$8:$BO$153,0))</f>
        <v>#VALUE!</v>
      </c>
      <c r="CE32" s="1106" t="e">
        <f t="shared" si="27">INDEX($BB$8:$BB$153,MATCH(BP32,$BO$8:$BO$153,0))</f>
        <v>#VALUE!</v>
      </c>
      <c r="CF32" s="1106" t="e">
        <f t="shared" si="28">INDEX(BC$8:BC$153,MATCH(BP32,$BO$8:$BO$153,0))</f>
        <v>#VALUE!</v>
      </c>
      <c r="CG32" s="1118" t="e">
        <f t="shared" si="29">INDEX(BE$8:BE$153,MATCH(BP32,$BO$8:$BO$153,0))</f>
        <v>#VALUE!</v>
      </c>
      <c r="CH32" s="1106" t="e">
        <f t="shared" si="30">INDEX($BD$8:$BD$153,MATCH($BP32,$BO$8:$BO$153,0))</f>
        <v>#VALUE!</v>
      </c>
      <c r="CI32" s="1142" t="e">
        <f t="shared" si="31">INDEX($BF$8:$BF$153,MATCH(BP32,$BO$8:$BO$153,0))</f>
        <v>#VALUE!</v>
      </c>
      <c r="CJ32" s="1106" t="e">
        <f t="shared" si="32">INDEX($BG$8:$BG$153,MATCH(BP32,$BO$8:$BO$153,0))</f>
        <v>#VALUE!</v>
      </c>
      <c r="CK32" s="1106" t="e">
        <f t="shared" si="33">INDEX($BH$8:$BH$153,MATCH(BP32,$BO$8:$BO$153,0))</f>
        <v>#VALUE!</v>
      </c>
      <c r="CM32" s="1131">
        <f t="shared" si="34">COUNTIF($CH$8:$CH$228,"&lt;="&amp;CH32)</f>
        <v>145</v>
      </c>
      <c r="CN32" s="1121">
        <f t="shared" si="65">--ISNUMBER(BX32)</f>
        <v>0</v>
      </c>
      <c r="CO32" s="1121">
        <f t="shared" si="66">IF(BX32=0,1,0)</f>
        <v>0</v>
      </c>
      <c r="CP32" s="1124">
        <f t="shared" si="35">IF(ISNUMBER(BX32),CM32,IF(ISERROR(BX32),CM32,CM32+$CN$154))+$CO$154</f>
        <v>145</v>
      </c>
      <c r="CQ32" s="237">
        <f>IFERROR(INDEX($BX$8:$BX$153,MATCH(SMALL($CP$8:$CP$153,ROWS($CQ$8:CQ32)+$CO$154),$CP$8:$CP$154,0)),"")</f>
        <v>0</v>
      </c>
      <c r="CR32" s="237">
        <v>0.1</v>
      </c>
      <c r="CS32" s="1135">
        <f t="shared" si="67">CM32+CR32</f>
        <v>145.1</v>
      </c>
      <c r="CT32" s="237">
        <f>COUNTIFS($CM:$CM, CM32,$CS:$CS, "&lt;"&amp;CL)+COUNTIFS(CM$8:CM32, CM32, CS$8:CS32, CS32)</f>
        <v>25</v>
      </c>
      <c r="CU32" s="1109">
        <f t="shared" si="68">CT32/100</f>
        <v>0.25</v>
      </c>
      <c r="CV32" s="1109">
        <f t="shared" si="69">CM32+CU32</f>
        <v>145.25</v>
      </c>
      <c r="CW32" s="237" t="e">
        <f t="shared" si="36">SMALL(CV$8:CV$153,AX32)</f>
        <v>#VALUE!</v>
      </c>
      <c r="CX32" s="1109">
        <f t="shared" si="70">IFERROR(CW32,"")</f>
        <v>0</v>
      </c>
      <c r="CY32" s="237" t="e">
        <f t="shared" si="37">INDEX(BU$8:BU$152,MATCH($CX32,CV$8:CV$152,0))</f>
        <v>#N/A</v>
      </c>
      <c r="CZ32" s="237" t="e">
        <f t="shared" si="38">INDEX(BV$8:BV$152,MATCH($CX32,$CV$8:$CV$152,0))</f>
        <v>#N/A</v>
      </c>
      <c r="DA32" s="237" t="e">
        <f t="shared" si="39">INDEX(BW$8:BW$152,MATCH($CX32,$CV$8:$CV$152,0))</f>
        <v>#N/A</v>
      </c>
      <c r="DB32" s="237" t="e">
        <f t="shared" si="40">INDEX(BX$8:BX$152,MATCH($CX32,$CV$8:$CV$152,0))</f>
        <v>#N/A</v>
      </c>
      <c r="DC32" s="237" t="e">
        <f t="shared" si="41">INDEX(BY$8:BY$152,MATCH($CX32,$CV$8:$CV$152,0))</f>
        <v>#N/A</v>
      </c>
      <c r="DD32" s="237" t="e">
        <f t="shared" si="42">INDEX(BZ$8:BZ$152,MATCH($CX32,$CV$8:$CV$152,0))</f>
        <v>#N/A</v>
      </c>
      <c r="DE32" s="237" t="e">
        <f t="shared" si="43">INDEX(CA$8:CA$152,MATCH($CX32,$CV$8:$CV$152,0))</f>
        <v>#N/A</v>
      </c>
      <c r="DF32" s="237" t="e">
        <f t="shared" si="44">INDEX(CB$8:CB$152,MATCH($CX32,$CV$8:$CV$152,0))</f>
        <v>#N/A</v>
      </c>
    </row>
    <row r="33" spans="1:110" ht="15" customHeight="1">
      <c r="A33" s="1291">
        <v>5</v>
      </c>
      <c r="B33" s="1508"/>
      <c r="C33" s="1148"/>
      <c r="D33" s="1148"/>
      <c r="E33" s="1148"/>
      <c r="F33" s="1148"/>
      <c r="G33" s="1148"/>
      <c r="H33" s="1148"/>
      <c r="I33" s="1472"/>
      <c r="J33" s="1149"/>
      <c r="K33" s="1150"/>
      <c r="L33" s="1151"/>
      <c r="M33" s="1292">
        <f t="shared" si="110" ref="M33:M37">K33*L33</f>
        <v>0</v>
      </c>
      <c r="O33" s="2046"/>
      <c r="P33" s="1057" t="s">
        <v>1047</v>
      </c>
      <c r="Q33" s="1057" t="s">
        <v>1076</v>
      </c>
      <c r="R33" s="1057" t="s">
        <v>1048</v>
      </c>
      <c r="S33" s="1034">
        <f ca="1" t="shared" si="93">SUMIF($B$92:$M$106,$R33,$K$92:$K$106)</f>
        <v>0</v>
      </c>
      <c r="T33" s="1034">
        <f ca="1" t="shared" si="94">SUMIF($B$92:$M$106,$R33,$M$92:$M$106)</f>
        <v>0</v>
      </c>
      <c r="U33" s="1031"/>
      <c r="W33" s="1308">
        <f ca="1">IF(AND(T33&lt;&gt;0,R33&lt;&gt;W27,R33&lt;&gt;W26,R33&lt;&gt;W25,R33&lt;&gt;W24,R33&lt;&gt;W23,R33&lt;&gt;W22,R33&lt;&gt;W21,R33&lt;&gt;W20,R33&lt;&gt;W19,R33&lt;&gt;W18,R33&lt;&gt;W17,R33&lt;&gt;W16,R33&lt;&gt;W15,R33&lt;&gt;W14,R33&lt;&gt;W13,R33&lt;&gt;W12,R33&lt;&gt;W11,R33&lt;&gt;W10,R33&lt;&gt;W9,R33&lt;&gt;W8,R33&lt;&gt;W7,R33&lt;&gt;W6,R33&lt;&gt;W5,R33&lt;&gt;W4,R33&lt;&gt;W3),R33,IF(AND(T34&lt;&gt;0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)</f>
        <v>0</v>
      </c>
      <c r="X33" s="1308"/>
      <c r="Y33" s="1309">
        <f ca="1" t="shared" si="111" ref="Y33:Y36">IF(ISNA(VLOOKUP(W33,$AE$8:$AG$46,2,False))=True,"",VLOOKUP(W33,$AE$8:$AG$46,2,False))</f>
        <v>0</v>
      </c>
      <c r="Z33" s="1309">
        <f ca="1" t="shared" si="112" ref="Z33:Z36">IF(ISNA(VLOOKUP(W33,$AE$8:$AG$46,3,False))=True,"",VLOOKUP(W33,$AE$8:$AG$46,3,False))</f>
        <v>0</v>
      </c>
      <c r="AA33" s="1310">
        <f ca="1" t="shared" si="113" ref="AA33:AA36">IF(ISNA(VLOOKUP(W33,$R$8:$T$42,3,False))=True,"",VLOOKUP(W33,$R$8:$T$42,3,False))</f>
        <v>0</v>
      </c>
      <c r="AB33" s="1521">
        <f ca="1">_xlfn.IFNA(IF(ISTEXT(VLOOKUP(W33,'DRAFT A&amp;L'!$B$7:$G$100,4,0)),VLOOKUP(W33,'DRAFT A&amp;L'!$B$7:$G$100,4,0),YEAR(VLOOKUP(W33,'DRAFT A&amp;L'!$B$7:$G$100,4,0))),"")</f>
        <v>0</v>
      </c>
      <c r="AC33" s="423"/>
      <c r="AE33" s="1027" t="s">
        <v>1048</v>
      </c>
      <c r="AF33" s="1037" t="s">
        <v>1047</v>
      </c>
      <c r="AG33" s="1037" t="s">
        <v>1076</v>
      </c>
      <c r="AK33" s="1092">
        <f t="shared" si="3">COUNTIF($BA$8:$BA$152,AF33)</f>
        <v>0</v>
      </c>
      <c r="AM33" s="1077">
        <f t="shared" si="114" ref="AM33:AM37">IF(M33&gt;0,1,0)</f>
        <v>0</v>
      </c>
      <c r="AN33" s="1096">
        <f>IF(AM33&gt;0,COUNTIF(AM$8:AM33,"&gt;0"),0)</f>
        <v>0</v>
      </c>
      <c r="AO33" s="1078">
        <f t="shared" si="115" ref="AO33:AO37">B33</f>
        <v>0</v>
      </c>
      <c r="AP33" s="1079">
        <f t="shared" si="116" ref="AP33:AP37">C33</f>
        <v>0</v>
      </c>
      <c r="AQ33" s="1080">
        <f t="shared" si="117" ref="AQ33:AQ37">IF(I33&lt;&gt;"",YEAR(I33),"")</f>
        <v>0</v>
      </c>
      <c r="AR33" s="1080">
        <f t="shared" si="118" ref="AR33:AR37">IF(E33&lt;&gt;"",E33,"")</f>
        <v>0</v>
      </c>
      <c r="AS33" s="1078">
        <f t="shared" si="119" ref="AS33:AS37">F33</f>
        <v>0</v>
      </c>
      <c r="AT33" s="1080">
        <f t="shared" si="120" ref="AT33:AT37">IF(H33&lt;&gt;"",H33,"")</f>
        <v>0</v>
      </c>
      <c r="AU33" s="1080">
        <f t="shared" si="121" ref="AU33:AU37">J33</f>
        <v>0</v>
      </c>
      <c r="AV33" s="1080">
        <f t="shared" si="122" ref="AV33:AV37">K33</f>
        <v>0</v>
      </c>
      <c r="AW33" s="1081">
        <f t="shared" si="123" ref="AW33:AW37">M33</f>
        <v>0</v>
      </c>
      <c r="AX33" s="237">
        <f>IF(AZ33&lt;&gt;"",AX27+1,"")</f>
        <v>0</v>
      </c>
      <c r="AY33" s="1087">
        <v>26</v>
      </c>
      <c r="AZ33" s="1087">
        <f t="shared" si="124" ref="AZ33:AZ37">IF(ISNA(VLOOKUP(AY33,$AN$8:$AW$148,2,False))=True,"",VLOOKUP(AY33,$AN$8:$AW$148,2,False))</f>
        <v>0</v>
      </c>
      <c r="BA33" s="1087">
        <f t="shared" si="125" ref="BA33:BA37">IF(ISNA(VLOOKUP(AZ33,$AE$8:$AF$46,2,False))=True,"",VLOOKUP(AZ33,$AE$8:$AF$46,2,False))</f>
        <v>0</v>
      </c>
      <c r="BB33" s="1087">
        <f t="shared" si="126" ref="BB33:BB37">IF(ISNA(VLOOKUP(AY33,$AN$8:$AW$148,4,False))=True,"",VLOOKUP(AY33,$AN$8:$AW$148,4,False))</f>
        <v>0</v>
      </c>
      <c r="BC33" s="1087">
        <f t="shared" si="127" ref="BC33:BC37">IF(ISNA(VLOOKUP(AY33,$AN$8:$AW$148,5,False))=True,"",VLOOKUP(AY33,$AN$8:$AW$148,5,False))</f>
        <v>0</v>
      </c>
      <c r="BD33" s="1087">
        <f t="shared" si="128" ref="BD33:BD37">IF(ISNA(VLOOKUP(AY33,$AN$8:$AW$148,6,False))=True,"",VLOOKUP(AY33,$AN$8:$AW$148,6,False))</f>
        <v>0</v>
      </c>
      <c r="BE33" s="1125">
        <f t="shared" si="129" ref="BE33:BE37">IF(ISNA(VLOOKUP(AY33,$AN$8:$AW$148,7,False))=True,"",VLOOKUP(AY33,$AN$8:$AW$148,7,False))</f>
        <v>0</v>
      </c>
      <c r="BF33" s="1123">
        <f t="shared" si="20">IF(ISNA(VLOOKUP($AY33,$AN$8:$AW$148,8,False))=True,"",VLOOKUP($AY33,$AN$8:$AW$148,8,False))</f>
        <v>0</v>
      </c>
      <c r="BG33" s="1120">
        <f t="shared" si="21">IF(ISNA(VLOOKUP($AY33,$AN$8:$AW$148,9,False))=True,"",VLOOKUP($AY33,$AN$8:$AW$148,9,False))</f>
        <v>0</v>
      </c>
      <c r="BH33" s="1120">
        <f t="shared" si="22">IF(ISNA(VLOOKUP($AY33,$AN$8:$AW$148,10,False))=True,"",VLOOKUP($AY33,$AN$8:$AW$148,10,False))</f>
        <v>0</v>
      </c>
      <c r="BI33" s="250">
        <f t="shared" si="130" ref="BI33:BI37">IF(AZ33&lt;&gt;"",AZ33,"")</f>
        <v>0</v>
      </c>
      <c r="BJ33" s="1098">
        <f t="shared" si="131" ref="BJ33:BJ37">BI33</f>
        <v>0</v>
      </c>
      <c r="BK33" s="1115">
        <f>COUNTIFS($AZ:$AZ, AZ33,$BJ:$BJ, "&lt;"&amp;BJ33)+COUNTIFS(AZ$8:AZ33, AZ33, BJ$8:BJ33, BJ33)</f>
        <v>26</v>
      </c>
      <c r="BL33" s="1114">
        <f t="shared" si="132" ref="BL33:BL37">BK33/100</f>
        <v>0.26</v>
      </c>
      <c r="BM33" s="1093" t="e">
        <f t="shared" si="133" ref="BM33">BJ33+BL33</f>
        <v>#VALUE!</v>
      </c>
      <c r="BN33" s="1101">
        <f t="shared" si="134" ref="BN33:BN37">IF(BA33&lt;&gt;"",BM33,"")</f>
        <v>0</v>
      </c>
      <c r="BO33" s="1118">
        <f t="shared" si="135" ref="BO33:BO37">IF(BN33&lt;&gt;"",BN33,0)</f>
        <v>0</v>
      </c>
      <c r="BP33" s="237" t="e">
        <f t="shared" si="23">SMALL($BN$8:$BN$152,AX33)</f>
        <v>#VALUE!</v>
      </c>
      <c r="BR33" s="1102" t="e">
        <f>IF(BP33&lt;&gt;"",BR27+1,"")</f>
        <v>#VALUE!</v>
      </c>
      <c r="BS33" s="1102">
        <f t="shared" si="136" ref="BS33:BS37">IFERROR(BP33,"")</f>
        <v>0</v>
      </c>
      <c r="BT33" s="1102">
        <f t="shared" si="137" ref="BT33:BT37">IFERROR(CC33,"")</f>
        <v>0</v>
      </c>
      <c r="BU33" s="1098">
        <f t="shared" si="138" ref="BU33:BU37">IFERROR(CD33,"")</f>
        <v>0</v>
      </c>
      <c r="BV33" s="1098">
        <f t="shared" si="139" ref="BV33:BV37">IFERROR(CE33,"")</f>
        <v>0</v>
      </c>
      <c r="BW33" s="1098">
        <f t="shared" si="140" ref="BW33:BW37">IFERROR(CF33,"")</f>
        <v>0</v>
      </c>
      <c r="BX33" s="1146">
        <f t="shared" si="141" ref="BX33:BX37">IFERROR(CH33,"")</f>
        <v>0</v>
      </c>
      <c r="BY33" s="1098">
        <f t="shared" si="142" ref="BY33:BY37">IFERROR(CG33,"")</f>
        <v>0</v>
      </c>
      <c r="BZ33" s="1144" t="str">
        <f t="shared" si="143" ref="BZ33:BZ37">IFERROR(CI33,"-")</f>
        <v>-</v>
      </c>
      <c r="CA33" s="1107">
        <f t="shared" si="144" ref="CA33:CA37">IFERROR(CJ33,"")</f>
        <v>0</v>
      </c>
      <c r="CB33" s="1107">
        <f t="shared" si="145" ref="CB33:CB37">IFERROR(CK33,"")</f>
        <v>0</v>
      </c>
      <c r="CC33" s="1110" t="e">
        <f t="shared" si="25">INDEX($AZ$8:$AZ$153,MATCH(BP33,$BO$8:$BO$153,0))</f>
        <v>#VALUE!</v>
      </c>
      <c r="CD33" s="1087" t="e">
        <f t="shared" si="26">INDEX($BA$8:$BA$153,MATCH(BP33,$BO$8:$BO$153,0))</f>
        <v>#VALUE!</v>
      </c>
      <c r="CE33" s="1106" t="e">
        <f t="shared" si="27">INDEX($BB$8:$BB$153,MATCH(BP33,$BO$8:$BO$153,0))</f>
        <v>#VALUE!</v>
      </c>
      <c r="CF33" s="1106" t="e">
        <f t="shared" si="28">INDEX(BC$8:BC$153,MATCH(BP33,$BO$8:$BO$153,0))</f>
        <v>#VALUE!</v>
      </c>
      <c r="CG33" s="1118" t="e">
        <f t="shared" si="29">INDEX(BE$8:BE$153,MATCH(BP33,$BO$8:$BO$153,0))</f>
        <v>#VALUE!</v>
      </c>
      <c r="CH33" s="1106" t="e">
        <f t="shared" si="30">INDEX($BD$8:$BD$153,MATCH($BP33,$BO$8:$BO$153,0))</f>
        <v>#VALUE!</v>
      </c>
      <c r="CI33" s="1142" t="e">
        <f t="shared" si="31">INDEX($BF$8:$BF$153,MATCH(BP33,$BO$8:$BO$153,0))</f>
        <v>#VALUE!</v>
      </c>
      <c r="CJ33" s="1106" t="e">
        <f t="shared" si="32">INDEX($BG$8:$BG$153,MATCH(BP33,$BO$8:$BO$153,0))</f>
        <v>#VALUE!</v>
      </c>
      <c r="CK33" s="1106" t="e">
        <f t="shared" si="33">INDEX($BH$8:$BH$153,MATCH(BP33,$BO$8:$BO$153,0))</f>
        <v>#VALUE!</v>
      </c>
      <c r="CM33" s="1131">
        <f t="shared" si="34">COUNTIF($CH$8:$CH$228,"&lt;="&amp;CH33)</f>
        <v>145</v>
      </c>
      <c r="CN33" s="1121">
        <f t="shared" si="146" ref="CN33:CN37">--ISNUMBER(BX33)</f>
        <v>0</v>
      </c>
      <c r="CO33" s="1121">
        <f t="shared" si="147" ref="CO33:CO37">IF(BX33=0,1,0)</f>
        <v>0</v>
      </c>
      <c r="CP33" s="1124">
        <f t="shared" si="148" ref="CP33:CP37">IF(ISNUMBER(BX33),CM33,IF(ISERROR(BX33),CM33,CM33+$CN$154))+$CO$154</f>
        <v>145</v>
      </c>
      <c r="CQ33" s="237">
        <f>IFERROR(INDEX($BX$8:$BX$153,MATCH(SMALL($CP$8:$CP$153,ROWS($CQ$8:CQ33)+$CO$154),$CP$8:$CP$154,0)),"")</f>
        <v>0</v>
      </c>
      <c r="CR33" s="237">
        <v>0.1</v>
      </c>
      <c r="CS33" s="1135">
        <f t="shared" si="149" ref="CS33:CS37">CM33+CR33</f>
        <v>145.1</v>
      </c>
      <c r="CT33" s="237">
        <f>COUNTIFS($CM:$CM, CM33,$CS:$CS, "&lt;"&amp;CL)+COUNTIFS(CM$8:CM33, CM33, CS$8:CS33, CS33)</f>
        <v>26</v>
      </c>
      <c r="CU33" s="1109">
        <f t="shared" si="150" ref="CU33:CU37">CT33/100</f>
        <v>0.26</v>
      </c>
      <c r="CV33" s="1109">
        <f t="shared" si="151" ref="CV33:CV37">CM33+CU33</f>
        <v>145.26</v>
      </c>
      <c r="CW33" s="237" t="e">
        <f t="shared" si="36">SMALL(CV$8:CV$153,AX33)</f>
        <v>#VALUE!</v>
      </c>
      <c r="CX33" s="1109">
        <f t="shared" si="152" ref="CX33:CX37">IFERROR(CW33,"")</f>
        <v>0</v>
      </c>
      <c r="CY33" s="237" t="e">
        <f t="shared" si="37">INDEX(BU$8:BU$152,MATCH($CX33,CV$8:CV$152,0))</f>
        <v>#N/A</v>
      </c>
      <c r="CZ33" s="237" t="e">
        <f t="shared" si="38">INDEX(BV$8:BV$152,MATCH($CX33,$CV$8:$CV$152,0))</f>
        <v>#N/A</v>
      </c>
      <c r="DA33" s="237" t="e">
        <f t="shared" si="39">INDEX(BW$8:BW$152,MATCH($CX33,$CV$8:$CV$152,0))</f>
        <v>#N/A</v>
      </c>
      <c r="DB33" s="237" t="e">
        <f t="shared" si="40">INDEX(BX$8:BX$152,MATCH($CX33,$CV$8:$CV$152,0))</f>
        <v>#N/A</v>
      </c>
      <c r="DC33" s="237" t="e">
        <f t="shared" si="41">INDEX(BY$8:BY$152,MATCH($CX33,$CV$8:$CV$152,0))</f>
        <v>#N/A</v>
      </c>
      <c r="DD33" s="237" t="e">
        <f t="shared" si="42">INDEX(BZ$8:BZ$152,MATCH($CX33,$CV$8:$CV$152,0))</f>
        <v>#N/A</v>
      </c>
      <c r="DE33" s="237" t="e">
        <f t="shared" si="43">INDEX(CA$8:CA$152,MATCH($CX33,$CV$8:$CV$152,0))</f>
        <v>#N/A</v>
      </c>
      <c r="DF33" s="237" t="e">
        <f t="shared" si="44">INDEX(CB$8:CB$152,MATCH($CX33,$CV$8:$CV$152,0))</f>
        <v>#N/A</v>
      </c>
    </row>
    <row r="34" spans="1:110" ht="15" customHeight="1">
      <c r="A34" s="1291">
        <v>6</v>
      </c>
      <c r="B34" s="1508"/>
      <c r="C34" s="1148"/>
      <c r="D34" s="1148"/>
      <c r="E34" s="1148"/>
      <c r="F34" s="1148"/>
      <c r="G34" s="1148"/>
      <c r="H34" s="1148"/>
      <c r="I34" s="1472"/>
      <c r="J34" s="1149"/>
      <c r="K34" s="1150"/>
      <c r="L34" s="1151"/>
      <c r="M34" s="1292">
        <f t="shared" si="110">K34*L34</f>
        <v>0</v>
      </c>
      <c r="O34" s="2046"/>
      <c r="P34" s="1056" t="s">
        <v>845</v>
      </c>
      <c r="Q34" s="1056" t="s">
        <v>1077</v>
      </c>
      <c r="R34" s="1058" t="s">
        <v>844</v>
      </c>
      <c r="S34" s="1031">
        <f ca="1">SUMIF($B$113:$M$127,$R34,$K$113:$K$127)</f>
        <v>0</v>
      </c>
      <c r="T34" s="1031">
        <f ca="1">SUMIF($B$113:$M$127,$R34,$M$113:$M$127)</f>
        <v>0</v>
      </c>
      <c r="U34" s="1031"/>
      <c r="W34" s="1308">
        <f ca="1">IF(AND(T34&lt;&gt;0,R34&lt;&gt;W33,R34&lt;&gt;W27,R34&lt;&gt;W26,R34&lt;&gt;W25,R34&lt;&gt;W24,R34&lt;&gt;W23,R34&lt;&gt;W22,R34&lt;&gt;W21,R34&lt;&gt;W20,R34&lt;&gt;W19,R34&lt;&gt;W18,R34&lt;&gt;W17,R34&lt;&gt;W16,R34&lt;&gt;W15,R34&lt;&gt;W14,R34&lt;&gt;W13,R34&lt;&gt;W12,R34&lt;&gt;W11,R34&lt;&gt;W10,R34&lt;&gt;W9,R34&lt;&gt;W8,R34&lt;&gt;W7,R34&lt;&gt;W6,R34&lt;&gt;W5,R34&lt;&gt;W4,R34&lt;&gt;W3),R34,IF(AND(T35&lt;&gt;0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)</f>
        <v>0</v>
      </c>
      <c r="X34" s="1308"/>
      <c r="Y34" s="1309">
        <f ca="1" t="shared" si="111">IF(ISNA(VLOOKUP(W34,$AE$8:$AG$46,2,False))=True,"",VLOOKUP(W34,$AE$8:$AG$46,2,False))</f>
        <v>0</v>
      </c>
      <c r="Z34" s="1309">
        <f ca="1" t="shared" si="112">IF(ISNA(VLOOKUP(W34,$AE$8:$AG$46,3,False))=True,"",VLOOKUP(W34,$AE$8:$AG$46,3,False))</f>
        <v>0</v>
      </c>
      <c r="AA34" s="1310">
        <f ca="1" t="shared" si="113">IF(ISNA(VLOOKUP(W34,$R$8:$T$42,3,False))=True,"",VLOOKUP(W34,$R$8:$T$42,3,False))</f>
        <v>0</v>
      </c>
      <c r="AB34" s="1521">
        <f ca="1">_xlfn.IFNA(IF(ISTEXT(VLOOKUP(W34,'DRAFT A&amp;L'!$B$7:$G$100,4,0)),VLOOKUP(W34,'DRAFT A&amp;L'!$B$7:$G$100,4,0),YEAR(VLOOKUP(W34,'DRAFT A&amp;L'!$B$7:$G$100,4,0))),"")</f>
        <v>0</v>
      </c>
      <c r="AC34" s="423"/>
      <c r="AE34" s="1029" t="s">
        <v>844</v>
      </c>
      <c r="AF34" s="1035" t="s">
        <v>845</v>
      </c>
      <c r="AG34" s="1035" t="s">
        <v>1077</v>
      </c>
      <c r="AK34" s="1092">
        <f t="shared" si="3">COUNTIF($BA$8:$BA$152,AF34)</f>
        <v>0</v>
      </c>
      <c r="AM34" s="1077">
        <f t="shared" si="114">IF(M34&gt;0,1,0)</f>
        <v>0</v>
      </c>
      <c r="AN34" s="1096">
        <f>IF(K34&gt;0,COUNTIF(AM$8:AM34,"&gt;0"),0)</f>
        <v>0</v>
      </c>
      <c r="AO34" s="1078">
        <f t="shared" si="115">B34</f>
        <v>0</v>
      </c>
      <c r="AP34" s="1079">
        <f t="shared" si="116">C34</f>
        <v>0</v>
      </c>
      <c r="AQ34" s="1080">
        <f t="shared" si="117">IF(I34&lt;&gt;"",YEAR(I34),"")</f>
        <v>0</v>
      </c>
      <c r="AR34" s="1080">
        <f t="shared" si="118">IF(E34&lt;&gt;"",E34,"")</f>
        <v>0</v>
      </c>
      <c r="AS34" s="1078">
        <f t="shared" si="119">F34</f>
        <v>0</v>
      </c>
      <c r="AT34" s="1080">
        <f t="shared" si="120">IF(H34&lt;&gt;"",H34,"")</f>
        <v>0</v>
      </c>
      <c r="AU34" s="1080">
        <f t="shared" si="121">J34</f>
        <v>0</v>
      </c>
      <c r="AV34" s="1080">
        <f t="shared" si="122">K34</f>
        <v>0</v>
      </c>
      <c r="AW34" s="1081">
        <f t="shared" si="123">M34</f>
        <v>0</v>
      </c>
      <c r="AX34" s="237">
        <f t="shared" si="153" ref="AX34:AX37">IF(AZ34&lt;&gt;"",AX33+1,"")</f>
        <v>0</v>
      </c>
      <c r="AY34" s="1087">
        <v>27</v>
      </c>
      <c r="AZ34" s="1087">
        <f t="shared" si="124">IF(ISNA(VLOOKUP(AY34,$AN$8:$AW$148,2,False))=True,"",VLOOKUP(AY34,$AN$8:$AW$148,2,False))</f>
        <v>0</v>
      </c>
      <c r="BA34" s="1087">
        <f t="shared" si="125">IF(ISNA(VLOOKUP(AZ34,$AE$8:$AF$46,2,False))=True,"",VLOOKUP(AZ34,$AE$8:$AF$46,2,False))</f>
        <v>0</v>
      </c>
      <c r="BB34" s="1087">
        <f t="shared" si="126">IF(ISNA(VLOOKUP(AY34,$AN$8:$AW$148,4,False))=True,"",VLOOKUP(AY34,$AN$8:$AW$148,4,False))</f>
        <v>0</v>
      </c>
      <c r="BC34" s="1087">
        <f t="shared" si="127">IF(ISNA(VLOOKUP(AY34,$AN$8:$AW$148,5,False))=True,"",VLOOKUP(AY34,$AN$8:$AW$148,5,False))</f>
        <v>0</v>
      </c>
      <c r="BD34" s="1087">
        <f t="shared" si="128">IF(ISNA(VLOOKUP(AY34,$AN$8:$AW$148,6,False))=True,"",VLOOKUP(AY34,$AN$8:$AW$148,6,False))</f>
        <v>0</v>
      </c>
      <c r="BE34" s="1125">
        <f t="shared" si="129">IF(ISNA(VLOOKUP(AY34,$AN$8:$AW$148,7,False))=True,"",VLOOKUP(AY34,$AN$8:$AW$148,7,False))</f>
        <v>0</v>
      </c>
      <c r="BF34" s="1123">
        <f t="shared" si="20">IF(ISNA(VLOOKUP($AY34,$AN$8:$AW$148,8,False))=True,"",VLOOKUP($AY34,$AN$8:$AW$148,8,False))</f>
        <v>0</v>
      </c>
      <c r="BG34" s="1120">
        <f t="shared" si="21">IF(ISNA(VLOOKUP($AY34,$AN$8:$AW$148,9,False))=True,"",VLOOKUP($AY34,$AN$8:$AW$148,9,False))</f>
        <v>0</v>
      </c>
      <c r="BH34" s="1120">
        <f t="shared" si="22">IF(ISNA(VLOOKUP($AY34,$AN$8:$AW$148,10,False))=True,"",VLOOKUP($AY34,$AN$8:$AW$148,10,False))</f>
        <v>0</v>
      </c>
      <c r="BI34" s="250">
        <f t="shared" si="130">IF(AZ34&lt;&gt;"",AZ34,"")</f>
        <v>0</v>
      </c>
      <c r="BJ34" s="1098">
        <f t="shared" si="131">BI34</f>
        <v>0</v>
      </c>
      <c r="BK34" s="1115">
        <f>COUNTIFS($AZ:$AZ, AZ34,$BJ:$BJ, "&lt;"&amp;BJ34)+COUNTIFS(AZ$8:AZ34, AZ34, BJ$8:BJ34, BJ34)</f>
        <v>27</v>
      </c>
      <c r="BL34" s="1114">
        <f t="shared" si="132">BK34/100</f>
        <v>0.27</v>
      </c>
      <c r="BM34" s="1093" t="e">
        <f t="shared" si="154" ref="BM34">BI34+BL34</f>
        <v>#VALUE!</v>
      </c>
      <c r="BN34" s="1101">
        <f t="shared" si="134">IF(BA34&lt;&gt;"",BM34,"")</f>
        <v>0</v>
      </c>
      <c r="BO34" s="1118">
        <f t="shared" si="135">IF(BN34&lt;&gt;"",BN34,0)</f>
        <v>0</v>
      </c>
      <c r="BP34" s="237" t="e">
        <f t="shared" si="23">SMALL($BN$8:$BN$152,AX34)</f>
        <v>#VALUE!</v>
      </c>
      <c r="BR34" s="1102" t="e">
        <f t="shared" si="155" ref="BR34:BR37">IF(BP34&lt;&gt;"",BR33+1,"")</f>
        <v>#VALUE!</v>
      </c>
      <c r="BS34" s="1102">
        <f t="shared" si="136">IFERROR(BP34,"")</f>
        <v>0</v>
      </c>
      <c r="BT34" s="1102">
        <f t="shared" si="137">IFERROR(CC34,"")</f>
        <v>0</v>
      </c>
      <c r="BU34" s="1098">
        <f t="shared" si="138">IFERROR(CD34,"")</f>
        <v>0</v>
      </c>
      <c r="BV34" s="1098">
        <f t="shared" si="139">IFERROR(CE34,"")</f>
        <v>0</v>
      </c>
      <c r="BW34" s="1098">
        <f t="shared" si="140">IFERROR(CF34,"")</f>
        <v>0</v>
      </c>
      <c r="BX34" s="1146">
        <f t="shared" si="141">IFERROR(CH34,"")</f>
        <v>0</v>
      </c>
      <c r="BY34" s="1098">
        <f t="shared" si="142">IFERROR(CG34,"")</f>
        <v>0</v>
      </c>
      <c r="BZ34" s="1144" t="str">
        <f t="shared" si="143">IFERROR(CI34,"-")</f>
        <v>-</v>
      </c>
      <c r="CA34" s="1107">
        <f t="shared" si="144">IFERROR(CJ34,"")</f>
        <v>0</v>
      </c>
      <c r="CB34" s="1107">
        <f t="shared" si="145">IFERROR(CK34,"")</f>
        <v>0</v>
      </c>
      <c r="CC34" s="1110" t="e">
        <f t="shared" si="25">INDEX($AZ$8:$AZ$153,MATCH(BP34,$BO$8:$BO$153,0))</f>
        <v>#VALUE!</v>
      </c>
      <c r="CD34" s="1087" t="e">
        <f t="shared" si="26">INDEX($BA$8:$BA$153,MATCH(BP34,$BO$8:$BO$153,0))</f>
        <v>#VALUE!</v>
      </c>
      <c r="CE34" s="1106" t="e">
        <f t="shared" si="27">INDEX($BB$8:$BB$153,MATCH(BP34,$BO$8:$BO$153,0))</f>
        <v>#VALUE!</v>
      </c>
      <c r="CF34" s="1106" t="e">
        <f t="shared" si="28">INDEX(BC$8:BC$153,MATCH(BP34,$BO$8:$BO$153,0))</f>
        <v>#VALUE!</v>
      </c>
      <c r="CG34" s="1118" t="e">
        <f t="shared" si="29">INDEX(BE$8:BE$153,MATCH(BP34,$BO$8:$BO$153,0))</f>
        <v>#VALUE!</v>
      </c>
      <c r="CH34" s="1106" t="e">
        <f t="shared" si="30">INDEX($BD$8:$BD$153,MATCH($BP34,$BO$8:$BO$153,0))</f>
        <v>#VALUE!</v>
      </c>
      <c r="CI34" s="1142" t="e">
        <f t="shared" si="31">INDEX($BF$8:$BF$153,MATCH(BP34,$BO$8:$BO$153,0))</f>
        <v>#VALUE!</v>
      </c>
      <c r="CJ34" s="1106" t="e">
        <f t="shared" si="32">INDEX($BG$8:$BG$153,MATCH(BP34,$BO$8:$BO$153,0))</f>
        <v>#VALUE!</v>
      </c>
      <c r="CK34" s="1106" t="e">
        <f t="shared" si="33">INDEX($BH$8:$BH$153,MATCH(BP34,$BO$8:$BO$153,0))</f>
        <v>#VALUE!</v>
      </c>
      <c r="CM34" s="1131">
        <f t="shared" si="34">COUNTIF($CH$8:$CH$228,"&lt;="&amp;CH34)</f>
        <v>145</v>
      </c>
      <c r="CN34" s="1121">
        <f t="shared" si="146">--ISNUMBER(BX34)</f>
        <v>0</v>
      </c>
      <c r="CO34" s="1121">
        <f t="shared" si="147">IF(BX34=0,1,0)</f>
        <v>0</v>
      </c>
      <c r="CP34" s="1124">
        <f t="shared" si="148">IF(ISNUMBER(BX34),CM34,IF(ISERROR(BX34),CM34,CM34+$CN$154))+$CO$154</f>
        <v>145</v>
      </c>
      <c r="CQ34" s="237">
        <f>IFERROR(INDEX($BX$8:$BX$153,MATCH(SMALL($CP$8:$CP$153,ROWS($CQ$8:CQ34)+$CO$154),$CP$8:$CP$154,0)),"")</f>
        <v>0</v>
      </c>
      <c r="CR34" s="237">
        <v>0.1</v>
      </c>
      <c r="CS34" s="1135">
        <f t="shared" si="149">CM34+CR34</f>
        <v>145.1</v>
      </c>
      <c r="CT34" s="237">
        <f>COUNTIFS($CM:$CM, CM34,$CS:$CS, "&lt;"&amp;CL)+COUNTIFS(CM$8:CM34, CM34, CS$8:CS34, CS34)</f>
        <v>27</v>
      </c>
      <c r="CU34" s="1109">
        <f t="shared" si="150">CT34/100</f>
        <v>0.27</v>
      </c>
      <c r="CV34" s="1109">
        <f t="shared" si="151">CM34+CU34</f>
        <v>145.27</v>
      </c>
      <c r="CW34" s="237" t="e">
        <f t="shared" si="36">SMALL(CV$8:CV$153,AX34)</f>
        <v>#VALUE!</v>
      </c>
      <c r="CX34" s="1109">
        <f t="shared" si="152">IFERROR(CW34,"")</f>
        <v>0</v>
      </c>
      <c r="CY34" s="237" t="e">
        <f t="shared" si="37">INDEX(BU$8:BU$152,MATCH($CX34,CV$8:CV$152,0))</f>
        <v>#N/A</v>
      </c>
      <c r="CZ34" s="237" t="e">
        <f t="shared" si="38">INDEX(BV$8:BV$152,MATCH($CX34,$CV$8:$CV$152,0))</f>
        <v>#N/A</v>
      </c>
      <c r="DA34" s="237" t="e">
        <f t="shared" si="39">INDEX(BW$8:BW$152,MATCH($CX34,$CV$8:$CV$152,0))</f>
        <v>#N/A</v>
      </c>
      <c r="DB34" s="237" t="e">
        <f t="shared" si="40">INDEX(BX$8:BX$152,MATCH($CX34,$CV$8:$CV$152,0))</f>
        <v>#N/A</v>
      </c>
      <c r="DC34" s="237" t="e">
        <f t="shared" si="41">INDEX(BY$8:BY$152,MATCH($CX34,$CV$8:$CV$152,0))</f>
        <v>#N/A</v>
      </c>
      <c r="DD34" s="237" t="e">
        <f t="shared" si="42">INDEX(BZ$8:BZ$152,MATCH($CX34,$CV$8:$CV$152,0))</f>
        <v>#N/A</v>
      </c>
      <c r="DE34" s="237" t="e">
        <f t="shared" si="43">INDEX(CA$8:CA$152,MATCH($CX34,$CV$8:$CV$152,0))</f>
        <v>#N/A</v>
      </c>
      <c r="DF34" s="237" t="e">
        <f t="shared" si="44">INDEX(CB$8:CB$152,MATCH($CX34,$CV$8:$CV$152,0))</f>
        <v>#N/A</v>
      </c>
    </row>
    <row r="35" spans="1:110" ht="15" customHeight="1">
      <c r="A35" s="1291">
        <v>7</v>
      </c>
      <c r="B35" s="1508"/>
      <c r="C35" s="1148"/>
      <c r="D35" s="1148"/>
      <c r="E35" s="1148"/>
      <c r="F35" s="1148"/>
      <c r="G35" s="1148"/>
      <c r="H35" s="1148"/>
      <c r="I35" s="1472"/>
      <c r="J35" s="1149"/>
      <c r="K35" s="1150"/>
      <c r="L35" s="1151"/>
      <c r="M35" s="1292">
        <f t="shared" si="110">K35*L35</f>
        <v>0</v>
      </c>
      <c r="O35" s="2046"/>
      <c r="P35" s="1056" t="s">
        <v>847</v>
      </c>
      <c r="Q35" s="1056" t="s">
        <v>1078</v>
      </c>
      <c r="R35" s="1058" t="s">
        <v>846</v>
      </c>
      <c r="S35" s="1031">
        <f ca="1">SUMIF($B$113:$M$127,$R35,$K$113:$K$127)</f>
        <v>0</v>
      </c>
      <c r="T35" s="1031">
        <f ca="1">SUMIF($B$113:$M$127,R35,$M$113:$M$127)</f>
        <v>0</v>
      </c>
      <c r="U35" s="1031"/>
      <c r="W35" s="1308">
        <f ca="1">IF(AND(T35&lt;&gt;0,R35&lt;&gt;W34,R35&lt;&gt;W33,R35&lt;&gt;W27,R35&lt;&gt;W26,R35&lt;&gt;W25,R35&lt;&gt;W24,R35&lt;&gt;W23,R35&lt;&gt;W22,R35&lt;&gt;W21,R35&lt;&gt;W20,R35&lt;&gt;W19,R35&lt;&gt;W18,R35&lt;&gt;W17,R35&lt;&gt;W16,R35&lt;&gt;W15,R35&lt;&gt;W14,R35&lt;&gt;W13,R35&lt;&gt;W12,R35&lt;&gt;W11,R35&lt;&gt;W10,R35&lt;&gt;W9,R35&lt;&gt;W8,R35&lt;&gt;W7,R35&lt;&gt;W6,R35&lt;&gt;W5,R35&lt;&gt;W4,R35&lt;&gt;W3),R35,IF(AND(T36&lt;&gt;0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)</f>
        <v>0</v>
      </c>
      <c r="X35" s="1308"/>
      <c r="Y35" s="1309">
        <f ca="1" t="shared" si="111">IF(ISNA(VLOOKUP(W35,$AE$8:$AG$46,2,False))=True,"",VLOOKUP(W35,$AE$8:$AG$46,2,False))</f>
        <v>0</v>
      </c>
      <c r="Z35" s="1309">
        <f ca="1" t="shared" si="112">IF(ISNA(VLOOKUP(W35,$AE$8:$AG$46,3,False))=True,"",VLOOKUP(W35,$AE$8:$AG$46,3,False))</f>
        <v>0</v>
      </c>
      <c r="AA35" s="1310">
        <f ca="1" t="shared" si="113">IF(ISNA(VLOOKUP(W35,$R$8:$T$42,3,False))=True,"",VLOOKUP(W35,$R$8:$T$42,3,False))</f>
        <v>0</v>
      </c>
      <c r="AB35" s="1521">
        <f ca="1">_xlfn.IFNA(IF(ISTEXT(VLOOKUP(W35,'DRAFT A&amp;L'!$B$7:$G$100,4,0)),VLOOKUP(W35,'DRAFT A&amp;L'!$B$7:$G$100,4,0),YEAR(VLOOKUP(W35,'DRAFT A&amp;L'!$B$7:$G$100,4,0))),"")</f>
        <v>0</v>
      </c>
      <c r="AC35" s="423"/>
      <c r="AE35" s="1029" t="s">
        <v>846</v>
      </c>
      <c r="AF35" s="1035" t="s">
        <v>847</v>
      </c>
      <c r="AG35" s="1035" t="s">
        <v>1078</v>
      </c>
      <c r="AK35" s="1092">
        <f t="shared" si="3">COUNTIF($BA$8:$BA$152,AF35)</f>
        <v>0</v>
      </c>
      <c r="AM35" s="1082">
        <f t="shared" si="114">IF(M35&gt;0,1,0)</f>
        <v>0</v>
      </c>
      <c r="AN35" s="1096">
        <f>IF(AM35&gt;0,COUNTIF(AM$8:AM35,"&gt;0"),0)</f>
        <v>0</v>
      </c>
      <c r="AO35" s="1083">
        <f t="shared" si="115">B35</f>
        <v>0</v>
      </c>
      <c r="AP35" s="1084">
        <f t="shared" si="116">C35</f>
        <v>0</v>
      </c>
      <c r="AQ35" s="1085">
        <f t="shared" si="117">IF(I35&lt;&gt;"",YEAR(I35),"")</f>
        <v>0</v>
      </c>
      <c r="AR35" s="1080">
        <f t="shared" si="118">IF(E35&lt;&gt;"",E35,"")</f>
        <v>0</v>
      </c>
      <c r="AS35" s="1078">
        <f t="shared" si="119">F35</f>
        <v>0</v>
      </c>
      <c r="AT35" s="1080">
        <f t="shared" si="120">IF(H35&lt;&gt;"",H35,"")</f>
        <v>0</v>
      </c>
      <c r="AU35" s="1080">
        <f t="shared" si="121">J35</f>
        <v>0</v>
      </c>
      <c r="AV35" s="1080">
        <f t="shared" si="122">K35</f>
        <v>0</v>
      </c>
      <c r="AW35" s="1086">
        <f t="shared" si="123">M35</f>
        <v>0</v>
      </c>
      <c r="AX35" s="237">
        <f t="shared" si="153">IF(AZ35&lt;&gt;"",AX34+1,"")</f>
        <v>0</v>
      </c>
      <c r="AY35" s="1087">
        <v>28</v>
      </c>
      <c r="AZ35" s="1087">
        <f t="shared" si="124">IF(ISNA(VLOOKUP(AY35,$AN$8:$AW$148,2,False))=True,"",VLOOKUP(AY35,$AN$8:$AW$148,2,False))</f>
        <v>0</v>
      </c>
      <c r="BA35" s="1087">
        <f t="shared" si="125">IF(ISNA(VLOOKUP(AZ35,$AE$8:$AF$46,2,False))=True,"",VLOOKUP(AZ35,$AE$8:$AF$46,2,False))</f>
        <v>0</v>
      </c>
      <c r="BB35" s="1087">
        <f t="shared" si="126">IF(ISNA(VLOOKUP(AY35,$AN$8:$AW$148,4,False))=True,"",VLOOKUP(AY35,$AN$8:$AW$148,4,False))</f>
        <v>0</v>
      </c>
      <c r="BC35" s="1087">
        <f t="shared" si="127">IF(ISNA(VLOOKUP(AY35,$AN$8:$AW$148,5,False))=True,"",VLOOKUP(AY35,$AN$8:$AW$148,5,False))</f>
        <v>0</v>
      </c>
      <c r="BD35" s="1087">
        <f t="shared" si="128">IF(ISNA(VLOOKUP(AY35,$AN$8:$AW$148,6,False))=True,"",VLOOKUP(AY35,$AN$8:$AW$148,6,False))</f>
        <v>0</v>
      </c>
      <c r="BE35" s="1125">
        <f t="shared" si="129">IF(ISNA(VLOOKUP(AY35,$AN$8:$AW$148,7,False))=True,"",VLOOKUP(AY35,$AN$8:$AW$148,7,False))</f>
        <v>0</v>
      </c>
      <c r="BF35" s="1123">
        <f t="shared" si="20">IF(ISNA(VLOOKUP($AY35,$AN$8:$AW$148,8,False))=True,"",VLOOKUP($AY35,$AN$8:$AW$148,8,False))</f>
        <v>0</v>
      </c>
      <c r="BG35" s="1120">
        <f t="shared" si="21">IF(ISNA(VLOOKUP($AY35,$AN$8:$AW$148,9,False))=True,"",VLOOKUP($AY35,$AN$8:$AW$148,9,False))</f>
        <v>0</v>
      </c>
      <c r="BH35" s="1120">
        <f t="shared" si="22">IF(ISNA(VLOOKUP($AY35,$AN$8:$AW$148,10,False))=True,"",VLOOKUP($AY35,$AN$8:$AW$148,10,False))</f>
        <v>0</v>
      </c>
      <c r="BI35" s="250">
        <f t="shared" si="130">IF(AZ35&lt;&gt;"",AZ35,"")</f>
        <v>0</v>
      </c>
      <c r="BJ35" s="1098">
        <f t="shared" si="131">BI35</f>
        <v>0</v>
      </c>
      <c r="BK35" s="1115">
        <f>COUNTIFS($AZ:$AZ, AZ35,$BJ:$BJ, "&lt;"&amp;BJ35)+COUNTIFS(AZ$8:AZ35, AZ35, BJ$8:BJ35, BJ35)</f>
        <v>28</v>
      </c>
      <c r="BL35" s="1114">
        <f t="shared" si="132">BK35/100</f>
        <v>0.28</v>
      </c>
      <c r="BM35" s="1093" t="e">
        <f t="shared" si="156" ref="BM35">BJ35+BL35</f>
        <v>#VALUE!</v>
      </c>
      <c r="BN35" s="1101">
        <f t="shared" si="134">IF(BA35&lt;&gt;"",BM35,"")</f>
        <v>0</v>
      </c>
      <c r="BO35" s="1118">
        <f t="shared" si="135">IF(BN35&lt;&gt;"",BN35,0)</f>
        <v>0</v>
      </c>
      <c r="BP35" s="237" t="e">
        <f t="shared" si="23">SMALL($BN$8:$BN$152,AX35)</f>
        <v>#VALUE!</v>
      </c>
      <c r="BR35" s="1102" t="e">
        <f t="shared" si="155">IF(BP35&lt;&gt;"",BR34+1,"")</f>
        <v>#VALUE!</v>
      </c>
      <c r="BS35" s="1102">
        <f t="shared" si="136">IFERROR(BP35,"")</f>
        <v>0</v>
      </c>
      <c r="BT35" s="1102">
        <f t="shared" si="137">IFERROR(CC35,"")</f>
        <v>0</v>
      </c>
      <c r="BU35" s="1098">
        <f t="shared" si="138">IFERROR(CD35,"")</f>
        <v>0</v>
      </c>
      <c r="BV35" s="1098">
        <f t="shared" si="139">IFERROR(CE35,"")</f>
        <v>0</v>
      </c>
      <c r="BW35" s="1098">
        <f t="shared" si="140">IFERROR(CF35,"")</f>
        <v>0</v>
      </c>
      <c r="BX35" s="1146">
        <f t="shared" si="141">IFERROR(CH35,"")</f>
        <v>0</v>
      </c>
      <c r="BY35" s="1098">
        <f t="shared" si="142">IFERROR(CG35,"")</f>
        <v>0</v>
      </c>
      <c r="BZ35" s="1144" t="str">
        <f t="shared" si="143">IFERROR(CI35,"-")</f>
        <v>-</v>
      </c>
      <c r="CA35" s="1107">
        <f t="shared" si="144">IFERROR(CJ35,"")</f>
        <v>0</v>
      </c>
      <c r="CB35" s="1107">
        <f t="shared" si="145">IFERROR(CK35,"")</f>
        <v>0</v>
      </c>
      <c r="CC35" s="1110" t="e">
        <f t="shared" si="25">INDEX($AZ$8:$AZ$153,MATCH(BP35,$BO$8:$BO$153,0))</f>
        <v>#VALUE!</v>
      </c>
      <c r="CD35" s="1087" t="e">
        <f t="shared" si="26">INDEX($BA$8:$BA$153,MATCH(BP35,$BO$8:$BO$153,0))</f>
        <v>#VALUE!</v>
      </c>
      <c r="CE35" s="1106" t="e">
        <f t="shared" si="27">INDEX($BB$8:$BB$153,MATCH(BP35,$BO$8:$BO$153,0))</f>
        <v>#VALUE!</v>
      </c>
      <c r="CF35" s="1106" t="e">
        <f t="shared" si="28">INDEX(BC$8:BC$153,MATCH(BP35,$BO$8:$BO$153,0))</f>
        <v>#VALUE!</v>
      </c>
      <c r="CG35" s="1118" t="e">
        <f t="shared" si="29">INDEX(BE$8:BE$153,MATCH(BP35,$BO$8:$BO$153,0))</f>
        <v>#VALUE!</v>
      </c>
      <c r="CH35" s="1106" t="e">
        <f t="shared" si="30">INDEX($BD$8:$BD$153,MATCH($BP35,$BO$8:$BO$153,0))</f>
        <v>#VALUE!</v>
      </c>
      <c r="CI35" s="1142" t="e">
        <f t="shared" si="31">INDEX($BF$8:$BF$153,MATCH(BP35,$BO$8:$BO$153,0))</f>
        <v>#VALUE!</v>
      </c>
      <c r="CJ35" s="1106" t="e">
        <f t="shared" si="32">INDEX($BG$8:$BG$153,MATCH(BP35,$BO$8:$BO$153,0))</f>
        <v>#VALUE!</v>
      </c>
      <c r="CK35" s="1106" t="e">
        <f t="shared" si="33">INDEX($BH$8:$BH$153,MATCH(BP35,$BO$8:$BO$153,0))</f>
        <v>#VALUE!</v>
      </c>
      <c r="CM35" s="1131">
        <f t="shared" si="34">COUNTIF($CH$8:$CH$228,"&lt;="&amp;CH35)</f>
        <v>145</v>
      </c>
      <c r="CN35" s="1121">
        <f t="shared" si="146">--ISNUMBER(BX35)</f>
        <v>0</v>
      </c>
      <c r="CO35" s="1121">
        <f t="shared" si="147">IF(BX35=0,1,0)</f>
        <v>0</v>
      </c>
      <c r="CP35" s="1124">
        <f t="shared" si="148">IF(ISNUMBER(BX35),CM35,IF(ISERROR(BX35),CM35,CM35+$CN$154))+$CO$154</f>
        <v>145</v>
      </c>
      <c r="CQ35" s="237">
        <f>IFERROR(INDEX($BX$8:$BX$153,MATCH(SMALL($CP$8:$CP$153,ROWS($CQ$8:CQ35)+$CO$154),$CP$8:$CP$154,0)),"")</f>
        <v>0</v>
      </c>
      <c r="CR35" s="237">
        <v>0.1</v>
      </c>
      <c r="CS35" s="1135">
        <f t="shared" si="149">CM35+CR35</f>
        <v>145.1</v>
      </c>
      <c r="CT35" s="237">
        <f>COUNTIFS($CM:$CM, CM35,$CS:$CS, "&lt;"&amp;CL)+COUNTIFS(CM$8:CM35, CM35, CS$8:CS35, CS35)</f>
        <v>28</v>
      </c>
      <c r="CU35" s="1109">
        <f t="shared" si="150">CT35/100</f>
        <v>0.28</v>
      </c>
      <c r="CV35" s="1109">
        <f t="shared" si="151">CM35+CU35</f>
        <v>145.28</v>
      </c>
      <c r="CW35" s="237" t="e">
        <f t="shared" si="36">SMALL(CV$8:CV$153,AX35)</f>
        <v>#VALUE!</v>
      </c>
      <c r="CX35" s="1109">
        <f t="shared" si="152">IFERROR(CW35,"")</f>
        <v>0</v>
      </c>
      <c r="CY35" s="237" t="e">
        <f t="shared" si="37">INDEX(BU$8:BU$152,MATCH($CX35,CV$8:CV$152,0))</f>
        <v>#N/A</v>
      </c>
      <c r="CZ35" s="237" t="e">
        <f t="shared" si="38">INDEX(BV$8:BV$152,MATCH($CX35,$CV$8:$CV$152,0))</f>
        <v>#N/A</v>
      </c>
      <c r="DA35" s="237" t="e">
        <f t="shared" si="39">INDEX(BW$8:BW$152,MATCH($CX35,$CV$8:$CV$152,0))</f>
        <v>#N/A</v>
      </c>
      <c r="DB35" s="237" t="e">
        <f t="shared" si="40">INDEX(BX$8:BX$152,MATCH($CX35,$CV$8:$CV$152,0))</f>
        <v>#N/A</v>
      </c>
      <c r="DC35" s="237" t="e">
        <f t="shared" si="41">INDEX(BY$8:BY$152,MATCH($CX35,$CV$8:$CV$152,0))</f>
        <v>#N/A</v>
      </c>
      <c r="DD35" s="237" t="e">
        <f t="shared" si="42">INDEX(BZ$8:BZ$152,MATCH($CX35,$CV$8:$CV$152,0))</f>
        <v>#N/A</v>
      </c>
      <c r="DE35" s="237" t="e">
        <f t="shared" si="43">INDEX(CA$8:CA$152,MATCH($CX35,$CV$8:$CV$152,0))</f>
        <v>#N/A</v>
      </c>
      <c r="DF35" s="237" t="e">
        <f t="shared" si="44">INDEX(CB$8:CB$152,MATCH($CX35,$CV$8:$CV$152,0))</f>
        <v>#N/A</v>
      </c>
    </row>
    <row r="36" spans="1:110" ht="15" customHeight="1">
      <c r="A36" s="1291">
        <v>8</v>
      </c>
      <c r="B36" s="1508"/>
      <c r="C36" s="1148"/>
      <c r="D36" s="1148"/>
      <c r="E36" s="1148"/>
      <c r="F36" s="1148"/>
      <c r="G36" s="1148"/>
      <c r="H36" s="1148"/>
      <c r="I36" s="1472"/>
      <c r="J36" s="1149"/>
      <c r="K36" s="1150"/>
      <c r="L36" s="1151"/>
      <c r="M36" s="1292">
        <f t="shared" si="110">K36*L36</f>
        <v>0</v>
      </c>
      <c r="O36" s="2046"/>
      <c r="P36" s="1056" t="s">
        <v>849</v>
      </c>
      <c r="Q36" s="1056" t="s">
        <v>1079</v>
      </c>
      <c r="R36" s="1058" t="s">
        <v>848</v>
      </c>
      <c r="S36" s="1031">
        <f ca="1">SUMIF($B$113:$M$127,$R36,$K$113:$K$127)</f>
        <v>0</v>
      </c>
      <c r="T36" s="1031">
        <f ca="1">SUMIF($B$113:$M$127,R36,$M$113:$M$127)</f>
        <v>0</v>
      </c>
      <c r="U36" s="1031"/>
      <c r="W36" s="1308">
        <f ca="1">IF(AND(T36&lt;&gt;0,R36&lt;&gt;W35,R36&lt;&gt;W34,R36&lt;&gt;W33,R36&lt;&gt;W27,R36&lt;&gt;W26,R36&lt;&gt;W25,R36&lt;&gt;W24,R36&lt;&gt;W23,R36&lt;&gt;W22,R36&lt;&gt;W21,R36&lt;&gt;W20,R36&lt;&gt;W19,R36&lt;&gt;W18,R36&lt;&gt;W17,R36&lt;&gt;W16,R36&lt;&gt;W15,R36&lt;&gt;W14,R36&lt;&gt;W13,R36&lt;&gt;W12,R36&lt;&gt;W11,R36&lt;&gt;W10,R36&lt;&gt;W9,R36&lt;&gt;W8,R36&lt;&gt;W7,R36&lt;&gt;W6,R36&lt;&gt;W5,R36&lt;&gt;W4,R36&lt;&gt;W3),R36,IF(AND(T37&lt;&gt;0,R37&lt;&gt;W35,R37&lt;&gt;W34,R37&lt;&gt;W33,R37&lt;&gt;W27,R37&lt;&gt;W26,R37&lt;&gt;W25,R37&lt;&gt;W24,R37&lt;&gt;W23,R37&lt;&gt;W22,R37&lt;&gt;W21,R37&lt;&gt;W20,R37&lt;&gt;W19,R37&lt;&gt;W18,R37&lt;&gt;W17,R37&lt;&gt;W16,R37&lt;&gt;W15,R37&lt;&gt;W14,R37&lt;&gt;W13,R37&lt;&gt;W12,R37&lt;&gt;W11,R37&lt;&gt;W10,R37&lt;&gt;W9,R37&lt;&gt;W8,R37&lt;&gt;W7,R37&lt;&gt;W6,R37&lt;&gt;W5,R37&lt;&gt;W4,R37&lt;&gt;W3),R37,""))</f>
        <v>0</v>
      </c>
      <c r="X36" s="1308"/>
      <c r="Y36" s="1309">
        <f ca="1" t="shared" si="111">IF(ISNA(VLOOKUP(W36,$AE$8:$AG$46,2,False))=True,"",VLOOKUP(W36,$AE$8:$AG$46,2,False))</f>
        <v>0</v>
      </c>
      <c r="Z36" s="1309">
        <f ca="1" t="shared" si="112">IF(ISNA(VLOOKUP(W36,$AE$8:$AG$46,3,False))=True,"",VLOOKUP(W36,$AE$8:$AG$46,3,False))</f>
        <v>0</v>
      </c>
      <c r="AA36" s="1310">
        <f ca="1" t="shared" si="113">IF(ISNA(VLOOKUP(W36,$R$8:$T$42,3,False))=True,"",VLOOKUP(W36,$R$8:$T$42,3,False))</f>
        <v>0</v>
      </c>
      <c r="AB36" s="1521">
        <f ca="1">_xlfn.IFNA(IF(ISTEXT(VLOOKUP(W36,'DRAFT A&amp;L'!$B$7:$G$100,4,0)),VLOOKUP(W36,'DRAFT A&amp;L'!$B$7:$G$100,4,0),YEAR(VLOOKUP(W36,'DRAFT A&amp;L'!$B$7:$G$100,4,0))),"")</f>
        <v>0</v>
      </c>
      <c r="AC36" s="423"/>
      <c r="AE36" s="1029" t="s">
        <v>848</v>
      </c>
      <c r="AF36" s="1035" t="s">
        <v>849</v>
      </c>
      <c r="AG36" s="1035" t="s">
        <v>1079</v>
      </c>
      <c r="AK36" s="1092">
        <f t="shared" si="3">COUNTIF($BA$8:$BA$152,AF36)</f>
        <v>0</v>
      </c>
      <c r="AM36" s="1077">
        <f t="shared" si="114">IF(M36&gt;0,1,0)</f>
        <v>0</v>
      </c>
      <c r="AN36" s="1096">
        <f>IF(AM36&gt;0,COUNTIF(AM$8:AM36,"&gt;0"),0)</f>
        <v>0</v>
      </c>
      <c r="AO36" s="1078">
        <f t="shared" si="115">B36</f>
        <v>0</v>
      </c>
      <c r="AP36" s="1079">
        <f t="shared" si="116">C36</f>
        <v>0</v>
      </c>
      <c r="AQ36" s="1080">
        <f t="shared" si="117">IF(I36&lt;&gt;"",YEAR(I36),"")</f>
        <v>0</v>
      </c>
      <c r="AR36" s="1080">
        <f t="shared" si="118">IF(E36&lt;&gt;"",E36,"")</f>
        <v>0</v>
      </c>
      <c r="AS36" s="1078">
        <f t="shared" si="119">F36</f>
        <v>0</v>
      </c>
      <c r="AT36" s="1080">
        <f t="shared" si="120">IF(H36&lt;&gt;"",H36,"")</f>
        <v>0</v>
      </c>
      <c r="AU36" s="1080">
        <f t="shared" si="121">J36</f>
        <v>0</v>
      </c>
      <c r="AV36" s="1080">
        <f t="shared" si="122">K36</f>
        <v>0</v>
      </c>
      <c r="AW36" s="1081">
        <f t="shared" si="123">M36</f>
        <v>0</v>
      </c>
      <c r="AX36" s="237">
        <f t="shared" si="153">IF(AZ36&lt;&gt;"",AX35+1,"")</f>
        <v>0</v>
      </c>
      <c r="AY36" s="1087">
        <v>29</v>
      </c>
      <c r="AZ36" s="1087">
        <f t="shared" si="124">IF(ISNA(VLOOKUP(AY36,$AN$8:$AW$148,2,False))=True,"",VLOOKUP(AY36,$AN$8:$AW$148,2,False))</f>
        <v>0</v>
      </c>
      <c r="BA36" s="1087">
        <f t="shared" si="125">IF(ISNA(VLOOKUP(AZ36,$AE$8:$AF$46,2,False))=True,"",VLOOKUP(AZ36,$AE$8:$AF$46,2,False))</f>
        <v>0</v>
      </c>
      <c r="BB36" s="1087">
        <f t="shared" si="126">IF(ISNA(VLOOKUP(AY36,$AN$8:$AW$148,4,False))=True,"",VLOOKUP(AY36,$AN$8:$AW$148,4,False))</f>
        <v>0</v>
      </c>
      <c r="BC36" s="1087">
        <f t="shared" si="127">IF(ISNA(VLOOKUP(AY36,$AN$8:$AW$148,5,False))=True,"",VLOOKUP(AY36,$AN$8:$AW$148,5,False))</f>
        <v>0</v>
      </c>
      <c r="BD36" s="1087">
        <f t="shared" si="128">IF(ISNA(VLOOKUP(AY36,$AN$8:$AW$148,6,False))=True,"",VLOOKUP(AY36,$AN$8:$AW$148,6,False))</f>
        <v>0</v>
      </c>
      <c r="BE36" s="1125">
        <f t="shared" si="129">IF(ISNA(VLOOKUP(AY36,$AN$8:$AW$148,7,False))=True,"",VLOOKUP(AY36,$AN$8:$AW$148,7,False))</f>
        <v>0</v>
      </c>
      <c r="BF36" s="1123">
        <f t="shared" si="20">IF(ISNA(VLOOKUP($AY36,$AN$8:$AW$148,8,False))=True,"",VLOOKUP($AY36,$AN$8:$AW$148,8,False))</f>
        <v>0</v>
      </c>
      <c r="BG36" s="1120">
        <f t="shared" si="21">IF(ISNA(VLOOKUP($AY36,$AN$8:$AW$148,9,False))=True,"",VLOOKUP($AY36,$AN$8:$AW$148,9,False))</f>
        <v>0</v>
      </c>
      <c r="BH36" s="1120">
        <f t="shared" si="22">IF(ISNA(VLOOKUP($AY36,$AN$8:$AW$148,10,False))=True,"",VLOOKUP($AY36,$AN$8:$AW$148,10,False))</f>
        <v>0</v>
      </c>
      <c r="BI36" s="250">
        <f t="shared" si="130">IF(AZ36&lt;&gt;"",AZ36,"")</f>
        <v>0</v>
      </c>
      <c r="BJ36" s="1098">
        <f t="shared" si="131">BI36</f>
        <v>0</v>
      </c>
      <c r="BK36" s="1115">
        <f>COUNTIFS($AZ:$AZ, AZ36,$BJ:$BJ, "&lt;"&amp;BJ36)+COUNTIFS(AZ$8:AZ36, AZ36, BJ$8:BJ36, BJ36)</f>
        <v>29</v>
      </c>
      <c r="BL36" s="1114">
        <f t="shared" si="132">BK36/100</f>
        <v>0.29</v>
      </c>
      <c r="BM36" s="1093" t="e">
        <f t="shared" si="157" ref="BM36">BI36+BL36</f>
        <v>#VALUE!</v>
      </c>
      <c r="BN36" s="1101">
        <f t="shared" si="134">IF(BA36&lt;&gt;"",BM36,"")</f>
        <v>0</v>
      </c>
      <c r="BO36" s="1118">
        <f t="shared" si="135">IF(BN36&lt;&gt;"",BN36,0)</f>
        <v>0</v>
      </c>
      <c r="BP36" s="237" t="e">
        <f t="shared" si="23">SMALL($BN$8:$BN$152,AX36)</f>
        <v>#VALUE!</v>
      </c>
      <c r="BR36" s="1102" t="e">
        <f t="shared" si="155">IF(BP36&lt;&gt;"",BR35+1,"")</f>
        <v>#VALUE!</v>
      </c>
      <c r="BS36" s="1102">
        <f t="shared" si="136">IFERROR(BP36,"")</f>
        <v>0</v>
      </c>
      <c r="BT36" s="1102">
        <f t="shared" si="137">IFERROR(CC36,"")</f>
        <v>0</v>
      </c>
      <c r="BU36" s="1098">
        <f t="shared" si="138">IFERROR(CD36,"")</f>
        <v>0</v>
      </c>
      <c r="BV36" s="1098">
        <f t="shared" si="139">IFERROR(CE36,"")</f>
        <v>0</v>
      </c>
      <c r="BW36" s="1098">
        <f t="shared" si="140">IFERROR(CF36,"")</f>
        <v>0</v>
      </c>
      <c r="BX36" s="1146">
        <f t="shared" si="141">IFERROR(CH36,"")</f>
        <v>0</v>
      </c>
      <c r="BY36" s="1098">
        <f t="shared" si="142">IFERROR(CG36,"")</f>
        <v>0</v>
      </c>
      <c r="BZ36" s="1144" t="str">
        <f t="shared" si="143">IFERROR(CI36,"-")</f>
        <v>-</v>
      </c>
      <c r="CA36" s="1107">
        <f t="shared" si="144">IFERROR(CJ36,"")</f>
        <v>0</v>
      </c>
      <c r="CB36" s="1107">
        <f t="shared" si="145">IFERROR(CK36,"")</f>
        <v>0</v>
      </c>
      <c r="CC36" s="1110" t="e">
        <f t="shared" si="25">INDEX($AZ$8:$AZ$153,MATCH(BP36,$BO$8:$BO$153,0))</f>
        <v>#VALUE!</v>
      </c>
      <c r="CD36" s="1087" t="e">
        <f t="shared" si="26">INDEX($BA$8:$BA$153,MATCH(BP36,$BO$8:$BO$153,0))</f>
        <v>#VALUE!</v>
      </c>
      <c r="CE36" s="1106" t="e">
        <f t="shared" si="27">INDEX($BB$8:$BB$153,MATCH(BP36,$BO$8:$BO$153,0))</f>
        <v>#VALUE!</v>
      </c>
      <c r="CF36" s="1106" t="e">
        <f t="shared" si="28">INDEX(BC$8:BC$153,MATCH(BP36,$BO$8:$BO$153,0))</f>
        <v>#VALUE!</v>
      </c>
      <c r="CG36" s="1118" t="e">
        <f t="shared" si="29">INDEX(BE$8:BE$153,MATCH(BP36,$BO$8:$BO$153,0))</f>
        <v>#VALUE!</v>
      </c>
      <c r="CH36" s="1106" t="e">
        <f t="shared" si="30">INDEX($BD$8:$BD$153,MATCH($BP36,$BO$8:$BO$153,0))</f>
        <v>#VALUE!</v>
      </c>
      <c r="CI36" s="1142" t="e">
        <f t="shared" si="31">INDEX($BF$8:$BF$153,MATCH(BP36,$BO$8:$BO$153,0))</f>
        <v>#VALUE!</v>
      </c>
      <c r="CJ36" s="1106" t="e">
        <f t="shared" si="32">INDEX($BG$8:$BG$153,MATCH(BP36,$BO$8:$BO$153,0))</f>
        <v>#VALUE!</v>
      </c>
      <c r="CK36" s="1106" t="e">
        <f t="shared" si="33">INDEX($BH$8:$BH$153,MATCH(BP36,$BO$8:$BO$153,0))</f>
        <v>#VALUE!</v>
      </c>
      <c r="CM36" s="1131">
        <f t="shared" si="34">COUNTIF($CH$8:$CH$228,"&lt;="&amp;CH36)</f>
        <v>145</v>
      </c>
      <c r="CN36" s="1121">
        <f t="shared" si="146">--ISNUMBER(BX36)</f>
        <v>0</v>
      </c>
      <c r="CO36" s="1121">
        <f t="shared" si="147">IF(BX36=0,1,0)</f>
        <v>0</v>
      </c>
      <c r="CP36" s="1124">
        <f t="shared" si="148">IF(ISNUMBER(BX36),CM36,IF(ISERROR(BX36),CM36,CM36+$CN$154))+$CO$154</f>
        <v>145</v>
      </c>
      <c r="CQ36" s="237">
        <f>IFERROR(INDEX($BX$8:$BX$153,MATCH(SMALL($CP$8:$CP$153,ROWS($CQ$8:CQ36)+$CO$154),$CP$8:$CP$154,0)),"")</f>
        <v>0</v>
      </c>
      <c r="CR36" s="237">
        <v>0.1</v>
      </c>
      <c r="CS36" s="1135">
        <f t="shared" si="149">CM36+CR36</f>
        <v>145.1</v>
      </c>
      <c r="CT36" s="237">
        <f>COUNTIFS($CM:$CM, CM36,$CS:$CS, "&lt;"&amp;CL)+COUNTIFS(CM$8:CM36, CM36, CS$8:CS36, CS36)</f>
        <v>29</v>
      </c>
      <c r="CU36" s="1109">
        <f t="shared" si="150">CT36/100</f>
        <v>0.29</v>
      </c>
      <c r="CV36" s="1109">
        <f t="shared" si="151">CM36+CU36</f>
        <v>145.29</v>
      </c>
      <c r="CW36" s="237" t="e">
        <f t="shared" si="36">SMALL(CV$8:CV$153,AX36)</f>
        <v>#VALUE!</v>
      </c>
      <c r="CX36" s="1109">
        <f t="shared" si="152">IFERROR(CW36,"")</f>
        <v>0</v>
      </c>
      <c r="CY36" s="237" t="e">
        <f t="shared" si="37">INDEX(BU$8:BU$152,MATCH($CX36,CV$8:CV$152,0))</f>
        <v>#N/A</v>
      </c>
      <c r="CZ36" s="237" t="e">
        <f t="shared" si="38">INDEX(BV$8:BV$152,MATCH($CX36,$CV$8:$CV$152,0))</f>
        <v>#N/A</v>
      </c>
      <c r="DA36" s="237" t="e">
        <f t="shared" si="39">INDEX(BW$8:BW$152,MATCH($CX36,$CV$8:$CV$152,0))</f>
        <v>#N/A</v>
      </c>
      <c r="DB36" s="237" t="e">
        <f t="shared" si="40">INDEX(BX$8:BX$152,MATCH($CX36,$CV$8:$CV$152,0))</f>
        <v>#N/A</v>
      </c>
      <c r="DC36" s="237" t="e">
        <f t="shared" si="41">INDEX(BY$8:BY$152,MATCH($CX36,$CV$8:$CV$152,0))</f>
        <v>#N/A</v>
      </c>
      <c r="DD36" s="237" t="e">
        <f t="shared" si="42">INDEX(BZ$8:BZ$152,MATCH($CX36,$CV$8:$CV$152,0))</f>
        <v>#N/A</v>
      </c>
      <c r="DE36" s="237" t="e">
        <f t="shared" si="43">INDEX(CA$8:CA$152,MATCH($CX36,$CV$8:$CV$152,0))</f>
        <v>#N/A</v>
      </c>
      <c r="DF36" s="237" t="e">
        <f t="shared" si="44">INDEX(CB$8:CB$152,MATCH($CX36,$CV$8:$CV$152,0))</f>
        <v>#N/A</v>
      </c>
    </row>
    <row r="37" spans="1:110" ht="15" customHeight="1" thickBot="1">
      <c r="A37" s="1291">
        <v>9</v>
      </c>
      <c r="B37" s="1508"/>
      <c r="C37" s="1148"/>
      <c r="D37" s="1148"/>
      <c r="E37" s="1148"/>
      <c r="F37" s="1148"/>
      <c r="G37" s="1148"/>
      <c r="H37" s="1148"/>
      <c r="I37" s="1472"/>
      <c r="J37" s="1149"/>
      <c r="K37" s="1150"/>
      <c r="L37" s="1151"/>
      <c r="M37" s="1292">
        <f t="shared" si="110">K37*L37</f>
        <v>0</v>
      </c>
      <c r="O37" s="2046"/>
      <c r="P37" s="1059" t="s">
        <v>851</v>
      </c>
      <c r="Q37" s="1059" t="s">
        <v>1080</v>
      </c>
      <c r="R37" s="1060" t="s">
        <v>850</v>
      </c>
      <c r="S37" s="1031">
        <f ca="1">SUMIF($B$113:$M$127,$R37,$K$113:$K$127)</f>
        <v>0</v>
      </c>
      <c r="T37" s="1031">
        <f ca="1">SUMIF($B$113:$M$127,R37,$M$113:$M$127)</f>
        <v>0</v>
      </c>
      <c r="U37" s="1031"/>
      <c r="W37" s="1308"/>
      <c r="X37" s="1308"/>
      <c r="Y37" s="1309"/>
      <c r="Z37" s="1309"/>
      <c r="AA37" s="1310"/>
      <c r="AB37" s="1521">
        <f>_xlfn.IFNA(IF(ISTEXT(VLOOKUP(W37,'DRAFT A&amp;L'!$B$7:$G$100,4,0)),VLOOKUP(W37,'DRAFT A&amp;L'!$B$7:$G$100,4,0),YEAR(VLOOKUP(W37,'DRAFT A&amp;L'!$B$7:$G$100,4,0))),"")</f>
        <v>0</v>
      </c>
      <c r="AC37" s="423"/>
      <c r="AD37" s="248" t="s">
        <v>1088</v>
      </c>
      <c r="AE37" s="1030" t="s">
        <v>850</v>
      </c>
      <c r="AF37" s="1038" t="s">
        <v>851</v>
      </c>
      <c r="AG37" s="1038" t="s">
        <v>1080</v>
      </c>
      <c r="AK37" s="1092">
        <f t="shared" si="3">COUNTIF($BA$8:$BA$152,AF37)</f>
        <v>0</v>
      </c>
      <c r="AM37" s="1077">
        <f t="shared" si="114">IF(M37&gt;0,1,0)</f>
        <v>0</v>
      </c>
      <c r="AN37" s="1096">
        <f>IF(K37&gt;0,COUNTIF(AM$8:AM37,"&gt;0"),0)</f>
        <v>0</v>
      </c>
      <c r="AO37" s="1078">
        <f t="shared" si="115">B37</f>
        <v>0</v>
      </c>
      <c r="AP37" s="1079">
        <f t="shared" si="116">C37</f>
        <v>0</v>
      </c>
      <c r="AQ37" s="1080">
        <f t="shared" si="117">IF(I37&lt;&gt;"",YEAR(I37),"")</f>
        <v>0</v>
      </c>
      <c r="AR37" s="1080">
        <f t="shared" si="118">IF(E37&lt;&gt;"",E37,"")</f>
        <v>0</v>
      </c>
      <c r="AS37" s="1078">
        <f t="shared" si="119">F37</f>
        <v>0</v>
      </c>
      <c r="AT37" s="1080">
        <f t="shared" si="120">IF(H37&lt;&gt;"",H37,"")</f>
        <v>0</v>
      </c>
      <c r="AU37" s="1080">
        <f t="shared" si="121">J37</f>
        <v>0</v>
      </c>
      <c r="AV37" s="1080">
        <f t="shared" si="122">K37</f>
        <v>0</v>
      </c>
      <c r="AW37" s="1081">
        <f t="shared" si="123">M37</f>
        <v>0</v>
      </c>
      <c r="AX37" s="237">
        <f t="shared" si="153">IF(AZ37&lt;&gt;"",AX36+1,"")</f>
        <v>0</v>
      </c>
      <c r="AY37" s="1087">
        <v>30</v>
      </c>
      <c r="AZ37" s="1087">
        <f t="shared" si="124">IF(ISNA(VLOOKUP(AY37,$AN$8:$AW$148,2,False))=True,"",VLOOKUP(AY37,$AN$8:$AW$148,2,False))</f>
        <v>0</v>
      </c>
      <c r="BA37" s="1087">
        <f t="shared" si="125">IF(ISNA(VLOOKUP(AZ37,$AE$8:$AF$46,2,False))=True,"",VLOOKUP(AZ37,$AE$8:$AF$46,2,False))</f>
        <v>0</v>
      </c>
      <c r="BB37" s="1087">
        <f t="shared" si="126">IF(ISNA(VLOOKUP(AY37,$AN$8:$AW$148,4,False))=True,"",VLOOKUP(AY37,$AN$8:$AW$148,4,False))</f>
        <v>0</v>
      </c>
      <c r="BC37" s="1087">
        <f t="shared" si="127">IF(ISNA(VLOOKUP(AY37,$AN$8:$AW$148,5,False))=True,"",VLOOKUP(AY37,$AN$8:$AW$148,5,False))</f>
        <v>0</v>
      </c>
      <c r="BD37" s="1087">
        <f t="shared" si="128">IF(ISNA(VLOOKUP(AY37,$AN$8:$AW$148,6,False))=True,"",VLOOKUP(AY37,$AN$8:$AW$148,6,False))</f>
        <v>0</v>
      </c>
      <c r="BE37" s="1125">
        <f t="shared" si="129">IF(ISNA(VLOOKUP(AY37,$AN$8:$AW$148,7,False))=True,"",VLOOKUP(AY37,$AN$8:$AW$148,7,False))</f>
        <v>0</v>
      </c>
      <c r="BF37" s="1123">
        <f t="shared" si="20">IF(ISNA(VLOOKUP($AY37,$AN$8:$AW$148,8,False))=True,"",VLOOKUP($AY37,$AN$8:$AW$148,8,False))</f>
        <v>0</v>
      </c>
      <c r="BG37" s="1120">
        <f t="shared" si="21">IF(ISNA(VLOOKUP($AY37,$AN$8:$AW$148,9,False))=True,"",VLOOKUP($AY37,$AN$8:$AW$148,9,False))</f>
        <v>0</v>
      </c>
      <c r="BH37" s="1120">
        <f t="shared" si="22">IF(ISNA(VLOOKUP($AY37,$AN$8:$AW$148,10,False))=True,"",VLOOKUP($AY37,$AN$8:$AW$148,10,False))</f>
        <v>0</v>
      </c>
      <c r="BI37" s="250">
        <f t="shared" si="130">IF(AZ37&lt;&gt;"",AZ37,"")</f>
        <v>0</v>
      </c>
      <c r="BJ37" s="1098">
        <f t="shared" si="131">BI37</f>
        <v>0</v>
      </c>
      <c r="BK37" s="1115">
        <f>COUNTIFS($AZ:$AZ, AZ37,$BJ:$BJ, "&lt;"&amp;BJ37)+COUNTIFS(AZ$8:AZ37, AZ37, BJ$8:BJ37, BJ37)</f>
        <v>30</v>
      </c>
      <c r="BL37" s="1114">
        <f t="shared" si="132">BK37/100</f>
        <v>0.3</v>
      </c>
      <c r="BM37" s="1093" t="e">
        <f t="shared" si="158" ref="BM37">BJ37+BL37</f>
        <v>#VALUE!</v>
      </c>
      <c r="BN37" s="1101">
        <f t="shared" si="134">IF(BA37&lt;&gt;"",BM37,"")</f>
        <v>0</v>
      </c>
      <c r="BO37" s="1118">
        <f t="shared" si="135">IF(BN37&lt;&gt;"",BN37,0)</f>
        <v>0</v>
      </c>
      <c r="BP37" s="237" t="e">
        <f t="shared" si="23">SMALL($BN$8:$BN$152,AX37)</f>
        <v>#VALUE!</v>
      </c>
      <c r="BR37" s="1102" t="e">
        <f t="shared" si="155">IF(BP37&lt;&gt;"",BR36+1,"")</f>
        <v>#VALUE!</v>
      </c>
      <c r="BS37" s="1102">
        <f t="shared" si="136">IFERROR(BP37,"")</f>
        <v>0</v>
      </c>
      <c r="BT37" s="1102">
        <f t="shared" si="137">IFERROR(CC37,"")</f>
        <v>0</v>
      </c>
      <c r="BU37" s="1098">
        <f t="shared" si="138">IFERROR(CD37,"")</f>
        <v>0</v>
      </c>
      <c r="BV37" s="1098">
        <f t="shared" si="139">IFERROR(CE37,"")</f>
        <v>0</v>
      </c>
      <c r="BW37" s="1098">
        <f t="shared" si="140">IFERROR(CF37,"")</f>
        <v>0</v>
      </c>
      <c r="BX37" s="1146">
        <f t="shared" si="141">IFERROR(CH37,"")</f>
        <v>0</v>
      </c>
      <c r="BY37" s="1098">
        <f t="shared" si="142">IFERROR(CG37,"")</f>
        <v>0</v>
      </c>
      <c r="BZ37" s="1144" t="str">
        <f t="shared" si="143">IFERROR(CI37,"-")</f>
        <v>-</v>
      </c>
      <c r="CA37" s="1107">
        <f t="shared" si="144">IFERROR(CJ37,"")</f>
        <v>0</v>
      </c>
      <c r="CB37" s="1107">
        <f t="shared" si="145">IFERROR(CK37,"")</f>
        <v>0</v>
      </c>
      <c r="CC37" s="1110" t="e">
        <f t="shared" si="25">INDEX($AZ$8:$AZ$153,MATCH(BP37,$BO$8:$BO$153,0))</f>
        <v>#VALUE!</v>
      </c>
      <c r="CD37" s="1087" t="e">
        <f t="shared" si="26">INDEX($BA$8:$BA$153,MATCH(BP37,$BO$8:$BO$153,0))</f>
        <v>#VALUE!</v>
      </c>
      <c r="CE37" s="1106" t="e">
        <f t="shared" si="27">INDEX($BB$8:$BB$153,MATCH(BP37,$BO$8:$BO$153,0))</f>
        <v>#VALUE!</v>
      </c>
      <c r="CF37" s="1106" t="e">
        <f t="shared" si="28">INDEX(BC$8:BC$153,MATCH(BP37,$BO$8:$BO$153,0))</f>
        <v>#VALUE!</v>
      </c>
      <c r="CG37" s="1118" t="e">
        <f t="shared" si="29">INDEX(BE$8:BE$153,MATCH(BP37,$BO$8:$BO$153,0))</f>
        <v>#VALUE!</v>
      </c>
      <c r="CH37" s="1106" t="e">
        <f t="shared" si="30">INDEX($BD$8:$BD$153,MATCH($BP37,$BO$8:$BO$153,0))</f>
        <v>#VALUE!</v>
      </c>
      <c r="CI37" s="1142" t="e">
        <f t="shared" si="31">INDEX($BF$8:$BF$153,MATCH(BP37,$BO$8:$BO$153,0))</f>
        <v>#VALUE!</v>
      </c>
      <c r="CJ37" s="1106" t="e">
        <f t="shared" si="32">INDEX($BG$8:$BG$153,MATCH(BP37,$BO$8:$BO$153,0))</f>
        <v>#VALUE!</v>
      </c>
      <c r="CK37" s="1106" t="e">
        <f t="shared" si="33">INDEX($BH$8:$BH$153,MATCH(BP37,$BO$8:$BO$153,0))</f>
        <v>#VALUE!</v>
      </c>
      <c r="CM37" s="1131">
        <f t="shared" si="34">COUNTIF($CH$8:$CH$228,"&lt;="&amp;CH37)</f>
        <v>145</v>
      </c>
      <c r="CN37" s="1121">
        <f t="shared" si="146">--ISNUMBER(BX37)</f>
        <v>0</v>
      </c>
      <c r="CO37" s="1121">
        <f t="shared" si="147">IF(BX37=0,1,0)</f>
        <v>0</v>
      </c>
      <c r="CP37" s="1124">
        <f t="shared" si="148">IF(ISNUMBER(BX37),CM37,IF(ISERROR(BX37),CM37,CM37+$CN$154))+$CO$154</f>
        <v>145</v>
      </c>
      <c r="CQ37" s="237">
        <f>IFERROR(INDEX($BX$8:$BX$153,MATCH(SMALL($CP$8:$CP$153,ROWS($CQ$8:CQ37)+$CO$154),$CP$8:$CP$154,0)),"")</f>
        <v>0</v>
      </c>
      <c r="CR37" s="237">
        <v>0.1</v>
      </c>
      <c r="CS37" s="1135">
        <f t="shared" si="149">CM37+CR37</f>
        <v>145.1</v>
      </c>
      <c r="CT37" s="237">
        <f>COUNTIFS($CM:$CM, CM37,$CS:$CS, "&lt;"&amp;CL)+COUNTIFS(CM$8:CM37, CM37, CS$8:CS37, CS37)</f>
        <v>30</v>
      </c>
      <c r="CU37" s="1109">
        <f t="shared" si="150">CT37/100</f>
        <v>0.3</v>
      </c>
      <c r="CV37" s="1109">
        <f t="shared" si="151">CM37+CU37</f>
        <v>145.3</v>
      </c>
      <c r="CW37" s="237" t="e">
        <f t="shared" si="36">SMALL(CV$8:CV$153,AX37)</f>
        <v>#VALUE!</v>
      </c>
      <c r="CX37" s="1109">
        <f t="shared" si="152">IFERROR(CW37,"")</f>
        <v>0</v>
      </c>
      <c r="CY37" s="237" t="e">
        <f t="shared" si="37">INDEX(BU$8:BU$152,MATCH($CX37,CV$8:CV$152,0))</f>
        <v>#N/A</v>
      </c>
      <c r="CZ37" s="237" t="e">
        <f t="shared" si="38">INDEX(BV$8:BV$152,MATCH($CX37,$CV$8:$CV$152,0))</f>
        <v>#N/A</v>
      </c>
      <c r="DA37" s="237" t="e">
        <f t="shared" si="39">INDEX(BW$8:BW$152,MATCH($CX37,$CV$8:$CV$152,0))</f>
        <v>#N/A</v>
      </c>
      <c r="DB37" s="237" t="e">
        <f t="shared" si="40">INDEX(BX$8:BX$152,MATCH($CX37,$CV$8:$CV$152,0))</f>
        <v>#N/A</v>
      </c>
      <c r="DC37" s="237" t="e">
        <f t="shared" si="41">INDEX(BY$8:BY$152,MATCH($CX37,$CV$8:$CV$152,0))</f>
        <v>#N/A</v>
      </c>
      <c r="DD37" s="237" t="e">
        <f t="shared" si="42">INDEX(BZ$8:BZ$152,MATCH($CX37,$CV$8:$CV$152,0))</f>
        <v>#N/A</v>
      </c>
      <c r="DE37" s="237" t="e">
        <f t="shared" si="43">INDEX(CA$8:CA$152,MATCH($CX37,$CV$8:$CV$152,0))</f>
        <v>#N/A</v>
      </c>
      <c r="DF37" s="237" t="e">
        <f t="shared" si="44">INDEX(CB$8:CB$152,MATCH($CX37,$CV$8:$CV$152,0))</f>
        <v>#N/A</v>
      </c>
    </row>
    <row r="38" spans="1:110" ht="15" customHeight="1">
      <c r="A38" s="1291">
        <v>10</v>
      </c>
      <c r="B38" s="1508"/>
      <c r="C38" s="1148"/>
      <c r="D38" s="1148"/>
      <c r="E38" s="1148"/>
      <c r="F38" s="1148"/>
      <c r="G38" s="1148"/>
      <c r="H38" s="1148"/>
      <c r="I38" s="1472"/>
      <c r="J38" s="1149"/>
      <c r="K38" s="1150"/>
      <c r="L38" s="1151"/>
      <c r="M38" s="1292">
        <f t="shared" si="106">K38*L38</f>
        <v>0</v>
      </c>
      <c r="O38" s="2046"/>
      <c r="P38" s="1057" t="s">
        <v>1047</v>
      </c>
      <c r="Q38" s="1057" t="s">
        <v>1076</v>
      </c>
      <c r="R38" s="1057" t="s">
        <v>1048</v>
      </c>
      <c r="S38" s="1034">
        <f ca="1" t="shared" si="93">SUMIF($B$92:$M$106,$R38,$K$92:$K$106)</f>
        <v>0</v>
      </c>
      <c r="T38" s="1034">
        <f ca="1" t="shared" si="94">SUMIF($B$92:$M$106,$R38,$M$92:$M$106)</f>
        <v>0</v>
      </c>
      <c r="U38" s="1031"/>
      <c r="W38" s="1308">
        <f ca="1">IF(AND(T38&lt;&gt;0,R38&lt;&gt;W32,R38&lt;&gt;W31,R38&lt;&gt;W30,R38&lt;&gt;W29,R38&lt;&gt;W28,R38&lt;&gt;W27,R38&lt;&gt;W26,R38&lt;&gt;W25,R38&lt;&gt;W24,R38&lt;&gt;W23,R38&lt;&gt;W22,R38&lt;&gt;W21,R38&lt;&gt;W20,R38&lt;&gt;W19,R38&lt;&gt;W18,R38&lt;&gt;W17,R38&lt;&gt;W16,R38&lt;&gt;W15,R38&lt;&gt;W14,R38&lt;&gt;W13,R38&lt;&gt;W12,R38&lt;&gt;W11,R38&lt;&gt;W10,R38&lt;&gt;W9,R38&lt;&gt;W8),R38,IF(AND(T39&lt;&gt;0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)</f>
        <v>0</v>
      </c>
      <c r="X38" s="1308"/>
      <c r="Y38" s="1309">
        <f ca="1" t="shared" si="0">IF(ISNA(VLOOKUP(W38,$AE$8:$AG$46,2,False))=True,"",VLOOKUP(W38,$AE$8:$AG$46,2,False))</f>
        <v>0</v>
      </c>
      <c r="Z38" s="1309">
        <f ca="1" t="shared" si="1">IF(ISNA(VLOOKUP(W38,$AE$8:$AG$46,3,False))=True,"",VLOOKUP(W38,$AE$8:$AG$46,3,False))</f>
        <v>0</v>
      </c>
      <c r="AA38" s="1310">
        <f ca="1" t="shared" si="2">IF(ISNA(VLOOKUP(W38,$R$8:$T$42,3,False))=True,"",VLOOKUP(W38,$R$8:$T$42,3,False))</f>
        <v>0</v>
      </c>
      <c r="AB38" s="1521">
        <f ca="1">_xlfn.IFNA(IF(ISTEXT(VLOOKUP(W38,'DRAFT A&amp;L'!$B$7:$G$100,4,0)),VLOOKUP(W38,'DRAFT A&amp;L'!$B$7:$G$100,4,0),YEAR(VLOOKUP(W38,'DRAFT A&amp;L'!$B$7:$G$100,4,0))),"")</f>
        <v>0</v>
      </c>
      <c r="AC38" s="423"/>
      <c r="AE38" s="1027" t="s">
        <v>1048</v>
      </c>
      <c r="AF38" s="1037" t="s">
        <v>1047</v>
      </c>
      <c r="AG38" s="1037" t="s">
        <v>1076</v>
      </c>
      <c r="AK38" s="1092">
        <f t="shared" si="3">COUNTIF($BA$8:$BA$152,AF38)</f>
        <v>0</v>
      </c>
      <c r="AM38" s="1077">
        <f t="shared" si="98">IF(M38&gt;0,1,0)</f>
        <v>0</v>
      </c>
      <c r="AN38" s="1096">
        <f>IF(AM38&gt;0,COUNTIF(AM$8:AM38,"&gt;0"),0)</f>
        <v>0</v>
      </c>
      <c r="AO38" s="1078">
        <f t="shared" si="99">B38</f>
        <v>0</v>
      </c>
      <c r="AP38" s="1079">
        <f t="shared" si="100">C38</f>
        <v>0</v>
      </c>
      <c r="AQ38" s="1080">
        <f t="shared" si="101">IF(I38&lt;&gt;"",YEAR(I38),"")</f>
        <v>0</v>
      </c>
      <c r="AR38" s="1080">
        <f t="shared" si="95">IF(E38&lt;&gt;"",E38,"")</f>
        <v>0</v>
      </c>
      <c r="AS38" s="1078">
        <f t="shared" si="9">F38</f>
        <v>0</v>
      </c>
      <c r="AT38" s="1080">
        <f t="shared" si="96">IF(H38&lt;&gt;"",H38,"")</f>
        <v>0</v>
      </c>
      <c r="AU38" s="1080">
        <f t="shared" si="102">J38</f>
        <v>0</v>
      </c>
      <c r="AV38" s="1080">
        <f t="shared" si="103">K38</f>
        <v>0</v>
      </c>
      <c r="AW38" s="1081">
        <f t="shared" si="104">M38</f>
        <v>0</v>
      </c>
      <c r="AX38" s="237">
        <f>IF(AZ38&lt;&gt;"",AX32+1,"")</f>
        <v>0</v>
      </c>
      <c r="AY38" s="1087">
        <v>26</v>
      </c>
      <c r="AZ38" s="1087">
        <f t="shared" si="14">IF(ISNA(VLOOKUP(AY38,$AN$8:$AW$148,2,False))=True,"",VLOOKUP(AY38,$AN$8:$AW$148,2,False))</f>
        <v>0</v>
      </c>
      <c r="BA38" s="1087">
        <f t="shared" si="15">IF(ISNA(VLOOKUP(AZ38,$AE$8:$AF$46,2,False))=True,"",VLOOKUP(AZ38,$AE$8:$AF$46,2,False))</f>
        <v>0</v>
      </c>
      <c r="BB38" s="1087">
        <f t="shared" si="16">IF(ISNA(VLOOKUP(AY38,$AN$8:$AW$148,4,False))=True,"",VLOOKUP(AY38,$AN$8:$AW$148,4,False))</f>
        <v>0</v>
      </c>
      <c r="BC38" s="1087">
        <f t="shared" si="17">IF(ISNA(VLOOKUP(AY38,$AN$8:$AW$148,5,False))=True,"",VLOOKUP(AY38,$AN$8:$AW$148,5,False))</f>
        <v>0</v>
      </c>
      <c r="BD38" s="1087">
        <f t="shared" si="84">IF(ISNA(VLOOKUP(AY38,$AN$8:$AW$148,6,False))=True,"",VLOOKUP(AY38,$AN$8:$AW$148,6,False))</f>
        <v>0</v>
      </c>
      <c r="BE38" s="1125">
        <f t="shared" si="19">IF(ISNA(VLOOKUP(AY38,$AN$8:$AW$148,7,False))=True,"",VLOOKUP(AY38,$AN$8:$AW$148,7,False))</f>
        <v>0</v>
      </c>
      <c r="BF38" s="1123">
        <f t="shared" si="20">IF(ISNA(VLOOKUP($AY38,$AN$8:$AW$148,8,False))=True,"",VLOOKUP($AY38,$AN$8:$AW$148,8,False))</f>
        <v>0</v>
      </c>
      <c r="BG38" s="1120">
        <f t="shared" si="21">IF(ISNA(VLOOKUP($AY38,$AN$8:$AW$148,9,False))=True,"",VLOOKUP($AY38,$AN$8:$AW$148,9,False))</f>
        <v>0</v>
      </c>
      <c r="BH38" s="1120">
        <f t="shared" si="22">IF(ISNA(VLOOKUP($AY38,$AN$8:$AW$148,10,False))=True,"",VLOOKUP($AY38,$AN$8:$AW$148,10,False))</f>
        <v>0</v>
      </c>
      <c r="BI38" s="250">
        <f t="shared" si="49">IF(AZ38&lt;&gt;"",AZ38,"")</f>
        <v>0</v>
      </c>
      <c r="BJ38" s="1098">
        <f t="shared" si="50">BI38</f>
        <v>0</v>
      </c>
      <c r="BK38" s="1115">
        <f>COUNTIFS($AZ:$AZ, AZ38,$BJ:$BJ, "&lt;"&amp;BJ38)+COUNTIFS(AZ$8:AZ38, AZ38, BJ$8:BJ38, BJ38)</f>
        <v>31</v>
      </c>
      <c r="BL38" s="1114">
        <f t="shared" si="51">BK38/100</f>
        <v>0.31</v>
      </c>
      <c r="BM38" s="1093" t="e">
        <f t="shared" si="159" ref="BM38">BJ38+BL38</f>
        <v>#VALUE!</v>
      </c>
      <c r="BN38" s="1101">
        <f t="shared" si="52">IF(BA38&lt;&gt;"",BM38,"")</f>
        <v>0</v>
      </c>
      <c r="BO38" s="1118">
        <f t="shared" si="53">IF(BN38&lt;&gt;"",BN38,0)</f>
        <v>0</v>
      </c>
      <c r="BP38" s="237" t="e">
        <f t="shared" si="23">SMALL($BN$8:$BN$152,AX38)</f>
        <v>#VALUE!</v>
      </c>
      <c r="BR38" s="1102" t="e">
        <f>IF(BP38&lt;&gt;"",BR32+1,"")</f>
        <v>#VALUE!</v>
      </c>
      <c r="BS38" s="1102">
        <f t="shared" si="55">IFERROR(BP38,"")</f>
        <v>0</v>
      </c>
      <c r="BT38" s="1102">
        <f t="shared" si="56">IFERROR(CC38,"")</f>
        <v>0</v>
      </c>
      <c r="BU38" s="1098">
        <f t="shared" si="57">IFERROR(CD38,"")</f>
        <v>0</v>
      </c>
      <c r="BV38" s="1098">
        <f t="shared" si="58">IFERROR(CE38,"")</f>
        <v>0</v>
      </c>
      <c r="BW38" s="1098">
        <f t="shared" si="59">IFERROR(CF38,"")</f>
        <v>0</v>
      </c>
      <c r="BX38" s="1146">
        <f t="shared" si="60">IFERROR(CH38,"")</f>
        <v>0</v>
      </c>
      <c r="BY38" s="1098">
        <f t="shared" si="61">IFERROR(CG38,"")</f>
        <v>0</v>
      </c>
      <c r="BZ38" s="1144" t="str">
        <f t="shared" si="62">IFERROR(CI38,"-")</f>
        <v>-</v>
      </c>
      <c r="CA38" s="1107">
        <f t="shared" si="63">IFERROR(CJ38,"")</f>
        <v>0</v>
      </c>
      <c r="CB38" s="1107">
        <f t="shared" si="64">IFERROR(CK38,"")</f>
        <v>0</v>
      </c>
      <c r="CC38" s="1110" t="e">
        <f t="shared" si="25">INDEX($AZ$8:$AZ$153,MATCH(BP38,$BO$8:$BO$153,0))</f>
        <v>#VALUE!</v>
      </c>
      <c r="CD38" s="1087" t="e">
        <f t="shared" si="26">INDEX($BA$8:$BA$153,MATCH(BP38,$BO$8:$BO$153,0))</f>
        <v>#VALUE!</v>
      </c>
      <c r="CE38" s="1106" t="e">
        <f t="shared" si="27">INDEX($BB$8:$BB$153,MATCH(BP38,$BO$8:$BO$153,0))</f>
        <v>#VALUE!</v>
      </c>
      <c r="CF38" s="1106" t="e">
        <f t="shared" si="28">INDEX(BC$8:BC$153,MATCH(BP38,$BO$8:$BO$153,0))</f>
        <v>#VALUE!</v>
      </c>
      <c r="CG38" s="1118" t="e">
        <f t="shared" si="29">INDEX(BE$8:BE$153,MATCH(BP38,$BO$8:$BO$153,0))</f>
        <v>#VALUE!</v>
      </c>
      <c r="CH38" s="1106" t="e">
        <f t="shared" si="30">INDEX($BD$8:$BD$153,MATCH($BP38,$BO$8:$BO$153,0))</f>
        <v>#VALUE!</v>
      </c>
      <c r="CI38" s="1142" t="e">
        <f t="shared" si="31">INDEX($BF$8:$BF$153,MATCH(BP38,$BO$8:$BO$153,0))</f>
        <v>#VALUE!</v>
      </c>
      <c r="CJ38" s="1106" t="e">
        <f t="shared" si="32">INDEX($BG$8:$BG$153,MATCH(BP38,$BO$8:$BO$153,0))</f>
        <v>#VALUE!</v>
      </c>
      <c r="CK38" s="1106" t="e">
        <f t="shared" si="33">INDEX($BH$8:$BH$153,MATCH(BP38,$BO$8:$BO$153,0))</f>
        <v>#VALUE!</v>
      </c>
      <c r="CM38" s="1131">
        <f t="shared" si="34">COUNTIF($CH$8:$CH$228,"&lt;="&amp;CH38)</f>
        <v>145</v>
      </c>
      <c r="CN38" s="1121">
        <f t="shared" si="65">--ISNUMBER(BX38)</f>
        <v>0</v>
      </c>
      <c r="CO38" s="1121">
        <f t="shared" si="66">IF(BX38=0,1,0)</f>
        <v>0</v>
      </c>
      <c r="CP38" s="1124">
        <f t="shared" si="35">IF(ISNUMBER(BX38),CM38,IF(ISERROR(BX38),CM38,CM38+$CN$154))+$CO$154</f>
        <v>145</v>
      </c>
      <c r="CQ38" s="237">
        <f>IFERROR(INDEX($BX$8:$BX$153,MATCH(SMALL($CP$8:$CP$153,ROWS($CQ$8:CQ38)+$CO$154),$CP$8:$CP$154,0)),"")</f>
        <v>0</v>
      </c>
      <c r="CR38" s="237">
        <v>0.1</v>
      </c>
      <c r="CS38" s="1135">
        <f t="shared" si="67">CM38+CR38</f>
        <v>145.1</v>
      </c>
      <c r="CT38" s="237">
        <f>COUNTIFS($CM:$CM, CM38,$CS:$CS, "&lt;"&amp;CL)+COUNTIFS(CM$8:CM38, CM38, CS$8:CS38, CS38)</f>
        <v>31</v>
      </c>
      <c r="CU38" s="1109">
        <f t="shared" si="68">CT38/100</f>
        <v>0.31</v>
      </c>
      <c r="CV38" s="1109">
        <f t="shared" si="69">CM38+CU38</f>
        <v>145.31</v>
      </c>
      <c r="CW38" s="237" t="e">
        <f t="shared" si="36">SMALL(CV$8:CV$153,AX38)</f>
        <v>#VALUE!</v>
      </c>
      <c r="CX38" s="1109">
        <f t="shared" si="70">IFERROR(CW38,"")</f>
        <v>0</v>
      </c>
      <c r="CY38" s="237" t="e">
        <f t="shared" si="37">INDEX(BU$8:BU$152,MATCH($CX38,CV$8:CV$152,0))</f>
        <v>#N/A</v>
      </c>
      <c r="CZ38" s="237" t="e">
        <f t="shared" si="38">INDEX(BV$8:BV$152,MATCH($CX38,$CV$8:$CV$152,0))</f>
        <v>#N/A</v>
      </c>
      <c r="DA38" s="237" t="e">
        <f t="shared" si="39">INDEX(BW$8:BW$152,MATCH($CX38,$CV$8:$CV$152,0))</f>
        <v>#N/A</v>
      </c>
      <c r="DB38" s="237" t="e">
        <f t="shared" si="40">INDEX(BX$8:BX$152,MATCH($CX38,$CV$8:$CV$152,0))</f>
        <v>#N/A</v>
      </c>
      <c r="DC38" s="237" t="e">
        <f t="shared" si="41">INDEX(BY$8:BY$152,MATCH($CX38,$CV$8:$CV$152,0))</f>
        <v>#N/A</v>
      </c>
      <c r="DD38" s="237" t="e">
        <f t="shared" si="42">INDEX(BZ$8:BZ$152,MATCH($CX38,$CV$8:$CV$152,0))</f>
        <v>#N/A</v>
      </c>
      <c r="DE38" s="237" t="e">
        <f t="shared" si="43">INDEX(CA$8:CA$152,MATCH($CX38,$CV$8:$CV$152,0))</f>
        <v>#N/A</v>
      </c>
      <c r="DF38" s="237" t="e">
        <f t="shared" si="44">INDEX(CB$8:CB$152,MATCH($CX38,$CV$8:$CV$152,0))</f>
        <v>#N/A</v>
      </c>
    </row>
    <row r="39" spans="1:110" ht="15" customHeight="1">
      <c r="A39" s="1291">
        <v>11</v>
      </c>
      <c r="B39" s="1508"/>
      <c r="C39" s="1148"/>
      <c r="D39" s="1148"/>
      <c r="E39" s="1148"/>
      <c r="F39" s="1148"/>
      <c r="G39" s="1148"/>
      <c r="H39" s="1148"/>
      <c r="I39" s="1472"/>
      <c r="J39" s="1149"/>
      <c r="K39" s="1150"/>
      <c r="L39" s="1151"/>
      <c r="M39" s="1292">
        <f t="shared" si="106">K39*L39</f>
        <v>0</v>
      </c>
      <c r="O39" s="2046" t="s">
        <v>843</v>
      </c>
      <c r="P39" s="1056" t="s">
        <v>845</v>
      </c>
      <c r="Q39" s="1056" t="s">
        <v>1077</v>
      </c>
      <c r="R39" s="1058" t="s">
        <v>844</v>
      </c>
      <c r="S39" s="1031">
        <f ca="1">SUMIF($B$113:$M$127,$R39,$K$113:$K$127)</f>
        <v>0</v>
      </c>
      <c r="T39" s="1031">
        <f ca="1">SUMIF($B$113:$M$127,$R39,$M$113:$M$127)</f>
        <v>0</v>
      </c>
      <c r="U39" s="1031"/>
      <c r="W39" s="1308">
        <f ca="1">IF(AND(T39&lt;&gt;0,R39&lt;&gt;W38,R39&lt;&gt;W32,R39&lt;&gt;W31,R39&lt;&gt;W30,R39&lt;&gt;W29,R39&lt;&gt;W28,R39&lt;&gt;W27,R39&lt;&gt;W26,R39&lt;&gt;W25,R39&lt;&gt;W24,R39&lt;&gt;W23,R39&lt;&gt;W22,R39&lt;&gt;W21,R39&lt;&gt;W20,R39&lt;&gt;W19,R39&lt;&gt;W18,R39&lt;&gt;W17,R39&lt;&gt;W16,R39&lt;&gt;W15,R39&lt;&gt;W14,R39&lt;&gt;W13,R39&lt;&gt;W12,R39&lt;&gt;W11,R39&lt;&gt;W10,R39&lt;&gt;W9,R39&lt;&gt;W8),R39,IF(AND(T40&lt;&gt;0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)</f>
        <v>0</v>
      </c>
      <c r="X39" s="1308"/>
      <c r="Y39" s="1309">
        <f ca="1" t="shared" si="0">IF(ISNA(VLOOKUP(W39,$AE$8:$AG$46,2,False))=True,"",VLOOKUP(W39,$AE$8:$AG$46,2,False))</f>
        <v>0</v>
      </c>
      <c r="Z39" s="1309">
        <f ca="1" t="shared" si="1">IF(ISNA(VLOOKUP(W39,$AE$8:$AG$46,3,False))=True,"",VLOOKUP(W39,$AE$8:$AG$46,3,False))</f>
        <v>0</v>
      </c>
      <c r="AA39" s="1310">
        <f ca="1" t="shared" si="2">IF(ISNA(VLOOKUP(W39,$R$8:$T$42,3,False))=True,"",VLOOKUP(W39,$R$8:$T$42,3,False))</f>
        <v>0</v>
      </c>
      <c r="AB39" s="1521">
        <f ca="1">_xlfn.IFNA(IF(ISTEXT(VLOOKUP(W39,'DRAFT A&amp;L'!$B$7:$G$100,4,0)),VLOOKUP(W39,'DRAFT A&amp;L'!$B$7:$G$100,4,0),YEAR(VLOOKUP(W39,'DRAFT A&amp;L'!$B$7:$G$100,4,0))),"")</f>
        <v>0</v>
      </c>
      <c r="AC39" s="423"/>
      <c r="AE39" s="1029" t="s">
        <v>844</v>
      </c>
      <c r="AF39" s="1035" t="s">
        <v>845</v>
      </c>
      <c r="AG39" s="1035" t="s">
        <v>1077</v>
      </c>
      <c r="AK39" s="1092">
        <f t="shared" si="3">COUNTIF($BA$8:$BA$152,AF39)</f>
        <v>0</v>
      </c>
      <c r="AM39" s="1077">
        <f t="shared" si="98">IF(M39&gt;0,1,0)</f>
        <v>0</v>
      </c>
      <c r="AN39" s="1096">
        <f>IF(K39&gt;0,COUNTIF(AM$8:AM39,"&gt;0"),0)</f>
        <v>0</v>
      </c>
      <c r="AO39" s="1078">
        <f t="shared" si="99">B39</f>
        <v>0</v>
      </c>
      <c r="AP39" s="1079">
        <f t="shared" si="100">C39</f>
        <v>0</v>
      </c>
      <c r="AQ39" s="1080">
        <f t="shared" si="101">IF(I39&lt;&gt;"",YEAR(I39),"")</f>
        <v>0</v>
      </c>
      <c r="AR39" s="1080">
        <f t="shared" si="95">IF(E39&lt;&gt;"",E39,"")</f>
        <v>0</v>
      </c>
      <c r="AS39" s="1078">
        <f t="shared" si="9">F39</f>
        <v>0</v>
      </c>
      <c r="AT39" s="1080">
        <f t="shared" si="96">IF(H39&lt;&gt;"",H39,"")</f>
        <v>0</v>
      </c>
      <c r="AU39" s="1080">
        <f t="shared" si="102">J39</f>
        <v>0</v>
      </c>
      <c r="AV39" s="1080">
        <f t="shared" si="103">K39</f>
        <v>0</v>
      </c>
      <c r="AW39" s="1081">
        <f t="shared" si="104">M39</f>
        <v>0</v>
      </c>
      <c r="AX39" s="237">
        <f t="shared" si="71">IF(AZ39&lt;&gt;"",AX38+1,"")</f>
        <v>0</v>
      </c>
      <c r="AY39" s="1087">
        <v>27</v>
      </c>
      <c r="AZ39" s="1087">
        <f t="shared" si="14">IF(ISNA(VLOOKUP(AY39,$AN$8:$AW$148,2,False))=True,"",VLOOKUP(AY39,$AN$8:$AW$148,2,False))</f>
        <v>0</v>
      </c>
      <c r="BA39" s="1087">
        <f t="shared" si="15">IF(ISNA(VLOOKUP(AZ39,$AE$8:$AF$46,2,False))=True,"",VLOOKUP(AZ39,$AE$8:$AF$46,2,False))</f>
        <v>0</v>
      </c>
      <c r="BB39" s="1087">
        <f t="shared" si="16">IF(ISNA(VLOOKUP(AY39,$AN$8:$AW$148,4,False))=True,"",VLOOKUP(AY39,$AN$8:$AW$148,4,False))</f>
        <v>0</v>
      </c>
      <c r="BC39" s="1087">
        <f t="shared" si="17">IF(ISNA(VLOOKUP(AY39,$AN$8:$AW$148,5,False))=True,"",VLOOKUP(AY39,$AN$8:$AW$148,5,False))</f>
        <v>0</v>
      </c>
      <c r="BD39" s="1087">
        <f t="shared" si="84">IF(ISNA(VLOOKUP(AY39,$AN$8:$AW$148,6,False))=True,"",VLOOKUP(AY39,$AN$8:$AW$148,6,False))</f>
        <v>0</v>
      </c>
      <c r="BE39" s="1125">
        <f t="shared" si="19">IF(ISNA(VLOOKUP(AY39,$AN$8:$AW$148,7,False))=True,"",VLOOKUP(AY39,$AN$8:$AW$148,7,False))</f>
        <v>0</v>
      </c>
      <c r="BF39" s="1123">
        <f t="shared" si="20">IF(ISNA(VLOOKUP($AY39,$AN$8:$AW$148,8,False))=True,"",VLOOKUP($AY39,$AN$8:$AW$148,8,False))</f>
        <v>0</v>
      </c>
      <c r="BG39" s="1120">
        <f t="shared" si="21">IF(ISNA(VLOOKUP($AY39,$AN$8:$AW$148,9,False))=True,"",VLOOKUP($AY39,$AN$8:$AW$148,9,False))</f>
        <v>0</v>
      </c>
      <c r="BH39" s="1120">
        <f t="shared" si="22">IF(ISNA(VLOOKUP($AY39,$AN$8:$AW$148,10,False))=True,"",VLOOKUP($AY39,$AN$8:$AW$148,10,False))</f>
        <v>0</v>
      </c>
      <c r="BI39" s="250">
        <f t="shared" si="49">IF(AZ39&lt;&gt;"",AZ39,"")</f>
        <v>0</v>
      </c>
      <c r="BJ39" s="1098">
        <f t="shared" si="50">BI39</f>
        <v>0</v>
      </c>
      <c r="BK39" s="1115">
        <f>COUNTIFS($AZ:$AZ, AZ39,$BJ:$BJ, "&lt;"&amp;BJ39)+COUNTIFS(AZ$8:AZ39, AZ39, BJ$8:BJ39, BJ39)</f>
        <v>32</v>
      </c>
      <c r="BL39" s="1114">
        <f t="shared" si="51">BK39/100</f>
        <v>0.32</v>
      </c>
      <c r="BM39" s="1093" t="e">
        <f t="shared" si="160" ref="BM39">BI39+BL39</f>
        <v>#VALUE!</v>
      </c>
      <c r="BN39" s="1101">
        <f t="shared" si="52">IF(BA39&lt;&gt;"",BM39,"")</f>
        <v>0</v>
      </c>
      <c r="BO39" s="1118">
        <f t="shared" si="53">IF(BN39&lt;&gt;"",BN39,0)</f>
        <v>0</v>
      </c>
      <c r="BP39" s="237" t="e">
        <f t="shared" si="23">SMALL($BN$8:$BN$152,AX39)</f>
        <v>#VALUE!</v>
      </c>
      <c r="BR39" s="1102" t="e">
        <f t="shared" si="54">IF(BP39&lt;&gt;"",BR38+1,"")</f>
        <v>#VALUE!</v>
      </c>
      <c r="BS39" s="1102">
        <f t="shared" si="55">IFERROR(BP39,"")</f>
        <v>0</v>
      </c>
      <c r="BT39" s="1102">
        <f t="shared" si="56">IFERROR(CC39,"")</f>
        <v>0</v>
      </c>
      <c r="BU39" s="1098">
        <f t="shared" si="57">IFERROR(CD39,"")</f>
        <v>0</v>
      </c>
      <c r="BV39" s="1098">
        <f t="shared" si="58">IFERROR(CE39,"")</f>
        <v>0</v>
      </c>
      <c r="BW39" s="1098">
        <f t="shared" si="59">IFERROR(CF39,"")</f>
        <v>0</v>
      </c>
      <c r="BX39" s="1146">
        <f t="shared" si="60">IFERROR(CH39,"")</f>
        <v>0</v>
      </c>
      <c r="BY39" s="1098">
        <f t="shared" si="61">IFERROR(CG39,"")</f>
        <v>0</v>
      </c>
      <c r="BZ39" s="1144" t="str">
        <f t="shared" si="62">IFERROR(CI39,"-")</f>
        <v>-</v>
      </c>
      <c r="CA39" s="1107">
        <f t="shared" si="63">IFERROR(CJ39,"")</f>
        <v>0</v>
      </c>
      <c r="CB39" s="1107">
        <f t="shared" si="64">IFERROR(CK39,"")</f>
        <v>0</v>
      </c>
      <c r="CC39" s="1110" t="e">
        <f t="shared" si="25">INDEX($AZ$8:$AZ$153,MATCH(BP39,$BO$8:$BO$153,0))</f>
        <v>#VALUE!</v>
      </c>
      <c r="CD39" s="1087" t="e">
        <f t="shared" si="26">INDEX($BA$8:$BA$153,MATCH(BP39,$BO$8:$BO$153,0))</f>
        <v>#VALUE!</v>
      </c>
      <c r="CE39" s="1106" t="e">
        <f t="shared" si="27">INDEX($BB$8:$BB$153,MATCH(BP39,$BO$8:$BO$153,0))</f>
        <v>#VALUE!</v>
      </c>
      <c r="CF39" s="1106" t="e">
        <f t="shared" si="28">INDEX(BC$8:BC$153,MATCH(BP39,$BO$8:$BO$153,0))</f>
        <v>#VALUE!</v>
      </c>
      <c r="CG39" s="1118" t="e">
        <f t="shared" si="29">INDEX(BE$8:BE$153,MATCH(BP39,$BO$8:$BO$153,0))</f>
        <v>#VALUE!</v>
      </c>
      <c r="CH39" s="1106" t="e">
        <f t="shared" si="30">INDEX($BD$8:$BD$153,MATCH($BP39,$BO$8:$BO$153,0))</f>
        <v>#VALUE!</v>
      </c>
      <c r="CI39" s="1142" t="e">
        <f t="shared" si="31">INDEX($BF$8:$BF$153,MATCH(BP39,$BO$8:$BO$153,0))</f>
        <v>#VALUE!</v>
      </c>
      <c r="CJ39" s="1106" t="e">
        <f t="shared" si="32">INDEX($BG$8:$BG$153,MATCH(BP39,$BO$8:$BO$153,0))</f>
        <v>#VALUE!</v>
      </c>
      <c r="CK39" s="1106" t="e">
        <f t="shared" si="33">INDEX($BH$8:$BH$153,MATCH(BP39,$BO$8:$BO$153,0))</f>
        <v>#VALUE!</v>
      </c>
      <c r="CM39" s="1131">
        <f t="shared" si="34">COUNTIF($CH$8:$CH$228,"&lt;="&amp;CH39)</f>
        <v>145</v>
      </c>
      <c r="CN39" s="1121">
        <f t="shared" si="65">--ISNUMBER(BX39)</f>
        <v>0</v>
      </c>
      <c r="CO39" s="1121">
        <f t="shared" si="66">IF(BX39=0,1,0)</f>
        <v>0</v>
      </c>
      <c r="CP39" s="1124">
        <f t="shared" si="35">IF(ISNUMBER(BX39),CM39,IF(ISERROR(BX39),CM39,CM39+$CN$154))+$CO$154</f>
        <v>145</v>
      </c>
      <c r="CQ39" s="237">
        <f>IFERROR(INDEX($BX$8:$BX$153,MATCH(SMALL($CP$8:$CP$153,ROWS($CQ$8:CQ39)+$CO$154),$CP$8:$CP$154,0)),"")</f>
        <v>0</v>
      </c>
      <c r="CR39" s="237">
        <v>0.1</v>
      </c>
      <c r="CS39" s="1135">
        <f t="shared" si="67">CM39+CR39</f>
        <v>145.1</v>
      </c>
      <c r="CT39" s="237">
        <f>COUNTIFS($CM:$CM, CM39,$CS:$CS, "&lt;"&amp;CL)+COUNTIFS(CM$8:CM39, CM39, CS$8:CS39, CS39)</f>
        <v>32</v>
      </c>
      <c r="CU39" s="1109">
        <f t="shared" si="68">CT39/100</f>
        <v>0.32</v>
      </c>
      <c r="CV39" s="1109">
        <f t="shared" si="69">CM39+CU39</f>
        <v>145.32</v>
      </c>
      <c r="CW39" s="237" t="e">
        <f t="shared" si="36">SMALL(CV$8:CV$153,AX39)</f>
        <v>#VALUE!</v>
      </c>
      <c r="CX39" s="1109">
        <f t="shared" si="70">IFERROR(CW39,"")</f>
        <v>0</v>
      </c>
      <c r="CY39" s="237" t="e">
        <f t="shared" si="37">INDEX(BU$8:BU$152,MATCH($CX39,CV$8:CV$152,0))</f>
        <v>#N/A</v>
      </c>
      <c r="CZ39" s="237" t="e">
        <f t="shared" si="38">INDEX(BV$8:BV$152,MATCH($CX39,$CV$8:$CV$152,0))</f>
        <v>#N/A</v>
      </c>
      <c r="DA39" s="237" t="e">
        <f t="shared" si="39">INDEX(BW$8:BW$152,MATCH($CX39,$CV$8:$CV$152,0))</f>
        <v>#N/A</v>
      </c>
      <c r="DB39" s="237" t="e">
        <f t="shared" si="40">INDEX(BX$8:BX$152,MATCH($CX39,$CV$8:$CV$152,0))</f>
        <v>#N/A</v>
      </c>
      <c r="DC39" s="237" t="e">
        <f t="shared" si="41">INDEX(BY$8:BY$152,MATCH($CX39,$CV$8:$CV$152,0))</f>
        <v>#N/A</v>
      </c>
      <c r="DD39" s="237" t="e">
        <f t="shared" si="42">INDEX(BZ$8:BZ$152,MATCH($CX39,$CV$8:$CV$152,0))</f>
        <v>#N/A</v>
      </c>
      <c r="DE39" s="237" t="e">
        <f t="shared" si="43">INDEX(CA$8:CA$152,MATCH($CX39,$CV$8:$CV$152,0))</f>
        <v>#N/A</v>
      </c>
      <c r="DF39" s="237" t="e">
        <f t="shared" si="44">INDEX(CB$8:CB$152,MATCH($CX39,$CV$8:$CV$152,0))</f>
        <v>#N/A</v>
      </c>
    </row>
    <row r="40" spans="1:110" ht="15" customHeight="1">
      <c r="A40" s="1291">
        <v>12</v>
      </c>
      <c r="B40" s="1508"/>
      <c r="C40" s="1148"/>
      <c r="D40" s="1148"/>
      <c r="E40" s="1148"/>
      <c r="F40" s="1148"/>
      <c r="G40" s="1148"/>
      <c r="H40" s="1148"/>
      <c r="I40" s="1472"/>
      <c r="J40" s="1149"/>
      <c r="K40" s="1150"/>
      <c r="L40" s="1151"/>
      <c r="M40" s="1292">
        <f t="shared" si="106">K40*L40</f>
        <v>0</v>
      </c>
      <c r="O40" s="2046"/>
      <c r="P40" s="1056" t="s">
        <v>847</v>
      </c>
      <c r="Q40" s="1056" t="s">
        <v>1078</v>
      </c>
      <c r="R40" s="1058" t="s">
        <v>846</v>
      </c>
      <c r="S40" s="1031">
        <f ca="1">SUMIF($B$113:$M$127,$R40,$K$113:$K$127)</f>
        <v>0</v>
      </c>
      <c r="T40" s="1031">
        <f ca="1">SUMIF($B$113:$M$127,R40,$M$113:$M$127)</f>
        <v>0</v>
      </c>
      <c r="U40" s="1031"/>
      <c r="W40" s="1308">
        <f ca="1">IF(AND(T40&lt;&gt;0,R40&lt;&gt;W39,R40&lt;&gt;W38,R40&lt;&gt;W32,R40&lt;&gt;W31,R40&lt;&gt;W30,R40&lt;&gt;W29,R40&lt;&gt;W28,R40&lt;&gt;W27,R40&lt;&gt;W26,R40&lt;&gt;W25,R40&lt;&gt;W24,R40&lt;&gt;W23,R40&lt;&gt;W22,R40&lt;&gt;W21,R40&lt;&gt;W20,R40&lt;&gt;W19,R40&lt;&gt;W18,R40&lt;&gt;W17,R40&lt;&gt;W16,R40&lt;&gt;W15,R40&lt;&gt;W14,R40&lt;&gt;W13,R40&lt;&gt;W12,R40&lt;&gt;W11,R40&lt;&gt;W10,R40&lt;&gt;W9,R40&lt;&gt;W8),R40,IF(AND(T41&lt;&gt;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)</f>
        <v>0</v>
      </c>
      <c r="X40" s="1308"/>
      <c r="Y40" s="1309">
        <f ca="1" t="shared" si="0">IF(ISNA(VLOOKUP(W40,$AE$8:$AG$46,2,False))=True,"",VLOOKUP(W40,$AE$8:$AG$46,2,False))</f>
        <v>0</v>
      </c>
      <c r="Z40" s="1309">
        <f ca="1" t="shared" si="1">IF(ISNA(VLOOKUP(W40,$AE$8:$AG$46,3,False))=True,"",VLOOKUP(W40,$AE$8:$AG$46,3,False))</f>
        <v>0</v>
      </c>
      <c r="AA40" s="1310">
        <f ca="1" t="shared" si="2">IF(ISNA(VLOOKUP(W40,$R$8:$T$42,3,False))=True,"",VLOOKUP(W40,$R$8:$T$42,3,False))</f>
        <v>0</v>
      </c>
      <c r="AB40" s="1521">
        <f ca="1">_xlfn.IFNA(IF(ISTEXT(VLOOKUP(W40,'DRAFT A&amp;L'!$B$7:$G$100,4,0)),VLOOKUP(W40,'DRAFT A&amp;L'!$B$7:$G$100,4,0),YEAR(VLOOKUP(W40,'DRAFT A&amp;L'!$B$7:$G$100,4,0))),"")</f>
        <v>0</v>
      </c>
      <c r="AC40" s="423"/>
      <c r="AE40" s="1029" t="s">
        <v>846</v>
      </c>
      <c r="AF40" s="1035" t="s">
        <v>847</v>
      </c>
      <c r="AG40" s="1035" t="s">
        <v>1078</v>
      </c>
      <c r="AK40" s="1092">
        <f t="shared" si="3">COUNTIF($BA$8:$BA$152,AF40)</f>
        <v>0</v>
      </c>
      <c r="AM40" s="1082">
        <f t="shared" si="98">IF(M40&gt;0,1,0)</f>
        <v>0</v>
      </c>
      <c r="AN40" s="1096">
        <f>IF(AM40&gt;0,COUNTIF(AM$8:AM40,"&gt;0"),0)</f>
        <v>0</v>
      </c>
      <c r="AO40" s="1083">
        <f t="shared" si="99">B40</f>
        <v>0</v>
      </c>
      <c r="AP40" s="1084">
        <f t="shared" si="100">C40</f>
        <v>0</v>
      </c>
      <c r="AQ40" s="1085">
        <f t="shared" si="101">IF(I40&lt;&gt;"",YEAR(I40),"")</f>
        <v>0</v>
      </c>
      <c r="AR40" s="1080">
        <f t="shared" si="95">IF(E40&lt;&gt;"",E40,"")</f>
        <v>0</v>
      </c>
      <c r="AS40" s="1078">
        <f t="shared" si="9">F40</f>
        <v>0</v>
      </c>
      <c r="AT40" s="1080">
        <f t="shared" si="96">IF(H40&lt;&gt;"",H40,"")</f>
        <v>0</v>
      </c>
      <c r="AU40" s="1080">
        <f t="shared" si="102">J40</f>
        <v>0</v>
      </c>
      <c r="AV40" s="1080">
        <f t="shared" si="103">K40</f>
        <v>0</v>
      </c>
      <c r="AW40" s="1086">
        <f t="shared" si="104">M40</f>
        <v>0</v>
      </c>
      <c r="AX40" s="237">
        <f t="shared" si="71">IF(AZ40&lt;&gt;"",AX39+1,"")</f>
        <v>0</v>
      </c>
      <c r="AY40" s="1087">
        <v>28</v>
      </c>
      <c r="AZ40" s="1087">
        <f t="shared" si="14">IF(ISNA(VLOOKUP(AY40,$AN$8:$AW$148,2,False))=True,"",VLOOKUP(AY40,$AN$8:$AW$148,2,False))</f>
        <v>0</v>
      </c>
      <c r="BA40" s="1087">
        <f t="shared" si="15">IF(ISNA(VLOOKUP(AZ40,$AE$8:$AF$46,2,False))=True,"",VLOOKUP(AZ40,$AE$8:$AF$46,2,False))</f>
        <v>0</v>
      </c>
      <c r="BB40" s="1087">
        <f t="shared" si="16">IF(ISNA(VLOOKUP(AY40,$AN$8:$AW$148,4,False))=True,"",VLOOKUP(AY40,$AN$8:$AW$148,4,False))</f>
        <v>0</v>
      </c>
      <c r="BC40" s="1087">
        <f t="shared" si="17">IF(ISNA(VLOOKUP(AY40,$AN$8:$AW$148,5,False))=True,"",VLOOKUP(AY40,$AN$8:$AW$148,5,False))</f>
        <v>0</v>
      </c>
      <c r="BD40" s="1087">
        <f t="shared" si="84">IF(ISNA(VLOOKUP(AY40,$AN$8:$AW$148,6,False))=True,"",VLOOKUP(AY40,$AN$8:$AW$148,6,False))</f>
        <v>0</v>
      </c>
      <c r="BE40" s="1125">
        <f t="shared" si="19">IF(ISNA(VLOOKUP(AY40,$AN$8:$AW$148,7,False))=True,"",VLOOKUP(AY40,$AN$8:$AW$148,7,False))</f>
        <v>0</v>
      </c>
      <c r="BF40" s="1123">
        <f t="shared" si="20">IF(ISNA(VLOOKUP($AY40,$AN$8:$AW$148,8,False))=True,"",VLOOKUP($AY40,$AN$8:$AW$148,8,False))</f>
        <v>0</v>
      </c>
      <c r="BG40" s="1120">
        <f t="shared" si="21">IF(ISNA(VLOOKUP($AY40,$AN$8:$AW$148,9,False))=True,"",VLOOKUP($AY40,$AN$8:$AW$148,9,False))</f>
        <v>0</v>
      </c>
      <c r="BH40" s="1120">
        <f t="shared" si="22">IF(ISNA(VLOOKUP($AY40,$AN$8:$AW$148,10,False))=True,"",VLOOKUP($AY40,$AN$8:$AW$148,10,False))</f>
        <v>0</v>
      </c>
      <c r="BI40" s="250">
        <f t="shared" si="49">IF(AZ40&lt;&gt;"",AZ40,"")</f>
        <v>0</v>
      </c>
      <c r="BJ40" s="1098">
        <f t="shared" si="50">BI40</f>
        <v>0</v>
      </c>
      <c r="BK40" s="1115">
        <f>COUNTIFS($AZ:$AZ, AZ40,$BJ:$BJ, "&lt;"&amp;BJ40)+COUNTIFS(AZ$8:AZ40, AZ40, BJ$8:BJ40, BJ40)</f>
        <v>33</v>
      </c>
      <c r="BL40" s="1114">
        <f t="shared" si="51">BK40/100</f>
        <v>0.33</v>
      </c>
      <c r="BM40" s="1093" t="e">
        <f t="shared" si="161" ref="BM40">BJ40+BL40</f>
        <v>#VALUE!</v>
      </c>
      <c r="BN40" s="1101">
        <f t="shared" si="52">IF(BA40&lt;&gt;"",BM40,"")</f>
        <v>0</v>
      </c>
      <c r="BO40" s="1118">
        <f t="shared" si="53">IF(BN40&lt;&gt;"",BN40,0)</f>
        <v>0</v>
      </c>
      <c r="BP40" s="237" t="e">
        <f t="shared" si="162" ref="BP40:BP71">SMALL($BN$8:$BN$152,AX40)</f>
        <v>#VALUE!</v>
      </c>
      <c r="BR40" s="1102" t="e">
        <f t="shared" si="54">IF(BP40&lt;&gt;"",BR39+1,"")</f>
        <v>#VALUE!</v>
      </c>
      <c r="BS40" s="1102">
        <f t="shared" si="55">IFERROR(BP40,"")</f>
        <v>0</v>
      </c>
      <c r="BT40" s="1102">
        <f t="shared" si="56">IFERROR(CC40,"")</f>
        <v>0</v>
      </c>
      <c r="BU40" s="1098">
        <f t="shared" si="57">IFERROR(CD40,"")</f>
        <v>0</v>
      </c>
      <c r="BV40" s="1098">
        <f t="shared" si="58">IFERROR(CE40,"")</f>
        <v>0</v>
      </c>
      <c r="BW40" s="1098">
        <f t="shared" si="59">IFERROR(CF40,"")</f>
        <v>0</v>
      </c>
      <c r="BX40" s="1146">
        <f t="shared" si="60">IFERROR(CH40,"")</f>
        <v>0</v>
      </c>
      <c r="BY40" s="1098">
        <f t="shared" si="61">IFERROR(CG40,"")</f>
        <v>0</v>
      </c>
      <c r="BZ40" s="1144" t="str">
        <f t="shared" si="62">IFERROR(CI40,"-")</f>
        <v>-</v>
      </c>
      <c r="CA40" s="1107">
        <f t="shared" si="63">IFERROR(CJ40,"")</f>
        <v>0</v>
      </c>
      <c r="CB40" s="1107">
        <f t="shared" si="64">IFERROR(CK40,"")</f>
        <v>0</v>
      </c>
      <c r="CC40" s="1110" t="e">
        <f t="shared" si="163" ref="CC40:CC71">INDEX($AZ$8:$AZ$153,MATCH(BP40,$BO$8:$BO$153,0))</f>
        <v>#VALUE!</v>
      </c>
      <c r="CD40" s="1087" t="e">
        <f t="shared" si="164" ref="CD40:CD71">INDEX($BA$8:$BA$153,MATCH(BP40,$BO$8:$BO$153,0))</f>
        <v>#VALUE!</v>
      </c>
      <c r="CE40" s="1106" t="e">
        <f t="shared" si="165" ref="CE40:CE71">INDEX($BB$8:$BB$153,MATCH(BP40,$BO$8:$BO$153,0))</f>
        <v>#VALUE!</v>
      </c>
      <c r="CF40" s="1106" t="e">
        <f t="shared" si="166" ref="CF40:CF71">INDEX(BC$8:BC$153,MATCH(BP40,$BO$8:$BO$153,0))</f>
        <v>#VALUE!</v>
      </c>
      <c r="CG40" s="1118" t="e">
        <f t="shared" si="167" ref="CG40:CG71">INDEX(BE$8:BE$153,MATCH(BP40,$BO$8:$BO$153,0))</f>
        <v>#VALUE!</v>
      </c>
      <c r="CH40" s="1106" t="e">
        <f t="shared" si="168" ref="CH40:CH71">INDEX($BD$8:$BD$153,MATCH($BP40,$BO$8:$BO$153,0))</f>
        <v>#VALUE!</v>
      </c>
      <c r="CI40" s="1142" t="e">
        <f t="shared" si="169" ref="CI40:CI71">INDEX($BF$8:$BF$153,MATCH(BP40,$BO$8:$BO$153,0))</f>
        <v>#VALUE!</v>
      </c>
      <c r="CJ40" s="1106" t="e">
        <f t="shared" si="170" ref="CJ40:CJ71">INDEX($BG$8:$BG$153,MATCH(BP40,$BO$8:$BO$153,0))</f>
        <v>#VALUE!</v>
      </c>
      <c r="CK40" s="1106" t="e">
        <f t="shared" si="171" ref="CK40:CK71">INDEX($BH$8:$BH$153,MATCH(BP40,$BO$8:$BO$153,0))</f>
        <v>#VALUE!</v>
      </c>
      <c r="CM40" s="1131">
        <f t="shared" si="172" ref="CM40:CM71">COUNTIF($CH$8:$CH$228,"&lt;="&amp;CH40)</f>
        <v>145</v>
      </c>
      <c r="CN40" s="1121">
        <f t="shared" si="65">--ISNUMBER(BX40)</f>
        <v>0</v>
      </c>
      <c r="CO40" s="1121">
        <f t="shared" si="66">IF(BX40=0,1,0)</f>
        <v>0</v>
      </c>
      <c r="CP40" s="1124">
        <f t="shared" si="35">IF(ISNUMBER(BX40),CM40,IF(ISERROR(BX40),CM40,CM40+$CN$154))+$CO$154</f>
        <v>145</v>
      </c>
      <c r="CQ40" s="237">
        <f>IFERROR(INDEX($BX$8:$BX$153,MATCH(SMALL($CP$8:$CP$153,ROWS($CQ$8:CQ40)+$CO$154),$CP$8:$CP$154,0)),"")</f>
        <v>0</v>
      </c>
      <c r="CR40" s="237">
        <v>0.1</v>
      </c>
      <c r="CS40" s="1135">
        <f t="shared" si="67">CM40+CR40</f>
        <v>145.1</v>
      </c>
      <c r="CT40" s="237">
        <f>COUNTIFS($CM:$CM, CM40,$CS:$CS, "&lt;"&amp;CL)+COUNTIFS(CM$8:CM40, CM40, CS$8:CS40, CS40)</f>
        <v>33</v>
      </c>
      <c r="CU40" s="1109">
        <f t="shared" si="68">CT40/100</f>
        <v>0.33</v>
      </c>
      <c r="CV40" s="1109">
        <f t="shared" si="69">CM40+CU40</f>
        <v>145.33</v>
      </c>
      <c r="CW40" s="237" t="e">
        <f t="shared" si="173" ref="CW40:CW71">SMALL(CV$8:CV$153,AX40)</f>
        <v>#VALUE!</v>
      </c>
      <c r="CX40" s="1109">
        <f t="shared" si="70">IFERROR(CW40,"")</f>
        <v>0</v>
      </c>
      <c r="CY40" s="237" t="e">
        <f t="shared" si="174" ref="CY40:CY71">INDEX(BU$8:BU$152,MATCH($CX40,CV$8:CV$152,0))</f>
        <v>#N/A</v>
      </c>
      <c r="CZ40" s="237" t="e">
        <f t="shared" si="175" ref="CZ40:CZ71">INDEX(BV$8:BV$152,MATCH($CX40,$CV$8:$CV$152,0))</f>
        <v>#N/A</v>
      </c>
      <c r="DA40" s="237" t="e">
        <f t="shared" si="176" ref="DA40:DA71">INDEX(BW$8:BW$152,MATCH($CX40,$CV$8:$CV$152,0))</f>
        <v>#N/A</v>
      </c>
      <c r="DB40" s="237" t="e">
        <f t="shared" si="177" ref="DB40:DB71">INDEX(BX$8:BX$152,MATCH($CX40,$CV$8:$CV$152,0))</f>
        <v>#N/A</v>
      </c>
      <c r="DC40" s="237" t="e">
        <f t="shared" si="178" ref="DC40:DC71">INDEX(BY$8:BY$152,MATCH($CX40,$CV$8:$CV$152,0))</f>
        <v>#N/A</v>
      </c>
      <c r="DD40" s="237" t="e">
        <f t="shared" si="179" ref="DD40:DD71">INDEX(BZ$8:BZ$152,MATCH($CX40,$CV$8:$CV$152,0))</f>
        <v>#N/A</v>
      </c>
      <c r="DE40" s="237" t="e">
        <f t="shared" si="180" ref="DE40:DE71">INDEX(CA$8:CA$152,MATCH($CX40,$CV$8:$CV$152,0))</f>
        <v>#N/A</v>
      </c>
      <c r="DF40" s="237" t="e">
        <f t="shared" si="181" ref="DF40:DF71">INDEX(CB$8:CB$152,MATCH($CX40,$CV$8:$CV$152,0))</f>
        <v>#N/A</v>
      </c>
    </row>
    <row r="41" spans="1:110" ht="15" customHeight="1">
      <c r="A41" s="1291">
        <v>13</v>
      </c>
      <c r="B41" s="1508"/>
      <c r="C41" s="1148"/>
      <c r="D41" s="1148"/>
      <c r="E41" s="1148"/>
      <c r="F41" s="1148"/>
      <c r="G41" s="1148"/>
      <c r="H41" s="1148"/>
      <c r="I41" s="1472"/>
      <c r="J41" s="1149"/>
      <c r="K41" s="1150"/>
      <c r="L41" s="1151"/>
      <c r="M41" s="1292">
        <f t="shared" si="106">K41*L41</f>
        <v>0</v>
      </c>
      <c r="O41" s="2046"/>
      <c r="P41" s="1056" t="s">
        <v>849</v>
      </c>
      <c r="Q41" s="1056" t="s">
        <v>1079</v>
      </c>
      <c r="R41" s="1058" t="s">
        <v>848</v>
      </c>
      <c r="S41" s="1031">
        <f ca="1">SUMIF($B$113:$M$127,$R41,$K$113:$K$127)</f>
        <v>0</v>
      </c>
      <c r="T41" s="1031">
        <f ca="1">SUMIF($B$113:$M$127,R41,$M$113:$M$127)</f>
        <v>0</v>
      </c>
      <c r="U41" s="1031"/>
      <c r="W41" s="1308">
        <f ca="1">IF(AND(T41&lt;&gt;0,R41&lt;&gt;W40,R41&lt;&gt;W39,R41&lt;&gt;W38,R41&lt;&gt;W32,R41&lt;&gt;W31,R41&lt;&gt;W30,R41&lt;&gt;W29,R41&lt;&gt;W28,R41&lt;&gt;W27,R41&lt;&gt;W26,R41&lt;&gt;W25,R41&lt;&gt;W24,R41&lt;&gt;W23,R41&lt;&gt;W22,R41&lt;&gt;W21,R41&lt;&gt;W20,R41&lt;&gt;W19,R41&lt;&gt;W18,R41&lt;&gt;W17,R41&lt;&gt;W16,R41&lt;&gt;W15,R41&lt;&gt;W14,R41&lt;&gt;W13,R41&lt;&gt;W12,R41&lt;&gt;W11,R41&lt;&gt;W10,R41&lt;&gt;W9,R41&lt;&gt;W8),R41,IF(AND(T42&lt;&gt;0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)</f>
        <v>0</v>
      </c>
      <c r="X41" s="1308"/>
      <c r="Y41" s="1309">
        <f ca="1" t="shared" si="0">IF(ISNA(VLOOKUP(W41,$AE$8:$AG$46,2,False))=True,"",VLOOKUP(W41,$AE$8:$AG$46,2,False))</f>
        <v>0</v>
      </c>
      <c r="Z41" s="1309">
        <f ca="1" t="shared" si="1">IF(ISNA(VLOOKUP(W41,$AE$8:$AG$46,3,False))=True,"",VLOOKUP(W41,$AE$8:$AG$46,3,False))</f>
        <v>0</v>
      </c>
      <c r="AA41" s="1310">
        <f ca="1" t="shared" si="2">IF(ISNA(VLOOKUP(W41,$R$8:$T$42,3,False))=True,"",VLOOKUP(W41,$R$8:$T$42,3,False))</f>
        <v>0</v>
      </c>
      <c r="AB41" s="1521">
        <f ca="1">_xlfn.IFNA(IF(ISTEXT(VLOOKUP(W41,'DRAFT A&amp;L'!$B$7:$G$100,4,0)),VLOOKUP(W41,'DRAFT A&amp;L'!$B$7:$G$100,4,0),YEAR(VLOOKUP(W41,'DRAFT A&amp;L'!$B$7:$G$100,4,0))),"")</f>
        <v>0</v>
      </c>
      <c r="AC41" s="423"/>
      <c r="AE41" s="1029" t="s">
        <v>848</v>
      </c>
      <c r="AF41" s="1035" t="s">
        <v>849</v>
      </c>
      <c r="AG41" s="1035" t="s">
        <v>1079</v>
      </c>
      <c r="AK41" s="1092">
        <f t="shared" si="3">COUNTIF($BA$8:$BA$152,AF41)</f>
        <v>0</v>
      </c>
      <c r="AM41" s="1077">
        <f t="shared" si="98">IF(M41&gt;0,1,0)</f>
        <v>0</v>
      </c>
      <c r="AN41" s="1096">
        <f>IF(AM41&gt;0,COUNTIF(AM$8:AM41,"&gt;0"),0)</f>
        <v>0</v>
      </c>
      <c r="AO41" s="1078">
        <f t="shared" si="99">B41</f>
        <v>0</v>
      </c>
      <c r="AP41" s="1079">
        <f t="shared" si="100">C41</f>
        <v>0</v>
      </c>
      <c r="AQ41" s="1080">
        <f t="shared" si="101">IF(I41&lt;&gt;"",YEAR(I41),"")</f>
        <v>0</v>
      </c>
      <c r="AR41" s="1080">
        <f t="shared" si="95">IF(E41&lt;&gt;"",E41,"")</f>
        <v>0</v>
      </c>
      <c r="AS41" s="1078">
        <f t="shared" si="9">F41</f>
        <v>0</v>
      </c>
      <c r="AT41" s="1080">
        <f t="shared" si="96">IF(H41&lt;&gt;"",H41,"")</f>
        <v>0</v>
      </c>
      <c r="AU41" s="1080">
        <f t="shared" si="102">J41</f>
        <v>0</v>
      </c>
      <c r="AV41" s="1080">
        <f t="shared" si="103">K41</f>
        <v>0</v>
      </c>
      <c r="AW41" s="1081">
        <f t="shared" si="104">M41</f>
        <v>0</v>
      </c>
      <c r="AX41" s="237">
        <f t="shared" si="71">IF(AZ41&lt;&gt;"",AX40+1,"")</f>
        <v>0</v>
      </c>
      <c r="AY41" s="1087">
        <v>29</v>
      </c>
      <c r="AZ41" s="1087">
        <f t="shared" si="14">IF(ISNA(VLOOKUP(AY41,$AN$8:$AW$148,2,False))=True,"",VLOOKUP(AY41,$AN$8:$AW$148,2,False))</f>
        <v>0</v>
      </c>
      <c r="BA41" s="1087">
        <f t="shared" si="15">IF(ISNA(VLOOKUP(AZ41,$AE$8:$AF$46,2,False))=True,"",VLOOKUP(AZ41,$AE$8:$AF$46,2,False))</f>
        <v>0</v>
      </c>
      <c r="BB41" s="1087">
        <f t="shared" si="16">IF(ISNA(VLOOKUP(AY41,$AN$8:$AW$148,4,False))=True,"",VLOOKUP(AY41,$AN$8:$AW$148,4,False))</f>
        <v>0</v>
      </c>
      <c r="BC41" s="1087">
        <f t="shared" si="17">IF(ISNA(VLOOKUP(AY41,$AN$8:$AW$148,5,False))=True,"",VLOOKUP(AY41,$AN$8:$AW$148,5,False))</f>
        <v>0</v>
      </c>
      <c r="BD41" s="1087">
        <f t="shared" si="84">IF(ISNA(VLOOKUP(AY41,$AN$8:$AW$148,6,False))=True,"",VLOOKUP(AY41,$AN$8:$AW$148,6,False))</f>
        <v>0</v>
      </c>
      <c r="BE41" s="1125">
        <f t="shared" si="19">IF(ISNA(VLOOKUP(AY41,$AN$8:$AW$148,7,False))=True,"",VLOOKUP(AY41,$AN$8:$AW$148,7,False))</f>
        <v>0</v>
      </c>
      <c r="BF41" s="1123">
        <f t="shared" si="20">IF(ISNA(VLOOKUP($AY41,$AN$8:$AW$148,8,False))=True,"",VLOOKUP($AY41,$AN$8:$AW$148,8,False))</f>
        <v>0</v>
      </c>
      <c r="BG41" s="1120">
        <f t="shared" si="21">IF(ISNA(VLOOKUP($AY41,$AN$8:$AW$148,9,False))=True,"",VLOOKUP($AY41,$AN$8:$AW$148,9,False))</f>
        <v>0</v>
      </c>
      <c r="BH41" s="1120">
        <f t="shared" si="22">IF(ISNA(VLOOKUP($AY41,$AN$8:$AW$148,10,False))=True,"",VLOOKUP($AY41,$AN$8:$AW$148,10,False))</f>
        <v>0</v>
      </c>
      <c r="BI41" s="250">
        <f t="shared" si="49">IF(AZ41&lt;&gt;"",AZ41,"")</f>
        <v>0</v>
      </c>
      <c r="BJ41" s="1098">
        <f t="shared" si="50">BI41</f>
        <v>0</v>
      </c>
      <c r="BK41" s="1115">
        <f>COUNTIFS($AZ:$AZ, AZ41,$BJ:$BJ, "&lt;"&amp;BJ41)+COUNTIFS(AZ$8:AZ41, AZ41, BJ$8:BJ41, BJ41)</f>
        <v>34</v>
      </c>
      <c r="BL41" s="1114">
        <f t="shared" si="51">BK41/100</f>
        <v>0.34</v>
      </c>
      <c r="BM41" s="1093" t="e">
        <f t="shared" si="182" ref="BM41">BI41+BL41</f>
        <v>#VALUE!</v>
      </c>
      <c r="BN41" s="1101">
        <f t="shared" si="52">IF(BA41&lt;&gt;"",BM41,"")</f>
        <v>0</v>
      </c>
      <c r="BO41" s="1118">
        <f t="shared" si="53">IF(BN41&lt;&gt;"",BN41,0)</f>
        <v>0</v>
      </c>
      <c r="BP41" s="237" t="e">
        <f t="shared" si="162">SMALL($BN$8:$BN$152,AX41)</f>
        <v>#VALUE!</v>
      </c>
      <c r="BR41" s="1102" t="e">
        <f t="shared" si="54">IF(BP41&lt;&gt;"",BR40+1,"")</f>
        <v>#VALUE!</v>
      </c>
      <c r="BS41" s="1102">
        <f t="shared" si="55">IFERROR(BP41,"")</f>
        <v>0</v>
      </c>
      <c r="BT41" s="1102">
        <f t="shared" si="56">IFERROR(CC41,"")</f>
        <v>0</v>
      </c>
      <c r="BU41" s="1098">
        <f t="shared" si="57">IFERROR(CD41,"")</f>
        <v>0</v>
      </c>
      <c r="BV41" s="1098">
        <f t="shared" si="58">IFERROR(CE41,"")</f>
        <v>0</v>
      </c>
      <c r="BW41" s="1098">
        <f t="shared" si="59">IFERROR(CF41,"")</f>
        <v>0</v>
      </c>
      <c r="BX41" s="1146">
        <f t="shared" si="60">IFERROR(CH41,"")</f>
        <v>0</v>
      </c>
      <c r="BY41" s="1098">
        <f t="shared" si="61">IFERROR(CG41,"")</f>
        <v>0</v>
      </c>
      <c r="BZ41" s="1144" t="str">
        <f t="shared" si="62">IFERROR(CI41,"-")</f>
        <v>-</v>
      </c>
      <c r="CA41" s="1107">
        <f t="shared" si="63">IFERROR(CJ41,"")</f>
        <v>0</v>
      </c>
      <c r="CB41" s="1107">
        <f t="shared" si="64">IFERROR(CK41,"")</f>
        <v>0</v>
      </c>
      <c r="CC41" s="1110" t="e">
        <f t="shared" si="163">INDEX($AZ$8:$AZ$153,MATCH(BP41,$BO$8:$BO$153,0))</f>
        <v>#VALUE!</v>
      </c>
      <c r="CD41" s="1087" t="e">
        <f t="shared" si="164">INDEX($BA$8:$BA$153,MATCH(BP41,$BO$8:$BO$153,0))</f>
        <v>#VALUE!</v>
      </c>
      <c r="CE41" s="1106" t="e">
        <f t="shared" si="165">INDEX($BB$8:$BB$153,MATCH(BP41,$BO$8:$BO$153,0))</f>
        <v>#VALUE!</v>
      </c>
      <c r="CF41" s="1106" t="e">
        <f t="shared" si="166">INDEX(BC$8:BC$153,MATCH(BP41,$BO$8:$BO$153,0))</f>
        <v>#VALUE!</v>
      </c>
      <c r="CG41" s="1118" t="e">
        <f t="shared" si="167">INDEX(BE$8:BE$153,MATCH(BP41,$BO$8:$BO$153,0))</f>
        <v>#VALUE!</v>
      </c>
      <c r="CH41" s="1106" t="e">
        <f t="shared" si="168">INDEX($BD$8:$BD$153,MATCH($BP41,$BO$8:$BO$153,0))</f>
        <v>#VALUE!</v>
      </c>
      <c r="CI41" s="1142" t="e">
        <f t="shared" si="169">INDEX($BF$8:$BF$153,MATCH(BP41,$BO$8:$BO$153,0))</f>
        <v>#VALUE!</v>
      </c>
      <c r="CJ41" s="1106" t="e">
        <f t="shared" si="170">INDEX($BG$8:$BG$153,MATCH(BP41,$BO$8:$BO$153,0))</f>
        <v>#VALUE!</v>
      </c>
      <c r="CK41" s="1106" t="e">
        <f t="shared" si="171">INDEX($BH$8:$BH$153,MATCH(BP41,$BO$8:$BO$153,0))</f>
        <v>#VALUE!</v>
      </c>
      <c r="CM41" s="1131">
        <f t="shared" si="172">COUNTIF($CH$8:$CH$228,"&lt;="&amp;CH41)</f>
        <v>145</v>
      </c>
      <c r="CN41" s="1121">
        <f t="shared" si="65">--ISNUMBER(BX41)</f>
        <v>0</v>
      </c>
      <c r="CO41" s="1121">
        <f t="shared" si="66">IF(BX41=0,1,0)</f>
        <v>0</v>
      </c>
      <c r="CP41" s="1124">
        <f t="shared" si="35">IF(ISNUMBER(BX41),CM41,IF(ISERROR(BX41),CM41,CM41+$CN$154))+$CO$154</f>
        <v>145</v>
      </c>
      <c r="CQ41" s="237">
        <f>IFERROR(INDEX($BX$8:$BX$153,MATCH(SMALL($CP$8:$CP$153,ROWS($CQ$8:CQ41)+$CO$154),$CP$8:$CP$154,0)),"")</f>
        <v>0</v>
      </c>
      <c r="CR41" s="237">
        <v>0.1</v>
      </c>
      <c r="CS41" s="1135">
        <f t="shared" si="67">CM41+CR41</f>
        <v>145.1</v>
      </c>
      <c r="CT41" s="237">
        <f>COUNTIFS($CM:$CM, CM41,$CS:$CS, "&lt;"&amp;CL)+COUNTIFS(CM$8:CM41, CM41, CS$8:CS41, CS41)</f>
        <v>34</v>
      </c>
      <c r="CU41" s="1109">
        <f t="shared" si="68">CT41/100</f>
        <v>0.34</v>
      </c>
      <c r="CV41" s="1109">
        <f t="shared" si="69">CM41+CU41</f>
        <v>145.34</v>
      </c>
      <c r="CW41" s="237" t="e">
        <f t="shared" si="173">SMALL(CV$8:CV$153,AX41)</f>
        <v>#VALUE!</v>
      </c>
      <c r="CX41" s="1109">
        <f t="shared" si="70">IFERROR(CW41,"")</f>
        <v>0</v>
      </c>
      <c r="CY41" s="237" t="e">
        <f t="shared" si="174">INDEX(BU$8:BU$152,MATCH($CX41,CV$8:CV$152,0))</f>
        <v>#N/A</v>
      </c>
      <c r="CZ41" s="237" t="e">
        <f t="shared" si="175">INDEX(BV$8:BV$152,MATCH($CX41,$CV$8:$CV$152,0))</f>
        <v>#N/A</v>
      </c>
      <c r="DA41" s="237" t="e">
        <f t="shared" si="176">INDEX(BW$8:BW$152,MATCH($CX41,$CV$8:$CV$152,0))</f>
        <v>#N/A</v>
      </c>
      <c r="DB41" s="237" t="e">
        <f t="shared" si="177">INDEX(BX$8:BX$152,MATCH($CX41,$CV$8:$CV$152,0))</f>
        <v>#N/A</v>
      </c>
      <c r="DC41" s="237" t="e">
        <f t="shared" si="178">INDEX(BY$8:BY$152,MATCH($CX41,$CV$8:$CV$152,0))</f>
        <v>#N/A</v>
      </c>
      <c r="DD41" s="237" t="e">
        <f t="shared" si="179">INDEX(BZ$8:BZ$152,MATCH($CX41,$CV$8:$CV$152,0))</f>
        <v>#N/A</v>
      </c>
      <c r="DE41" s="237" t="e">
        <f t="shared" si="180">INDEX(CA$8:CA$152,MATCH($CX41,$CV$8:$CV$152,0))</f>
        <v>#N/A</v>
      </c>
      <c r="DF41" s="237" t="e">
        <f t="shared" si="181">INDEX(CB$8:CB$152,MATCH($CX41,$CV$8:$CV$152,0))</f>
        <v>#N/A</v>
      </c>
    </row>
    <row r="42" spans="1:110" ht="15" customHeight="1" thickBot="1">
      <c r="A42" s="1291">
        <v>14</v>
      </c>
      <c r="B42" s="1508"/>
      <c r="C42" s="1148"/>
      <c r="D42" s="1148"/>
      <c r="E42" s="1148"/>
      <c r="F42" s="1148"/>
      <c r="G42" s="1148"/>
      <c r="H42" s="1148"/>
      <c r="I42" s="1472"/>
      <c r="J42" s="1149"/>
      <c r="K42" s="1150"/>
      <c r="L42" s="1151"/>
      <c r="M42" s="1292">
        <f t="shared" si="106">K42*L42</f>
        <v>0</v>
      </c>
      <c r="O42" s="2047"/>
      <c r="P42" s="1059" t="s">
        <v>851</v>
      </c>
      <c r="Q42" s="1059" t="s">
        <v>1080</v>
      </c>
      <c r="R42" s="1060" t="s">
        <v>850</v>
      </c>
      <c r="S42" s="1031">
        <f ca="1">SUMIF($B$113:$M$127,$R42,$K$113:$K$127)</f>
        <v>0</v>
      </c>
      <c r="T42" s="1031">
        <f ca="1">SUMIF($B$113:$M$127,R42,$M$113:$M$127)</f>
        <v>0</v>
      </c>
      <c r="U42" s="1031"/>
      <c r="W42" s="1308"/>
      <c r="X42" s="1308"/>
      <c r="Y42" s="1309"/>
      <c r="Z42" s="1309"/>
      <c r="AA42" s="1310"/>
      <c r="AB42" s="1521">
        <f>_xlfn.IFNA(IF(ISTEXT(VLOOKUP(W42,'DRAFT A&amp;L'!$B$7:$G$100,4,0)),VLOOKUP(W42,'DRAFT A&amp;L'!$B$7:$G$100,4,0),YEAR(VLOOKUP(W42,'DRAFT A&amp;L'!$B$7:$G$100,4,0))),"")</f>
        <v>0</v>
      </c>
      <c r="AC42" s="423"/>
      <c r="AD42" s="248" t="s">
        <v>1088</v>
      </c>
      <c r="AE42" s="1030" t="s">
        <v>850</v>
      </c>
      <c r="AF42" s="1038" t="s">
        <v>851</v>
      </c>
      <c r="AG42" s="1038" t="s">
        <v>1080</v>
      </c>
      <c r="AK42" s="1092">
        <f t="shared" si="3">COUNTIF($BA$8:$BA$152,AF42)</f>
        <v>0</v>
      </c>
      <c r="AM42" s="1077">
        <f t="shared" si="98">IF(M42&gt;0,1,0)</f>
        <v>0</v>
      </c>
      <c r="AN42" s="1096">
        <f>IF(K42&gt;0,COUNTIF(AM$8:AM42,"&gt;0"),0)</f>
        <v>0</v>
      </c>
      <c r="AO42" s="1078">
        <f t="shared" si="99">B42</f>
        <v>0</v>
      </c>
      <c r="AP42" s="1079">
        <f t="shared" si="100">C42</f>
        <v>0</v>
      </c>
      <c r="AQ42" s="1080">
        <f t="shared" si="101">IF(I42&lt;&gt;"",YEAR(I42),"")</f>
        <v>0</v>
      </c>
      <c r="AR42" s="1080">
        <f t="shared" si="95">IF(E42&lt;&gt;"",E42,"")</f>
        <v>0</v>
      </c>
      <c r="AS42" s="1078">
        <f t="shared" si="9">F42</f>
        <v>0</v>
      </c>
      <c r="AT42" s="1080">
        <f t="shared" si="96">IF(H42&lt;&gt;"",H42,"")</f>
        <v>0</v>
      </c>
      <c r="AU42" s="1080">
        <f t="shared" si="102">J42</f>
        <v>0</v>
      </c>
      <c r="AV42" s="1080">
        <f t="shared" si="103">K42</f>
        <v>0</v>
      </c>
      <c r="AW42" s="1081">
        <f t="shared" si="104">M42</f>
        <v>0</v>
      </c>
      <c r="AX42" s="237">
        <f t="shared" si="71">IF(AZ42&lt;&gt;"",AX41+1,"")</f>
        <v>0</v>
      </c>
      <c r="AY42" s="1087">
        <v>30</v>
      </c>
      <c r="AZ42" s="1087">
        <f t="shared" si="14">IF(ISNA(VLOOKUP(AY42,$AN$8:$AW$148,2,False))=True,"",VLOOKUP(AY42,$AN$8:$AW$148,2,False))</f>
        <v>0</v>
      </c>
      <c r="BA42" s="1087">
        <f t="shared" si="15">IF(ISNA(VLOOKUP(AZ42,$AE$8:$AF$46,2,False))=True,"",VLOOKUP(AZ42,$AE$8:$AF$46,2,False))</f>
        <v>0</v>
      </c>
      <c r="BB42" s="1087">
        <f t="shared" si="16">IF(ISNA(VLOOKUP(AY42,$AN$8:$AW$148,4,False))=True,"",VLOOKUP(AY42,$AN$8:$AW$148,4,False))</f>
        <v>0</v>
      </c>
      <c r="BC42" s="1087">
        <f t="shared" si="17">IF(ISNA(VLOOKUP(AY42,$AN$8:$AW$148,5,False))=True,"",VLOOKUP(AY42,$AN$8:$AW$148,5,False))</f>
        <v>0</v>
      </c>
      <c r="BD42" s="1087">
        <f t="shared" si="84">IF(ISNA(VLOOKUP(AY42,$AN$8:$AW$148,6,False))=True,"",VLOOKUP(AY42,$AN$8:$AW$148,6,False))</f>
        <v>0</v>
      </c>
      <c r="BE42" s="1125">
        <f t="shared" si="19">IF(ISNA(VLOOKUP(AY42,$AN$8:$AW$148,7,False))=True,"",VLOOKUP(AY42,$AN$8:$AW$148,7,False))</f>
        <v>0</v>
      </c>
      <c r="BF42" s="1123">
        <f t="shared" si="20">IF(ISNA(VLOOKUP($AY42,$AN$8:$AW$148,8,False))=True,"",VLOOKUP($AY42,$AN$8:$AW$148,8,False))</f>
        <v>0</v>
      </c>
      <c r="BG42" s="1120">
        <f t="shared" si="21">IF(ISNA(VLOOKUP($AY42,$AN$8:$AW$148,9,False))=True,"",VLOOKUP($AY42,$AN$8:$AW$148,9,False))</f>
        <v>0</v>
      </c>
      <c r="BH42" s="1120">
        <f t="shared" si="22">IF(ISNA(VLOOKUP($AY42,$AN$8:$AW$148,10,False))=True,"",VLOOKUP($AY42,$AN$8:$AW$148,10,False))</f>
        <v>0</v>
      </c>
      <c r="BI42" s="250">
        <f t="shared" si="49">IF(AZ42&lt;&gt;"",AZ42,"")</f>
        <v>0</v>
      </c>
      <c r="BJ42" s="1098">
        <f t="shared" si="50">BI42</f>
        <v>0</v>
      </c>
      <c r="BK42" s="1115">
        <f>COUNTIFS($AZ:$AZ, AZ42,$BJ:$BJ, "&lt;"&amp;BJ42)+COUNTIFS(AZ$8:AZ42, AZ42, BJ$8:BJ42, BJ42)</f>
        <v>35</v>
      </c>
      <c r="BL42" s="1114">
        <f t="shared" si="51">BK42/100</f>
        <v>0.35</v>
      </c>
      <c r="BM42" s="1093" t="e">
        <f t="shared" si="183" ref="BM42">BJ42+BL42</f>
        <v>#VALUE!</v>
      </c>
      <c r="BN42" s="1101">
        <f t="shared" si="52">IF(BA42&lt;&gt;"",BM42,"")</f>
        <v>0</v>
      </c>
      <c r="BO42" s="1118">
        <f t="shared" si="53">IF(BN42&lt;&gt;"",BN42,0)</f>
        <v>0</v>
      </c>
      <c r="BP42" s="237" t="e">
        <f t="shared" si="162">SMALL($BN$8:$BN$152,AX42)</f>
        <v>#VALUE!</v>
      </c>
      <c r="BR42" s="1102" t="e">
        <f t="shared" si="54">IF(BP42&lt;&gt;"",BR41+1,"")</f>
        <v>#VALUE!</v>
      </c>
      <c r="BS42" s="1102">
        <f t="shared" si="55">IFERROR(BP42,"")</f>
        <v>0</v>
      </c>
      <c r="BT42" s="1102">
        <f t="shared" si="56">IFERROR(CC42,"")</f>
        <v>0</v>
      </c>
      <c r="BU42" s="1098">
        <f t="shared" si="57">IFERROR(CD42,"")</f>
        <v>0</v>
      </c>
      <c r="BV42" s="1098">
        <f t="shared" si="58">IFERROR(CE42,"")</f>
        <v>0</v>
      </c>
      <c r="BW42" s="1098">
        <f t="shared" si="59">IFERROR(CF42,"")</f>
        <v>0</v>
      </c>
      <c r="BX42" s="1146">
        <f t="shared" si="60">IFERROR(CH42,"")</f>
        <v>0</v>
      </c>
      <c r="BY42" s="1098">
        <f t="shared" si="61">IFERROR(CG42,"")</f>
        <v>0</v>
      </c>
      <c r="BZ42" s="1144" t="str">
        <f t="shared" si="62">IFERROR(CI42,"-")</f>
        <v>-</v>
      </c>
      <c r="CA42" s="1107">
        <f t="shared" si="63">IFERROR(CJ42,"")</f>
        <v>0</v>
      </c>
      <c r="CB42" s="1107">
        <f t="shared" si="64">IFERROR(CK42,"")</f>
        <v>0</v>
      </c>
      <c r="CC42" s="1110" t="e">
        <f t="shared" si="163">INDEX($AZ$8:$AZ$153,MATCH(BP42,$BO$8:$BO$153,0))</f>
        <v>#VALUE!</v>
      </c>
      <c r="CD42" s="1087" t="e">
        <f t="shared" si="164">INDEX($BA$8:$BA$153,MATCH(BP42,$BO$8:$BO$153,0))</f>
        <v>#VALUE!</v>
      </c>
      <c r="CE42" s="1106" t="e">
        <f t="shared" si="165">INDEX($BB$8:$BB$153,MATCH(BP42,$BO$8:$BO$153,0))</f>
        <v>#VALUE!</v>
      </c>
      <c r="CF42" s="1106" t="e">
        <f t="shared" si="166">INDEX(BC$8:BC$153,MATCH(BP42,$BO$8:$BO$153,0))</f>
        <v>#VALUE!</v>
      </c>
      <c r="CG42" s="1118" t="e">
        <f t="shared" si="167">INDEX(BE$8:BE$153,MATCH(BP42,$BO$8:$BO$153,0))</f>
        <v>#VALUE!</v>
      </c>
      <c r="CH42" s="1106" t="e">
        <f t="shared" si="168">INDEX($BD$8:$BD$153,MATCH($BP42,$BO$8:$BO$153,0))</f>
        <v>#VALUE!</v>
      </c>
      <c r="CI42" s="1142" t="e">
        <f t="shared" si="169">INDEX($BF$8:$BF$153,MATCH(BP42,$BO$8:$BO$153,0))</f>
        <v>#VALUE!</v>
      </c>
      <c r="CJ42" s="1106" t="e">
        <f t="shared" si="170">INDEX($BG$8:$BG$153,MATCH(BP42,$BO$8:$BO$153,0))</f>
        <v>#VALUE!</v>
      </c>
      <c r="CK42" s="1106" t="e">
        <f t="shared" si="171">INDEX($BH$8:$BH$153,MATCH(BP42,$BO$8:$BO$153,0))</f>
        <v>#VALUE!</v>
      </c>
      <c r="CM42" s="1131">
        <f t="shared" si="172">COUNTIF($CH$8:$CH$228,"&lt;="&amp;CH42)</f>
        <v>145</v>
      </c>
      <c r="CN42" s="1121">
        <f t="shared" si="65">--ISNUMBER(BX42)</f>
        <v>0</v>
      </c>
      <c r="CO42" s="1121">
        <f t="shared" si="66">IF(BX42=0,1,0)</f>
        <v>0</v>
      </c>
      <c r="CP42" s="1124">
        <f t="shared" si="35">IF(ISNUMBER(BX42),CM42,IF(ISERROR(BX42),CM42,CM42+$CN$154))+$CO$154</f>
        <v>145</v>
      </c>
      <c r="CQ42" s="237">
        <f>IFERROR(INDEX($BX$8:$BX$153,MATCH(SMALL($CP$8:$CP$153,ROWS($CQ$8:CQ42)+$CO$154),$CP$8:$CP$154,0)),"")</f>
        <v>0</v>
      </c>
      <c r="CR42" s="237">
        <v>0.1</v>
      </c>
      <c r="CS42" s="1135">
        <f t="shared" si="67">CM42+CR42</f>
        <v>145.1</v>
      </c>
      <c r="CT42" s="237">
        <f>COUNTIFS($CM:$CM, CM42,$CS:$CS, "&lt;"&amp;CL)+COUNTIFS(CM$8:CM42, CM42, CS$8:CS42, CS42)</f>
        <v>35</v>
      </c>
      <c r="CU42" s="1109">
        <f t="shared" si="68">CT42/100</f>
        <v>0.35</v>
      </c>
      <c r="CV42" s="1109">
        <f t="shared" si="69">CM42+CU42</f>
        <v>145.35</v>
      </c>
      <c r="CW42" s="237" t="e">
        <f t="shared" si="173">SMALL(CV$8:CV$153,AX42)</f>
        <v>#VALUE!</v>
      </c>
      <c r="CX42" s="1109">
        <f t="shared" si="70">IFERROR(CW42,"")</f>
        <v>0</v>
      </c>
      <c r="CY42" s="237" t="e">
        <f t="shared" si="174">INDEX(BU$8:BU$152,MATCH($CX42,CV$8:CV$152,0))</f>
        <v>#N/A</v>
      </c>
      <c r="CZ42" s="237" t="e">
        <f t="shared" si="175">INDEX(BV$8:BV$152,MATCH($CX42,$CV$8:$CV$152,0))</f>
        <v>#N/A</v>
      </c>
      <c r="DA42" s="237" t="e">
        <f t="shared" si="176">INDEX(BW$8:BW$152,MATCH($CX42,$CV$8:$CV$152,0))</f>
        <v>#N/A</v>
      </c>
      <c r="DB42" s="237" t="e">
        <f t="shared" si="177">INDEX(BX$8:BX$152,MATCH($CX42,$CV$8:$CV$152,0))</f>
        <v>#N/A</v>
      </c>
      <c r="DC42" s="237" t="e">
        <f t="shared" si="178">INDEX(BY$8:BY$152,MATCH($CX42,$CV$8:$CV$152,0))</f>
        <v>#N/A</v>
      </c>
      <c r="DD42" s="237" t="e">
        <f t="shared" si="179">INDEX(BZ$8:BZ$152,MATCH($CX42,$CV$8:$CV$152,0))</f>
        <v>#N/A</v>
      </c>
      <c r="DE42" s="237" t="e">
        <f t="shared" si="180">INDEX(CA$8:CA$152,MATCH($CX42,$CV$8:$CV$152,0))</f>
        <v>#N/A</v>
      </c>
      <c r="DF42" s="237" t="e">
        <f t="shared" si="181">INDEX(CB$8:CB$152,MATCH($CX42,$CV$8:$CV$152,0))</f>
        <v>#N/A</v>
      </c>
    </row>
    <row r="43" spans="1:110" ht="15" customHeight="1" thickBot="1">
      <c r="A43" s="1293">
        <v>15</v>
      </c>
      <c r="B43" s="1509"/>
      <c r="C43" s="1294"/>
      <c r="D43" s="1294"/>
      <c r="E43" s="1294"/>
      <c r="F43" s="1294"/>
      <c r="G43" s="1294"/>
      <c r="H43" s="1294"/>
      <c r="I43" s="1473"/>
      <c r="J43" s="1295"/>
      <c r="K43" s="1296"/>
      <c r="L43" s="1297"/>
      <c r="M43" s="1298">
        <f t="shared" si="106">K43*L43</f>
        <v>0</v>
      </c>
      <c r="O43" s="1024"/>
      <c r="P43" s="1024"/>
      <c r="Q43" s="1024"/>
      <c r="R43" s="1029"/>
      <c r="S43" s="1029"/>
      <c r="T43" s="1024"/>
      <c r="U43" s="1024"/>
      <c r="W43" s="1308"/>
      <c r="X43" s="1308"/>
      <c r="Y43" s="1309"/>
      <c r="Z43" s="1309"/>
      <c r="AA43" s="1310"/>
      <c r="AB43" s="1521">
        <f>_xlfn.IFNA(IF(ISTEXT(VLOOKUP(W43,'DRAFT A&amp;L'!$B$7:$G$100,4,0)),VLOOKUP(W43,'DRAFT A&amp;L'!$B$7:$G$100,4,0),YEAR(VLOOKUP(W43,'DRAFT A&amp;L'!$B$7:$G$100,4,0))),"")</f>
        <v>0</v>
      </c>
      <c r="AC43" s="423"/>
      <c r="AD43" s="248">
        <f ca="1">ROUNDUP(TOTAL_ALL_ASSET/4,0)</f>
        <v>-2</v>
      </c>
      <c r="AE43" s="1024" t="s">
        <v>852</v>
      </c>
      <c r="AF43" s="1035" t="s">
        <v>853</v>
      </c>
      <c r="AG43" s="1035" t="s">
        <v>1081</v>
      </c>
      <c r="AH43" s="1024"/>
      <c r="AK43" s="1092">
        <f t="shared" si="3">COUNTIF($BA$8:$BA$152,AF43)</f>
        <v>0</v>
      </c>
      <c r="AM43" s="1082">
        <f t="shared" si="98">IF(M43&gt;0,1,0)</f>
        <v>0</v>
      </c>
      <c r="AN43" s="1096">
        <f>IF(AM43&gt;0,COUNTIF(AM$8:AM43,"&gt;0"),0)</f>
        <v>0</v>
      </c>
      <c r="AO43" s="1083">
        <f t="shared" si="99">B43</f>
        <v>0</v>
      </c>
      <c r="AP43" s="1084">
        <f t="shared" si="100">C43</f>
        <v>0</v>
      </c>
      <c r="AQ43" s="1085">
        <f t="shared" si="101">IF(I43&lt;&gt;"",YEAR(I43),"")</f>
        <v>0</v>
      </c>
      <c r="AR43" s="1080">
        <f t="shared" si="95">IF(E43&lt;&gt;"",E43,"")</f>
        <v>0</v>
      </c>
      <c r="AS43" s="1078">
        <f t="shared" si="9">F43</f>
        <v>0</v>
      </c>
      <c r="AT43" s="1080">
        <f t="shared" si="96">IF(H43&lt;&gt;"",H43,"")</f>
        <v>0</v>
      </c>
      <c r="AU43" s="1080">
        <f t="shared" si="102">J43</f>
        <v>0</v>
      </c>
      <c r="AV43" s="1080">
        <f t="shared" si="103">K43</f>
        <v>0</v>
      </c>
      <c r="AW43" s="1086">
        <f t="shared" si="104">M43</f>
        <v>0</v>
      </c>
      <c r="AX43" s="237">
        <f t="shared" si="71">IF(AZ43&lt;&gt;"",AX42+1,"")</f>
        <v>0</v>
      </c>
      <c r="AY43" s="1087">
        <v>31</v>
      </c>
      <c r="AZ43" s="1087">
        <f t="shared" si="14">IF(ISNA(VLOOKUP(AY43,$AN$8:$AW$148,2,False))=True,"",VLOOKUP(AY43,$AN$8:$AW$148,2,False))</f>
        <v>0</v>
      </c>
      <c r="BA43" s="1087">
        <f t="shared" si="15">IF(ISNA(VLOOKUP(AZ43,$AE$8:$AF$46,2,False))=True,"",VLOOKUP(AZ43,$AE$8:$AF$46,2,False))</f>
        <v>0</v>
      </c>
      <c r="BB43" s="1087">
        <f t="shared" si="16">IF(ISNA(VLOOKUP(AY43,$AN$8:$AW$148,4,False))=True,"",VLOOKUP(AY43,$AN$8:$AW$148,4,False))</f>
        <v>0</v>
      </c>
      <c r="BC43" s="1087">
        <f t="shared" si="17">IF(ISNA(VLOOKUP(AY43,$AN$8:$AW$148,5,False))=True,"",VLOOKUP(AY43,$AN$8:$AW$148,5,False))</f>
        <v>0</v>
      </c>
      <c r="BD43" s="1087">
        <f t="shared" si="84">IF(ISNA(VLOOKUP(AY43,$AN$8:$AW$148,6,False))=True,"",VLOOKUP(AY43,$AN$8:$AW$148,6,False))</f>
        <v>0</v>
      </c>
      <c r="BE43" s="1125">
        <f t="shared" si="19">IF(ISNA(VLOOKUP(AY43,$AN$8:$AW$148,7,False))=True,"",VLOOKUP(AY43,$AN$8:$AW$148,7,False))</f>
        <v>0</v>
      </c>
      <c r="BF43" s="1123">
        <f t="shared" si="20">IF(ISNA(VLOOKUP($AY43,$AN$8:$AW$148,8,False))=True,"",VLOOKUP($AY43,$AN$8:$AW$148,8,False))</f>
        <v>0</v>
      </c>
      <c r="BG43" s="1120">
        <f t="shared" si="21">IF(ISNA(VLOOKUP($AY43,$AN$8:$AW$148,9,False))=True,"",VLOOKUP($AY43,$AN$8:$AW$148,9,False))</f>
        <v>0</v>
      </c>
      <c r="BH43" s="1120">
        <f t="shared" si="22">IF(ISNA(VLOOKUP($AY43,$AN$8:$AW$148,10,False))=True,"",VLOOKUP($AY43,$AN$8:$AW$148,10,False))</f>
        <v>0</v>
      </c>
      <c r="BI43" s="250">
        <f t="shared" si="49">IF(AZ43&lt;&gt;"",AZ43,"")</f>
        <v>0</v>
      </c>
      <c r="BJ43" s="1098">
        <f t="shared" si="50">BI43</f>
        <v>0</v>
      </c>
      <c r="BK43" s="1115">
        <f>COUNTIFS($AZ:$AZ, AZ43,$BJ:$BJ, "&lt;"&amp;BJ43)+COUNTIFS(AZ$8:AZ43, AZ43, BJ$8:BJ43, BJ43)</f>
        <v>36</v>
      </c>
      <c r="BL43" s="1114">
        <f t="shared" si="51">BK43/100</f>
        <v>0.36</v>
      </c>
      <c r="BM43" s="1093" t="e">
        <f t="shared" si="184" ref="BM43">BI43+BL43</f>
        <v>#VALUE!</v>
      </c>
      <c r="BN43" s="1101">
        <f t="shared" si="52">IF(BA43&lt;&gt;"",BM43,"")</f>
        <v>0</v>
      </c>
      <c r="BO43" s="1118">
        <f t="shared" si="53">IF(BN43&lt;&gt;"",BN43,0)</f>
        <v>0</v>
      </c>
      <c r="BP43" s="237" t="e">
        <f t="shared" si="162">SMALL($BN$8:$BN$152,AX43)</f>
        <v>#VALUE!</v>
      </c>
      <c r="BR43" s="1102" t="e">
        <f t="shared" si="54">IF(BP43&lt;&gt;"",BR42+1,"")</f>
        <v>#VALUE!</v>
      </c>
      <c r="BS43" s="1102">
        <f t="shared" si="55">IFERROR(BP43,"")</f>
        <v>0</v>
      </c>
      <c r="BT43" s="1102">
        <f t="shared" si="56">IFERROR(CC43,"")</f>
        <v>0</v>
      </c>
      <c r="BU43" s="1098">
        <f t="shared" si="57">IFERROR(CD43,"")</f>
        <v>0</v>
      </c>
      <c r="BV43" s="1098">
        <f t="shared" si="58">IFERROR(CE43,"")</f>
        <v>0</v>
      </c>
      <c r="BW43" s="1098">
        <f t="shared" si="59">IFERROR(CF43,"")</f>
        <v>0</v>
      </c>
      <c r="BX43" s="1146">
        <f t="shared" si="60">IFERROR(CH43,"")</f>
        <v>0</v>
      </c>
      <c r="BY43" s="1098">
        <f t="shared" si="61">IFERROR(CG43,"")</f>
        <v>0</v>
      </c>
      <c r="BZ43" s="1144" t="str">
        <f t="shared" si="62">IFERROR(CI43,"-")</f>
        <v>-</v>
      </c>
      <c r="CA43" s="1107">
        <f t="shared" si="63">IFERROR(CJ43,"")</f>
        <v>0</v>
      </c>
      <c r="CB43" s="1107">
        <f t="shared" si="64">IFERROR(CK43,"")</f>
        <v>0</v>
      </c>
      <c r="CC43" s="1110" t="e">
        <f t="shared" si="163">INDEX($AZ$8:$AZ$153,MATCH(BP43,$BO$8:$BO$153,0))</f>
        <v>#VALUE!</v>
      </c>
      <c r="CD43" s="1087" t="e">
        <f t="shared" si="164">INDEX($BA$8:$BA$153,MATCH(BP43,$BO$8:$BO$153,0))</f>
        <v>#VALUE!</v>
      </c>
      <c r="CE43" s="1106" t="e">
        <f t="shared" si="165">INDEX($BB$8:$BB$153,MATCH(BP43,$BO$8:$BO$153,0))</f>
        <v>#VALUE!</v>
      </c>
      <c r="CF43" s="1106" t="e">
        <f t="shared" si="166">INDEX(BC$8:BC$153,MATCH(BP43,$BO$8:$BO$153,0))</f>
        <v>#VALUE!</v>
      </c>
      <c r="CG43" s="1118" t="e">
        <f t="shared" si="167">INDEX(BE$8:BE$153,MATCH(BP43,$BO$8:$BO$153,0))</f>
        <v>#VALUE!</v>
      </c>
      <c r="CH43" s="1106" t="e">
        <f t="shared" si="168">INDEX($BD$8:$BD$153,MATCH($BP43,$BO$8:$BO$153,0))</f>
        <v>#VALUE!</v>
      </c>
      <c r="CI43" s="1142" t="e">
        <f t="shared" si="169">INDEX($BF$8:$BF$153,MATCH(BP43,$BO$8:$BO$153,0))</f>
        <v>#VALUE!</v>
      </c>
      <c r="CJ43" s="1106" t="e">
        <f t="shared" si="170">INDEX($BG$8:$BG$153,MATCH(BP43,$BO$8:$BO$153,0))</f>
        <v>#VALUE!</v>
      </c>
      <c r="CK43" s="1106" t="e">
        <f t="shared" si="171">INDEX($BH$8:$BH$153,MATCH(BP43,$BO$8:$BO$153,0))</f>
        <v>#VALUE!</v>
      </c>
      <c r="CM43" s="1131">
        <f t="shared" si="172">COUNTIF($CH$8:$CH$228,"&lt;="&amp;CH43)</f>
        <v>145</v>
      </c>
      <c r="CN43" s="1121">
        <f t="shared" si="65">--ISNUMBER(BX43)</f>
        <v>0</v>
      </c>
      <c r="CO43" s="1121">
        <f t="shared" si="66">IF(BX43=0,1,0)</f>
        <v>0</v>
      </c>
      <c r="CP43" s="1124">
        <f t="shared" si="35">IF(ISNUMBER(BX43),CM43,IF(ISERROR(BX43),CM43,CM43+$CN$154))+$CO$154</f>
        <v>145</v>
      </c>
      <c r="CQ43" s="237">
        <f>IFERROR(INDEX($BX$8:$BX$153,MATCH(SMALL($CP$8:$CP$153,ROWS($CQ$8:CQ43)+$CO$154),$CP$8:$CP$154,0)),"")</f>
        <v>0</v>
      </c>
      <c r="CR43" s="237">
        <v>0.1</v>
      </c>
      <c r="CS43" s="1135">
        <f t="shared" si="67">CM43+CR43</f>
        <v>145.1</v>
      </c>
      <c r="CT43" s="237">
        <f>COUNTIFS($CM:$CM, CM43,$CS:$CS, "&lt;"&amp;CL)+COUNTIFS(CM$8:CM43, CM43, CS$8:CS43, CS43)</f>
        <v>36</v>
      </c>
      <c r="CU43" s="1109">
        <f t="shared" si="68">CT43/100</f>
        <v>0.36</v>
      </c>
      <c r="CV43" s="1109">
        <f t="shared" si="69">CM43+CU43</f>
        <v>145.36</v>
      </c>
      <c r="CW43" s="237" t="e">
        <f t="shared" si="173">SMALL(CV$8:CV$153,AX43)</f>
        <v>#VALUE!</v>
      </c>
      <c r="CX43" s="1109">
        <f t="shared" si="70">IFERROR(CW43,"")</f>
        <v>0</v>
      </c>
      <c r="CY43" s="237" t="e">
        <f t="shared" si="174">INDEX(BU$8:BU$152,MATCH($CX43,CV$8:CV$152,0))</f>
        <v>#N/A</v>
      </c>
      <c r="CZ43" s="237" t="e">
        <f t="shared" si="175">INDEX(BV$8:BV$152,MATCH($CX43,$CV$8:$CV$152,0))</f>
        <v>#N/A</v>
      </c>
      <c r="DA43" s="237" t="e">
        <f t="shared" si="176">INDEX(BW$8:BW$152,MATCH($CX43,$CV$8:$CV$152,0))</f>
        <v>#N/A</v>
      </c>
      <c r="DB43" s="237" t="e">
        <f t="shared" si="177">INDEX(BX$8:BX$152,MATCH($CX43,$CV$8:$CV$152,0))</f>
        <v>#N/A</v>
      </c>
      <c r="DC43" s="237" t="e">
        <f t="shared" si="178">INDEX(BY$8:BY$152,MATCH($CX43,$CV$8:$CV$152,0))</f>
        <v>#N/A</v>
      </c>
      <c r="DD43" s="237" t="e">
        <f t="shared" si="179">INDEX(BZ$8:BZ$152,MATCH($CX43,$CV$8:$CV$152,0))</f>
        <v>#N/A</v>
      </c>
      <c r="DE43" s="237" t="e">
        <f t="shared" si="180">INDEX(CA$8:CA$152,MATCH($CX43,$CV$8:$CV$152,0))</f>
        <v>#N/A</v>
      </c>
      <c r="DF43" s="237" t="e">
        <f t="shared" si="181">INDEX(CB$8:CB$152,MATCH($CX43,$CV$8:$CV$152,0))</f>
        <v>#N/A</v>
      </c>
    </row>
    <row r="44" spans="1:110" ht="15" customHeight="1" thickBot="1">
      <c r="A44" s="1214"/>
      <c r="B44" s="1504"/>
      <c r="C44" s="865"/>
      <c r="D44" s="1153"/>
      <c r="E44" s="865"/>
      <c r="F44" s="865"/>
      <c r="G44" s="865"/>
      <c r="H44" s="865"/>
      <c r="I44" s="1471"/>
      <c r="J44" s="763"/>
      <c r="K44" s="763"/>
      <c r="L44" s="867"/>
      <c r="M44" s="807"/>
      <c r="O44" s="1024"/>
      <c r="P44" s="2048" t="s">
        <v>1049</v>
      </c>
      <c r="Q44" s="2048"/>
      <c r="R44" s="2048"/>
      <c r="S44" s="2048"/>
      <c r="T44" s="2048"/>
      <c r="U44" s="1032"/>
      <c r="W44" s="1308"/>
      <c r="X44" s="1308"/>
      <c r="Y44" s="1309"/>
      <c r="Z44" s="1309"/>
      <c r="AA44" s="1310"/>
      <c r="AB44" s="1521">
        <f>_xlfn.IFNA(IF(ISTEXT(VLOOKUP(W44,'DRAFT A&amp;L'!$B$7:$G$100,4,0)),VLOOKUP(W44,'DRAFT A&amp;L'!$B$7:$G$100,4,0),YEAR(VLOOKUP(W44,'DRAFT A&amp;L'!$B$7:$G$100,4,0))),"")</f>
        <v>0</v>
      </c>
      <c r="AC44" s="423"/>
      <c r="AD44" s="248" t="s">
        <v>1087</v>
      </c>
      <c r="AE44" s="1024" t="s">
        <v>854</v>
      </c>
      <c r="AF44" s="1035" t="s">
        <v>855</v>
      </c>
      <c r="AG44" s="1035" t="s">
        <v>1082</v>
      </c>
      <c r="AH44" s="1024"/>
      <c r="AK44" s="1092">
        <f t="shared" si="3">COUNTIF($BA$8:$BA$152,AF44)</f>
        <v>0</v>
      </c>
      <c r="AM44" s="1077"/>
      <c r="AN44" s="1096"/>
      <c r="AO44" s="1078"/>
      <c r="AP44" s="1079"/>
      <c r="AQ44" s="1080"/>
      <c r="AR44" s="1080">
        <f t="shared" si="95">IF(E44&lt;&gt;"",E44,"")</f>
        <v>0</v>
      </c>
      <c r="AS44" s="1078">
        <f t="shared" si="9">F44</f>
        <v>0</v>
      </c>
      <c r="AT44" s="1080">
        <f t="shared" si="96">IF(H44&lt;&gt;"",H44,"")</f>
        <v>0</v>
      </c>
      <c r="AU44" s="1080">
        <f>J44</f>
        <v>0</v>
      </c>
      <c r="AV44" s="1080"/>
      <c r="AW44" s="1081"/>
      <c r="AX44" s="237">
        <f t="shared" si="71">IF(AZ44&lt;&gt;"",AX43+1,"")</f>
        <v>0</v>
      </c>
      <c r="AY44" s="1087">
        <v>32</v>
      </c>
      <c r="AZ44" s="1087">
        <f t="shared" si="14">IF(ISNA(VLOOKUP(AY44,$AN$8:$AW$148,2,False))=True,"",VLOOKUP(AY44,$AN$8:$AW$148,2,False))</f>
        <v>0</v>
      </c>
      <c r="BA44" s="1087">
        <f t="shared" si="15">IF(ISNA(VLOOKUP(AZ44,$AE$8:$AF$46,2,False))=True,"",VLOOKUP(AZ44,$AE$8:$AF$46,2,False))</f>
        <v>0</v>
      </c>
      <c r="BB44" s="1087">
        <f t="shared" si="16">IF(ISNA(VLOOKUP(AY44,$AN$8:$AW$148,4,False))=True,"",VLOOKUP(AY44,$AN$8:$AW$148,4,False))</f>
        <v>0</v>
      </c>
      <c r="BC44" s="1087">
        <f t="shared" si="17">IF(ISNA(VLOOKUP(AY44,$AN$8:$AW$148,5,False))=True,"",VLOOKUP(AY44,$AN$8:$AW$148,5,False))</f>
        <v>0</v>
      </c>
      <c r="BD44" s="1087">
        <f t="shared" si="84">IF(ISNA(VLOOKUP(AY44,$AN$8:$AW$148,6,False))=True,"",VLOOKUP(AY44,$AN$8:$AW$148,6,False))</f>
        <v>0</v>
      </c>
      <c r="BE44" s="1125">
        <f t="shared" si="19">IF(ISNA(VLOOKUP(AY44,$AN$8:$AW$148,7,False))=True,"",VLOOKUP(AY44,$AN$8:$AW$148,7,False))</f>
        <v>0</v>
      </c>
      <c r="BF44" s="1123">
        <f t="shared" si="20">IF(ISNA(VLOOKUP($AY44,$AN$8:$AW$148,8,False))=True,"",VLOOKUP($AY44,$AN$8:$AW$148,8,False))</f>
        <v>0</v>
      </c>
      <c r="BG44" s="1120">
        <f t="shared" si="21">IF(ISNA(VLOOKUP($AY44,$AN$8:$AW$148,9,False))=True,"",VLOOKUP($AY44,$AN$8:$AW$148,9,False))</f>
        <v>0</v>
      </c>
      <c r="BH44" s="1120">
        <f t="shared" si="22">IF(ISNA(VLOOKUP($AY44,$AN$8:$AW$148,10,False))=True,"",VLOOKUP($AY44,$AN$8:$AW$148,10,False))</f>
        <v>0</v>
      </c>
      <c r="BI44" s="250">
        <f t="shared" si="49">IF(AZ44&lt;&gt;"",AZ44,"")</f>
        <v>0</v>
      </c>
      <c r="BJ44" s="1098">
        <f t="shared" si="50">BI44</f>
        <v>0</v>
      </c>
      <c r="BK44" s="1115">
        <f>COUNTIFS($AZ:$AZ, AZ44,$BJ:$BJ, "&lt;"&amp;BJ44)+COUNTIFS(AZ$8:AZ44, AZ44, BJ$8:BJ44, BJ44)</f>
        <v>37</v>
      </c>
      <c r="BL44" s="1114">
        <f t="shared" si="51">BK44/100</f>
        <v>0.37</v>
      </c>
      <c r="BM44" s="1093" t="e">
        <f t="shared" si="185" ref="BM44">BJ44+BL44</f>
        <v>#VALUE!</v>
      </c>
      <c r="BN44" s="1101">
        <f t="shared" si="52">IF(BA44&lt;&gt;"",BM44,"")</f>
        <v>0</v>
      </c>
      <c r="BO44" s="1118">
        <f t="shared" si="53">IF(BN44&lt;&gt;"",BN44,0)</f>
        <v>0</v>
      </c>
      <c r="BP44" s="237" t="e">
        <f t="shared" si="162">SMALL($BN$8:$BN$152,AX44)</f>
        <v>#VALUE!</v>
      </c>
      <c r="BR44" s="1102" t="e">
        <f t="shared" si="54">IF(BP44&lt;&gt;"",BR43+1,"")</f>
        <v>#VALUE!</v>
      </c>
      <c r="BS44" s="1102">
        <f t="shared" si="55">IFERROR(BP44,"")</f>
        <v>0</v>
      </c>
      <c r="BT44" s="1102">
        <f t="shared" si="56">IFERROR(CC44,"")</f>
        <v>0</v>
      </c>
      <c r="BU44" s="1098">
        <f t="shared" si="57">IFERROR(CD44,"")</f>
        <v>0</v>
      </c>
      <c r="BV44" s="1098">
        <f t="shared" si="58">IFERROR(CE44,"")</f>
        <v>0</v>
      </c>
      <c r="BW44" s="1098">
        <f t="shared" si="59">IFERROR(CF44,"")</f>
        <v>0</v>
      </c>
      <c r="BX44" s="1146">
        <f t="shared" si="60">IFERROR(CH44,"")</f>
        <v>0</v>
      </c>
      <c r="BY44" s="1098">
        <f t="shared" si="61">IFERROR(CG44,"")</f>
        <v>0</v>
      </c>
      <c r="BZ44" s="1144" t="str">
        <f t="shared" si="62">IFERROR(CI44,"-")</f>
        <v>-</v>
      </c>
      <c r="CA44" s="1107">
        <f t="shared" si="63">IFERROR(CJ44,"")</f>
        <v>0</v>
      </c>
      <c r="CB44" s="1107">
        <f t="shared" si="64">IFERROR(CK44,"")</f>
        <v>0</v>
      </c>
      <c r="CC44" s="1110" t="e">
        <f t="shared" si="163">INDEX($AZ$8:$AZ$153,MATCH(BP44,$BO$8:$BO$153,0))</f>
        <v>#VALUE!</v>
      </c>
      <c r="CD44" s="1087" t="e">
        <f t="shared" si="164">INDEX($BA$8:$BA$153,MATCH(BP44,$BO$8:$BO$153,0))</f>
        <v>#VALUE!</v>
      </c>
      <c r="CE44" s="1106" t="e">
        <f t="shared" si="165">INDEX($BB$8:$BB$153,MATCH(BP44,$BO$8:$BO$153,0))</f>
        <v>#VALUE!</v>
      </c>
      <c r="CF44" s="1106" t="e">
        <f t="shared" si="166">INDEX(BC$8:BC$153,MATCH(BP44,$BO$8:$BO$153,0))</f>
        <v>#VALUE!</v>
      </c>
      <c r="CG44" s="1118" t="e">
        <f t="shared" si="167">INDEX(BE$8:BE$153,MATCH(BP44,$BO$8:$BO$153,0))</f>
        <v>#VALUE!</v>
      </c>
      <c r="CH44" s="1106" t="e">
        <f t="shared" si="168">INDEX($BD$8:$BD$153,MATCH($BP44,$BO$8:$BO$153,0))</f>
        <v>#VALUE!</v>
      </c>
      <c r="CI44" s="1142" t="e">
        <f t="shared" si="169">INDEX($BF$8:$BF$153,MATCH(BP44,$BO$8:$BO$153,0))</f>
        <v>#VALUE!</v>
      </c>
      <c r="CJ44" s="1106" t="e">
        <f t="shared" si="170">INDEX($BG$8:$BG$153,MATCH(BP44,$BO$8:$BO$153,0))</f>
        <v>#VALUE!</v>
      </c>
      <c r="CK44" s="1106" t="e">
        <f t="shared" si="171">INDEX($BH$8:$BH$153,MATCH(BP44,$BO$8:$BO$153,0))</f>
        <v>#VALUE!</v>
      </c>
      <c r="CM44" s="1131">
        <f t="shared" si="172">COUNTIF($CH$8:$CH$228,"&lt;="&amp;CH44)</f>
        <v>145</v>
      </c>
      <c r="CN44" s="1121">
        <f t="shared" si="65">--ISNUMBER(BX44)</f>
        <v>0</v>
      </c>
      <c r="CO44" s="1121">
        <f t="shared" si="66">IF(BX44=0,1,0)</f>
        <v>0</v>
      </c>
      <c r="CP44" s="1124">
        <f t="shared" si="35">IF(ISNUMBER(BX44),CM44,IF(ISERROR(BX44),CM44,CM44+$CN$154))+$CO$154</f>
        <v>145</v>
      </c>
      <c r="CQ44" s="237">
        <f>IFERROR(INDEX($BX$8:$BX$153,MATCH(SMALL($CP$8:$CP$153,ROWS($CQ$8:CQ44)+$CO$154),$CP$8:$CP$154,0)),"")</f>
        <v>0</v>
      </c>
      <c r="CR44" s="237">
        <v>0.1</v>
      </c>
      <c r="CS44" s="1135">
        <f t="shared" si="67">CM44+CR44</f>
        <v>145.1</v>
      </c>
      <c r="CT44" s="237">
        <f>COUNTIFS($CM:$CM, CM44,$CS:$CS, "&lt;"&amp;CL)+COUNTIFS(CM$8:CM44, CM44, CS$8:CS44, CS44)</f>
        <v>37</v>
      </c>
      <c r="CU44" s="1109">
        <f t="shared" si="68">CT44/100</f>
        <v>0.37</v>
      </c>
      <c r="CV44" s="1109">
        <f t="shared" si="69">CM44+CU44</f>
        <v>145.37</v>
      </c>
      <c r="CW44" s="237" t="e">
        <f t="shared" si="173">SMALL(CV$8:CV$153,AX44)</f>
        <v>#VALUE!</v>
      </c>
      <c r="CX44" s="1109">
        <f t="shared" si="70">IFERROR(CW44,"")</f>
        <v>0</v>
      </c>
      <c r="CY44" s="237" t="e">
        <f t="shared" si="174">INDEX(BU$8:BU$152,MATCH($CX44,CV$8:CV$152,0))</f>
        <v>#N/A</v>
      </c>
      <c r="CZ44" s="237" t="e">
        <f t="shared" si="175">INDEX(BV$8:BV$152,MATCH($CX44,$CV$8:$CV$152,0))</f>
        <v>#N/A</v>
      </c>
      <c r="DA44" s="237" t="e">
        <f t="shared" si="176">INDEX(BW$8:BW$152,MATCH($CX44,$CV$8:$CV$152,0))</f>
        <v>#N/A</v>
      </c>
      <c r="DB44" s="237" t="e">
        <f t="shared" si="177">INDEX(BX$8:BX$152,MATCH($CX44,$CV$8:$CV$152,0))</f>
        <v>#N/A</v>
      </c>
      <c r="DC44" s="237" t="e">
        <f t="shared" si="178">INDEX(BY$8:BY$152,MATCH($CX44,$CV$8:$CV$152,0))</f>
        <v>#N/A</v>
      </c>
      <c r="DD44" s="237" t="e">
        <f t="shared" si="179">INDEX(BZ$8:BZ$152,MATCH($CX44,$CV$8:$CV$152,0))</f>
        <v>#N/A</v>
      </c>
      <c r="DE44" s="237" t="e">
        <f t="shared" si="180">INDEX(CA$8:CA$152,MATCH($CX44,$CV$8:$CV$152,0))</f>
        <v>#N/A</v>
      </c>
      <c r="DF44" s="237" t="e">
        <f t="shared" si="181">INDEX(CB$8:CB$152,MATCH($CX44,$CV$8:$CV$152,0))</f>
        <v>#N/A</v>
      </c>
    </row>
    <row r="45" spans="1:110" ht="15" customHeight="1" thickTop="1" thickBot="1">
      <c r="A45" s="1215"/>
      <c r="B45" s="1505"/>
      <c r="C45" s="773"/>
      <c r="D45" s="1154"/>
      <c r="E45" s="773"/>
      <c r="F45" s="773"/>
      <c r="G45" s="773"/>
      <c r="H45" s="773"/>
      <c r="I45" s="1474"/>
      <c r="J45" s="763"/>
      <c r="K45" s="763"/>
      <c r="L45" s="868" t="s">
        <v>347</v>
      </c>
      <c r="M45" s="260">
        <f>SUM(M29:M43)</f>
        <v>0</v>
      </c>
      <c r="O45" s="2049" t="s">
        <v>349</v>
      </c>
      <c r="P45" s="1056" t="s">
        <v>853</v>
      </c>
      <c r="Q45" s="1056" t="s">
        <v>1081</v>
      </c>
      <c r="R45" s="1056" t="s">
        <v>852</v>
      </c>
      <c r="S45" s="1031">
        <f ca="1">SUMIF($B$138:$M$152,$R45,$K$138:$K$152)</f>
        <v>0</v>
      </c>
      <c r="T45" s="1031">
        <f ca="1">SUMIF($B$138:$M$152,$R45,$M$138:$M$152)</f>
        <v>0</v>
      </c>
      <c r="U45" s="1056"/>
      <c r="W45" s="1308"/>
      <c r="X45" s="1308"/>
      <c r="Y45" s="1309"/>
      <c r="Z45" s="1309"/>
      <c r="AA45" s="1310"/>
      <c r="AB45" s="1521">
        <f>_xlfn.IFNA(IF(ISTEXT(VLOOKUP(W45,'DRAFT A&amp;L'!$B$7:$G$100,4,0)),VLOOKUP(W45,'DRAFT A&amp;L'!$B$7:$G$100,4,0),YEAR(VLOOKUP(W45,'DRAFT A&amp;L'!$B$7:$G$100,4,0))),"")</f>
        <v>0</v>
      </c>
      <c r="AC45" s="423"/>
      <c r="AD45" s="248">
        <f ca="1">34-COUNTBLANK($W$8:$W$46)</f>
        <v>-5</v>
      </c>
      <c r="AE45" s="1024" t="s">
        <v>856</v>
      </c>
      <c r="AF45" s="1035" t="s">
        <v>857</v>
      </c>
      <c r="AG45" s="1035" t="s">
        <v>1083</v>
      </c>
      <c r="AH45" s="1024"/>
      <c r="AK45" s="1092">
        <f t="shared" si="3">COUNTIF($BA$8:$BA$152,AF45)</f>
        <v>0</v>
      </c>
      <c r="AM45" s="1077"/>
      <c r="AN45" s="1096"/>
      <c r="AO45" s="1078"/>
      <c r="AP45" s="1079"/>
      <c r="AQ45" s="1080"/>
      <c r="AR45" s="1080">
        <f t="shared" si="95">IF(E45&lt;&gt;"",E45,"")</f>
        <v>0</v>
      </c>
      <c r="AS45" s="1078">
        <f t="shared" si="186" ref="AS45:AS85">F45</f>
        <v>0</v>
      </c>
      <c r="AT45" s="1080">
        <f t="shared" si="96">IF(H45&lt;&gt;"",H45,"")</f>
        <v>0</v>
      </c>
      <c r="AU45" s="1080">
        <f>J45</f>
        <v>0</v>
      </c>
      <c r="AV45" s="1080"/>
      <c r="AW45" s="1081"/>
      <c r="AX45" s="237">
        <f t="shared" si="71">IF(AZ45&lt;&gt;"",AX44+1,"")</f>
        <v>0</v>
      </c>
      <c r="AY45" s="1087">
        <v>33</v>
      </c>
      <c r="AZ45" s="1087">
        <f t="shared" si="187" ref="AZ45:AZ85">IF(ISNA(VLOOKUP(AY45,$AN$8:$AW$148,2,False))=True,"",VLOOKUP(AY45,$AN$8:$AW$148,2,False))</f>
        <v>0</v>
      </c>
      <c r="BA45" s="1087">
        <f t="shared" si="188" ref="BA45:BA85">IF(ISNA(VLOOKUP(AZ45,$AE$8:$AF$46,2,False))=True,"",VLOOKUP(AZ45,$AE$8:$AF$46,2,False))</f>
        <v>0</v>
      </c>
      <c r="BB45" s="1087">
        <f t="shared" si="189" ref="BB45:BB85">IF(ISNA(VLOOKUP(AY45,$AN$8:$AW$148,4,False))=True,"",VLOOKUP(AY45,$AN$8:$AW$148,4,False))</f>
        <v>0</v>
      </c>
      <c r="BC45" s="1087">
        <f t="shared" si="190" ref="BC45:BC85">IF(ISNA(VLOOKUP(AY45,$AN$8:$AW$148,5,False))=True,"",VLOOKUP(AY45,$AN$8:$AW$148,5,False))</f>
        <v>0</v>
      </c>
      <c r="BD45" s="1087">
        <f t="shared" si="84">IF(ISNA(VLOOKUP(AY45,$AN$8:$AW$148,6,False))=True,"",VLOOKUP(AY45,$AN$8:$AW$148,6,False))</f>
        <v>0</v>
      </c>
      <c r="BE45" s="1125">
        <f t="shared" si="191" ref="BE45:BE85">IF(ISNA(VLOOKUP(AY45,$AN$8:$AW$148,7,False))=True,"",VLOOKUP(AY45,$AN$8:$AW$148,7,False))</f>
        <v>0</v>
      </c>
      <c r="BF45" s="1123">
        <f t="shared" si="192" ref="BF45:BF87">IF(ISNA(VLOOKUP($AY45,$AN$8:$AW$148,8,False))=True,"",VLOOKUP($AY45,$AN$8:$AW$148,8,False))</f>
        <v>0</v>
      </c>
      <c r="BG45" s="1120">
        <f t="shared" si="193" ref="BG45:BG87">IF(ISNA(VLOOKUP($AY45,$AN$8:$AW$148,9,False))=True,"",VLOOKUP($AY45,$AN$8:$AW$148,9,False))</f>
        <v>0</v>
      </c>
      <c r="BH45" s="1120">
        <f t="shared" si="194" ref="BH45:BH87">IF(ISNA(VLOOKUP($AY45,$AN$8:$AW$148,10,False))=True,"",VLOOKUP($AY45,$AN$8:$AW$148,10,False))</f>
        <v>0</v>
      </c>
      <c r="BI45" s="250">
        <f t="shared" si="49">IF(AZ45&lt;&gt;"",AZ45,"")</f>
        <v>0</v>
      </c>
      <c r="BJ45" s="1098">
        <f t="shared" si="50">BI45</f>
        <v>0</v>
      </c>
      <c r="BK45" s="1115">
        <f>COUNTIFS($AZ:$AZ, AZ45,$BJ:$BJ, "&lt;"&amp;BJ45)+COUNTIFS(AZ$8:AZ45, AZ45, BJ$8:BJ45, BJ45)</f>
        <v>38</v>
      </c>
      <c r="BL45" s="1114">
        <f t="shared" si="51">BK45/100</f>
        <v>0.38</v>
      </c>
      <c r="BM45" s="1093" t="e">
        <f t="shared" si="195" ref="BM45">BI45+BL45</f>
        <v>#VALUE!</v>
      </c>
      <c r="BN45" s="1101">
        <f t="shared" si="196" ref="BN45:BN63">IF(BA45&lt;&gt;"",BM45,"")</f>
        <v>0</v>
      </c>
      <c r="BO45" s="1118">
        <f t="shared" si="53">IF(BN45&lt;&gt;"",BN45,0)</f>
        <v>0</v>
      </c>
      <c r="BP45" s="237" t="e">
        <f t="shared" si="162">SMALL($BN$8:$BN$152,AX45)</f>
        <v>#VALUE!</v>
      </c>
      <c r="BR45" s="1102" t="e">
        <f t="shared" si="54">IF(BP45&lt;&gt;"",BR44+1,"")</f>
        <v>#VALUE!</v>
      </c>
      <c r="BS45" s="1102">
        <f t="shared" si="55">IFERROR(BP45,"")</f>
        <v>0</v>
      </c>
      <c r="BT45" s="1102">
        <f t="shared" si="56">IFERROR(CC45,"")</f>
        <v>0</v>
      </c>
      <c r="BU45" s="1098">
        <f t="shared" si="57">IFERROR(CD45,"")</f>
        <v>0</v>
      </c>
      <c r="BV45" s="1098">
        <f t="shared" si="58">IFERROR(CE45,"")</f>
        <v>0</v>
      </c>
      <c r="BW45" s="1098">
        <f t="shared" si="59">IFERROR(CF45,"")</f>
        <v>0</v>
      </c>
      <c r="BX45" s="1146">
        <f t="shared" si="60">IFERROR(CH45,"")</f>
        <v>0</v>
      </c>
      <c r="BY45" s="1098">
        <f t="shared" si="61">IFERROR(CG45,"")</f>
        <v>0</v>
      </c>
      <c r="BZ45" s="1144" t="str">
        <f t="shared" si="62">IFERROR(CI45,"-")</f>
        <v>-</v>
      </c>
      <c r="CA45" s="1107">
        <f t="shared" si="63">IFERROR(CJ45,"")</f>
        <v>0</v>
      </c>
      <c r="CB45" s="1107">
        <f t="shared" si="64">IFERROR(CK45,"")</f>
        <v>0</v>
      </c>
      <c r="CC45" s="1110" t="e">
        <f t="shared" si="163">INDEX($AZ$8:$AZ$153,MATCH(BP45,$BO$8:$BO$153,0))</f>
        <v>#VALUE!</v>
      </c>
      <c r="CD45" s="1087" t="e">
        <f t="shared" si="164">INDEX($BA$8:$BA$153,MATCH(BP45,$BO$8:$BO$153,0))</f>
        <v>#VALUE!</v>
      </c>
      <c r="CE45" s="1106" t="e">
        <f t="shared" si="165">INDEX($BB$8:$BB$153,MATCH(BP45,$BO$8:$BO$153,0))</f>
        <v>#VALUE!</v>
      </c>
      <c r="CF45" s="1106" t="e">
        <f t="shared" si="166">INDEX(BC$8:BC$153,MATCH(BP45,$BO$8:$BO$153,0))</f>
        <v>#VALUE!</v>
      </c>
      <c r="CG45" s="1118" t="e">
        <f t="shared" si="167">INDEX(BE$8:BE$153,MATCH(BP45,$BO$8:$BO$153,0))</f>
        <v>#VALUE!</v>
      </c>
      <c r="CH45" s="1106" t="e">
        <f t="shared" si="168">INDEX($BD$8:$BD$153,MATCH($BP45,$BO$8:$BO$153,0))</f>
        <v>#VALUE!</v>
      </c>
      <c r="CI45" s="1142" t="e">
        <f t="shared" si="169">INDEX($BF$8:$BF$153,MATCH(BP45,$BO$8:$BO$153,0))</f>
        <v>#VALUE!</v>
      </c>
      <c r="CJ45" s="1106" t="e">
        <f t="shared" si="170">INDEX($BG$8:$BG$153,MATCH(BP45,$BO$8:$BO$153,0))</f>
        <v>#VALUE!</v>
      </c>
      <c r="CK45" s="1106" t="e">
        <f t="shared" si="171">INDEX($BH$8:$BH$153,MATCH(BP45,$BO$8:$BO$153,0))</f>
        <v>#VALUE!</v>
      </c>
      <c r="CM45" s="1131">
        <f t="shared" si="172">COUNTIF($CH$8:$CH$228,"&lt;="&amp;CH45)</f>
        <v>145</v>
      </c>
      <c r="CN45" s="1121">
        <f t="shared" si="65">--ISNUMBER(BX45)</f>
        <v>0</v>
      </c>
      <c r="CO45" s="1121">
        <f t="shared" si="66">IF(BX45=0,1,0)</f>
        <v>0</v>
      </c>
      <c r="CP45" s="1124">
        <f t="shared" si="197" ref="CP45:CP85">IF(ISNUMBER(BX45),CM45,IF(ISERROR(BX45),CM45,CM45+$CN$154))+$CO$154</f>
        <v>145</v>
      </c>
      <c r="CQ45" s="237">
        <f>IFERROR(INDEX($BX$8:$BX$153,MATCH(SMALL($CP$8:$CP$153,ROWS($CQ$8:CQ45)+$CO$154),$CP$8:$CP$154,0)),"")</f>
        <v>0</v>
      </c>
      <c r="CR45" s="237">
        <v>0.1</v>
      </c>
      <c r="CS45" s="1135">
        <f t="shared" si="67">CM45+CR45</f>
        <v>145.1</v>
      </c>
      <c r="CT45" s="237">
        <f>COUNTIFS($CM:$CM, CM45,$CS:$CS, "&lt;"&amp;CL)+COUNTIFS(CM$8:CM45, CM45, CS$8:CS45, CS45)</f>
        <v>38</v>
      </c>
      <c r="CU45" s="1109">
        <f t="shared" si="68">CT45/100</f>
        <v>0.38</v>
      </c>
      <c r="CV45" s="1109">
        <f t="shared" si="69">CM45+CU45</f>
        <v>145.38</v>
      </c>
      <c r="CW45" s="237" t="e">
        <f t="shared" si="173">SMALL(CV$8:CV$153,AX45)</f>
        <v>#VALUE!</v>
      </c>
      <c r="CX45" s="1109">
        <f t="shared" si="70">IFERROR(CW45,"")</f>
        <v>0</v>
      </c>
      <c r="CY45" s="237" t="e">
        <f t="shared" si="174">INDEX(BU$8:BU$152,MATCH($CX45,CV$8:CV$152,0))</f>
        <v>#N/A</v>
      </c>
      <c r="CZ45" s="237" t="e">
        <f t="shared" si="175">INDEX(BV$8:BV$152,MATCH($CX45,$CV$8:$CV$152,0))</f>
        <v>#N/A</v>
      </c>
      <c r="DA45" s="237" t="e">
        <f t="shared" si="176">INDEX(BW$8:BW$152,MATCH($CX45,$CV$8:$CV$152,0))</f>
        <v>#N/A</v>
      </c>
      <c r="DB45" s="237" t="e">
        <f t="shared" si="177">INDEX(BX$8:BX$152,MATCH($CX45,$CV$8:$CV$152,0))</f>
        <v>#N/A</v>
      </c>
      <c r="DC45" s="237" t="e">
        <f t="shared" si="178">INDEX(BY$8:BY$152,MATCH($CX45,$CV$8:$CV$152,0))</f>
        <v>#N/A</v>
      </c>
      <c r="DD45" s="237" t="e">
        <f t="shared" si="179">INDEX(BZ$8:BZ$152,MATCH($CX45,$CV$8:$CV$152,0))</f>
        <v>#N/A</v>
      </c>
      <c r="DE45" s="237" t="e">
        <f t="shared" si="180">INDEX(CA$8:CA$152,MATCH($CX45,$CV$8:$CV$152,0))</f>
        <v>#N/A</v>
      </c>
      <c r="DF45" s="237" t="e">
        <f t="shared" si="181">INDEX(CB$8:CB$152,MATCH($CX45,$CV$8:$CV$152,0))</f>
        <v>#N/A</v>
      </c>
    </row>
    <row r="46" spans="1:110" ht="15" customHeight="1" thickTop="1" thickBot="1">
      <c r="A46" s="866" t="s">
        <v>840</v>
      </c>
      <c r="B46" s="1505"/>
      <c r="C46" s="865"/>
      <c r="D46" s="1153"/>
      <c r="E46" s="865"/>
      <c r="F46" s="865"/>
      <c r="G46" s="865"/>
      <c r="H46" s="865"/>
      <c r="I46" s="1471"/>
      <c r="J46" s="763"/>
      <c r="K46" s="763"/>
      <c r="L46" s="867"/>
      <c r="M46" s="807"/>
      <c r="O46" s="2050"/>
      <c r="P46" s="1056" t="s">
        <v>855</v>
      </c>
      <c r="Q46" s="1056" t="s">
        <v>1082</v>
      </c>
      <c r="R46" s="1056" t="s">
        <v>854</v>
      </c>
      <c r="S46" s="1031">
        <f ca="1">SUMIF($B$138:$M$152,$R46,$K$138:$K$152)</f>
        <v>0</v>
      </c>
      <c r="T46" s="1031">
        <f ca="1">SUMIF($B$138:$M$152,$R46,$M$138:$M$152)</f>
        <v>0</v>
      </c>
      <c r="U46" s="1056"/>
      <c r="W46" s="1308">
        <f ca="1">IF(AND(T42&lt;&gt;0,R42&lt;&gt;W41,R42&lt;&gt;W40,R42&lt;&gt;W39,R42&lt;&gt;W38,R42&lt;&gt;W32,R42&lt;&gt;W31,R42&lt;&gt;W30,R42&lt;&gt;W29,R42&lt;&gt;W28,R42&lt;&gt;W27,R42&lt;&gt;W26,R42&lt;&gt;W25,R42&lt;&gt;W24,R42&lt;&gt;W23,R42&lt;&gt;W22,R42&lt;&gt;W21,R42&lt;&gt;W20,R42&lt;&gt;W19,R42&lt;&gt;W18,R42&lt;&gt;W17,R42&lt;&gt;W16,R42&lt;&gt;W15,R42&lt;&gt;W14,R42&lt;&gt;W13,R42&lt;&gt;W12,R42&lt;&gt;W11,R42&lt;&gt;W10,R42&lt;&gt;W9,R42&lt;&gt;W8),R42,"")</f>
        <v>0</v>
      </c>
      <c r="X46" s="1308"/>
      <c r="Y46" s="1309">
        <f ca="1" t="shared" si="0">IF(ISNA(VLOOKUP(W46,$AE$8:$AG$46,2,False))=True,"",VLOOKUP(W46,$AE$8:$AG$46,2,False))</f>
        <v>0</v>
      </c>
      <c r="Z46" s="1309">
        <f ca="1" t="shared" si="1">IF(ISNA(VLOOKUP(W46,$AE$8:$AG$46,3,False))=True,"",VLOOKUP(W46,$AE$8:$AG$46,3,False))</f>
        <v>0</v>
      </c>
      <c r="AA46" s="1310">
        <f ca="1" t="shared" si="2">IF(ISNA(VLOOKUP(W46,$R$8:$T$42,3,False))=True,"",VLOOKUP(W46,$R$8:$T$42,3,False))</f>
        <v>0</v>
      </c>
      <c r="AB46" s="1521">
        <f ca="1">_xlfn.IFNA(IF(ISTEXT(VLOOKUP(W46,'DRAFT A&amp;L'!$B$7:$G$100,4,0)),VLOOKUP(W46,'DRAFT A&amp;L'!$B$7:$G$100,4,0),YEAR(VLOOKUP(W46,'DRAFT A&amp;L'!$B$7:$G$100,4,0))),"")</f>
        <v>0</v>
      </c>
      <c r="AC46" s="423"/>
      <c r="AE46" s="1030" t="s">
        <v>858</v>
      </c>
      <c r="AF46" s="1038" t="s">
        <v>859</v>
      </c>
      <c r="AG46" s="1038" t="s">
        <v>1084</v>
      </c>
      <c r="AH46" s="1030"/>
      <c r="AK46" s="1092">
        <f t="shared" si="3">COUNTIF($BA$8:$BA$152,AF46)</f>
        <v>0</v>
      </c>
      <c r="AM46" s="1082"/>
      <c r="AN46" s="1096"/>
      <c r="AO46" s="1083"/>
      <c r="AP46" s="1084"/>
      <c r="AQ46" s="1085"/>
      <c r="AR46" s="1080">
        <f t="shared" si="95">IF(E46&lt;&gt;"",E46,"")</f>
        <v>0</v>
      </c>
      <c r="AS46" s="1078">
        <f t="shared" si="186">F46</f>
        <v>0</v>
      </c>
      <c r="AT46" s="1080">
        <f t="shared" si="96">IF(H46&lt;&gt;"",H46,"")</f>
        <v>0</v>
      </c>
      <c r="AU46" s="1080">
        <f>J46</f>
        <v>0</v>
      </c>
      <c r="AV46" s="1080"/>
      <c r="AW46" s="1086"/>
      <c r="AX46" s="237">
        <f t="shared" si="71">IF(AZ46&lt;&gt;"",AX45+1,"")</f>
        <v>0</v>
      </c>
      <c r="AY46" s="1087">
        <v>34</v>
      </c>
      <c r="AZ46" s="1087">
        <f t="shared" si="187">IF(ISNA(VLOOKUP(AY46,$AN$8:$AW$148,2,False))=True,"",VLOOKUP(AY46,$AN$8:$AW$148,2,False))</f>
        <v>0</v>
      </c>
      <c r="BA46" s="1087">
        <f t="shared" si="188">IF(ISNA(VLOOKUP(AZ46,$AE$8:$AF$46,2,False))=True,"",VLOOKUP(AZ46,$AE$8:$AF$46,2,False))</f>
        <v>0</v>
      </c>
      <c r="BB46" s="1087">
        <f t="shared" si="189">IF(ISNA(VLOOKUP(AY46,$AN$8:$AW$148,4,False))=True,"",VLOOKUP(AY46,$AN$8:$AW$148,4,False))</f>
        <v>0</v>
      </c>
      <c r="BC46" s="1087">
        <f t="shared" si="190">IF(ISNA(VLOOKUP(AY46,$AN$8:$AW$148,5,False))=True,"",VLOOKUP(AY46,$AN$8:$AW$148,5,False))</f>
        <v>0</v>
      </c>
      <c r="BD46" s="1087">
        <f t="shared" si="84">IF(ISNA(VLOOKUP(AY46,$AN$8:$AW$148,6,False))=True,"",VLOOKUP(AY46,$AN$8:$AW$148,6,False))</f>
        <v>0</v>
      </c>
      <c r="BE46" s="1125">
        <f t="shared" si="191">IF(ISNA(VLOOKUP(AY46,$AN$8:$AW$148,7,False))=True,"",VLOOKUP(AY46,$AN$8:$AW$148,7,False))</f>
        <v>0</v>
      </c>
      <c r="BF46" s="1123">
        <f t="shared" si="192">IF(ISNA(VLOOKUP($AY46,$AN$8:$AW$148,8,False))=True,"",VLOOKUP($AY46,$AN$8:$AW$148,8,False))</f>
        <v>0</v>
      </c>
      <c r="BG46" s="1120">
        <f t="shared" si="193">IF(ISNA(VLOOKUP($AY46,$AN$8:$AW$148,9,False))=True,"",VLOOKUP($AY46,$AN$8:$AW$148,9,False))</f>
        <v>0</v>
      </c>
      <c r="BH46" s="1120">
        <f t="shared" si="194">IF(ISNA(VLOOKUP($AY46,$AN$8:$AW$148,10,False))=True,"",VLOOKUP($AY46,$AN$8:$AW$148,10,False))</f>
        <v>0</v>
      </c>
      <c r="BI46" s="250">
        <f t="shared" si="49">IF(AZ46&lt;&gt;"",AZ46,"")</f>
        <v>0</v>
      </c>
      <c r="BJ46" s="1098">
        <f t="shared" si="50">BI46</f>
        <v>0</v>
      </c>
      <c r="BK46" s="1115">
        <f>COUNTIFS($AZ:$AZ, AZ46,$BJ:$BJ, "&lt;"&amp;BJ46)+COUNTIFS(AZ$8:AZ46, AZ46, BJ$8:BJ46, BJ46)</f>
        <v>39</v>
      </c>
      <c r="BL46" s="1114">
        <f t="shared" si="51">BK46/100</f>
        <v>0.39</v>
      </c>
      <c r="BM46" s="1093" t="e">
        <f t="shared" si="198" ref="BM46">BJ46+BL46</f>
        <v>#VALUE!</v>
      </c>
      <c r="BN46" s="1101">
        <f t="shared" si="196">IF(BA46&lt;&gt;"",BM46,"")</f>
        <v>0</v>
      </c>
      <c r="BO46" s="1118">
        <f t="shared" si="53">IF(BN46&lt;&gt;"",BN46,0)</f>
        <v>0</v>
      </c>
      <c r="BP46" s="237" t="e">
        <f t="shared" si="162">SMALL($BN$8:$BN$152,AX46)</f>
        <v>#VALUE!</v>
      </c>
      <c r="BR46" s="1102" t="e">
        <f t="shared" si="199" ref="BR46:BR63">IF(BP46&lt;&gt;"",BR45+1,"")</f>
        <v>#VALUE!</v>
      </c>
      <c r="BS46" s="1102">
        <f t="shared" si="55">IFERROR(BP46,"")</f>
        <v>0</v>
      </c>
      <c r="BT46" s="1102">
        <f t="shared" si="56">IFERROR(CC46,"")</f>
        <v>0</v>
      </c>
      <c r="BU46" s="1098">
        <f t="shared" si="57">IFERROR(CD46,"")</f>
        <v>0</v>
      </c>
      <c r="BV46" s="1098">
        <f t="shared" si="58">IFERROR(CE46,"")</f>
        <v>0</v>
      </c>
      <c r="BW46" s="1098">
        <f t="shared" si="59">IFERROR(CF46,"")</f>
        <v>0</v>
      </c>
      <c r="BX46" s="1146">
        <f t="shared" si="60">IFERROR(CH46,"")</f>
        <v>0</v>
      </c>
      <c r="BY46" s="1098">
        <f t="shared" si="61">IFERROR(CG46,"")</f>
        <v>0</v>
      </c>
      <c r="BZ46" s="1144" t="str">
        <f t="shared" si="62">IFERROR(CI46,"-")</f>
        <v>-</v>
      </c>
      <c r="CA46" s="1107">
        <f t="shared" si="63">IFERROR(CJ46,"")</f>
        <v>0</v>
      </c>
      <c r="CB46" s="1107">
        <f t="shared" si="64">IFERROR(CK46,"")</f>
        <v>0</v>
      </c>
      <c r="CC46" s="1110" t="e">
        <f t="shared" si="163">INDEX($AZ$8:$AZ$153,MATCH(BP46,$BO$8:$BO$153,0))</f>
        <v>#VALUE!</v>
      </c>
      <c r="CD46" s="1087" t="e">
        <f t="shared" si="164">INDEX($BA$8:$BA$153,MATCH(BP46,$BO$8:$BO$153,0))</f>
        <v>#VALUE!</v>
      </c>
      <c r="CE46" s="1106" t="e">
        <f t="shared" si="165">INDEX($BB$8:$BB$153,MATCH(BP46,$BO$8:$BO$153,0))</f>
        <v>#VALUE!</v>
      </c>
      <c r="CF46" s="1106" t="e">
        <f t="shared" si="166">INDEX(BC$8:BC$153,MATCH(BP46,$BO$8:$BO$153,0))</f>
        <v>#VALUE!</v>
      </c>
      <c r="CG46" s="1118" t="e">
        <f t="shared" si="167">INDEX(BE$8:BE$153,MATCH(BP46,$BO$8:$BO$153,0))</f>
        <v>#VALUE!</v>
      </c>
      <c r="CH46" s="1106" t="e">
        <f t="shared" si="168">INDEX($BD$8:$BD$153,MATCH($BP46,$BO$8:$BO$153,0))</f>
        <v>#VALUE!</v>
      </c>
      <c r="CI46" s="1142" t="e">
        <f t="shared" si="169">INDEX($BF$8:$BF$153,MATCH(BP46,$BO$8:$BO$153,0))</f>
        <v>#VALUE!</v>
      </c>
      <c r="CJ46" s="1106" t="e">
        <f t="shared" si="170">INDEX($BG$8:$BG$153,MATCH(BP46,$BO$8:$BO$153,0))</f>
        <v>#VALUE!</v>
      </c>
      <c r="CK46" s="1106" t="e">
        <f t="shared" si="171">INDEX($BH$8:$BH$153,MATCH(BP46,$BO$8:$BO$153,0))</f>
        <v>#VALUE!</v>
      </c>
      <c r="CM46" s="1131">
        <f t="shared" si="172">COUNTIF($CH$8:$CH$228,"&lt;="&amp;CH46)</f>
        <v>145</v>
      </c>
      <c r="CN46" s="1121">
        <f t="shared" si="65">--ISNUMBER(BX46)</f>
        <v>0</v>
      </c>
      <c r="CO46" s="1121">
        <f t="shared" si="66">IF(BX46=0,1,0)</f>
        <v>0</v>
      </c>
      <c r="CP46" s="1124">
        <f t="shared" si="197">IF(ISNUMBER(BX46),CM46,IF(ISERROR(BX46),CM46,CM46+$CN$154))+$CO$154</f>
        <v>145</v>
      </c>
      <c r="CQ46" s="237">
        <f>IFERROR(INDEX($BX$8:$BX$153,MATCH(SMALL($CP$8:$CP$153,ROWS($CQ$8:CQ46)+$CO$154),$CP$8:$CP$154,0)),"")</f>
        <v>0</v>
      </c>
      <c r="CR46" s="237">
        <v>0.1</v>
      </c>
      <c r="CS46" s="1135">
        <f t="shared" si="67">CM46+CR46</f>
        <v>145.1</v>
      </c>
      <c r="CT46" s="237">
        <f>COUNTIFS($CM:$CM, CM46,$CS:$CS, "&lt;"&amp;CL)+COUNTIFS(CM$8:CM46, CM46, CS$8:CS46, CS46)</f>
        <v>39</v>
      </c>
      <c r="CU46" s="1109">
        <f t="shared" si="68">CT46/100</f>
        <v>0.39</v>
      </c>
      <c r="CV46" s="1109">
        <f t="shared" si="69">CM46+CU46</f>
        <v>145.39</v>
      </c>
      <c r="CW46" s="237" t="e">
        <f t="shared" si="173">SMALL(CV$8:CV$153,AX46)</f>
        <v>#VALUE!</v>
      </c>
      <c r="CX46" s="1109">
        <f t="shared" si="70">IFERROR(CW46,"")</f>
        <v>0</v>
      </c>
      <c r="CY46" s="237" t="e">
        <f t="shared" si="174">INDEX(BU$8:BU$152,MATCH($CX46,CV$8:CV$152,0))</f>
        <v>#N/A</v>
      </c>
      <c r="CZ46" s="237" t="e">
        <f t="shared" si="175">INDEX(BV$8:BV$152,MATCH($CX46,$CV$8:$CV$152,0))</f>
        <v>#N/A</v>
      </c>
      <c r="DA46" s="237" t="e">
        <f t="shared" si="176">INDEX(BW$8:BW$152,MATCH($CX46,$CV$8:$CV$152,0))</f>
        <v>#N/A</v>
      </c>
      <c r="DB46" s="237" t="e">
        <f t="shared" si="177">INDEX(BX$8:BX$152,MATCH($CX46,$CV$8:$CV$152,0))</f>
        <v>#N/A</v>
      </c>
      <c r="DC46" s="237" t="e">
        <f t="shared" si="178">INDEX(BY$8:BY$152,MATCH($CX46,$CV$8:$CV$152,0))</f>
        <v>#N/A</v>
      </c>
      <c r="DD46" s="237" t="e">
        <f t="shared" si="179">INDEX(BZ$8:BZ$152,MATCH($CX46,$CV$8:$CV$152,0))</f>
        <v>#N/A</v>
      </c>
      <c r="DE46" s="237" t="e">
        <f t="shared" si="180">INDEX(CA$8:CA$152,MATCH($CX46,$CV$8:$CV$152,0))</f>
        <v>#N/A</v>
      </c>
      <c r="DF46" s="237" t="e">
        <f t="shared" si="181">INDEX(CB$8:CB$152,MATCH($CX46,$CV$8:$CV$152,0))</f>
        <v>#N/A</v>
      </c>
    </row>
    <row r="47" spans="1:110" ht="15" customHeight="1" thickBot="1">
      <c r="A47" s="1215"/>
      <c r="B47" s="1505"/>
      <c r="C47" s="865"/>
      <c r="D47" s="1153"/>
      <c r="E47" s="865"/>
      <c r="F47" s="865"/>
      <c r="G47" s="865"/>
      <c r="H47" s="865"/>
      <c r="I47" s="1471"/>
      <c r="J47" s="763"/>
      <c r="K47" s="763"/>
      <c r="L47" s="867"/>
      <c r="M47" s="807"/>
      <c r="O47" s="2050"/>
      <c r="P47" s="1056" t="s">
        <v>857</v>
      </c>
      <c r="Q47" s="1056" t="s">
        <v>1083</v>
      </c>
      <c r="R47" s="1056" t="s">
        <v>856</v>
      </c>
      <c r="S47" s="1031">
        <f ca="1">SUMIF($B$138:$M$152,$R47,$K$138:$K$152)</f>
        <v>0</v>
      </c>
      <c r="T47" s="1031">
        <f ca="1">SUMIF($B$138:$M$152,$R47,$M$138:$M$152)</f>
        <v>0</v>
      </c>
      <c r="U47" s="1056"/>
      <c r="V47" s="1056"/>
      <c r="W47" s="2010" t="s">
        <v>349</v>
      </c>
      <c r="X47" s="2010"/>
      <c r="Y47" s="2010"/>
      <c r="Z47" s="1311"/>
      <c r="AA47" s="1312"/>
      <c r="AB47" s="1523"/>
      <c r="AC47" s="423"/>
      <c r="AM47" s="1077"/>
      <c r="AN47" s="1096"/>
      <c r="AO47" s="1078"/>
      <c r="AP47" s="1079"/>
      <c r="AQ47" s="1080"/>
      <c r="AR47" s="1080">
        <f t="shared" si="95">IF(E47&lt;&gt;"",E47,"")</f>
        <v>0</v>
      </c>
      <c r="AS47" s="1078">
        <f t="shared" si="186">F47</f>
        <v>0</v>
      </c>
      <c r="AT47" s="1080">
        <f t="shared" si="96">IF(H47&lt;&gt;"",H47,"")</f>
        <v>0</v>
      </c>
      <c r="AU47" s="1080">
        <f>J47</f>
        <v>0</v>
      </c>
      <c r="AV47" s="1080"/>
      <c r="AW47" s="1081"/>
      <c r="AX47" s="237">
        <f t="shared" si="71">IF(AZ47&lt;&gt;"",AX46+1,"")</f>
        <v>0</v>
      </c>
      <c r="AY47" s="1087">
        <v>35</v>
      </c>
      <c r="AZ47" s="1087">
        <f t="shared" si="187">IF(ISNA(VLOOKUP(AY47,$AN$8:$AW$148,2,False))=True,"",VLOOKUP(AY47,$AN$8:$AW$148,2,False))</f>
        <v>0</v>
      </c>
      <c r="BA47" s="1087">
        <f t="shared" si="188">IF(ISNA(VLOOKUP(AZ47,$AE$8:$AF$46,2,False))=True,"",VLOOKUP(AZ47,$AE$8:$AF$46,2,False))</f>
        <v>0</v>
      </c>
      <c r="BB47" s="1087">
        <f t="shared" si="189">IF(ISNA(VLOOKUP(AY47,$AN$8:$AW$148,4,False))=True,"",VLOOKUP(AY47,$AN$8:$AW$148,4,False))</f>
        <v>0</v>
      </c>
      <c r="BC47" s="1087">
        <f t="shared" si="190">IF(ISNA(VLOOKUP(AY47,$AN$8:$AW$148,5,False))=True,"",VLOOKUP(AY47,$AN$8:$AW$148,5,False))</f>
        <v>0</v>
      </c>
      <c r="BD47" s="1087">
        <f t="shared" si="84">IF(ISNA(VLOOKUP(AY47,$AN$8:$AW$148,6,False))=True,"",VLOOKUP(AY47,$AN$8:$AW$148,6,False))</f>
        <v>0</v>
      </c>
      <c r="BE47" s="1125">
        <f t="shared" si="191">IF(ISNA(VLOOKUP(AY47,$AN$8:$AW$148,7,False))=True,"",VLOOKUP(AY47,$AN$8:$AW$148,7,False))</f>
        <v>0</v>
      </c>
      <c r="BF47" s="1123">
        <f t="shared" si="192">IF(ISNA(VLOOKUP($AY47,$AN$8:$AW$148,8,False))=True,"",VLOOKUP($AY47,$AN$8:$AW$148,8,False))</f>
        <v>0</v>
      </c>
      <c r="BG47" s="1120">
        <f t="shared" si="193">IF(ISNA(VLOOKUP($AY47,$AN$8:$AW$148,9,False))=True,"",VLOOKUP($AY47,$AN$8:$AW$148,9,False))</f>
        <v>0</v>
      </c>
      <c r="BH47" s="1120">
        <f t="shared" si="194">IF(ISNA(VLOOKUP($AY47,$AN$8:$AW$148,10,False))=True,"",VLOOKUP($AY47,$AN$8:$AW$148,10,False))</f>
        <v>0</v>
      </c>
      <c r="BI47" s="250">
        <f t="shared" si="49">IF(AZ47&lt;&gt;"",AZ47,"")</f>
        <v>0</v>
      </c>
      <c r="BJ47" s="1098">
        <f t="shared" si="50">BI47</f>
        <v>0</v>
      </c>
      <c r="BK47" s="1115">
        <f>COUNTIFS($AZ:$AZ, AZ47,$BJ:$BJ, "&lt;"&amp;BJ47)+COUNTIFS(AZ$8:AZ47, AZ47, BJ$8:BJ47, BJ47)</f>
        <v>40</v>
      </c>
      <c r="BL47" s="1114">
        <f t="shared" si="51">BK47/100</f>
        <v>0.4</v>
      </c>
      <c r="BM47" s="1093" t="e">
        <f t="shared" si="200" ref="BM47">BI47+BL47</f>
        <v>#VALUE!</v>
      </c>
      <c r="BN47" s="1101">
        <f t="shared" si="196">IF(BA47&lt;&gt;"",BM47,"")</f>
        <v>0</v>
      </c>
      <c r="BO47" s="1118">
        <f t="shared" si="53">IF(BN47&lt;&gt;"",BN47,0)</f>
        <v>0</v>
      </c>
      <c r="BP47" s="237" t="e">
        <f t="shared" si="162">SMALL($BN$8:$BN$152,AX47)</f>
        <v>#VALUE!</v>
      </c>
      <c r="BR47" s="1102" t="e">
        <f t="shared" si="199">IF(BP47&lt;&gt;"",BR46+1,"")</f>
        <v>#VALUE!</v>
      </c>
      <c r="BS47" s="1102">
        <f t="shared" si="55">IFERROR(BP47,"")</f>
        <v>0</v>
      </c>
      <c r="BT47" s="1102">
        <f t="shared" si="56">IFERROR(CC47,"")</f>
        <v>0</v>
      </c>
      <c r="BU47" s="1098">
        <f t="shared" si="57">IFERROR(CD47,"")</f>
        <v>0</v>
      </c>
      <c r="BV47" s="1098">
        <f t="shared" si="58">IFERROR(CE47,"")</f>
        <v>0</v>
      </c>
      <c r="BW47" s="1098">
        <f t="shared" si="59">IFERROR(CF47,"")</f>
        <v>0</v>
      </c>
      <c r="BX47" s="1146">
        <f t="shared" si="60">IFERROR(CH47,"")</f>
        <v>0</v>
      </c>
      <c r="BY47" s="1098">
        <f t="shared" si="61">IFERROR(CG47,"")</f>
        <v>0</v>
      </c>
      <c r="BZ47" s="1144" t="str">
        <f t="shared" si="62">IFERROR(CI47,"-")</f>
        <v>-</v>
      </c>
      <c r="CA47" s="1107">
        <f t="shared" si="63">IFERROR(CJ47,"")</f>
        <v>0</v>
      </c>
      <c r="CB47" s="1107">
        <f t="shared" si="64">IFERROR(CK47,"")</f>
        <v>0</v>
      </c>
      <c r="CC47" s="1110" t="e">
        <f t="shared" si="163">INDEX($AZ$8:$AZ$153,MATCH(BP47,$BO$8:$BO$153,0))</f>
        <v>#VALUE!</v>
      </c>
      <c r="CD47" s="1087" t="e">
        <f t="shared" si="164">INDEX($BA$8:$BA$153,MATCH(BP47,$BO$8:$BO$153,0))</f>
        <v>#VALUE!</v>
      </c>
      <c r="CE47" s="1106" t="e">
        <f t="shared" si="165">INDEX($BB$8:$BB$153,MATCH(BP47,$BO$8:$BO$153,0))</f>
        <v>#VALUE!</v>
      </c>
      <c r="CF47" s="1106" t="e">
        <f t="shared" si="166">INDEX(BC$8:BC$153,MATCH(BP47,$BO$8:$BO$153,0))</f>
        <v>#VALUE!</v>
      </c>
      <c r="CG47" s="1118" t="e">
        <f t="shared" si="167">INDEX(BE$8:BE$153,MATCH(BP47,$BO$8:$BO$153,0))</f>
        <v>#VALUE!</v>
      </c>
      <c r="CH47" s="1106" t="e">
        <f t="shared" si="168">INDEX($BD$8:$BD$153,MATCH($BP47,$BO$8:$BO$153,0))</f>
        <v>#VALUE!</v>
      </c>
      <c r="CI47" s="1142" t="e">
        <f t="shared" si="169">INDEX($BF$8:$BF$153,MATCH(BP47,$BO$8:$BO$153,0))</f>
        <v>#VALUE!</v>
      </c>
      <c r="CJ47" s="1106" t="e">
        <f t="shared" si="170">INDEX($BG$8:$BG$153,MATCH(BP47,$BO$8:$BO$153,0))</f>
        <v>#VALUE!</v>
      </c>
      <c r="CK47" s="1106" t="e">
        <f t="shared" si="171">INDEX($BH$8:$BH$153,MATCH(BP47,$BO$8:$BO$153,0))</f>
        <v>#VALUE!</v>
      </c>
      <c r="CM47" s="1131">
        <f t="shared" si="172">COUNTIF($CH$8:$CH$228,"&lt;="&amp;CH47)</f>
        <v>145</v>
      </c>
      <c r="CN47" s="1121">
        <f t="shared" si="65">--ISNUMBER(BX47)</f>
        <v>0</v>
      </c>
      <c r="CO47" s="1121">
        <f t="shared" si="66">IF(BX47=0,1,0)</f>
        <v>0</v>
      </c>
      <c r="CP47" s="1124">
        <f t="shared" si="197">IF(ISNUMBER(BX47),CM47,IF(ISERROR(BX47),CM47,CM47+$CN$154))+$CO$154</f>
        <v>145</v>
      </c>
      <c r="CQ47" s="237">
        <f>IFERROR(INDEX($BX$8:$BX$153,MATCH(SMALL($CP$8:$CP$153,ROWS($CQ$8:CQ47)+$CO$154),$CP$8:$CP$154,0)),"")</f>
        <v>0</v>
      </c>
      <c r="CR47" s="237">
        <v>0.1</v>
      </c>
      <c r="CS47" s="1135">
        <f t="shared" si="67">CM47+CR47</f>
        <v>145.1</v>
      </c>
      <c r="CT47" s="237">
        <f>COUNTIFS($CM:$CM, CM47,$CS:$CS, "&lt;"&amp;CL)+COUNTIFS(CM$8:CM47, CM47, CS$8:CS47, CS47)</f>
        <v>40</v>
      </c>
      <c r="CU47" s="1109">
        <f t="shared" si="68">CT47/100</f>
        <v>0.4</v>
      </c>
      <c r="CV47" s="1109">
        <f t="shared" si="69">CM47+CU47</f>
        <v>145.4</v>
      </c>
      <c r="CW47" s="237" t="e">
        <f t="shared" si="173">SMALL(CV$8:CV$153,AX47)</f>
        <v>#VALUE!</v>
      </c>
      <c r="CX47" s="1109">
        <f t="shared" si="70">IFERROR(CW47,"")</f>
        <v>0</v>
      </c>
      <c r="CY47" s="237" t="e">
        <f t="shared" si="174">INDEX(BU$8:BU$152,MATCH($CX47,CV$8:CV$152,0))</f>
        <v>#N/A</v>
      </c>
      <c r="CZ47" s="237" t="e">
        <f t="shared" si="175">INDEX(BV$8:BV$152,MATCH($CX47,$CV$8:$CV$152,0))</f>
        <v>#N/A</v>
      </c>
      <c r="DA47" s="237" t="e">
        <f t="shared" si="176">INDEX(BW$8:BW$152,MATCH($CX47,$CV$8:$CV$152,0))</f>
        <v>#N/A</v>
      </c>
      <c r="DB47" s="237" t="e">
        <f t="shared" si="177">INDEX(BX$8:BX$152,MATCH($CX47,$CV$8:$CV$152,0))</f>
        <v>#N/A</v>
      </c>
      <c r="DC47" s="237" t="e">
        <f t="shared" si="178">INDEX(BY$8:BY$152,MATCH($CX47,$CV$8:$CV$152,0))</f>
        <v>#N/A</v>
      </c>
      <c r="DD47" s="237" t="e">
        <f t="shared" si="179">INDEX(BZ$8:BZ$152,MATCH($CX47,$CV$8:$CV$152,0))</f>
        <v>#N/A</v>
      </c>
      <c r="DE47" s="237" t="e">
        <f t="shared" si="180">INDEX(CA$8:CA$152,MATCH($CX47,$CV$8:$CV$152,0))</f>
        <v>#N/A</v>
      </c>
      <c r="DF47" s="237" t="e">
        <f t="shared" si="181">INDEX(CB$8:CB$152,MATCH($CX47,$CV$8:$CV$152,0))</f>
        <v>#N/A</v>
      </c>
    </row>
    <row r="48" spans="1:110" s="252" customFormat="1" ht="15" customHeight="1" thickBot="1">
      <c r="A48" s="2032" t="s">
        <v>84</v>
      </c>
      <c r="B48" s="2030" t="s">
        <v>994</v>
      </c>
      <c r="C48" s="2029" t="s">
        <v>340</v>
      </c>
      <c r="D48" s="2034" t="s">
        <v>1090</v>
      </c>
      <c r="E48" s="2015" t="s">
        <v>606</v>
      </c>
      <c r="F48" s="2034" t="s">
        <v>1122</v>
      </c>
      <c r="G48" s="2034" t="s">
        <v>1091</v>
      </c>
      <c r="H48" s="2034" t="s">
        <v>1092</v>
      </c>
      <c r="I48" s="2014" t="s">
        <v>341</v>
      </c>
      <c r="J48" s="2015" t="s">
        <v>342</v>
      </c>
      <c r="K48" s="2015" t="s">
        <v>343</v>
      </c>
      <c r="L48" s="2015"/>
      <c r="M48" s="2016"/>
      <c r="N48" s="252"/>
      <c r="O48" s="2051"/>
      <c r="P48" s="1059" t="s">
        <v>859</v>
      </c>
      <c r="Q48" s="1059" t="s">
        <v>1084</v>
      </c>
      <c r="R48" s="1060" t="s">
        <v>858</v>
      </c>
      <c r="S48" s="1031">
        <f ca="1">SUMIF($B$138:$M$152,$R48,$K$138:$K$152)</f>
        <v>0</v>
      </c>
      <c r="T48" s="1031">
        <f ca="1">SUMIF($B$138:$M$152,$R48,$M$138:$M$152)</f>
        <v>0</v>
      </c>
      <c r="U48" s="1056"/>
      <c r="V48" s="1056"/>
      <c r="W48" s="1232" t="s">
        <v>996</v>
      </c>
      <c r="X48" s="1232"/>
      <c r="Y48" s="1232" t="s">
        <v>995</v>
      </c>
      <c r="Z48" s="1232"/>
      <c r="AA48" s="1285" t="s">
        <v>997</v>
      </c>
      <c r="AB48" s="1516" t="s">
        <v>870</v>
      </c>
      <c r="AC48" s="423"/>
      <c r="AM48" s="1077"/>
      <c r="AN48" s="1096"/>
      <c r="AO48" s="1078"/>
      <c r="AP48" s="1079"/>
      <c r="AQ48" s="1080"/>
      <c r="AR48" s="1080"/>
      <c r="AS48" s="1078" t="str">
        <f t="shared" si="186">F48</f>
        <v>COUNTRY</v>
      </c>
      <c r="AT48" s="1080"/>
      <c r="AU48" s="1080"/>
      <c r="AV48" s="1080"/>
      <c r="AW48" s="1081"/>
      <c r="AX48" s="237">
        <f t="shared" si="71">IF(AZ48&lt;&gt;"",AX47+1,"")</f>
        <v>0</v>
      </c>
      <c r="AY48" s="1087">
        <v>36</v>
      </c>
      <c r="AZ48" s="1087">
        <f t="shared" si="187">IF(ISNA(VLOOKUP(AY48,$AN$8:$AW$148,2,False))=True,"",VLOOKUP(AY48,$AN$8:$AW$148,2,False))</f>
        <v>0</v>
      </c>
      <c r="BA48" s="1087">
        <f t="shared" si="188">IF(ISNA(VLOOKUP(AZ48,$AE$8:$AF$46,2,False))=True,"",VLOOKUP(AZ48,$AE$8:$AF$46,2,False))</f>
        <v>0</v>
      </c>
      <c r="BB48" s="1087">
        <f t="shared" si="189">IF(ISNA(VLOOKUP(AY48,$AN$8:$AW$148,4,False))=True,"",VLOOKUP(AY48,$AN$8:$AW$148,4,False))</f>
        <v>0</v>
      </c>
      <c r="BC48" s="1087">
        <f t="shared" si="190">IF(ISNA(VLOOKUP(AY48,$AN$8:$AW$148,5,False))=True,"",VLOOKUP(AY48,$AN$8:$AW$148,5,False))</f>
        <v>0</v>
      </c>
      <c r="BD48" s="1087">
        <f t="shared" si="84">IF(ISNA(VLOOKUP(AY48,$AN$8:$AW$148,6,False))=True,"",VLOOKUP(AY48,$AN$8:$AW$148,6,False))</f>
        <v>0</v>
      </c>
      <c r="BE48" s="1125">
        <f t="shared" si="191">IF(ISNA(VLOOKUP(AY48,$AN$8:$AW$148,7,False))=True,"",VLOOKUP(AY48,$AN$8:$AW$148,7,False))</f>
        <v>0</v>
      </c>
      <c r="BF48" s="1123">
        <f t="shared" si="192">IF(ISNA(VLOOKUP($AY48,$AN$8:$AW$148,8,False))=True,"",VLOOKUP($AY48,$AN$8:$AW$148,8,False))</f>
        <v>0</v>
      </c>
      <c r="BG48" s="1120">
        <f t="shared" si="193">IF(ISNA(VLOOKUP($AY48,$AN$8:$AW$148,9,False))=True,"",VLOOKUP($AY48,$AN$8:$AW$148,9,False))</f>
        <v>0</v>
      </c>
      <c r="BH48" s="1120">
        <f t="shared" si="194">IF(ISNA(VLOOKUP($AY48,$AN$8:$AW$148,10,False))=True,"",VLOOKUP($AY48,$AN$8:$AW$148,10,False))</f>
        <v>0</v>
      </c>
      <c r="BI48" s="250">
        <f t="shared" si="49">IF(AZ48&lt;&gt;"",AZ48,"")</f>
        <v>0</v>
      </c>
      <c r="BJ48" s="1098">
        <f t="shared" si="50">BI48</f>
        <v>0</v>
      </c>
      <c r="BK48" s="1115">
        <f>COUNTIFS($AZ:$AZ, AZ48,$BJ:$BJ, "&lt;"&amp;BJ48)+COUNTIFS(AZ$8:AZ48, AZ48, BJ$8:BJ48, BJ48)</f>
        <v>41</v>
      </c>
      <c r="BL48" s="1114">
        <f t="shared" si="51">BK48/100</f>
        <v>0.41</v>
      </c>
      <c r="BM48" s="1093" t="e">
        <f t="shared" si="201" ref="BM48">BJ48+BL48</f>
        <v>#VALUE!</v>
      </c>
      <c r="BN48" s="1101">
        <f t="shared" si="196">IF(BA48&lt;&gt;"",BM48,"")</f>
        <v>0</v>
      </c>
      <c r="BO48" s="1118">
        <f t="shared" si="53">IF(BN48&lt;&gt;"",BN48,0)</f>
        <v>0</v>
      </c>
      <c r="BP48" s="237" t="e">
        <f t="shared" si="162">SMALL($BN$8:$BN$152,AX48)</f>
        <v>#VALUE!</v>
      </c>
      <c r="BQ48" s="1109"/>
      <c r="BR48" s="1102" t="e">
        <f t="shared" si="199">IF(BP48&lt;&gt;"",BR47+1,"")</f>
        <v>#VALUE!</v>
      </c>
      <c r="BS48" s="1102">
        <f t="shared" si="55">IFERROR(BP48,"")</f>
        <v>0</v>
      </c>
      <c r="BT48" s="1102">
        <f t="shared" si="56">IFERROR(CC48,"")</f>
        <v>0</v>
      </c>
      <c r="BU48" s="1098">
        <f t="shared" si="57">IFERROR(CD48,"")</f>
        <v>0</v>
      </c>
      <c r="BV48" s="1098">
        <f t="shared" si="58">IFERROR(CE48,"")</f>
        <v>0</v>
      </c>
      <c r="BW48" s="1098">
        <f t="shared" si="59">IFERROR(CF48,"")</f>
        <v>0</v>
      </c>
      <c r="BX48" s="1146">
        <f t="shared" si="60">IFERROR(CH48,"")</f>
        <v>0</v>
      </c>
      <c r="BY48" s="1098">
        <f t="shared" si="61">IFERROR(CG48,"")</f>
        <v>0</v>
      </c>
      <c r="BZ48" s="1144" t="str">
        <f t="shared" si="62">IFERROR(CI48,"-")</f>
        <v>-</v>
      </c>
      <c r="CA48" s="1107">
        <f t="shared" si="63">IFERROR(CJ48,"")</f>
        <v>0</v>
      </c>
      <c r="CB48" s="1107">
        <f t="shared" si="64">IFERROR(CK48,"")</f>
        <v>0</v>
      </c>
      <c r="CC48" s="1110" t="e">
        <f t="shared" si="163">INDEX($AZ$8:$AZ$153,MATCH(BP48,$BO$8:$BO$153,0))</f>
        <v>#VALUE!</v>
      </c>
      <c r="CD48" s="1087" t="e">
        <f t="shared" si="164">INDEX($BA$8:$BA$153,MATCH(BP48,$BO$8:$BO$153,0))</f>
        <v>#VALUE!</v>
      </c>
      <c r="CE48" s="1106" t="e">
        <f t="shared" si="165">INDEX($BB$8:$BB$153,MATCH(BP48,$BO$8:$BO$153,0))</f>
        <v>#VALUE!</v>
      </c>
      <c r="CF48" s="1106" t="e">
        <f t="shared" si="166">INDEX(BC$8:BC$153,MATCH(BP48,$BO$8:$BO$153,0))</f>
        <v>#VALUE!</v>
      </c>
      <c r="CG48" s="1118" t="e">
        <f t="shared" si="167">INDEX(BE$8:BE$153,MATCH(BP48,$BO$8:$BO$153,0))</f>
        <v>#VALUE!</v>
      </c>
      <c r="CH48" s="1106" t="e">
        <f t="shared" si="168">INDEX($BD$8:$BD$153,MATCH($BP48,$BO$8:$BO$153,0))</f>
        <v>#VALUE!</v>
      </c>
      <c r="CI48" s="1142" t="e">
        <f t="shared" si="169">INDEX($BF$8:$BF$153,MATCH(BP48,$BO$8:$BO$153,0))</f>
        <v>#VALUE!</v>
      </c>
      <c r="CJ48" s="1106" t="e">
        <f t="shared" si="170">INDEX($BG$8:$BG$153,MATCH(BP48,$BO$8:$BO$153,0))</f>
        <v>#VALUE!</v>
      </c>
      <c r="CK48" s="1106" t="e">
        <f t="shared" si="171">INDEX($BH$8:$BH$153,MATCH(BP48,$BO$8:$BO$153,0))</f>
        <v>#VALUE!</v>
      </c>
      <c r="CM48" s="1131">
        <f t="shared" si="172">COUNTIF($CH$8:$CH$228,"&lt;="&amp;CH48)</f>
        <v>145</v>
      </c>
      <c r="CN48" s="1121">
        <f t="shared" si="65">--ISNUMBER(BX48)</f>
        <v>0</v>
      </c>
      <c r="CO48" s="1121">
        <f t="shared" si="66">IF(BX48=0,1,0)</f>
        <v>0</v>
      </c>
      <c r="CP48" s="1124">
        <f t="shared" si="197">IF(ISNUMBER(BX48),CM48,IF(ISERROR(BX48),CM48,CM48+$CN$154))+$CO$154</f>
        <v>145</v>
      </c>
      <c r="CQ48" s="237">
        <f>IFERROR(INDEX($BX$8:$BX$153,MATCH(SMALL($CP$8:$CP$153,ROWS($CQ$8:CQ48)+$CO$154),$CP$8:$CP$154,0)),"")</f>
        <v>0</v>
      </c>
      <c r="CR48" s="237">
        <v>0.1</v>
      </c>
      <c r="CS48" s="1135">
        <f t="shared" si="67">CM48+CR48</f>
        <v>145.1</v>
      </c>
      <c r="CT48" s="237">
        <f>COUNTIFS($CM:$CM, CM48,$CS:$CS, "&lt;"&amp;CL)+COUNTIFS(CM$8:CM48, CM48, CS$8:CS48, CS48)</f>
        <v>41</v>
      </c>
      <c r="CU48" s="1109">
        <f t="shared" si="68">CT48/100</f>
        <v>0.41</v>
      </c>
      <c r="CV48" s="1109">
        <f t="shared" si="69">CM48+CU48</f>
        <v>145.41</v>
      </c>
      <c r="CW48" s="237" t="e">
        <f t="shared" si="173">SMALL(CV$8:CV$153,AX48)</f>
        <v>#VALUE!</v>
      </c>
      <c r="CX48" s="1109">
        <f t="shared" si="70">IFERROR(CW48,"")</f>
        <v>0</v>
      </c>
      <c r="CY48" s="237" t="e">
        <f t="shared" si="174">INDEX(BU$8:BU$152,MATCH($CX48,CV$8:CV$152,0))</f>
        <v>#N/A</v>
      </c>
      <c r="CZ48" s="237" t="e">
        <f t="shared" si="175">INDEX(BV$8:BV$152,MATCH($CX48,$CV$8:$CV$152,0))</f>
        <v>#N/A</v>
      </c>
      <c r="DA48" s="237" t="e">
        <f t="shared" si="176">INDEX(BW$8:BW$152,MATCH($CX48,$CV$8:$CV$152,0))</f>
        <v>#N/A</v>
      </c>
      <c r="DB48" s="237" t="e">
        <f t="shared" si="177">INDEX(BX$8:BX$152,MATCH($CX48,$CV$8:$CV$152,0))</f>
        <v>#N/A</v>
      </c>
      <c r="DC48" s="237" t="e">
        <f t="shared" si="178">INDEX(BY$8:BY$152,MATCH($CX48,$CV$8:$CV$152,0))</f>
        <v>#N/A</v>
      </c>
      <c r="DD48" s="237" t="e">
        <f t="shared" si="179">INDEX(BZ$8:BZ$152,MATCH($CX48,$CV$8:$CV$152,0))</f>
        <v>#N/A</v>
      </c>
      <c r="DE48" s="237" t="e">
        <f t="shared" si="180">INDEX(CA$8:CA$152,MATCH($CX48,$CV$8:$CV$152,0))</f>
        <v>#N/A</v>
      </c>
      <c r="DF48" s="237" t="e">
        <f t="shared" si="181">INDEX(CB$8:CB$152,MATCH($CX48,$CV$8:$CV$152,0))</f>
        <v>#N/A</v>
      </c>
    </row>
    <row r="49" spans="1:110" s="252" customFormat="1" ht="13.5" customHeight="1">
      <c r="A49" s="2033"/>
      <c r="B49" s="2031"/>
      <c r="C49" s="1501"/>
      <c r="D49" s="2035"/>
      <c r="E49" s="1033"/>
      <c r="F49" s="2035"/>
      <c r="G49" s="2035"/>
      <c r="H49" s="2035"/>
      <c r="I49" s="2013"/>
      <c r="J49" s="1033"/>
      <c r="K49" s="1033" t="s">
        <v>344</v>
      </c>
      <c r="L49" s="1033" t="s">
        <v>345</v>
      </c>
      <c r="M49" s="1290" t="s">
        <v>346</v>
      </c>
      <c r="N49" s="252"/>
      <c r="W49" s="1235">
        <f ca="1">IF(S45&gt;0,R45,IF(S46&gt;0,R46,IF(S47&gt;0,R47,IF(S48&gt;0,R48,""))))</f>
        <v>0</v>
      </c>
      <c r="X49" s="1235"/>
      <c r="Y49" s="1236">
        <f ca="1">IF(ISNA(VLOOKUP(W49,$AE$8:$AG$46,2,False))=True,"",VLOOKUP(W49,$AE$8:$AG$46,2,False))</f>
        <v>0</v>
      </c>
      <c r="Z49" s="1236">
        <f ca="1">IF(ISNA(VLOOKUP(W49,$AE$8:$AG$46,3,False))=True,"",VLOOKUP(W49,$AE$8:$AG$46,3,False))</f>
        <v>0</v>
      </c>
      <c r="AA49" s="1286">
        <f ca="1">IF(ISNA(VLOOKUP(W49,$R$45:$T$48,3,False))=True,"",VLOOKUP(W49,$R$45:$T$48,3,False))</f>
        <v>0</v>
      </c>
      <c r="AB49" s="1524">
        <f ca="1">_xlfn.IFNA(IF(ISTEXT(VLOOKUP(W49,'DRAFT A&amp;L'!$B$7:$G$100,4,0)),VLOOKUP(W49,'DRAFT A&amp;L'!$B$7:$G$100,4,0),YEAR(VLOOKUP(W49,'DRAFT A&amp;L'!$B$7:$G$100,4,0))),"")</f>
        <v>0</v>
      </c>
      <c r="AC49" s="423"/>
      <c r="AM49" s="1082"/>
      <c r="AN49" s="1096"/>
      <c r="AO49" s="1083"/>
      <c r="AP49" s="1084"/>
      <c r="AQ49" s="1085"/>
      <c r="AR49" s="1080">
        <f t="shared" si="202" ref="AR49:AR68">IF(E49&lt;&gt;"",E49,"")</f>
        <v>0</v>
      </c>
      <c r="AS49" s="1078">
        <f t="shared" si="186">F49</f>
        <v>0</v>
      </c>
      <c r="AT49" s="1080">
        <f t="shared" si="203" ref="AT49:AT68">IF(H49&lt;&gt;"",H49,"")</f>
        <v>0</v>
      </c>
      <c r="AU49" s="1080">
        <f t="shared" si="204" ref="AU49:AU68">J49</f>
        <v>0</v>
      </c>
      <c r="AV49" s="1080"/>
      <c r="AW49" s="1086"/>
      <c r="AX49" s="237">
        <f t="shared" si="71">IF(AZ49&lt;&gt;"",AX48+1,"")</f>
        <v>0</v>
      </c>
      <c r="AY49" s="1087">
        <v>37</v>
      </c>
      <c r="AZ49" s="1087">
        <f t="shared" si="187">IF(ISNA(VLOOKUP(AY49,$AN$8:$AW$148,2,False))=True,"",VLOOKUP(AY49,$AN$8:$AW$148,2,False))</f>
        <v>0</v>
      </c>
      <c r="BA49" s="1087">
        <f t="shared" si="188">IF(ISNA(VLOOKUP(AZ49,$AE$8:$AF$46,2,False))=True,"",VLOOKUP(AZ49,$AE$8:$AF$46,2,False))</f>
        <v>0</v>
      </c>
      <c r="BB49" s="1087">
        <f t="shared" si="189">IF(ISNA(VLOOKUP(AY49,$AN$8:$AW$148,4,False))=True,"",VLOOKUP(AY49,$AN$8:$AW$148,4,False))</f>
        <v>0</v>
      </c>
      <c r="BC49" s="1087">
        <f t="shared" si="190">IF(ISNA(VLOOKUP(AY49,$AN$8:$AW$148,5,False))=True,"",VLOOKUP(AY49,$AN$8:$AW$148,5,False))</f>
        <v>0</v>
      </c>
      <c r="BD49" s="1087">
        <f t="shared" si="84">IF(ISNA(VLOOKUP(AY49,$AN$8:$AW$148,6,False))=True,"",VLOOKUP(AY49,$AN$8:$AW$148,6,False))</f>
        <v>0</v>
      </c>
      <c r="BE49" s="1125">
        <f t="shared" si="191">IF(ISNA(VLOOKUP(AY49,$AN$8:$AW$148,7,False))=True,"",VLOOKUP(AY49,$AN$8:$AW$148,7,False))</f>
        <v>0</v>
      </c>
      <c r="BF49" s="1123">
        <f t="shared" si="192">IF(ISNA(VLOOKUP($AY49,$AN$8:$AW$148,8,False))=True,"",VLOOKUP($AY49,$AN$8:$AW$148,8,False))</f>
        <v>0</v>
      </c>
      <c r="BG49" s="1120">
        <f t="shared" si="193">IF(ISNA(VLOOKUP($AY49,$AN$8:$AW$148,9,False))=True,"",VLOOKUP($AY49,$AN$8:$AW$148,9,False))</f>
        <v>0</v>
      </c>
      <c r="BH49" s="1120">
        <f t="shared" si="194">IF(ISNA(VLOOKUP($AY49,$AN$8:$AW$148,10,False))=True,"",VLOOKUP($AY49,$AN$8:$AW$148,10,False))</f>
        <v>0</v>
      </c>
      <c r="BI49" s="250">
        <f t="shared" si="49">IF(AZ49&lt;&gt;"",AZ49,"")</f>
        <v>0</v>
      </c>
      <c r="BJ49" s="1098">
        <f t="shared" si="50">BI49</f>
        <v>0</v>
      </c>
      <c r="BK49" s="1115">
        <f>COUNTIFS($AZ:$AZ, AZ49,$BJ:$BJ, "&lt;"&amp;BJ49)+COUNTIFS(AZ$8:AZ49, AZ49, BJ$8:BJ49, BJ49)</f>
        <v>42</v>
      </c>
      <c r="BL49" s="1114">
        <f t="shared" si="51">BK49/100</f>
        <v>0.42</v>
      </c>
      <c r="BM49" s="1093" t="e">
        <f t="shared" si="205" ref="BM49">BI49+BL49</f>
        <v>#VALUE!</v>
      </c>
      <c r="BN49" s="1101">
        <f t="shared" si="196">IF(BA49&lt;&gt;"",BM49,"")</f>
        <v>0</v>
      </c>
      <c r="BO49" s="1118">
        <f t="shared" si="53">IF(BN49&lt;&gt;"",BN49,0)</f>
        <v>0</v>
      </c>
      <c r="BP49" s="237" t="e">
        <f t="shared" si="162">SMALL($BN$8:$BN$152,AX49)</f>
        <v>#VALUE!</v>
      </c>
      <c r="BQ49" s="1109"/>
      <c r="BR49" s="1102" t="e">
        <f t="shared" si="199">IF(BP49&lt;&gt;"",BR48+1,"")</f>
        <v>#VALUE!</v>
      </c>
      <c r="BS49" s="1102">
        <f t="shared" si="55">IFERROR(BP49,"")</f>
        <v>0</v>
      </c>
      <c r="BT49" s="1102">
        <f t="shared" si="56">IFERROR(CC49,"")</f>
        <v>0</v>
      </c>
      <c r="BU49" s="1098">
        <f t="shared" si="57">IFERROR(CD49,"")</f>
        <v>0</v>
      </c>
      <c r="BV49" s="1098">
        <f t="shared" si="58">IFERROR(CE49,"")</f>
        <v>0</v>
      </c>
      <c r="BW49" s="1098">
        <f t="shared" si="59">IFERROR(CF49,"")</f>
        <v>0</v>
      </c>
      <c r="BX49" s="1146">
        <f t="shared" si="60">IFERROR(CH49,"")</f>
        <v>0</v>
      </c>
      <c r="BY49" s="1098">
        <f t="shared" si="61">IFERROR(CG49,"")</f>
        <v>0</v>
      </c>
      <c r="BZ49" s="1144" t="str">
        <f t="shared" si="62">IFERROR(CI49,"-")</f>
        <v>-</v>
      </c>
      <c r="CA49" s="1107">
        <f t="shared" si="63">IFERROR(CJ49,"")</f>
        <v>0</v>
      </c>
      <c r="CB49" s="1107">
        <f t="shared" si="64">IFERROR(CK49,"")</f>
        <v>0</v>
      </c>
      <c r="CC49" s="1110" t="e">
        <f t="shared" si="163">INDEX($AZ$8:$AZ$153,MATCH(BP49,$BO$8:$BO$153,0))</f>
        <v>#VALUE!</v>
      </c>
      <c r="CD49" s="1087" t="e">
        <f t="shared" si="164">INDEX($BA$8:$BA$153,MATCH(BP49,$BO$8:$BO$153,0))</f>
        <v>#VALUE!</v>
      </c>
      <c r="CE49" s="1106" t="e">
        <f t="shared" si="165">INDEX($BB$8:$BB$153,MATCH(BP49,$BO$8:$BO$153,0))</f>
        <v>#VALUE!</v>
      </c>
      <c r="CF49" s="1106" t="e">
        <f t="shared" si="166">INDEX(BC$8:BC$153,MATCH(BP49,$BO$8:$BO$153,0))</f>
        <v>#VALUE!</v>
      </c>
      <c r="CG49" s="1118" t="e">
        <f t="shared" si="167">INDEX(BE$8:BE$153,MATCH(BP49,$BO$8:$BO$153,0))</f>
        <v>#VALUE!</v>
      </c>
      <c r="CH49" s="1106" t="e">
        <f t="shared" si="168">INDEX($BD$8:$BD$153,MATCH($BP49,$BO$8:$BO$153,0))</f>
        <v>#VALUE!</v>
      </c>
      <c r="CI49" s="1142" t="e">
        <f t="shared" si="169">INDEX($BF$8:$BF$153,MATCH(BP49,$BO$8:$BO$153,0))</f>
        <v>#VALUE!</v>
      </c>
      <c r="CJ49" s="1106" t="e">
        <f t="shared" si="170">INDEX($BG$8:$BG$153,MATCH(BP49,$BO$8:$BO$153,0))</f>
        <v>#VALUE!</v>
      </c>
      <c r="CK49" s="1106" t="e">
        <f t="shared" si="171">INDEX($BH$8:$BH$153,MATCH(BP49,$BO$8:$BO$153,0))</f>
        <v>#VALUE!</v>
      </c>
      <c r="CM49" s="1131">
        <f t="shared" si="172">COUNTIF($CH$8:$CH$228,"&lt;="&amp;CH49)</f>
        <v>145</v>
      </c>
      <c r="CN49" s="1121">
        <f t="shared" si="65">--ISNUMBER(BX49)</f>
        <v>0</v>
      </c>
      <c r="CO49" s="1121">
        <f t="shared" si="66">IF(BX49=0,1,0)</f>
        <v>0</v>
      </c>
      <c r="CP49" s="1124">
        <f t="shared" si="197">IF(ISNUMBER(BX49),CM49,IF(ISERROR(BX49),CM49,CM49+$CN$154))+$CO$154</f>
        <v>145</v>
      </c>
      <c r="CQ49" s="237">
        <f>IFERROR(INDEX($BX$8:$BX$153,MATCH(SMALL($CP$8:$CP$153,ROWS($CQ$8:CQ49)+$CO$154),$CP$8:$CP$154,0)),"")</f>
        <v>0</v>
      </c>
      <c r="CR49" s="237">
        <v>0.1</v>
      </c>
      <c r="CS49" s="1135">
        <f t="shared" si="67">CM49+CR49</f>
        <v>145.1</v>
      </c>
      <c r="CT49" s="237">
        <f>COUNTIFS($CM:$CM, CM49,$CS:$CS, "&lt;"&amp;CL)+COUNTIFS(CM$8:CM49, CM49, CS$8:CS49, CS49)</f>
        <v>42</v>
      </c>
      <c r="CU49" s="1109">
        <f t="shared" si="68">CT49/100</f>
        <v>0.42</v>
      </c>
      <c r="CV49" s="1109">
        <f t="shared" si="69">CM49+CU49</f>
        <v>145.42</v>
      </c>
      <c r="CW49" s="237" t="e">
        <f t="shared" si="173">SMALL(CV$8:CV$153,AX49)</f>
        <v>#VALUE!</v>
      </c>
      <c r="CX49" s="1109">
        <f t="shared" si="70">IFERROR(CW49,"")</f>
        <v>0</v>
      </c>
      <c r="CY49" s="237" t="e">
        <f t="shared" si="174">INDEX(BU$8:BU$152,MATCH($CX49,CV$8:CV$152,0))</f>
        <v>#N/A</v>
      </c>
      <c r="CZ49" s="237" t="e">
        <f t="shared" si="175">INDEX(BV$8:BV$152,MATCH($CX49,$CV$8:$CV$152,0))</f>
        <v>#N/A</v>
      </c>
      <c r="DA49" s="237" t="e">
        <f t="shared" si="176">INDEX(BW$8:BW$152,MATCH($CX49,$CV$8:$CV$152,0))</f>
        <v>#N/A</v>
      </c>
      <c r="DB49" s="237" t="e">
        <f t="shared" si="177">INDEX(BX$8:BX$152,MATCH($CX49,$CV$8:$CV$152,0))</f>
        <v>#N/A</v>
      </c>
      <c r="DC49" s="237" t="e">
        <f t="shared" si="178">INDEX(BY$8:BY$152,MATCH($CX49,$CV$8:$CV$152,0))</f>
        <v>#N/A</v>
      </c>
      <c r="DD49" s="237" t="e">
        <f t="shared" si="179">INDEX(BZ$8:BZ$152,MATCH($CX49,$CV$8:$CV$152,0))</f>
        <v>#N/A</v>
      </c>
      <c r="DE49" s="237" t="e">
        <f t="shared" si="180">INDEX(CA$8:CA$152,MATCH($CX49,$CV$8:$CV$152,0))</f>
        <v>#N/A</v>
      </c>
      <c r="DF49" s="237" t="e">
        <f t="shared" si="181">INDEX(CB$8:CB$152,MATCH($CX49,$CV$8:$CV$152,0))</f>
        <v>#N/A</v>
      </c>
    </row>
    <row r="50" spans="1:110">
      <c r="A50" s="1291">
        <v>1</v>
      </c>
      <c r="B50" s="1510" t="s">
        <v>1012</v>
      </c>
      <c r="C50" s="1022" t="s">
        <v>1011</v>
      </c>
      <c r="D50" s="1022" t="s">
        <v>1093</v>
      </c>
      <c r="E50" s="1022" t="s">
        <v>1380</v>
      </c>
      <c r="F50" s="1022" t="s">
        <v>1377</v>
      </c>
      <c r="G50" s="1022" t="s">
        <v>1380</v>
      </c>
      <c r="H50" s="1022" t="s">
        <v>1380</v>
      </c>
      <c r="I50" s="1475" t="s">
        <v>1382</v>
      </c>
      <c r="J50" s="1020" t="s">
        <v>1378</v>
      </c>
      <c r="K50" s="253">
        <v>4444</v>
      </c>
      <c r="L50" s="254">
        <v>12333</v>
      </c>
      <c r="M50" s="1292">
        <f>K50*L50</f>
        <v>0</v>
      </c>
      <c r="W50" s="1237">
        <f ca="1">IF(AND(S46&gt;0,R46&lt;&gt;W49),R46,IF(AND(S47&gt;0,R47&lt;&gt;W49),R47,IF(AND(S48&gt;0,R48&lt;&gt;W49),R48,"")))</f>
        <v>0</v>
      </c>
      <c r="X50" s="1237"/>
      <c r="Y50" s="1238">
        <f ca="1">IF(ISNA(VLOOKUP(W50,$AE$8:$AG$46,2,False))=True,"",VLOOKUP(W50,$AE$8:$AG$46,2,False))</f>
        <v>0</v>
      </c>
      <c r="Z50" s="1238">
        <f ca="1">IF(ISNA(VLOOKUP(W50,$AE$8:$AG$46,3,False))=True,"",VLOOKUP(W50,$AE$8:$AG$46,3,False))</f>
        <v>0</v>
      </c>
      <c r="AA50" s="1287">
        <f ca="1">IF(ISNA(VLOOKUP(W50,$R$45:$T$48,3,False))=True,"",VLOOKUP(W50,$R$45:$T$48,3,False))</f>
        <v>0</v>
      </c>
      <c r="AB50" s="1521">
        <f ca="1">_xlfn.IFNA(IF(ISTEXT(VLOOKUP(W50,'DRAFT A&amp;L'!$B$7:$G$100,4,0)),VLOOKUP(W50,'DRAFT A&amp;L'!$B$7:$G$100,4,0),YEAR(VLOOKUP(W50,'DRAFT A&amp;L'!$B$7:$G$100,4,0))),"")</f>
        <v>0</v>
      </c>
      <c r="AC50" s="423"/>
      <c r="AM50" s="1077">
        <f t="shared" si="206" ref="AM50:AM64">IF(M50&gt;0,1,0)</f>
        <v>0</v>
      </c>
      <c r="AN50" s="1096">
        <f>IF(AM50&gt;0,COUNTIF(AM$8:AM50,"&gt;0"),0)</f>
        <v>0</v>
      </c>
      <c r="AO50" s="1078">
        <f t="shared" si="207" ref="AO50:AO64">B50</f>
        <v>0</v>
      </c>
      <c r="AP50" s="1079">
        <f t="shared" si="208" ref="AP50:AP64">C50</f>
        <v>0</v>
      </c>
      <c r="AQ50" s="1080">
        <f t="shared" si="209" ref="AQ50:AQ64">IF(I50&lt;&gt;"",YEAR(I50),"")</f>
        <v>0</v>
      </c>
      <c r="AR50" s="1080">
        <f t="shared" si="202">IF(E50&lt;&gt;"",E50,"")</f>
        <v>0</v>
      </c>
      <c r="AS50" s="1078">
        <f t="shared" si="186">F50</f>
        <v>0</v>
      </c>
      <c r="AT50" s="1080">
        <f t="shared" si="203">IF(H50&lt;&gt;"",H50,"")</f>
        <v>0</v>
      </c>
      <c r="AU50" s="1080">
        <f t="shared" si="204">J50</f>
        <v>0</v>
      </c>
      <c r="AV50" s="1080">
        <f t="shared" si="210" ref="AV50:AV64">K50</f>
        <v>0</v>
      </c>
      <c r="AW50" s="1081">
        <f t="shared" si="211" ref="AW50:AW64">M50</f>
        <v>0</v>
      </c>
      <c r="AX50" s="237">
        <f t="shared" si="71">IF(AZ50&lt;&gt;"",AX49+1,"")</f>
        <v>0</v>
      </c>
      <c r="AY50" s="1087">
        <v>38</v>
      </c>
      <c r="AZ50" s="1087">
        <f t="shared" si="187">IF(ISNA(VLOOKUP(AY50,$AN$8:$AW$148,2,False))=True,"",VLOOKUP(AY50,$AN$8:$AW$148,2,False))</f>
        <v>0</v>
      </c>
      <c r="BA50" s="1087">
        <f t="shared" si="188">IF(ISNA(VLOOKUP(AZ50,$AE$8:$AF$46,2,False))=True,"",VLOOKUP(AZ50,$AE$8:$AF$46,2,False))</f>
        <v>0</v>
      </c>
      <c r="BB50" s="1087">
        <f t="shared" si="189">IF(ISNA(VLOOKUP(AY50,$AN$8:$AW$148,4,False))=True,"",VLOOKUP(AY50,$AN$8:$AW$148,4,False))</f>
        <v>0</v>
      </c>
      <c r="BC50" s="1087">
        <f t="shared" si="190">IF(ISNA(VLOOKUP(AY50,$AN$8:$AW$148,5,False))=True,"",VLOOKUP(AY50,$AN$8:$AW$148,5,False))</f>
        <v>0</v>
      </c>
      <c r="BD50" s="1087">
        <f t="shared" si="84">IF(ISNA(VLOOKUP(AY50,$AN$8:$AW$148,6,False))=True,"",VLOOKUP(AY50,$AN$8:$AW$148,6,False))</f>
        <v>0</v>
      </c>
      <c r="BE50" s="1125">
        <f t="shared" si="191">IF(ISNA(VLOOKUP(AY50,$AN$8:$AW$148,7,False))=True,"",VLOOKUP(AY50,$AN$8:$AW$148,7,False))</f>
        <v>0</v>
      </c>
      <c r="BF50" s="1123">
        <f t="shared" si="192">IF(ISNA(VLOOKUP($AY50,$AN$8:$AW$148,8,False))=True,"",VLOOKUP($AY50,$AN$8:$AW$148,8,False))</f>
        <v>0</v>
      </c>
      <c r="BG50" s="1120">
        <f t="shared" si="193">IF(ISNA(VLOOKUP($AY50,$AN$8:$AW$148,9,False))=True,"",VLOOKUP($AY50,$AN$8:$AW$148,9,False))</f>
        <v>0</v>
      </c>
      <c r="BH50" s="1120">
        <f t="shared" si="194">IF(ISNA(VLOOKUP($AY50,$AN$8:$AW$148,10,False))=True,"",VLOOKUP($AY50,$AN$8:$AW$148,10,False))</f>
        <v>0</v>
      </c>
      <c r="BI50" s="250">
        <f t="shared" si="49">IF(AZ50&lt;&gt;"",AZ50,"")</f>
        <v>0</v>
      </c>
      <c r="BJ50" s="1098">
        <f t="shared" si="50">BI50</f>
        <v>0</v>
      </c>
      <c r="BK50" s="1115">
        <f>COUNTIFS($AZ:$AZ, AZ50,$BJ:$BJ, "&lt;"&amp;BJ50)+COUNTIFS(AZ$8:AZ50, AZ50, BJ$8:BJ50, BJ50)</f>
        <v>43</v>
      </c>
      <c r="BL50" s="1114">
        <f t="shared" si="51">BK50/100</f>
        <v>0.43</v>
      </c>
      <c r="BM50" s="1093" t="e">
        <f t="shared" si="212" ref="BM50">BJ50+BL50</f>
        <v>#VALUE!</v>
      </c>
      <c r="BN50" s="1101">
        <f t="shared" si="196">IF(BA50&lt;&gt;"",BM50,"")</f>
        <v>0</v>
      </c>
      <c r="BO50" s="1118">
        <f t="shared" si="53">IF(BN50&lt;&gt;"",BN50,0)</f>
        <v>0</v>
      </c>
      <c r="BP50" s="237" t="e">
        <f t="shared" si="162">SMALL($BN$8:$BN$152,AX50)</f>
        <v>#VALUE!</v>
      </c>
      <c r="BR50" s="1102" t="e">
        <f t="shared" si="199">IF(BP50&lt;&gt;"",BR49+1,"")</f>
        <v>#VALUE!</v>
      </c>
      <c r="BS50" s="1102">
        <f t="shared" si="55">IFERROR(BP50,"")</f>
        <v>0</v>
      </c>
      <c r="BT50" s="1102">
        <f t="shared" si="56">IFERROR(CC50,"")</f>
        <v>0</v>
      </c>
      <c r="BU50" s="1098">
        <f t="shared" si="57">IFERROR(CD50,"")</f>
        <v>0</v>
      </c>
      <c r="BV50" s="1098">
        <f t="shared" si="58">IFERROR(CE50,"")</f>
        <v>0</v>
      </c>
      <c r="BW50" s="1098">
        <f t="shared" si="59">IFERROR(CF50,"")</f>
        <v>0</v>
      </c>
      <c r="BX50" s="1146">
        <f t="shared" si="60">IFERROR(CH50,"")</f>
        <v>0</v>
      </c>
      <c r="BY50" s="1098">
        <f t="shared" si="61">IFERROR(CG50,"")</f>
        <v>0</v>
      </c>
      <c r="BZ50" s="1144" t="str">
        <f t="shared" si="62">IFERROR(CI50,"-")</f>
        <v>-</v>
      </c>
      <c r="CA50" s="1107">
        <f t="shared" si="63">IFERROR(CJ50,"")</f>
        <v>0</v>
      </c>
      <c r="CB50" s="1107">
        <f t="shared" si="64">IFERROR(CK50,"")</f>
        <v>0</v>
      </c>
      <c r="CC50" s="1110" t="e">
        <f t="shared" si="163">INDEX($AZ$8:$AZ$153,MATCH(BP50,$BO$8:$BO$153,0))</f>
        <v>#VALUE!</v>
      </c>
      <c r="CD50" s="1087" t="e">
        <f t="shared" si="164">INDEX($BA$8:$BA$153,MATCH(BP50,$BO$8:$BO$153,0))</f>
        <v>#VALUE!</v>
      </c>
      <c r="CE50" s="1106" t="e">
        <f t="shared" si="165">INDEX($BB$8:$BB$153,MATCH(BP50,$BO$8:$BO$153,0))</f>
        <v>#VALUE!</v>
      </c>
      <c r="CF50" s="1106" t="e">
        <f t="shared" si="166">INDEX(BC$8:BC$153,MATCH(BP50,$BO$8:$BO$153,0))</f>
        <v>#VALUE!</v>
      </c>
      <c r="CG50" s="1118" t="e">
        <f t="shared" si="167">INDEX(BE$8:BE$153,MATCH(BP50,$BO$8:$BO$153,0))</f>
        <v>#VALUE!</v>
      </c>
      <c r="CH50" s="1106" t="e">
        <f t="shared" si="168">INDEX($BD$8:$BD$153,MATCH($BP50,$BO$8:$BO$153,0))</f>
        <v>#VALUE!</v>
      </c>
      <c r="CI50" s="1142" t="e">
        <f t="shared" si="169">INDEX($BF$8:$BF$153,MATCH(BP50,$BO$8:$BO$153,0))</f>
        <v>#VALUE!</v>
      </c>
      <c r="CJ50" s="1106" t="e">
        <f t="shared" si="170">INDEX($BG$8:$BG$153,MATCH(BP50,$BO$8:$BO$153,0))</f>
        <v>#VALUE!</v>
      </c>
      <c r="CK50" s="1106" t="e">
        <f t="shared" si="171">INDEX($BH$8:$BH$153,MATCH(BP50,$BO$8:$BO$153,0))</f>
        <v>#VALUE!</v>
      </c>
      <c r="CM50" s="1131">
        <f t="shared" si="172">COUNTIF($CH$8:$CH$228,"&lt;="&amp;CH50)</f>
        <v>145</v>
      </c>
      <c r="CN50" s="1121">
        <f t="shared" si="65">--ISNUMBER(BX50)</f>
        <v>0</v>
      </c>
      <c r="CO50" s="1121">
        <f t="shared" si="66">IF(BX50=0,1,0)</f>
        <v>0</v>
      </c>
      <c r="CP50" s="1124">
        <f t="shared" si="197">IF(ISNUMBER(BX50),CM50,IF(ISERROR(BX50),CM50,CM50+$CN$154))+$CO$154</f>
        <v>145</v>
      </c>
      <c r="CQ50" s="237">
        <f>IFERROR(INDEX($BX$8:$BX$153,MATCH(SMALL($CP$8:$CP$153,ROWS($CQ$8:CQ50)+$CO$154),$CP$8:$CP$154,0)),"")</f>
        <v>0</v>
      </c>
      <c r="CR50" s="237">
        <v>0.1</v>
      </c>
      <c r="CS50" s="1135">
        <f t="shared" si="67">CM50+CR50</f>
        <v>145.1</v>
      </c>
      <c r="CT50" s="237">
        <f>COUNTIFS($CM:$CM, CM50,$CS:$CS, "&lt;"&amp;CL)+COUNTIFS(CM$8:CM50, CM50, CS$8:CS50, CS50)</f>
        <v>43</v>
      </c>
      <c r="CU50" s="1109">
        <f t="shared" si="68">CT50/100</f>
        <v>0.43</v>
      </c>
      <c r="CV50" s="1109">
        <f t="shared" si="69">CM50+CU50</f>
        <v>145.43</v>
      </c>
      <c r="CW50" s="237" t="e">
        <f t="shared" si="173">SMALL(CV$8:CV$153,AX50)</f>
        <v>#VALUE!</v>
      </c>
      <c r="CX50" s="1109">
        <f t="shared" si="70">IFERROR(CW50,"")</f>
        <v>0</v>
      </c>
      <c r="CY50" s="237" t="e">
        <f t="shared" si="174">INDEX(BU$8:BU$152,MATCH($CX50,CV$8:CV$152,0))</f>
        <v>#N/A</v>
      </c>
      <c r="CZ50" s="237" t="e">
        <f t="shared" si="175">INDEX(BV$8:BV$152,MATCH($CX50,$CV$8:$CV$152,0))</f>
        <v>#N/A</v>
      </c>
      <c r="DA50" s="237" t="e">
        <f t="shared" si="176">INDEX(BW$8:BW$152,MATCH($CX50,$CV$8:$CV$152,0))</f>
        <v>#N/A</v>
      </c>
      <c r="DB50" s="237" t="e">
        <f t="shared" si="177">INDEX(BX$8:BX$152,MATCH($CX50,$CV$8:$CV$152,0))</f>
        <v>#N/A</v>
      </c>
      <c r="DC50" s="237" t="e">
        <f t="shared" si="178">INDEX(BY$8:BY$152,MATCH($CX50,$CV$8:$CV$152,0))</f>
        <v>#N/A</v>
      </c>
      <c r="DD50" s="237" t="e">
        <f t="shared" si="179">INDEX(BZ$8:BZ$152,MATCH($CX50,$CV$8:$CV$152,0))</f>
        <v>#N/A</v>
      </c>
      <c r="DE50" s="237" t="e">
        <f t="shared" si="180">INDEX(CA$8:CA$152,MATCH($CX50,$CV$8:$CV$152,0))</f>
        <v>#N/A</v>
      </c>
      <c r="DF50" s="237" t="e">
        <f t="shared" si="181">INDEX(CB$8:CB$152,MATCH($CX50,$CV$8:$CV$152,0))</f>
        <v>#N/A</v>
      </c>
    </row>
    <row r="51" spans="1:110">
      <c r="A51" s="1291">
        <v>2</v>
      </c>
      <c r="B51" s="1510"/>
      <c r="C51" s="1022"/>
      <c r="D51" s="1022"/>
      <c r="E51" s="1022"/>
      <c r="F51" s="1022"/>
      <c r="G51" s="1022"/>
      <c r="H51" s="1022"/>
      <c r="I51" s="1475"/>
      <c r="J51" s="1020"/>
      <c r="K51" s="253"/>
      <c r="L51" s="254"/>
      <c r="M51" s="1292">
        <f t="shared" si="213" ref="M51:M64">K51*L51</f>
        <v>0</v>
      </c>
      <c r="W51" s="1237">
        <f ca="1">IF(AND(S47&gt;0,R47&lt;&gt;W50,R47&lt;&gt;W49),R47,IF(AND(S48&gt;0,R48&lt;&gt;W51,R48&lt;&gt;W51),R48,""))</f>
        <v>0</v>
      </c>
      <c r="X51" s="1237"/>
      <c r="Y51" s="1238">
        <f ca="1">IF(ISNA(VLOOKUP(W51,$AE$8:$AG$46,2,False))=True,"",VLOOKUP(W51,$AE$8:$AG$46,2,False))</f>
        <v>0</v>
      </c>
      <c r="Z51" s="1238">
        <f ca="1">IF(ISNA(VLOOKUP(W51,$AE$8:$AG$46,3,False))=True,"",VLOOKUP(W51,$AE$8:$AG$46,3,False))</f>
        <v>0</v>
      </c>
      <c r="AA51" s="1287">
        <f ca="1">IF(ISNA(VLOOKUP(W51,$R$45:$T$48,3,False))=True,"",VLOOKUP(W51,$R$45:$T$48,3,False))</f>
        <v>0</v>
      </c>
      <c r="AB51" s="1521">
        <f ca="1">_xlfn.IFNA(IF(ISTEXT(VLOOKUP(W51,'DRAFT A&amp;L'!$B$7:$G$100,4,0)),VLOOKUP(W51,'DRAFT A&amp;L'!$B$7:$G$100,4,0),YEAR(VLOOKUP(W51,'DRAFT A&amp;L'!$B$7:$G$100,4,0))),"")</f>
        <v>0</v>
      </c>
      <c r="AC51" s="423"/>
      <c r="AM51" s="1077">
        <f t="shared" si="206">IF(M51&gt;0,1,0)</f>
        <v>0</v>
      </c>
      <c r="AN51" s="1096">
        <f>IF(K51&gt;0,COUNTIF(AM$8:AM51,"&gt;0"),0)</f>
        <v>0</v>
      </c>
      <c r="AO51" s="1078">
        <f t="shared" si="207">B51</f>
        <v>0</v>
      </c>
      <c r="AP51" s="1079">
        <f t="shared" si="208">C51</f>
        <v>0</v>
      </c>
      <c r="AQ51" s="1080">
        <f t="shared" si="209">IF(I51&lt;&gt;"",YEAR(I51),"")</f>
        <v>0</v>
      </c>
      <c r="AR51" s="1080">
        <f t="shared" si="202">IF(E51&lt;&gt;"",E51,"")</f>
        <v>0</v>
      </c>
      <c r="AS51" s="1078">
        <f t="shared" si="186">F51</f>
        <v>0</v>
      </c>
      <c r="AT51" s="1080">
        <f t="shared" si="203">IF(H51&lt;&gt;"",H51,"")</f>
        <v>0</v>
      </c>
      <c r="AU51" s="1080">
        <f t="shared" si="204">J51</f>
        <v>0</v>
      </c>
      <c r="AV51" s="1080">
        <f t="shared" si="210">K51</f>
        <v>0</v>
      </c>
      <c r="AW51" s="1081">
        <f t="shared" si="211">M51</f>
        <v>0</v>
      </c>
      <c r="AX51" s="237">
        <f t="shared" si="71">IF(AZ51&lt;&gt;"",AX50+1,"")</f>
        <v>0</v>
      </c>
      <c r="AY51" s="1087">
        <v>39</v>
      </c>
      <c r="AZ51" s="1087">
        <f t="shared" si="187">IF(ISNA(VLOOKUP(AY51,$AN$8:$AW$148,2,False))=True,"",VLOOKUP(AY51,$AN$8:$AW$148,2,False))</f>
        <v>0</v>
      </c>
      <c r="BA51" s="1087">
        <f t="shared" si="188">IF(ISNA(VLOOKUP(AZ51,$AE$8:$AF$46,2,False))=True,"",VLOOKUP(AZ51,$AE$8:$AF$46,2,False))</f>
        <v>0</v>
      </c>
      <c r="BB51" s="1087">
        <f t="shared" si="189">IF(ISNA(VLOOKUP(AY51,$AN$8:$AW$148,4,False))=True,"",VLOOKUP(AY51,$AN$8:$AW$148,4,False))</f>
        <v>0</v>
      </c>
      <c r="BC51" s="1087">
        <f t="shared" si="190">IF(ISNA(VLOOKUP(AY51,$AN$8:$AW$148,5,False))=True,"",VLOOKUP(AY51,$AN$8:$AW$148,5,False))</f>
        <v>0</v>
      </c>
      <c r="BD51" s="1087">
        <f t="shared" si="84">IF(ISNA(VLOOKUP(AY51,$AN$8:$AW$148,6,False))=True,"",VLOOKUP(AY51,$AN$8:$AW$148,6,False))</f>
        <v>0</v>
      </c>
      <c r="BE51" s="1125">
        <f t="shared" si="191">IF(ISNA(VLOOKUP(AY51,$AN$8:$AW$148,7,False))=True,"",VLOOKUP(AY51,$AN$8:$AW$148,7,False))</f>
        <v>0</v>
      </c>
      <c r="BF51" s="1123">
        <f t="shared" si="192">IF(ISNA(VLOOKUP($AY51,$AN$8:$AW$148,8,False))=True,"",VLOOKUP($AY51,$AN$8:$AW$148,8,False))</f>
        <v>0</v>
      </c>
      <c r="BG51" s="1120">
        <f t="shared" si="193">IF(ISNA(VLOOKUP($AY51,$AN$8:$AW$148,9,False))=True,"",VLOOKUP($AY51,$AN$8:$AW$148,9,False))</f>
        <v>0</v>
      </c>
      <c r="BH51" s="1120">
        <f t="shared" si="194">IF(ISNA(VLOOKUP($AY51,$AN$8:$AW$148,10,False))=True,"",VLOOKUP($AY51,$AN$8:$AW$148,10,False))</f>
        <v>0</v>
      </c>
      <c r="BI51" s="250">
        <f t="shared" si="49">IF(AZ51&lt;&gt;"",AZ51,"")</f>
        <v>0</v>
      </c>
      <c r="BJ51" s="1098">
        <f t="shared" si="50">BI51</f>
        <v>0</v>
      </c>
      <c r="BK51" s="1115">
        <f>COUNTIFS($AZ:$AZ, AZ51,$BJ:$BJ, "&lt;"&amp;BJ51)+COUNTIFS(AZ$8:AZ51, AZ51, BJ$8:BJ51, BJ51)</f>
        <v>44</v>
      </c>
      <c r="BL51" s="1114">
        <f t="shared" si="51">BK51/100</f>
        <v>0.44</v>
      </c>
      <c r="BM51" s="1093" t="e">
        <f t="shared" si="214" ref="BM51">BI51+BL51</f>
        <v>#VALUE!</v>
      </c>
      <c r="BN51" s="1101">
        <f t="shared" si="196">IF(BA51&lt;&gt;"",BM51,"")</f>
        <v>0</v>
      </c>
      <c r="BO51" s="1118">
        <f t="shared" si="53">IF(BN51&lt;&gt;"",BN51,0)</f>
        <v>0</v>
      </c>
      <c r="BP51" s="237" t="e">
        <f t="shared" si="162">SMALL($BN$8:$BN$152,AX51)</f>
        <v>#VALUE!</v>
      </c>
      <c r="BR51" s="1102" t="e">
        <f t="shared" si="199">IF(BP51&lt;&gt;"",BR50+1,"")</f>
        <v>#VALUE!</v>
      </c>
      <c r="BS51" s="1102">
        <f t="shared" si="55">IFERROR(BP51,"")</f>
        <v>0</v>
      </c>
      <c r="BT51" s="1102">
        <f t="shared" si="56">IFERROR(CC51,"")</f>
        <v>0</v>
      </c>
      <c r="BU51" s="1098">
        <f t="shared" si="57">IFERROR(CD51,"")</f>
        <v>0</v>
      </c>
      <c r="BV51" s="1098">
        <f t="shared" si="58">IFERROR(CE51,"")</f>
        <v>0</v>
      </c>
      <c r="BW51" s="1098">
        <f t="shared" si="59">IFERROR(CF51,"")</f>
        <v>0</v>
      </c>
      <c r="BX51" s="1146">
        <f t="shared" si="60">IFERROR(CH51,"")</f>
        <v>0</v>
      </c>
      <c r="BY51" s="1098">
        <f t="shared" si="61">IFERROR(CG51,"")</f>
        <v>0</v>
      </c>
      <c r="BZ51" s="1144" t="str">
        <f t="shared" si="62">IFERROR(CI51,"-")</f>
        <v>-</v>
      </c>
      <c r="CA51" s="1107">
        <f t="shared" si="63">IFERROR(CJ51,"")</f>
        <v>0</v>
      </c>
      <c r="CB51" s="1107">
        <f t="shared" si="64">IFERROR(CK51,"")</f>
        <v>0</v>
      </c>
      <c r="CC51" s="1110" t="e">
        <f t="shared" si="163">INDEX($AZ$8:$AZ$153,MATCH(BP51,$BO$8:$BO$153,0))</f>
        <v>#VALUE!</v>
      </c>
      <c r="CD51" s="1087" t="e">
        <f t="shared" si="164">INDEX($BA$8:$BA$153,MATCH(BP51,$BO$8:$BO$153,0))</f>
        <v>#VALUE!</v>
      </c>
      <c r="CE51" s="1106" t="e">
        <f t="shared" si="165">INDEX($BB$8:$BB$153,MATCH(BP51,$BO$8:$BO$153,0))</f>
        <v>#VALUE!</v>
      </c>
      <c r="CF51" s="1106" t="e">
        <f t="shared" si="166">INDEX(BC$8:BC$153,MATCH(BP51,$BO$8:$BO$153,0))</f>
        <v>#VALUE!</v>
      </c>
      <c r="CG51" s="1118" t="e">
        <f t="shared" si="167">INDEX(BE$8:BE$153,MATCH(BP51,$BO$8:$BO$153,0))</f>
        <v>#VALUE!</v>
      </c>
      <c r="CH51" s="1106" t="e">
        <f t="shared" si="168">INDEX($BD$8:$BD$153,MATCH($BP51,$BO$8:$BO$153,0))</f>
        <v>#VALUE!</v>
      </c>
      <c r="CI51" s="1142" t="e">
        <f t="shared" si="169">INDEX($BF$8:$BF$153,MATCH(BP51,$BO$8:$BO$153,0))</f>
        <v>#VALUE!</v>
      </c>
      <c r="CJ51" s="1106" t="e">
        <f t="shared" si="170">INDEX($BG$8:$BG$153,MATCH(BP51,$BO$8:$BO$153,0))</f>
        <v>#VALUE!</v>
      </c>
      <c r="CK51" s="1106" t="e">
        <f t="shared" si="171">INDEX($BH$8:$BH$153,MATCH(BP51,$BO$8:$BO$153,0))</f>
        <v>#VALUE!</v>
      </c>
      <c r="CM51" s="1131">
        <f t="shared" si="172">COUNTIF($CH$8:$CH$228,"&lt;="&amp;CH51)</f>
        <v>145</v>
      </c>
      <c r="CN51" s="1121">
        <f t="shared" si="65">--ISNUMBER(BX51)</f>
        <v>0</v>
      </c>
      <c r="CO51" s="1121">
        <f t="shared" si="66">IF(BX51=0,1,0)</f>
        <v>0</v>
      </c>
      <c r="CP51" s="1124">
        <f t="shared" si="197">IF(ISNUMBER(BX51),CM51,IF(ISERROR(BX51),CM51,CM51+$CN$154))+$CO$154</f>
        <v>145</v>
      </c>
      <c r="CQ51" s="237">
        <f>IFERROR(INDEX($BX$8:$BX$153,MATCH(SMALL($CP$8:$CP$153,ROWS($CQ$8:CQ51)+$CO$154),$CP$8:$CP$154,0)),"")</f>
        <v>0</v>
      </c>
      <c r="CR51" s="237">
        <v>0.1</v>
      </c>
      <c r="CS51" s="1135">
        <f t="shared" si="67">CM51+CR51</f>
        <v>145.1</v>
      </c>
      <c r="CT51" s="237">
        <f>COUNTIFS($CM:$CM, CM51,$CS:$CS, "&lt;"&amp;CL)+COUNTIFS(CM$8:CM51, CM51, CS$8:CS51, CS51)</f>
        <v>44</v>
      </c>
      <c r="CU51" s="1109">
        <f t="shared" si="68">CT51/100</f>
        <v>0.44</v>
      </c>
      <c r="CV51" s="1109">
        <f t="shared" si="69">CM51+CU51</f>
        <v>145.44</v>
      </c>
      <c r="CW51" s="237" t="e">
        <f t="shared" si="173">SMALL(CV$8:CV$153,AX51)</f>
        <v>#VALUE!</v>
      </c>
      <c r="CX51" s="1109">
        <f t="shared" si="70">IFERROR(CW51,"")</f>
        <v>0</v>
      </c>
      <c r="CY51" s="237" t="e">
        <f t="shared" si="174">INDEX(BU$8:BU$152,MATCH($CX51,CV$8:CV$152,0))</f>
        <v>#N/A</v>
      </c>
      <c r="CZ51" s="237" t="e">
        <f t="shared" si="175">INDEX(BV$8:BV$152,MATCH($CX51,$CV$8:$CV$152,0))</f>
        <v>#N/A</v>
      </c>
      <c r="DA51" s="237" t="e">
        <f t="shared" si="176">INDEX(BW$8:BW$152,MATCH($CX51,$CV$8:$CV$152,0))</f>
        <v>#N/A</v>
      </c>
      <c r="DB51" s="237" t="e">
        <f t="shared" si="177">INDEX(BX$8:BX$152,MATCH($CX51,$CV$8:$CV$152,0))</f>
        <v>#N/A</v>
      </c>
      <c r="DC51" s="237" t="e">
        <f t="shared" si="178">INDEX(BY$8:BY$152,MATCH($CX51,$CV$8:$CV$152,0))</f>
        <v>#N/A</v>
      </c>
      <c r="DD51" s="237" t="e">
        <f t="shared" si="179">INDEX(BZ$8:BZ$152,MATCH($CX51,$CV$8:$CV$152,0))</f>
        <v>#N/A</v>
      </c>
      <c r="DE51" s="237" t="e">
        <f t="shared" si="180">INDEX(CA$8:CA$152,MATCH($CX51,$CV$8:$CV$152,0))</f>
        <v>#N/A</v>
      </c>
      <c r="DF51" s="237" t="e">
        <f t="shared" si="181">INDEX(CB$8:CB$152,MATCH($CX51,$CV$8:$CV$152,0))</f>
        <v>#N/A</v>
      </c>
    </row>
    <row r="52" spans="1:110" ht="13.5" customHeight="1">
      <c r="A52" s="1291">
        <v>3</v>
      </c>
      <c r="B52" s="1510"/>
      <c r="C52" s="1022"/>
      <c r="D52" s="1022"/>
      <c r="E52" s="1022"/>
      <c r="F52" s="1022"/>
      <c r="G52" s="1022"/>
      <c r="H52" s="1022"/>
      <c r="I52" s="1475"/>
      <c r="J52" s="1020"/>
      <c r="K52" s="253"/>
      <c r="L52" s="254"/>
      <c r="M52" s="1292">
        <f t="shared" si="213">K52*L52</f>
        <v>0</v>
      </c>
      <c r="W52" s="1239">
        <f ca="1">IF(AND(S48&gt;0,R48&lt;&gt;W51,R48&lt;&gt;W50,R48&lt;&gt;W49),R48,"")</f>
        <v>0</v>
      </c>
      <c r="X52" s="1239"/>
      <c r="Y52" s="1240">
        <f ca="1">IF(ISNA(VLOOKUP(W52,$AE$8:$AG$46,2,False))=True,"",VLOOKUP(W52,$AE$8:$AG$46,2,False))</f>
        <v>0</v>
      </c>
      <c r="Z52" s="1240">
        <f ca="1">IF(ISNA(VLOOKUP(W52,$AE$8:$AG$46,3,False))=True,"",VLOOKUP(W52,$AE$8:$AG$46,3,False))</f>
        <v>0</v>
      </c>
      <c r="AA52" s="1288">
        <f ca="1">IF(ISNA(VLOOKUP(W52,$R$45:$T$48,3,False))=True,"",VLOOKUP(W52,$R$45:$T$48,3,False))</f>
        <v>0</v>
      </c>
      <c r="AB52" s="1525">
        <f ca="1">_xlfn.IFNA(IF(ISTEXT(VLOOKUP(W52,'DRAFT A&amp;L'!$B$7:$G$100,4,0)),VLOOKUP(W52,'DRAFT A&amp;L'!$B$7:$G$100,4,0),YEAR(VLOOKUP(W52,'DRAFT A&amp;L'!$B$7:$G$100,4,0))),"")</f>
        <v>0</v>
      </c>
      <c r="AC52" s="423"/>
      <c r="AM52" s="1082">
        <f t="shared" si="206">IF(M52&gt;0,1,0)</f>
        <v>0</v>
      </c>
      <c r="AN52" s="1096">
        <f>IF(AM52&gt;0,COUNTIF(AM$8:AM52,"&gt;0"),0)</f>
        <v>0</v>
      </c>
      <c r="AO52" s="1083">
        <f t="shared" si="207">B52</f>
        <v>0</v>
      </c>
      <c r="AP52" s="1084">
        <f t="shared" si="208">C52</f>
        <v>0</v>
      </c>
      <c r="AQ52" s="1085">
        <f t="shared" si="209">IF(I52&lt;&gt;"",YEAR(I52),"")</f>
        <v>0</v>
      </c>
      <c r="AR52" s="1080">
        <f t="shared" si="202">IF(E52&lt;&gt;"",E52,"")</f>
        <v>0</v>
      </c>
      <c r="AS52" s="1078">
        <f t="shared" si="186">F52</f>
        <v>0</v>
      </c>
      <c r="AT52" s="1080">
        <f t="shared" si="203">IF(H52&lt;&gt;"",H52,"")</f>
        <v>0</v>
      </c>
      <c r="AU52" s="1080">
        <f t="shared" si="204">J52</f>
        <v>0</v>
      </c>
      <c r="AV52" s="1080">
        <f t="shared" si="210">K52</f>
        <v>0</v>
      </c>
      <c r="AW52" s="1086">
        <f t="shared" si="211">M52</f>
        <v>0</v>
      </c>
      <c r="AX52" s="237">
        <f t="shared" si="71">IF(AZ52&lt;&gt;"",AX51+1,"")</f>
        <v>0</v>
      </c>
      <c r="AY52" s="1087">
        <v>40</v>
      </c>
      <c r="AZ52" s="1087">
        <f t="shared" si="187">IF(ISNA(VLOOKUP(AY52,$AN$8:$AW$148,2,False))=True,"",VLOOKUP(AY52,$AN$8:$AW$148,2,False))</f>
        <v>0</v>
      </c>
      <c r="BA52" s="1087">
        <f t="shared" si="188">IF(ISNA(VLOOKUP(AZ52,$AE$8:$AF$46,2,False))=True,"",VLOOKUP(AZ52,$AE$8:$AF$46,2,False))</f>
        <v>0</v>
      </c>
      <c r="BB52" s="1087">
        <f t="shared" si="189">IF(ISNA(VLOOKUP(AY52,$AN$8:$AW$148,4,False))=True,"",VLOOKUP(AY52,$AN$8:$AW$148,4,False))</f>
        <v>0</v>
      </c>
      <c r="BC52" s="1087">
        <f t="shared" si="190">IF(ISNA(VLOOKUP(AY52,$AN$8:$AW$148,5,False))=True,"",VLOOKUP(AY52,$AN$8:$AW$148,5,False))</f>
        <v>0</v>
      </c>
      <c r="BD52" s="1087">
        <f t="shared" si="84">IF(ISNA(VLOOKUP(AY52,$AN$8:$AW$148,6,False))=True,"",VLOOKUP(AY52,$AN$8:$AW$148,6,False))</f>
        <v>0</v>
      </c>
      <c r="BE52" s="1125">
        <f t="shared" si="191">IF(ISNA(VLOOKUP(AY52,$AN$8:$AW$148,7,False))=True,"",VLOOKUP(AY52,$AN$8:$AW$148,7,False))</f>
        <v>0</v>
      </c>
      <c r="BF52" s="1123">
        <f t="shared" si="192">IF(ISNA(VLOOKUP($AY52,$AN$8:$AW$148,8,False))=True,"",VLOOKUP($AY52,$AN$8:$AW$148,8,False))</f>
        <v>0</v>
      </c>
      <c r="BG52" s="1120">
        <f t="shared" si="193">IF(ISNA(VLOOKUP($AY52,$AN$8:$AW$148,9,False))=True,"",VLOOKUP($AY52,$AN$8:$AW$148,9,False))</f>
        <v>0</v>
      </c>
      <c r="BH52" s="1120">
        <f t="shared" si="194">IF(ISNA(VLOOKUP($AY52,$AN$8:$AW$148,10,False))=True,"",VLOOKUP($AY52,$AN$8:$AW$148,10,False))</f>
        <v>0</v>
      </c>
      <c r="BI52" s="250">
        <f t="shared" si="49">IF(AZ52&lt;&gt;"",AZ52,"")</f>
        <v>0</v>
      </c>
      <c r="BJ52" s="1098">
        <f t="shared" si="50">BI52</f>
        <v>0</v>
      </c>
      <c r="BK52" s="1115">
        <f>COUNTIFS($AZ:$AZ, AZ52,$BJ:$BJ, "&lt;"&amp;BJ52)+COUNTIFS(AZ$8:AZ52, AZ52, BJ$8:BJ52, BJ52)</f>
        <v>45</v>
      </c>
      <c r="BL52" s="1114">
        <f t="shared" si="51">BK52/100</f>
        <v>0.45</v>
      </c>
      <c r="BM52" s="1093" t="e">
        <f t="shared" si="215" ref="BM52">BJ52+BL52</f>
        <v>#VALUE!</v>
      </c>
      <c r="BN52" s="1101">
        <f t="shared" si="196">IF(BA52&lt;&gt;"",BM52,"")</f>
        <v>0</v>
      </c>
      <c r="BO52" s="1118">
        <f t="shared" si="53">IF(BN52&lt;&gt;"",BN52,0)</f>
        <v>0</v>
      </c>
      <c r="BP52" s="237" t="e">
        <f t="shared" si="162">SMALL($BN$8:$BN$152,AX52)</f>
        <v>#VALUE!</v>
      </c>
      <c r="BR52" s="1102" t="e">
        <f t="shared" si="199">IF(BP52&lt;&gt;"",BR51+1,"")</f>
        <v>#VALUE!</v>
      </c>
      <c r="BS52" s="1102">
        <f t="shared" si="55">IFERROR(BP52,"")</f>
        <v>0</v>
      </c>
      <c r="BT52" s="1102">
        <f t="shared" si="56">IFERROR(CC52,"")</f>
        <v>0</v>
      </c>
      <c r="BU52" s="1098">
        <f t="shared" si="57">IFERROR(CD52,"")</f>
        <v>0</v>
      </c>
      <c r="BV52" s="1098">
        <f t="shared" si="58">IFERROR(CE52,"")</f>
        <v>0</v>
      </c>
      <c r="BW52" s="1098">
        <f t="shared" si="59">IFERROR(CF52,"")</f>
        <v>0</v>
      </c>
      <c r="BX52" s="1146">
        <f t="shared" si="60">IFERROR(CH52,"")</f>
        <v>0</v>
      </c>
      <c r="BY52" s="1098">
        <f t="shared" si="61">IFERROR(CG52,"")</f>
        <v>0</v>
      </c>
      <c r="BZ52" s="1144" t="str">
        <f t="shared" si="62">IFERROR(CI52,"-")</f>
        <v>-</v>
      </c>
      <c r="CA52" s="1107">
        <f t="shared" si="63">IFERROR(CJ52,"")</f>
        <v>0</v>
      </c>
      <c r="CB52" s="1107">
        <f t="shared" si="64">IFERROR(CK52,"")</f>
        <v>0</v>
      </c>
      <c r="CC52" s="1110" t="e">
        <f t="shared" si="163">INDEX($AZ$8:$AZ$153,MATCH(BP52,$BO$8:$BO$153,0))</f>
        <v>#VALUE!</v>
      </c>
      <c r="CD52" s="1087" t="e">
        <f t="shared" si="164">INDEX($BA$8:$BA$153,MATCH(BP52,$BO$8:$BO$153,0))</f>
        <v>#VALUE!</v>
      </c>
      <c r="CE52" s="1106" t="e">
        <f t="shared" si="165">INDEX($BB$8:$BB$153,MATCH(BP52,$BO$8:$BO$153,0))</f>
        <v>#VALUE!</v>
      </c>
      <c r="CF52" s="1106" t="e">
        <f t="shared" si="166">INDEX(BC$8:BC$153,MATCH(BP52,$BO$8:$BO$153,0))</f>
        <v>#VALUE!</v>
      </c>
      <c r="CG52" s="1118" t="e">
        <f t="shared" si="167">INDEX(BE$8:BE$153,MATCH(BP52,$BO$8:$BO$153,0))</f>
        <v>#VALUE!</v>
      </c>
      <c r="CH52" s="1106" t="e">
        <f t="shared" si="168">INDEX($BD$8:$BD$153,MATCH($BP52,$BO$8:$BO$153,0))</f>
        <v>#VALUE!</v>
      </c>
      <c r="CI52" s="1142" t="e">
        <f t="shared" si="169">INDEX($BF$8:$BF$153,MATCH(BP52,$BO$8:$BO$153,0))</f>
        <v>#VALUE!</v>
      </c>
      <c r="CJ52" s="1106" t="e">
        <f t="shared" si="170">INDEX($BG$8:$BG$153,MATCH(BP52,$BO$8:$BO$153,0))</f>
        <v>#VALUE!</v>
      </c>
      <c r="CK52" s="1106" t="e">
        <f t="shared" si="171">INDEX($BH$8:$BH$153,MATCH(BP52,$BO$8:$BO$153,0))</f>
        <v>#VALUE!</v>
      </c>
      <c r="CM52" s="1131">
        <f t="shared" si="172">COUNTIF($CH$8:$CH$228,"&lt;="&amp;CH52)</f>
        <v>145</v>
      </c>
      <c r="CN52" s="1121">
        <f t="shared" si="65">--ISNUMBER(BX52)</f>
        <v>0</v>
      </c>
      <c r="CO52" s="1121">
        <f t="shared" si="66">IF(BX52=0,1,0)</f>
        <v>0</v>
      </c>
      <c r="CP52" s="1124">
        <f t="shared" si="197">IF(ISNUMBER(BX52),CM52,IF(ISERROR(BX52),CM52,CM52+$CN$154))+$CO$154</f>
        <v>145</v>
      </c>
      <c r="CQ52" s="237">
        <f>IFERROR(INDEX($BX$8:$BX$153,MATCH(SMALL($CP$8:$CP$153,ROWS($CQ$8:CQ52)+$CO$154),$CP$8:$CP$154,0)),"")</f>
        <v>0</v>
      </c>
      <c r="CR52" s="237">
        <v>0.1</v>
      </c>
      <c r="CS52" s="1135">
        <f t="shared" si="67">CM52+CR52</f>
        <v>145.1</v>
      </c>
      <c r="CT52" s="237">
        <f>COUNTIFS($CM:$CM, CM52,$CS:$CS, "&lt;"&amp;CL)+COUNTIFS(CM$8:CM52, CM52, CS$8:CS52, CS52)</f>
        <v>45</v>
      </c>
      <c r="CU52" s="1109">
        <f t="shared" si="68">CT52/100</f>
        <v>0.45</v>
      </c>
      <c r="CV52" s="1109">
        <f t="shared" si="69">CM52+CU52</f>
        <v>145.45</v>
      </c>
      <c r="CW52" s="237" t="e">
        <f t="shared" si="173">SMALL(CV$8:CV$153,AX52)</f>
        <v>#VALUE!</v>
      </c>
      <c r="CX52" s="1109">
        <f t="shared" si="70">IFERROR(CW52,"")</f>
        <v>0</v>
      </c>
      <c r="CY52" s="237" t="e">
        <f t="shared" si="174">INDEX(BU$8:BU$152,MATCH($CX52,CV$8:CV$152,0))</f>
        <v>#N/A</v>
      </c>
      <c r="CZ52" s="237" t="e">
        <f t="shared" si="175">INDEX(BV$8:BV$152,MATCH($CX52,$CV$8:$CV$152,0))</f>
        <v>#N/A</v>
      </c>
      <c r="DA52" s="237" t="e">
        <f t="shared" si="176">INDEX(BW$8:BW$152,MATCH($CX52,$CV$8:$CV$152,0))</f>
        <v>#N/A</v>
      </c>
      <c r="DB52" s="237" t="e">
        <f t="shared" si="177">INDEX(BX$8:BX$152,MATCH($CX52,$CV$8:$CV$152,0))</f>
        <v>#N/A</v>
      </c>
      <c r="DC52" s="237" t="e">
        <f t="shared" si="178">INDEX(BY$8:BY$152,MATCH($CX52,$CV$8:$CV$152,0))</f>
        <v>#N/A</v>
      </c>
      <c r="DD52" s="237" t="e">
        <f t="shared" si="179">INDEX(BZ$8:BZ$152,MATCH($CX52,$CV$8:$CV$152,0))</f>
        <v>#N/A</v>
      </c>
      <c r="DE52" s="237" t="e">
        <f t="shared" si="180">INDEX(CA$8:CA$152,MATCH($CX52,$CV$8:$CV$152,0))</f>
        <v>#N/A</v>
      </c>
      <c r="DF52" s="237" t="e">
        <f t="shared" si="181">INDEX(CB$8:CB$152,MATCH($CX52,$CV$8:$CV$152,0))</f>
        <v>#N/A</v>
      </c>
    </row>
    <row r="53" spans="1:110" ht="13.5" customHeight="1">
      <c r="A53" s="1291">
        <v>4</v>
      </c>
      <c r="B53" s="1510"/>
      <c r="C53" s="1022"/>
      <c r="D53" s="1022"/>
      <c r="E53" s="1022"/>
      <c r="F53" s="1022"/>
      <c r="G53" s="1022"/>
      <c r="H53" s="1022"/>
      <c r="I53" s="1475"/>
      <c r="J53" s="1020"/>
      <c r="K53" s="253"/>
      <c r="L53" s="254"/>
      <c r="M53" s="1292">
        <f t="shared" si="213">K53*L53</f>
        <v>0</v>
      </c>
      <c r="W53" s="1241"/>
      <c r="X53" s="1241"/>
      <c r="Y53" s="1242"/>
      <c r="Z53" s="1242"/>
      <c r="AA53" s="1243"/>
      <c r="AB53" s="1241"/>
      <c r="AC53" s="423"/>
      <c r="AM53" s="1077">
        <f t="shared" si="206">IF(M53&gt;0,1,0)</f>
        <v>0</v>
      </c>
      <c r="AN53" s="1096">
        <f>IF(AM53&gt;0,COUNTIF(AM$8:AM53,"&gt;0"),0)</f>
        <v>0</v>
      </c>
      <c r="AO53" s="1078">
        <f t="shared" si="207">B53</f>
        <v>0</v>
      </c>
      <c r="AP53" s="1079">
        <f t="shared" si="208">C53</f>
        <v>0</v>
      </c>
      <c r="AQ53" s="1080">
        <f t="shared" si="209">IF(I53&lt;&gt;"",YEAR(I53),"")</f>
        <v>0</v>
      </c>
      <c r="AR53" s="1080">
        <f t="shared" si="202">IF(E53&lt;&gt;"",E53,"")</f>
        <v>0</v>
      </c>
      <c r="AS53" s="1078">
        <f t="shared" si="186">F53</f>
        <v>0</v>
      </c>
      <c r="AT53" s="1080">
        <f t="shared" si="203">IF(H53&lt;&gt;"",H53,"")</f>
        <v>0</v>
      </c>
      <c r="AU53" s="1080">
        <f t="shared" si="204">J53</f>
        <v>0</v>
      </c>
      <c r="AV53" s="1080">
        <f t="shared" si="210">K53</f>
        <v>0</v>
      </c>
      <c r="AW53" s="1081">
        <f t="shared" si="211">M53</f>
        <v>0</v>
      </c>
      <c r="AX53" s="237">
        <f t="shared" si="71">IF(AZ53&lt;&gt;"",AX52+1,"")</f>
        <v>0</v>
      </c>
      <c r="AY53" s="1087">
        <v>41</v>
      </c>
      <c r="AZ53" s="1087">
        <f t="shared" si="187">IF(ISNA(VLOOKUP(AY53,$AN$8:$AW$148,2,False))=True,"",VLOOKUP(AY53,$AN$8:$AW$148,2,False))</f>
        <v>0</v>
      </c>
      <c r="BA53" s="1087">
        <f t="shared" si="188">IF(ISNA(VLOOKUP(AZ53,$AE$8:$AF$46,2,False))=True,"",VLOOKUP(AZ53,$AE$8:$AF$46,2,False))</f>
        <v>0</v>
      </c>
      <c r="BB53" s="1087">
        <f t="shared" si="189">IF(ISNA(VLOOKUP(AY53,$AN$8:$AW$148,4,False))=True,"",VLOOKUP(AY53,$AN$8:$AW$148,4,False))</f>
        <v>0</v>
      </c>
      <c r="BC53" s="1087">
        <f t="shared" si="190">IF(ISNA(VLOOKUP(AY53,$AN$8:$AW$148,5,False))=True,"",VLOOKUP(AY53,$AN$8:$AW$148,5,False))</f>
        <v>0</v>
      </c>
      <c r="BD53" s="1087">
        <f t="shared" si="84">IF(ISNA(VLOOKUP(AY53,$AN$8:$AW$148,6,False))=True,"",VLOOKUP(AY53,$AN$8:$AW$148,6,False))</f>
        <v>0</v>
      </c>
      <c r="BE53" s="1125">
        <f t="shared" si="191">IF(ISNA(VLOOKUP(AY53,$AN$8:$AW$148,7,False))=True,"",VLOOKUP(AY53,$AN$8:$AW$148,7,False))</f>
        <v>0</v>
      </c>
      <c r="BF53" s="1123">
        <f t="shared" si="192">IF(ISNA(VLOOKUP($AY53,$AN$8:$AW$148,8,False))=True,"",VLOOKUP($AY53,$AN$8:$AW$148,8,False))</f>
        <v>0</v>
      </c>
      <c r="BG53" s="1120">
        <f t="shared" si="193">IF(ISNA(VLOOKUP($AY53,$AN$8:$AW$148,9,False))=True,"",VLOOKUP($AY53,$AN$8:$AW$148,9,False))</f>
        <v>0</v>
      </c>
      <c r="BH53" s="1120">
        <f t="shared" si="194">IF(ISNA(VLOOKUP($AY53,$AN$8:$AW$148,10,False))=True,"",VLOOKUP($AY53,$AN$8:$AW$148,10,False))</f>
        <v>0</v>
      </c>
      <c r="BI53" s="250">
        <f t="shared" si="49">IF(AZ53&lt;&gt;"",AZ53,"")</f>
        <v>0</v>
      </c>
      <c r="BJ53" s="1098">
        <f t="shared" si="50">BI53</f>
        <v>0</v>
      </c>
      <c r="BK53" s="1115">
        <f>COUNTIFS($AZ:$AZ, AZ53,$BJ:$BJ, "&lt;"&amp;BJ53)+COUNTIFS(AZ$8:AZ53, AZ53, BJ$8:BJ53, BJ53)</f>
        <v>46</v>
      </c>
      <c r="BL53" s="1114">
        <f t="shared" si="51">BK53/100</f>
        <v>0.46</v>
      </c>
      <c r="BM53" s="1093" t="e">
        <f t="shared" si="216" ref="BM53">BI53+BL53</f>
        <v>#VALUE!</v>
      </c>
      <c r="BN53" s="1101">
        <f t="shared" si="196">IF(BA53&lt;&gt;"",BM53,"")</f>
        <v>0</v>
      </c>
      <c r="BO53" s="1118">
        <f t="shared" si="53">IF(BN53&lt;&gt;"",BN53,0)</f>
        <v>0</v>
      </c>
      <c r="BP53" s="237" t="e">
        <f t="shared" si="162">SMALL($BN$8:$BN$152,AX53)</f>
        <v>#VALUE!</v>
      </c>
      <c r="BR53" s="1102" t="e">
        <f t="shared" si="199">IF(BP53&lt;&gt;"",BR52+1,"")</f>
        <v>#VALUE!</v>
      </c>
      <c r="BS53" s="1102">
        <f t="shared" si="55">IFERROR(BP53,"")</f>
        <v>0</v>
      </c>
      <c r="BT53" s="1102">
        <f t="shared" si="56">IFERROR(CC53,"")</f>
        <v>0</v>
      </c>
      <c r="BU53" s="1098">
        <f t="shared" si="57">IFERROR(CD53,"")</f>
        <v>0</v>
      </c>
      <c r="BV53" s="1098">
        <f t="shared" si="58">IFERROR(CE53,"")</f>
        <v>0</v>
      </c>
      <c r="BW53" s="1098">
        <f t="shared" si="59">IFERROR(CF53,"")</f>
        <v>0</v>
      </c>
      <c r="BX53" s="1146">
        <f t="shared" si="60">IFERROR(CH53,"")</f>
        <v>0</v>
      </c>
      <c r="BY53" s="1098">
        <f t="shared" si="61">IFERROR(CG53,"")</f>
        <v>0</v>
      </c>
      <c r="BZ53" s="1144" t="str">
        <f t="shared" si="62">IFERROR(CI53,"-")</f>
        <v>-</v>
      </c>
      <c r="CA53" s="1107">
        <f t="shared" si="63">IFERROR(CJ53,"")</f>
        <v>0</v>
      </c>
      <c r="CB53" s="1107">
        <f t="shared" si="64">IFERROR(CK53,"")</f>
        <v>0</v>
      </c>
      <c r="CC53" s="1110" t="e">
        <f t="shared" si="163">INDEX($AZ$8:$AZ$153,MATCH(BP53,$BO$8:$BO$153,0))</f>
        <v>#VALUE!</v>
      </c>
      <c r="CD53" s="1087" t="e">
        <f t="shared" si="164">INDEX($BA$8:$BA$153,MATCH(BP53,$BO$8:$BO$153,0))</f>
        <v>#VALUE!</v>
      </c>
      <c r="CE53" s="1106" t="e">
        <f t="shared" si="165">INDEX($BB$8:$BB$153,MATCH(BP53,$BO$8:$BO$153,0))</f>
        <v>#VALUE!</v>
      </c>
      <c r="CF53" s="1106" t="e">
        <f t="shared" si="166">INDEX(BC$8:BC$153,MATCH(BP53,$BO$8:$BO$153,0))</f>
        <v>#VALUE!</v>
      </c>
      <c r="CG53" s="1118" t="e">
        <f t="shared" si="167">INDEX(BE$8:BE$153,MATCH(BP53,$BO$8:$BO$153,0))</f>
        <v>#VALUE!</v>
      </c>
      <c r="CH53" s="1106" t="e">
        <f t="shared" si="168">INDEX($BD$8:$BD$153,MATCH($BP53,$BO$8:$BO$153,0))</f>
        <v>#VALUE!</v>
      </c>
      <c r="CI53" s="1142" t="e">
        <f t="shared" si="169">INDEX($BF$8:$BF$153,MATCH(BP53,$BO$8:$BO$153,0))</f>
        <v>#VALUE!</v>
      </c>
      <c r="CJ53" s="1106" t="e">
        <f t="shared" si="170">INDEX($BG$8:$BG$153,MATCH(BP53,$BO$8:$BO$153,0))</f>
        <v>#VALUE!</v>
      </c>
      <c r="CK53" s="1106" t="e">
        <f t="shared" si="171">INDEX($BH$8:$BH$153,MATCH(BP53,$BO$8:$BO$153,0))</f>
        <v>#VALUE!</v>
      </c>
      <c r="CM53" s="1131">
        <f t="shared" si="172">COUNTIF($CH$8:$CH$228,"&lt;="&amp;CH53)</f>
        <v>145</v>
      </c>
      <c r="CN53" s="1121">
        <f t="shared" si="65">--ISNUMBER(BX53)</f>
        <v>0</v>
      </c>
      <c r="CO53" s="1121">
        <f t="shared" si="66">IF(BX53=0,1,0)</f>
        <v>0</v>
      </c>
      <c r="CP53" s="1124">
        <f t="shared" si="197">IF(ISNUMBER(BX53),CM53,IF(ISERROR(BX53),CM53,CM53+$CN$154))+$CO$154</f>
        <v>145</v>
      </c>
      <c r="CQ53" s="237">
        <f>IFERROR(INDEX($BX$8:$BX$153,MATCH(SMALL($CP$8:$CP$153,ROWS($CQ$8:CQ53)+$CO$154),$CP$8:$CP$154,0)),"")</f>
        <v>0</v>
      </c>
      <c r="CR53" s="237">
        <v>0.1</v>
      </c>
      <c r="CS53" s="1135">
        <f t="shared" si="67">CM53+CR53</f>
        <v>145.1</v>
      </c>
      <c r="CT53" s="237">
        <f>COUNTIFS($CM:$CM, CM53,$CS:$CS, "&lt;"&amp;CL)+COUNTIFS(CM$8:CM53, CM53, CS$8:CS53, CS53)</f>
        <v>46</v>
      </c>
      <c r="CU53" s="1109">
        <f t="shared" si="68">CT53/100</f>
        <v>0.46</v>
      </c>
      <c r="CV53" s="1109">
        <f t="shared" si="69">CM53+CU53</f>
        <v>145.46</v>
      </c>
      <c r="CW53" s="237" t="e">
        <f t="shared" si="173">SMALL(CV$8:CV$153,AX53)</f>
        <v>#VALUE!</v>
      </c>
      <c r="CX53" s="1109">
        <f t="shared" si="70">IFERROR(CW53,"")</f>
        <v>0</v>
      </c>
      <c r="CY53" s="237" t="e">
        <f t="shared" si="174">INDEX(BU$8:BU$152,MATCH($CX53,CV$8:CV$152,0))</f>
        <v>#N/A</v>
      </c>
      <c r="CZ53" s="237" t="e">
        <f t="shared" si="175">INDEX(BV$8:BV$152,MATCH($CX53,$CV$8:$CV$152,0))</f>
        <v>#N/A</v>
      </c>
      <c r="DA53" s="237" t="e">
        <f t="shared" si="176">INDEX(BW$8:BW$152,MATCH($CX53,$CV$8:$CV$152,0))</f>
        <v>#N/A</v>
      </c>
      <c r="DB53" s="237" t="e">
        <f t="shared" si="177">INDEX(BX$8:BX$152,MATCH($CX53,$CV$8:$CV$152,0))</f>
        <v>#N/A</v>
      </c>
      <c r="DC53" s="237" t="e">
        <f t="shared" si="178">INDEX(BY$8:BY$152,MATCH($CX53,$CV$8:$CV$152,0))</f>
        <v>#N/A</v>
      </c>
      <c r="DD53" s="237" t="e">
        <f t="shared" si="179">INDEX(BZ$8:BZ$152,MATCH($CX53,$CV$8:$CV$152,0))</f>
        <v>#N/A</v>
      </c>
      <c r="DE53" s="237" t="e">
        <f t="shared" si="180">INDEX(CA$8:CA$152,MATCH($CX53,$CV$8:$CV$152,0))</f>
        <v>#N/A</v>
      </c>
      <c r="DF53" s="237" t="e">
        <f t="shared" si="181">INDEX(CB$8:CB$152,MATCH($CX53,$CV$8:$CV$152,0))</f>
        <v>#N/A</v>
      </c>
    </row>
    <row r="54" spans="1:110">
      <c r="A54" s="1291">
        <v>5</v>
      </c>
      <c r="B54" s="1510"/>
      <c r="C54" s="1022"/>
      <c r="D54" s="1022"/>
      <c r="E54" s="1022"/>
      <c r="F54" s="1022"/>
      <c r="G54" s="1022"/>
      <c r="H54" s="1022"/>
      <c r="I54" s="1475"/>
      <c r="J54" s="1020"/>
      <c r="K54" s="253"/>
      <c r="L54" s="254"/>
      <c r="M54" s="1292">
        <f t="shared" si="213">K54*L54</f>
        <v>0</v>
      </c>
      <c r="W54" s="1313"/>
      <c r="X54" s="1313"/>
      <c r="Y54" s="1314"/>
      <c r="Z54" s="1314"/>
      <c r="AA54" s="1315"/>
      <c r="AB54" s="1313"/>
      <c r="AC54" s="423"/>
      <c r="AM54" s="1077">
        <f t="shared" si="206">IF(M54&gt;0,1,0)</f>
        <v>0</v>
      </c>
      <c r="AN54" s="1096">
        <f>IF(K54&gt;0,COUNTIF(AM$8:AM54,"&gt;0"),0)</f>
        <v>0</v>
      </c>
      <c r="AO54" s="1078">
        <f t="shared" si="207">B54</f>
        <v>0</v>
      </c>
      <c r="AP54" s="1079">
        <f t="shared" si="208">C54</f>
        <v>0</v>
      </c>
      <c r="AQ54" s="1080">
        <f t="shared" si="209">IF(I54&lt;&gt;"",YEAR(I54),"")</f>
        <v>0</v>
      </c>
      <c r="AR54" s="1080">
        <f t="shared" si="202">IF(E54&lt;&gt;"",E54,"")</f>
        <v>0</v>
      </c>
      <c r="AS54" s="1078">
        <f t="shared" si="186">F54</f>
        <v>0</v>
      </c>
      <c r="AT54" s="1080">
        <f t="shared" si="203">IF(H54&lt;&gt;"",H54,"")</f>
        <v>0</v>
      </c>
      <c r="AU54" s="1080">
        <f t="shared" si="204">J54</f>
        <v>0</v>
      </c>
      <c r="AV54" s="1080">
        <f t="shared" si="210">K54</f>
        <v>0</v>
      </c>
      <c r="AW54" s="1081">
        <f t="shared" si="211">M54</f>
        <v>0</v>
      </c>
      <c r="AX54" s="237">
        <f t="shared" si="71">IF(AZ54&lt;&gt;"",AX53+1,"")</f>
        <v>0</v>
      </c>
      <c r="AY54" s="1087">
        <v>42</v>
      </c>
      <c r="AZ54" s="1087">
        <f t="shared" si="187">IF(ISNA(VLOOKUP(AY54,$AN$8:$AW$148,2,False))=True,"",VLOOKUP(AY54,$AN$8:$AW$148,2,False))</f>
        <v>0</v>
      </c>
      <c r="BA54" s="1087">
        <f t="shared" si="188">IF(ISNA(VLOOKUP(AZ54,$AE$8:$AF$46,2,False))=True,"",VLOOKUP(AZ54,$AE$8:$AF$46,2,False))</f>
        <v>0</v>
      </c>
      <c r="BB54" s="1087">
        <f t="shared" si="189">IF(ISNA(VLOOKUP(AY54,$AN$8:$AW$148,4,False))=True,"",VLOOKUP(AY54,$AN$8:$AW$148,4,False))</f>
        <v>0</v>
      </c>
      <c r="BC54" s="1087">
        <f t="shared" si="190">IF(ISNA(VLOOKUP(AY54,$AN$8:$AW$148,5,False))=True,"",VLOOKUP(AY54,$AN$8:$AW$148,5,False))</f>
        <v>0</v>
      </c>
      <c r="BD54" s="1087">
        <f t="shared" si="84">IF(ISNA(VLOOKUP(AY54,$AN$8:$AW$148,6,False))=True,"",VLOOKUP(AY54,$AN$8:$AW$148,6,False))</f>
        <v>0</v>
      </c>
      <c r="BE54" s="1125">
        <f t="shared" si="191">IF(ISNA(VLOOKUP(AY54,$AN$8:$AW$148,7,False))=True,"",VLOOKUP(AY54,$AN$8:$AW$148,7,False))</f>
        <v>0</v>
      </c>
      <c r="BF54" s="1123">
        <f t="shared" si="192">IF(ISNA(VLOOKUP($AY54,$AN$8:$AW$148,8,False))=True,"",VLOOKUP($AY54,$AN$8:$AW$148,8,False))</f>
        <v>0</v>
      </c>
      <c r="BG54" s="1120">
        <f t="shared" si="193">IF(ISNA(VLOOKUP($AY54,$AN$8:$AW$148,9,False))=True,"",VLOOKUP($AY54,$AN$8:$AW$148,9,False))</f>
        <v>0</v>
      </c>
      <c r="BH54" s="1120">
        <f t="shared" si="194">IF(ISNA(VLOOKUP($AY54,$AN$8:$AW$148,10,False))=True,"",VLOOKUP($AY54,$AN$8:$AW$148,10,False))</f>
        <v>0</v>
      </c>
      <c r="BI54" s="250">
        <f t="shared" si="49">IF(AZ54&lt;&gt;"",AZ54,"")</f>
        <v>0</v>
      </c>
      <c r="BJ54" s="1098">
        <f t="shared" si="50">BI54</f>
        <v>0</v>
      </c>
      <c r="BK54" s="1115">
        <f>COUNTIFS($AZ:$AZ, AZ54,$BJ:$BJ, "&lt;"&amp;BJ54)+COUNTIFS(AZ$8:AZ54, AZ54, BJ$8:BJ54, BJ54)</f>
        <v>47</v>
      </c>
      <c r="BL54" s="1114">
        <f t="shared" si="51">BK54/100</f>
        <v>0.47</v>
      </c>
      <c r="BM54" s="1093" t="e">
        <f t="shared" si="217" ref="BM54">BJ54+BL54</f>
        <v>#VALUE!</v>
      </c>
      <c r="BN54" s="1101">
        <f t="shared" si="196">IF(BA54&lt;&gt;"",BM54,"")</f>
        <v>0</v>
      </c>
      <c r="BO54" s="1118">
        <f t="shared" si="53">IF(BN54&lt;&gt;"",BN54,0)</f>
        <v>0</v>
      </c>
      <c r="BP54" s="237" t="e">
        <f t="shared" si="162">SMALL($BN$8:$BN$152,AX54)</f>
        <v>#VALUE!</v>
      </c>
      <c r="BR54" s="1102" t="e">
        <f t="shared" si="199">IF(BP54&lt;&gt;"",BR53+1,"")</f>
        <v>#VALUE!</v>
      </c>
      <c r="BS54" s="1102">
        <f t="shared" si="55">IFERROR(BP54,"")</f>
        <v>0</v>
      </c>
      <c r="BT54" s="1102">
        <f t="shared" si="56">IFERROR(CC54,"")</f>
        <v>0</v>
      </c>
      <c r="BU54" s="1098">
        <f t="shared" si="57">IFERROR(CD54,"")</f>
        <v>0</v>
      </c>
      <c r="BV54" s="1098">
        <f t="shared" si="58">IFERROR(CE54,"")</f>
        <v>0</v>
      </c>
      <c r="BW54" s="1098">
        <f t="shared" si="59">IFERROR(CF54,"")</f>
        <v>0</v>
      </c>
      <c r="BX54" s="1146">
        <f t="shared" si="60">IFERROR(CH54,"")</f>
        <v>0</v>
      </c>
      <c r="BY54" s="1098">
        <f t="shared" si="61">IFERROR(CG54,"")</f>
        <v>0</v>
      </c>
      <c r="BZ54" s="1144" t="str">
        <f t="shared" si="62">IFERROR(CI54,"-")</f>
        <v>-</v>
      </c>
      <c r="CA54" s="1107">
        <f t="shared" si="63">IFERROR(CJ54,"")</f>
        <v>0</v>
      </c>
      <c r="CB54" s="1107">
        <f t="shared" si="64">IFERROR(CK54,"")</f>
        <v>0</v>
      </c>
      <c r="CC54" s="1110" t="e">
        <f t="shared" si="163">INDEX($AZ$8:$AZ$153,MATCH(BP54,$BO$8:$BO$153,0))</f>
        <v>#VALUE!</v>
      </c>
      <c r="CD54" s="1087" t="e">
        <f t="shared" si="164">INDEX($BA$8:$BA$153,MATCH(BP54,$BO$8:$BO$153,0))</f>
        <v>#VALUE!</v>
      </c>
      <c r="CE54" s="1106" t="e">
        <f t="shared" si="165">INDEX($BB$8:$BB$153,MATCH(BP54,$BO$8:$BO$153,0))</f>
        <v>#VALUE!</v>
      </c>
      <c r="CF54" s="1106" t="e">
        <f t="shared" si="166">INDEX(BC$8:BC$153,MATCH(BP54,$BO$8:$BO$153,0))</f>
        <v>#VALUE!</v>
      </c>
      <c r="CG54" s="1118" t="e">
        <f t="shared" si="167">INDEX(BE$8:BE$153,MATCH(BP54,$BO$8:$BO$153,0))</f>
        <v>#VALUE!</v>
      </c>
      <c r="CH54" s="1106" t="e">
        <f t="shared" si="168">INDEX($BD$8:$BD$153,MATCH($BP54,$BO$8:$BO$153,0))</f>
        <v>#VALUE!</v>
      </c>
      <c r="CI54" s="1142" t="e">
        <f t="shared" si="169">INDEX($BF$8:$BF$153,MATCH(BP54,$BO$8:$BO$153,0))</f>
        <v>#VALUE!</v>
      </c>
      <c r="CJ54" s="1106" t="e">
        <f t="shared" si="170">INDEX($BG$8:$BG$153,MATCH(BP54,$BO$8:$BO$153,0))</f>
        <v>#VALUE!</v>
      </c>
      <c r="CK54" s="1106" t="e">
        <f t="shared" si="171">INDEX($BH$8:$BH$153,MATCH(BP54,$BO$8:$BO$153,0))</f>
        <v>#VALUE!</v>
      </c>
      <c r="CM54" s="1131">
        <f t="shared" si="172">COUNTIF($CH$8:$CH$228,"&lt;="&amp;CH54)</f>
        <v>145</v>
      </c>
      <c r="CN54" s="1121">
        <f t="shared" si="65">--ISNUMBER(BX54)</f>
        <v>0</v>
      </c>
      <c r="CO54" s="1121">
        <f t="shared" si="66">IF(BX54=0,1,0)</f>
        <v>0</v>
      </c>
      <c r="CP54" s="1124">
        <f t="shared" si="197">IF(ISNUMBER(BX54),CM54,IF(ISERROR(BX54),CM54,CM54+$CN$154))+$CO$154</f>
        <v>145</v>
      </c>
      <c r="CQ54" s="237">
        <f>IFERROR(INDEX($BX$8:$BX$153,MATCH(SMALL($CP$8:$CP$153,ROWS($CQ$8:CQ54)+$CO$154),$CP$8:$CP$154,0)),"")</f>
        <v>0</v>
      </c>
      <c r="CR54" s="237">
        <v>0.1</v>
      </c>
      <c r="CS54" s="1135">
        <f t="shared" si="67">CM54+CR54</f>
        <v>145.1</v>
      </c>
      <c r="CT54" s="237">
        <f>COUNTIFS($CM:$CM, CM54,$CS:$CS, "&lt;"&amp;CL)+COUNTIFS(CM$8:CM54, CM54, CS$8:CS54, CS54)</f>
        <v>47</v>
      </c>
      <c r="CU54" s="1109">
        <f t="shared" si="68">CT54/100</f>
        <v>0.47</v>
      </c>
      <c r="CV54" s="1109">
        <f t="shared" si="69">CM54+CU54</f>
        <v>145.47</v>
      </c>
      <c r="CW54" s="237" t="e">
        <f t="shared" si="173">SMALL(CV$8:CV$153,AX54)</f>
        <v>#VALUE!</v>
      </c>
      <c r="CX54" s="1109">
        <f t="shared" si="70">IFERROR(CW54,"")</f>
        <v>0</v>
      </c>
      <c r="CY54" s="237" t="e">
        <f t="shared" si="174">INDEX(BU$8:BU$152,MATCH($CX54,CV$8:CV$152,0))</f>
        <v>#N/A</v>
      </c>
      <c r="CZ54" s="237" t="e">
        <f t="shared" si="175">INDEX(BV$8:BV$152,MATCH($CX54,$CV$8:$CV$152,0))</f>
        <v>#N/A</v>
      </c>
      <c r="DA54" s="237" t="e">
        <f t="shared" si="176">INDEX(BW$8:BW$152,MATCH($CX54,$CV$8:$CV$152,0))</f>
        <v>#N/A</v>
      </c>
      <c r="DB54" s="237" t="e">
        <f t="shared" si="177">INDEX(BX$8:BX$152,MATCH($CX54,$CV$8:$CV$152,0))</f>
        <v>#N/A</v>
      </c>
      <c r="DC54" s="237" t="e">
        <f t="shared" si="178">INDEX(BY$8:BY$152,MATCH($CX54,$CV$8:$CV$152,0))</f>
        <v>#N/A</v>
      </c>
      <c r="DD54" s="237" t="e">
        <f t="shared" si="179">INDEX(BZ$8:BZ$152,MATCH($CX54,$CV$8:$CV$152,0))</f>
        <v>#N/A</v>
      </c>
      <c r="DE54" s="237" t="e">
        <f t="shared" si="180">INDEX(CA$8:CA$152,MATCH($CX54,$CV$8:$CV$152,0))</f>
        <v>#N/A</v>
      </c>
      <c r="DF54" s="237" t="e">
        <f t="shared" si="181">INDEX(CB$8:CB$152,MATCH($CX54,$CV$8:$CV$152,0))</f>
        <v>#N/A</v>
      </c>
    </row>
    <row r="55" spans="1:110">
      <c r="A55" s="1291">
        <v>6</v>
      </c>
      <c r="B55" s="1510"/>
      <c r="C55" s="1022"/>
      <c r="D55" s="1022"/>
      <c r="E55" s="1022"/>
      <c r="F55" s="1022"/>
      <c r="G55" s="1022"/>
      <c r="H55" s="1022"/>
      <c r="I55" s="1475"/>
      <c r="J55" s="1020"/>
      <c r="K55" s="253"/>
      <c r="L55" s="254"/>
      <c r="M55" s="1292">
        <f t="shared" si="213">K55*L55</f>
        <v>0</v>
      </c>
      <c r="W55" s="1313"/>
      <c r="X55" s="1313"/>
      <c r="Y55" s="1314"/>
      <c r="Z55" s="1314"/>
      <c r="AA55" s="1315"/>
      <c r="AB55" s="1313"/>
      <c r="AC55" s="423"/>
      <c r="AM55" s="1082">
        <f t="shared" si="206">IF(M55&gt;0,1,0)</f>
        <v>0</v>
      </c>
      <c r="AN55" s="1096">
        <f>IF(AM55&gt;0,COUNTIF(AM$8:AM55,"&gt;0"),0)</f>
        <v>0</v>
      </c>
      <c r="AO55" s="1083">
        <f t="shared" si="207">B55</f>
        <v>0</v>
      </c>
      <c r="AP55" s="1084">
        <f t="shared" si="208">C55</f>
        <v>0</v>
      </c>
      <c r="AQ55" s="1085">
        <f t="shared" si="209">IF(I55&lt;&gt;"",YEAR(I55),"")</f>
        <v>0</v>
      </c>
      <c r="AR55" s="1080">
        <f t="shared" si="202">IF(E55&lt;&gt;"",E55,"")</f>
        <v>0</v>
      </c>
      <c r="AS55" s="1078">
        <f t="shared" si="186">F55</f>
        <v>0</v>
      </c>
      <c r="AT55" s="1080">
        <f t="shared" si="203">IF(H55&lt;&gt;"",H55,"")</f>
        <v>0</v>
      </c>
      <c r="AU55" s="1080">
        <f t="shared" si="204">J55</f>
        <v>0</v>
      </c>
      <c r="AV55" s="1080">
        <f t="shared" si="210">K55</f>
        <v>0</v>
      </c>
      <c r="AW55" s="1086">
        <f t="shared" si="211">M55</f>
        <v>0</v>
      </c>
      <c r="AX55" s="237">
        <f t="shared" si="71">IF(AZ55&lt;&gt;"",AX54+1,"")</f>
        <v>0</v>
      </c>
      <c r="AY55" s="1087">
        <v>43</v>
      </c>
      <c r="AZ55" s="1087">
        <f t="shared" si="187">IF(ISNA(VLOOKUP(AY55,$AN$8:$AW$148,2,False))=True,"",VLOOKUP(AY55,$AN$8:$AW$148,2,False))</f>
        <v>0</v>
      </c>
      <c r="BA55" s="1087">
        <f t="shared" si="188">IF(ISNA(VLOOKUP(AZ55,$AE$8:$AF$46,2,False))=True,"",VLOOKUP(AZ55,$AE$8:$AF$46,2,False))</f>
        <v>0</v>
      </c>
      <c r="BB55" s="1087">
        <f t="shared" si="189">IF(ISNA(VLOOKUP(AY55,$AN$8:$AW$148,4,False))=True,"",VLOOKUP(AY55,$AN$8:$AW$148,4,False))</f>
        <v>0</v>
      </c>
      <c r="BC55" s="1087">
        <f t="shared" si="190">IF(ISNA(VLOOKUP(AY55,$AN$8:$AW$148,5,False))=True,"",VLOOKUP(AY55,$AN$8:$AW$148,5,False))</f>
        <v>0</v>
      </c>
      <c r="BD55" s="1087">
        <f t="shared" si="84">IF(ISNA(VLOOKUP(AY55,$AN$8:$AW$148,6,False))=True,"",VLOOKUP(AY55,$AN$8:$AW$148,6,False))</f>
        <v>0</v>
      </c>
      <c r="BE55" s="1125">
        <f t="shared" si="191">IF(ISNA(VLOOKUP(AY55,$AN$8:$AW$148,7,False))=True,"",VLOOKUP(AY55,$AN$8:$AW$148,7,False))</f>
        <v>0</v>
      </c>
      <c r="BF55" s="1123">
        <f t="shared" si="192">IF(ISNA(VLOOKUP($AY55,$AN$8:$AW$148,8,False))=True,"",VLOOKUP($AY55,$AN$8:$AW$148,8,False))</f>
        <v>0</v>
      </c>
      <c r="BG55" s="1120">
        <f t="shared" si="193">IF(ISNA(VLOOKUP($AY55,$AN$8:$AW$148,9,False))=True,"",VLOOKUP($AY55,$AN$8:$AW$148,9,False))</f>
        <v>0</v>
      </c>
      <c r="BH55" s="1120">
        <f t="shared" si="194">IF(ISNA(VLOOKUP($AY55,$AN$8:$AW$148,10,False))=True,"",VLOOKUP($AY55,$AN$8:$AW$148,10,False))</f>
        <v>0</v>
      </c>
      <c r="BI55" s="250">
        <f t="shared" si="49">IF(AZ55&lt;&gt;"",AZ55,"")</f>
        <v>0</v>
      </c>
      <c r="BJ55" s="1098">
        <f t="shared" si="50">BI55</f>
        <v>0</v>
      </c>
      <c r="BK55" s="1115">
        <f>COUNTIFS($AZ:$AZ, AZ55,$BJ:$BJ, "&lt;"&amp;BJ55)+COUNTIFS(AZ$8:AZ55, AZ55, BJ$8:BJ55, BJ55)</f>
        <v>48</v>
      </c>
      <c r="BL55" s="1114">
        <f t="shared" si="51">BK55/100</f>
        <v>0.48</v>
      </c>
      <c r="BM55" s="1093" t="e">
        <f t="shared" si="218" ref="BM55">BI55+BL55</f>
        <v>#VALUE!</v>
      </c>
      <c r="BN55" s="1101">
        <f t="shared" si="196">IF(BA55&lt;&gt;"",BM55,"")</f>
        <v>0</v>
      </c>
      <c r="BO55" s="1118">
        <f t="shared" si="53">IF(BN55&lt;&gt;"",BN55,0)</f>
        <v>0</v>
      </c>
      <c r="BP55" s="237" t="e">
        <f t="shared" si="162">SMALL($BN$8:$BN$152,AX55)</f>
        <v>#VALUE!</v>
      </c>
      <c r="BR55" s="1102" t="e">
        <f t="shared" si="199">IF(BP55&lt;&gt;"",BR54+1,"")</f>
        <v>#VALUE!</v>
      </c>
      <c r="BS55" s="1102">
        <f t="shared" si="55">IFERROR(BP55,"")</f>
        <v>0</v>
      </c>
      <c r="BT55" s="1102">
        <f t="shared" si="56">IFERROR(CC55,"")</f>
        <v>0</v>
      </c>
      <c r="BU55" s="1098">
        <f t="shared" si="57">IFERROR(CD55,"")</f>
        <v>0</v>
      </c>
      <c r="BV55" s="1098">
        <f t="shared" si="58">IFERROR(CE55,"")</f>
        <v>0</v>
      </c>
      <c r="BW55" s="1098">
        <f t="shared" si="59">IFERROR(CF55,"")</f>
        <v>0</v>
      </c>
      <c r="BX55" s="1146">
        <f t="shared" si="60">IFERROR(CH55,"")</f>
        <v>0</v>
      </c>
      <c r="BY55" s="1098">
        <f t="shared" si="61">IFERROR(CG55,"")</f>
        <v>0</v>
      </c>
      <c r="BZ55" s="1144" t="str">
        <f t="shared" si="62">IFERROR(CI55,"-")</f>
        <v>-</v>
      </c>
      <c r="CA55" s="1107">
        <f t="shared" si="63">IFERROR(CJ55,"")</f>
        <v>0</v>
      </c>
      <c r="CB55" s="1107">
        <f t="shared" si="64">IFERROR(CK55,"")</f>
        <v>0</v>
      </c>
      <c r="CC55" s="1110" t="e">
        <f t="shared" si="163">INDEX($AZ$8:$AZ$153,MATCH(BP55,$BO$8:$BO$153,0))</f>
        <v>#VALUE!</v>
      </c>
      <c r="CD55" s="1087" t="e">
        <f t="shared" si="164">INDEX($BA$8:$BA$153,MATCH(BP55,$BO$8:$BO$153,0))</f>
        <v>#VALUE!</v>
      </c>
      <c r="CE55" s="1106" t="e">
        <f t="shared" si="165">INDEX($BB$8:$BB$153,MATCH(BP55,$BO$8:$BO$153,0))</f>
        <v>#VALUE!</v>
      </c>
      <c r="CF55" s="1106" t="e">
        <f t="shared" si="166">INDEX(BC$8:BC$153,MATCH(BP55,$BO$8:$BO$153,0))</f>
        <v>#VALUE!</v>
      </c>
      <c r="CG55" s="1118" t="e">
        <f t="shared" si="167">INDEX(BE$8:BE$153,MATCH(BP55,$BO$8:$BO$153,0))</f>
        <v>#VALUE!</v>
      </c>
      <c r="CH55" s="1106" t="e">
        <f t="shared" si="168">INDEX($BD$8:$BD$153,MATCH($BP55,$BO$8:$BO$153,0))</f>
        <v>#VALUE!</v>
      </c>
      <c r="CI55" s="1142" t="e">
        <f t="shared" si="169">INDEX($BF$8:$BF$153,MATCH(BP55,$BO$8:$BO$153,0))</f>
        <v>#VALUE!</v>
      </c>
      <c r="CJ55" s="1106" t="e">
        <f t="shared" si="170">INDEX($BG$8:$BG$153,MATCH(BP55,$BO$8:$BO$153,0))</f>
        <v>#VALUE!</v>
      </c>
      <c r="CK55" s="1106" t="e">
        <f t="shared" si="171">INDEX($BH$8:$BH$153,MATCH(BP55,$BO$8:$BO$153,0))</f>
        <v>#VALUE!</v>
      </c>
      <c r="CM55" s="1131">
        <f t="shared" si="172">COUNTIF($CH$8:$CH$228,"&lt;="&amp;CH55)</f>
        <v>145</v>
      </c>
      <c r="CN55" s="1121">
        <f t="shared" si="65">--ISNUMBER(BX55)</f>
        <v>0</v>
      </c>
      <c r="CO55" s="1121">
        <f t="shared" si="66">IF(BX55=0,1,0)</f>
        <v>0</v>
      </c>
      <c r="CP55" s="1124">
        <f t="shared" si="197">IF(ISNUMBER(BX55),CM55,IF(ISERROR(BX55),CM55,CM55+$CN$154))+$CO$154</f>
        <v>145</v>
      </c>
      <c r="CQ55" s="237">
        <f>IFERROR(INDEX($BX$8:$BX$153,MATCH(SMALL($CP$8:$CP$153,ROWS($CQ$8:CQ55)+$CO$154),$CP$8:$CP$154,0)),"")</f>
        <v>0</v>
      </c>
      <c r="CR55" s="237">
        <v>0.1</v>
      </c>
      <c r="CS55" s="1135">
        <f t="shared" si="67">CM55+CR55</f>
        <v>145.1</v>
      </c>
      <c r="CT55" s="237">
        <f>COUNTIFS($CM:$CM, CM55,$CS:$CS, "&lt;"&amp;CL)+COUNTIFS(CM$8:CM55, CM55, CS$8:CS55, CS55)</f>
        <v>48</v>
      </c>
      <c r="CU55" s="1109">
        <f t="shared" si="68">CT55/100</f>
        <v>0.48</v>
      </c>
      <c r="CV55" s="1109">
        <f t="shared" si="69">CM55+CU55</f>
        <v>145.48</v>
      </c>
      <c r="CW55" s="237" t="e">
        <f t="shared" si="173">SMALL(CV$8:CV$153,AX55)</f>
        <v>#VALUE!</v>
      </c>
      <c r="CX55" s="1109">
        <f t="shared" si="70">IFERROR(CW55,"")</f>
        <v>0</v>
      </c>
      <c r="CY55" s="237" t="e">
        <f t="shared" si="174">INDEX(BU$8:BU$152,MATCH($CX55,CV$8:CV$152,0))</f>
        <v>#N/A</v>
      </c>
      <c r="CZ55" s="237" t="e">
        <f t="shared" si="175">INDEX(BV$8:BV$152,MATCH($CX55,$CV$8:$CV$152,0))</f>
        <v>#N/A</v>
      </c>
      <c r="DA55" s="237" t="e">
        <f t="shared" si="176">INDEX(BW$8:BW$152,MATCH($CX55,$CV$8:$CV$152,0))</f>
        <v>#N/A</v>
      </c>
      <c r="DB55" s="237" t="e">
        <f t="shared" si="177">INDEX(BX$8:BX$152,MATCH($CX55,$CV$8:$CV$152,0))</f>
        <v>#N/A</v>
      </c>
      <c r="DC55" s="237" t="e">
        <f t="shared" si="178">INDEX(BY$8:BY$152,MATCH($CX55,$CV$8:$CV$152,0))</f>
        <v>#N/A</v>
      </c>
      <c r="DD55" s="237" t="e">
        <f t="shared" si="179">INDEX(BZ$8:BZ$152,MATCH($CX55,$CV$8:$CV$152,0))</f>
        <v>#N/A</v>
      </c>
      <c r="DE55" s="237" t="e">
        <f t="shared" si="180">INDEX(CA$8:CA$152,MATCH($CX55,$CV$8:$CV$152,0))</f>
        <v>#N/A</v>
      </c>
      <c r="DF55" s="237" t="e">
        <f t="shared" si="181">INDEX(CB$8:CB$152,MATCH($CX55,$CV$8:$CV$152,0))</f>
        <v>#N/A</v>
      </c>
    </row>
    <row r="56" spans="1:110">
      <c r="A56" s="1291">
        <v>7</v>
      </c>
      <c r="B56" s="1510"/>
      <c r="C56" s="1022"/>
      <c r="D56" s="1022"/>
      <c r="E56" s="1022"/>
      <c r="F56" s="1022"/>
      <c r="G56" s="1022"/>
      <c r="H56" s="1022"/>
      <c r="I56" s="1475"/>
      <c r="J56" s="1020"/>
      <c r="K56" s="253"/>
      <c r="L56" s="254"/>
      <c r="M56" s="1292">
        <f t="shared" si="219" ref="M56:M59">K56*L56</f>
        <v>0</v>
      </c>
      <c r="AM56" s="1077">
        <f t="shared" si="220" ref="AM56:AM59">IF(M56&gt;0,1,0)</f>
        <v>0</v>
      </c>
      <c r="AN56" s="1096">
        <f>IF(AM56&gt;0,COUNTIF(AM$8:AM56,"&gt;0"),0)</f>
        <v>0</v>
      </c>
      <c r="AO56" s="1078">
        <f t="shared" si="221" ref="AO56:AO59">B56</f>
        <v>0</v>
      </c>
      <c r="AP56" s="1079">
        <f t="shared" si="222" ref="AP56:AP59">C56</f>
        <v>0</v>
      </c>
      <c r="AQ56" s="1080">
        <f t="shared" si="223" ref="AQ56:AQ59">IF(I56&lt;&gt;"",YEAR(I56),"")</f>
        <v>0</v>
      </c>
      <c r="AR56" s="1080">
        <f t="shared" si="224" ref="AR56:AR59">IF(E56&lt;&gt;"",E56,"")</f>
        <v>0</v>
      </c>
      <c r="AS56" s="1078">
        <f t="shared" si="225" ref="AS56:AS59">F56</f>
        <v>0</v>
      </c>
      <c r="AT56" s="1080">
        <f t="shared" si="226" ref="AT56:AT59">IF(H56&lt;&gt;"",H56,"")</f>
        <v>0</v>
      </c>
      <c r="AU56" s="1080">
        <f t="shared" si="227" ref="AU56:AU59">J56</f>
        <v>0</v>
      </c>
      <c r="AV56" s="1080">
        <f t="shared" si="228" ref="AV56:AV59">K56</f>
        <v>0</v>
      </c>
      <c r="AW56" s="1081">
        <f t="shared" si="229" ref="AW56:AW59">M56</f>
        <v>0</v>
      </c>
      <c r="AX56" s="237">
        <f>IF(AZ56&lt;&gt;"",AX51+1,"")</f>
        <v>0</v>
      </c>
      <c r="AY56" s="1087">
        <v>44</v>
      </c>
      <c r="AZ56" s="1087">
        <f t="shared" si="230" ref="AZ56:AZ59">IF(ISNA(VLOOKUP(AY56,$AN$8:$AW$148,2,False))=True,"",VLOOKUP(AY56,$AN$8:$AW$148,2,False))</f>
        <v>0</v>
      </c>
      <c r="BA56" s="1087">
        <f t="shared" si="231" ref="BA56:BA59">IF(ISNA(VLOOKUP(AZ56,$AE$8:$AF$46,2,False))=True,"",VLOOKUP(AZ56,$AE$8:$AF$46,2,False))</f>
        <v>0</v>
      </c>
      <c r="BB56" s="1087">
        <f t="shared" si="232" ref="BB56:BB59">IF(ISNA(VLOOKUP(AY56,$AN$8:$AW$148,4,False))=True,"",VLOOKUP(AY56,$AN$8:$AW$148,4,False))</f>
        <v>0</v>
      </c>
      <c r="BC56" s="1087">
        <f t="shared" si="233" ref="BC56:BC59">IF(ISNA(VLOOKUP(AY56,$AN$8:$AW$148,5,False))=True,"",VLOOKUP(AY56,$AN$8:$AW$148,5,False))</f>
        <v>0</v>
      </c>
      <c r="BD56" s="1087">
        <f t="shared" si="234" ref="BD56:BD57">IF(ISNA(VLOOKUP(AY56,$AN$8:$AW$148,6,False))=True,"",VLOOKUP(AY56,$AN$8:$AW$148,6,False))</f>
        <v>0</v>
      </c>
      <c r="BE56" s="1125">
        <f t="shared" si="235" ref="BE56:BE59">IF(ISNA(VLOOKUP(AY56,$AN$8:$AW$148,7,False))=True,"",VLOOKUP(AY56,$AN$8:$AW$148,7,False))</f>
        <v>0</v>
      </c>
      <c r="BF56" s="1123">
        <f t="shared" si="192">IF(ISNA(VLOOKUP($AY56,$AN$8:$AW$148,8,False))=True,"",VLOOKUP($AY56,$AN$8:$AW$148,8,False))</f>
        <v>0</v>
      </c>
      <c r="BG56" s="1120">
        <f t="shared" si="193">IF(ISNA(VLOOKUP($AY56,$AN$8:$AW$148,9,False))=True,"",VLOOKUP($AY56,$AN$8:$AW$148,9,False))</f>
        <v>0</v>
      </c>
      <c r="BH56" s="1120">
        <f t="shared" si="194">IF(ISNA(VLOOKUP($AY56,$AN$8:$AW$148,10,False))=True,"",VLOOKUP($AY56,$AN$8:$AW$148,10,False))</f>
        <v>0</v>
      </c>
      <c r="BI56" s="250">
        <f t="shared" si="236" ref="BI56:BI59">IF(AZ56&lt;&gt;"",AZ56,"")</f>
        <v>0</v>
      </c>
      <c r="BJ56" s="1098">
        <f t="shared" si="237" ref="BJ56:BJ59">BI56</f>
        <v>0</v>
      </c>
      <c r="BK56" s="1115">
        <f>COUNTIFS($AZ:$AZ, AZ56,$BJ:$BJ, "&lt;"&amp;BJ56)+COUNTIFS(AZ$8:AZ56, AZ56, BJ$8:BJ56, BJ56)</f>
        <v>49</v>
      </c>
      <c r="BL56" s="1114">
        <f t="shared" si="238" ref="BL56:BL59">BK56/100</f>
        <v>0.49</v>
      </c>
      <c r="BM56" s="1093" t="e">
        <f t="shared" si="239" ref="BM56">BJ56+BL56</f>
        <v>#VALUE!</v>
      </c>
      <c r="BN56" s="1101">
        <f t="shared" si="240" ref="BN56:BN59">IF(BA56&lt;&gt;"",BM56,"")</f>
        <v>0</v>
      </c>
      <c r="BO56" s="1118">
        <f t="shared" si="241" ref="BO56:BO59">IF(BN56&lt;&gt;"",BN56,0)</f>
        <v>0</v>
      </c>
      <c r="BP56" s="237" t="e">
        <f t="shared" si="162">SMALL($BN$8:$BN$152,AX56)</f>
        <v>#VALUE!</v>
      </c>
      <c r="BR56" s="1102" t="e">
        <f>IF(BP56&lt;&gt;"",BR51+1,"")</f>
        <v>#VALUE!</v>
      </c>
      <c r="BS56" s="1102">
        <f>IFERROR(BP56,"")</f>
        <v>0</v>
      </c>
      <c r="BT56" s="1102">
        <f t="shared" si="242" ref="BT56:BT59">IFERROR(CC56,"")</f>
        <v>0</v>
      </c>
      <c r="BU56" s="1098">
        <f t="shared" si="243" ref="BU56:BU59">IFERROR(CD56,"")</f>
        <v>0</v>
      </c>
      <c r="BV56" s="1098">
        <f t="shared" si="244" ref="BV56:BV59">IFERROR(CE56,"")</f>
        <v>0</v>
      </c>
      <c r="BW56" s="1098">
        <f t="shared" si="245" ref="BW56:BW59">IFERROR(CF56,"")</f>
        <v>0</v>
      </c>
      <c r="BX56" s="1146">
        <f t="shared" si="246" ref="BX56:BX59">IFERROR(CH56,"")</f>
        <v>0</v>
      </c>
      <c r="BY56" s="1098">
        <f t="shared" si="247" ref="BY56:BY59">IFERROR(CG56,"")</f>
        <v>0</v>
      </c>
      <c r="BZ56" s="1144" t="str">
        <f t="shared" si="248" ref="BZ56:BZ59">IFERROR(CI56,"-")</f>
        <v>-</v>
      </c>
      <c r="CA56" s="1107">
        <f t="shared" si="249" ref="CA56:CA59">IFERROR(CJ56,"")</f>
        <v>0</v>
      </c>
      <c r="CB56" s="1107">
        <f t="shared" si="250" ref="CB56:CB59">IFERROR(CK56,"")</f>
        <v>0</v>
      </c>
      <c r="CC56" s="1110" t="e">
        <f t="shared" si="163">INDEX($AZ$8:$AZ$153,MATCH(BP56,$BO$8:$BO$153,0))</f>
        <v>#VALUE!</v>
      </c>
      <c r="CD56" s="1087" t="e">
        <f t="shared" si="164">INDEX($BA$8:$BA$153,MATCH(BP56,$BO$8:$BO$153,0))</f>
        <v>#VALUE!</v>
      </c>
      <c r="CE56" s="1106" t="e">
        <f t="shared" si="165">INDEX($BB$8:$BB$153,MATCH(BP56,$BO$8:$BO$153,0))</f>
        <v>#VALUE!</v>
      </c>
      <c r="CF56" s="1106" t="e">
        <f t="shared" si="166">INDEX(BC$8:BC$153,MATCH(BP56,$BO$8:$BO$153,0))</f>
        <v>#VALUE!</v>
      </c>
      <c r="CG56" s="1118" t="e">
        <f t="shared" si="167">INDEX(BE$8:BE$153,MATCH(BP56,$BO$8:$BO$153,0))</f>
        <v>#VALUE!</v>
      </c>
      <c r="CH56" s="1106" t="e">
        <f t="shared" si="168">INDEX($BD$8:$BD$153,MATCH($BP56,$BO$8:$BO$153,0))</f>
        <v>#VALUE!</v>
      </c>
      <c r="CI56" s="1142" t="e">
        <f t="shared" si="169">INDEX($BF$8:$BF$153,MATCH(BP56,$BO$8:$BO$153,0))</f>
        <v>#VALUE!</v>
      </c>
      <c r="CJ56" s="1106" t="e">
        <f t="shared" si="170">INDEX($BG$8:$BG$153,MATCH(BP56,$BO$8:$BO$153,0))</f>
        <v>#VALUE!</v>
      </c>
      <c r="CK56" s="1106" t="e">
        <f t="shared" si="171">INDEX($BH$8:$BH$153,MATCH(BP56,$BO$8:$BO$153,0))</f>
        <v>#VALUE!</v>
      </c>
      <c r="CM56" s="1131">
        <f t="shared" si="172">COUNTIF($CH$8:$CH$228,"&lt;="&amp;CH56)</f>
        <v>145</v>
      </c>
      <c r="CN56" s="1121">
        <f t="shared" si="251" ref="CN56:CN59">--ISNUMBER(BX56)</f>
        <v>0</v>
      </c>
      <c r="CO56" s="1121">
        <f t="shared" si="252" ref="CO56:CO59">IF(BX56=0,1,0)</f>
        <v>0</v>
      </c>
      <c r="CP56" s="1124">
        <f t="shared" si="253" ref="CP56:CP59">IF(ISNUMBER(BX56),CM56,IF(ISERROR(BX56),CM56,CM56+$CN$154))+$CO$154</f>
        <v>145</v>
      </c>
      <c r="CQ56" s="237">
        <f>IFERROR(INDEX($BX$8:$BX$153,MATCH(SMALL($CP$8:$CP$153,ROWS($CQ$8:CQ56)+$CO$154),$CP$8:$CP$154,0)),"")</f>
        <v>0</v>
      </c>
      <c r="CR56" s="237">
        <v>0.1</v>
      </c>
      <c r="CS56" s="1135">
        <f t="shared" si="254" ref="CS56:CS59">CM56+CR56</f>
        <v>145.1</v>
      </c>
      <c r="CT56" s="237">
        <f>COUNTIFS($CM:$CM, CM56,$CS:$CS, "&lt;"&amp;CL)+COUNTIFS(CM$8:CM56, CM56, CS$8:CS56, CS56)</f>
        <v>49</v>
      </c>
      <c r="CU56" s="1109">
        <f t="shared" si="255" ref="CU56:CU59">CT56/100</f>
        <v>0.49</v>
      </c>
      <c r="CV56" s="1109">
        <f t="shared" si="256" ref="CV56:CV59">CM56+CU56</f>
        <v>145.49</v>
      </c>
      <c r="CW56" s="237" t="e">
        <f t="shared" si="173">SMALL(CV$8:CV$153,AX56)</f>
        <v>#VALUE!</v>
      </c>
      <c r="CX56" s="1109">
        <f t="shared" si="257" ref="CX56:CX59">IFERROR(CW56,"")</f>
        <v>0</v>
      </c>
      <c r="CY56" s="237" t="e">
        <f t="shared" si="174">INDEX(BU$8:BU$152,MATCH($CX56,CV$8:CV$152,0))</f>
        <v>#N/A</v>
      </c>
      <c r="CZ56" s="237" t="e">
        <f t="shared" si="175">INDEX(BV$8:BV$152,MATCH($CX56,$CV$8:$CV$152,0))</f>
        <v>#N/A</v>
      </c>
      <c r="DA56" s="237" t="e">
        <f t="shared" si="176">INDEX(BW$8:BW$152,MATCH($CX56,$CV$8:$CV$152,0))</f>
        <v>#N/A</v>
      </c>
      <c r="DB56" s="237" t="e">
        <f t="shared" si="177">INDEX(BX$8:BX$152,MATCH($CX56,$CV$8:$CV$152,0))</f>
        <v>#N/A</v>
      </c>
      <c r="DC56" s="237" t="e">
        <f t="shared" si="178">INDEX(BY$8:BY$152,MATCH($CX56,$CV$8:$CV$152,0))</f>
        <v>#N/A</v>
      </c>
      <c r="DD56" s="237" t="e">
        <f t="shared" si="179">INDEX(BZ$8:BZ$152,MATCH($CX56,$CV$8:$CV$152,0))</f>
        <v>#N/A</v>
      </c>
      <c r="DE56" s="237" t="e">
        <f t="shared" si="180">INDEX(CA$8:CA$152,MATCH($CX56,$CV$8:$CV$152,0))</f>
        <v>#N/A</v>
      </c>
      <c r="DF56" s="237" t="e">
        <f t="shared" si="181">INDEX(CB$8:CB$152,MATCH($CX56,$CV$8:$CV$152,0))</f>
        <v>#N/A</v>
      </c>
    </row>
    <row r="57" spans="1:110">
      <c r="A57" s="1291">
        <v>8</v>
      </c>
      <c r="B57" s="1510"/>
      <c r="C57" s="1022"/>
      <c r="D57" s="1022"/>
      <c r="E57" s="1022"/>
      <c r="F57" s="1022"/>
      <c r="G57" s="1022"/>
      <c r="H57" s="1022"/>
      <c r="I57" s="1475"/>
      <c r="J57" s="1020"/>
      <c r="K57" s="253"/>
      <c r="L57" s="254"/>
      <c r="M57" s="1292">
        <f t="shared" si="219">K57*L57</f>
        <v>0</v>
      </c>
      <c r="AM57" s="1077">
        <f t="shared" si="220">IF(M57&gt;0,1,0)</f>
        <v>0</v>
      </c>
      <c r="AN57" s="1096">
        <f>IF(K57&gt;0,COUNTIF(AM$8:AM57,"&gt;0"),0)</f>
        <v>0</v>
      </c>
      <c r="AO57" s="1078">
        <f t="shared" si="221">B57</f>
        <v>0</v>
      </c>
      <c r="AP57" s="1079">
        <f t="shared" si="222">C57</f>
        <v>0</v>
      </c>
      <c r="AQ57" s="1080">
        <f t="shared" si="223">IF(I57&lt;&gt;"",YEAR(I57),"")</f>
        <v>0</v>
      </c>
      <c r="AR57" s="1080">
        <f t="shared" si="224">IF(E57&lt;&gt;"",E57,"")</f>
        <v>0</v>
      </c>
      <c r="AS57" s="1078">
        <f t="shared" si="225">F57</f>
        <v>0</v>
      </c>
      <c r="AT57" s="1080">
        <f t="shared" si="226">IF(H57&lt;&gt;"",H57,"")</f>
        <v>0</v>
      </c>
      <c r="AU57" s="1080">
        <f t="shared" si="227">J57</f>
        <v>0</v>
      </c>
      <c r="AV57" s="1080">
        <f t="shared" si="228">K57</f>
        <v>0</v>
      </c>
      <c r="AW57" s="1081">
        <f t="shared" si="229">M57</f>
        <v>0</v>
      </c>
      <c r="AX57" s="237">
        <f t="shared" si="258" ref="AX57:AX59">IF(AZ57&lt;&gt;"",AX56+1,"")</f>
        <v>0</v>
      </c>
      <c r="AY57" s="1087">
        <v>45</v>
      </c>
      <c r="AZ57" s="1087">
        <f t="shared" si="230">IF(ISNA(VLOOKUP(AY57,$AN$8:$AW$148,2,False))=True,"",VLOOKUP(AY57,$AN$8:$AW$148,2,False))</f>
        <v>0</v>
      </c>
      <c r="BA57" s="1087">
        <f t="shared" si="231">IF(ISNA(VLOOKUP(AZ57,$AE$8:$AF$46,2,False))=True,"",VLOOKUP(AZ57,$AE$8:$AF$46,2,False))</f>
        <v>0</v>
      </c>
      <c r="BB57" s="1087">
        <f t="shared" si="232">IF(ISNA(VLOOKUP(AY57,$AN$8:$AW$148,4,False))=True,"",VLOOKUP(AY57,$AN$8:$AW$148,4,False))</f>
        <v>0</v>
      </c>
      <c r="BC57" s="1087">
        <f t="shared" si="233">IF(ISNA(VLOOKUP(AY57,$AN$8:$AW$148,5,False))=True,"",VLOOKUP(AY57,$AN$8:$AW$148,5,False))</f>
        <v>0</v>
      </c>
      <c r="BD57" s="1087">
        <f t="shared" si="234">IF(ISNA(VLOOKUP(AY57,$AN$8:$AW$148,6,False))=True,"",VLOOKUP(AY57,$AN$8:$AW$148,6,False))</f>
        <v>0</v>
      </c>
      <c r="BE57" s="1125">
        <f t="shared" si="235">IF(ISNA(VLOOKUP(AY57,$AN$8:$AW$148,7,False))=True,"",VLOOKUP(AY57,$AN$8:$AW$148,7,False))</f>
        <v>0</v>
      </c>
      <c r="BF57" s="1123">
        <f t="shared" si="192">IF(ISNA(VLOOKUP($AY57,$AN$8:$AW$148,8,False))=True,"",VLOOKUP($AY57,$AN$8:$AW$148,8,False))</f>
        <v>0</v>
      </c>
      <c r="BG57" s="1120">
        <f t="shared" si="193">IF(ISNA(VLOOKUP($AY57,$AN$8:$AW$148,9,False))=True,"",VLOOKUP($AY57,$AN$8:$AW$148,9,False))</f>
        <v>0</v>
      </c>
      <c r="BH57" s="1120">
        <f t="shared" si="194">IF(ISNA(VLOOKUP($AY57,$AN$8:$AW$148,10,False))=True,"",VLOOKUP($AY57,$AN$8:$AW$148,10,False))</f>
        <v>0</v>
      </c>
      <c r="BI57" s="250">
        <f t="shared" si="236">IF(AZ57&lt;&gt;"",AZ57,"")</f>
        <v>0</v>
      </c>
      <c r="BJ57" s="1098">
        <f t="shared" si="237">BI57</f>
        <v>0</v>
      </c>
      <c r="BK57" s="1115">
        <f>COUNTIFS($AZ:$AZ, AZ57,$BJ:$BJ, "&lt;"&amp;BJ57)+COUNTIFS(AZ$8:AZ57, AZ57, BJ$8:BJ57, BJ57)</f>
        <v>50</v>
      </c>
      <c r="BL57" s="1114">
        <f t="shared" si="238">BK57/100</f>
        <v>0.5</v>
      </c>
      <c r="BM57" s="1093" t="e">
        <f t="shared" si="259" ref="BM57">BI57+BL57</f>
        <v>#VALUE!</v>
      </c>
      <c r="BN57" s="1101">
        <f t="shared" si="240">IF(BA57&lt;&gt;"",BM57,"")</f>
        <v>0</v>
      </c>
      <c r="BO57" s="1118">
        <f t="shared" si="241">IF(BN57&lt;&gt;"",BN57,0)</f>
        <v>0</v>
      </c>
      <c r="BP57" s="237" t="e">
        <f t="shared" si="162">SMALL($BN$8:$BN$152,AX57)</f>
        <v>#VALUE!</v>
      </c>
      <c r="BR57" s="1102" t="e">
        <f t="shared" si="260" ref="BR57:BR59">IF(BP57&lt;&gt;"",BR56+1,"")</f>
        <v>#VALUE!</v>
      </c>
      <c r="BS57" s="1102">
        <f t="shared" si="261" ref="BS57:BS59">IFERROR(BP57,"")</f>
        <v>0</v>
      </c>
      <c r="BT57" s="1102">
        <f t="shared" si="242">IFERROR(CC57,"")</f>
        <v>0</v>
      </c>
      <c r="BU57" s="1098">
        <f t="shared" si="243">IFERROR(CD57,"")</f>
        <v>0</v>
      </c>
      <c r="BV57" s="1098">
        <f t="shared" si="244">IFERROR(CE57,"")</f>
        <v>0</v>
      </c>
      <c r="BW57" s="1098">
        <f t="shared" si="245">IFERROR(CF57,"")</f>
        <v>0</v>
      </c>
      <c r="BX57" s="1146">
        <f t="shared" si="246">IFERROR(CH57,"")</f>
        <v>0</v>
      </c>
      <c r="BY57" s="1098">
        <f t="shared" si="247">IFERROR(CG57,"")</f>
        <v>0</v>
      </c>
      <c r="BZ57" s="1144" t="str">
        <f t="shared" si="248">IFERROR(CI57,"-")</f>
        <v>-</v>
      </c>
      <c r="CA57" s="1107">
        <f t="shared" si="249">IFERROR(CJ57,"")</f>
        <v>0</v>
      </c>
      <c r="CB57" s="1107">
        <f t="shared" si="250">IFERROR(CK57,"")</f>
        <v>0</v>
      </c>
      <c r="CC57" s="1110" t="e">
        <f t="shared" si="163">INDEX($AZ$8:$AZ$153,MATCH(BP57,$BO$8:$BO$153,0))</f>
        <v>#VALUE!</v>
      </c>
      <c r="CD57" s="1087" t="e">
        <f t="shared" si="164">INDEX($BA$8:$BA$153,MATCH(BP57,$BO$8:$BO$153,0))</f>
        <v>#VALUE!</v>
      </c>
      <c r="CE57" s="1106" t="e">
        <f t="shared" si="165">INDEX($BB$8:$BB$153,MATCH(BP57,$BO$8:$BO$153,0))</f>
        <v>#VALUE!</v>
      </c>
      <c r="CF57" s="1106" t="e">
        <f t="shared" si="166">INDEX(BC$8:BC$153,MATCH(BP57,$BO$8:$BO$153,0))</f>
        <v>#VALUE!</v>
      </c>
      <c r="CG57" s="1118" t="e">
        <f t="shared" si="167">INDEX(BE$8:BE$153,MATCH(BP57,$BO$8:$BO$153,0))</f>
        <v>#VALUE!</v>
      </c>
      <c r="CH57" s="1106" t="e">
        <f t="shared" si="168">INDEX($BD$8:$BD$153,MATCH($BP57,$BO$8:$BO$153,0))</f>
        <v>#VALUE!</v>
      </c>
      <c r="CI57" s="1142" t="e">
        <f t="shared" si="169">INDEX($BF$8:$BF$153,MATCH(BP57,$BO$8:$BO$153,0))</f>
        <v>#VALUE!</v>
      </c>
      <c r="CJ57" s="1106" t="e">
        <f t="shared" si="170">INDEX($BG$8:$BG$153,MATCH(BP57,$BO$8:$BO$153,0))</f>
        <v>#VALUE!</v>
      </c>
      <c r="CK57" s="1106" t="e">
        <f t="shared" si="171">INDEX($BH$8:$BH$153,MATCH(BP57,$BO$8:$BO$153,0))</f>
        <v>#VALUE!</v>
      </c>
      <c r="CM57" s="1131">
        <f t="shared" si="172">COUNTIF($CH$8:$CH$228,"&lt;="&amp;CH57)</f>
        <v>145</v>
      </c>
      <c r="CN57" s="1121">
        <f t="shared" si="251">--ISNUMBER(BX57)</f>
        <v>0</v>
      </c>
      <c r="CO57" s="1121">
        <f t="shared" si="252">IF(BX57=0,1,0)</f>
        <v>0</v>
      </c>
      <c r="CP57" s="1124">
        <f t="shared" si="253">IF(ISNUMBER(BX57),CM57,IF(ISERROR(BX57),CM57,CM57+$CN$154))+$CO$154</f>
        <v>145</v>
      </c>
      <c r="CQ57" s="237">
        <f>IFERROR(INDEX($BX$8:$BX$153,MATCH(SMALL($CP$8:$CP$153,ROWS($CQ$8:CQ57)+$CO$154),$CP$8:$CP$154,0)),"")</f>
        <v>0</v>
      </c>
      <c r="CR57" s="237">
        <v>0.1</v>
      </c>
      <c r="CS57" s="1135">
        <f t="shared" si="254">CM57+CR57</f>
        <v>145.1</v>
      </c>
      <c r="CT57" s="237">
        <f>COUNTIFS($CM:$CM, CM57,$CS:$CS, "&lt;"&amp;CL)+COUNTIFS(CM$8:CM57, CM57, CS$8:CS57, CS57)</f>
        <v>50</v>
      </c>
      <c r="CU57" s="1109">
        <f t="shared" si="255">CT57/100</f>
        <v>0.5</v>
      </c>
      <c r="CV57" s="1109">
        <f t="shared" si="256">CM57+CU57</f>
        <v>145.5</v>
      </c>
      <c r="CW57" s="237" t="e">
        <f t="shared" si="173">SMALL(CV$8:CV$153,AX57)</f>
        <v>#VALUE!</v>
      </c>
      <c r="CX57" s="1109">
        <f t="shared" si="257">IFERROR(CW57,"")</f>
        <v>0</v>
      </c>
      <c r="CY57" s="237" t="e">
        <f t="shared" si="174">INDEX(BU$8:BU$152,MATCH($CX57,CV$8:CV$152,0))</f>
        <v>#N/A</v>
      </c>
      <c r="CZ57" s="237" t="e">
        <f t="shared" si="175">INDEX(BV$8:BV$152,MATCH($CX57,$CV$8:$CV$152,0))</f>
        <v>#N/A</v>
      </c>
      <c r="DA57" s="237" t="e">
        <f t="shared" si="176">INDEX(BW$8:BW$152,MATCH($CX57,$CV$8:$CV$152,0))</f>
        <v>#N/A</v>
      </c>
      <c r="DB57" s="237" t="e">
        <f t="shared" si="177">INDEX(BX$8:BX$152,MATCH($CX57,$CV$8:$CV$152,0))</f>
        <v>#N/A</v>
      </c>
      <c r="DC57" s="237" t="e">
        <f t="shared" si="178">INDEX(BY$8:BY$152,MATCH($CX57,$CV$8:$CV$152,0))</f>
        <v>#N/A</v>
      </c>
      <c r="DD57" s="237" t="e">
        <f t="shared" si="179">INDEX(BZ$8:BZ$152,MATCH($CX57,$CV$8:$CV$152,0))</f>
        <v>#N/A</v>
      </c>
      <c r="DE57" s="237" t="e">
        <f t="shared" si="180">INDEX(CA$8:CA$152,MATCH($CX57,$CV$8:$CV$152,0))</f>
        <v>#N/A</v>
      </c>
      <c r="DF57" s="237" t="e">
        <f t="shared" si="181">INDEX(CB$8:CB$152,MATCH($CX57,$CV$8:$CV$152,0))</f>
        <v>#N/A</v>
      </c>
    </row>
    <row r="58" spans="1:110">
      <c r="A58" s="1291">
        <v>9</v>
      </c>
      <c r="B58" s="1510"/>
      <c r="C58" s="1022"/>
      <c r="D58" s="1022"/>
      <c r="E58" s="1022"/>
      <c r="F58" s="1022"/>
      <c r="G58" s="1022"/>
      <c r="H58" s="1022"/>
      <c r="I58" s="1475"/>
      <c r="J58" s="1020"/>
      <c r="K58" s="253"/>
      <c r="L58" s="254"/>
      <c r="M58" s="1292">
        <f t="shared" si="219">K58*L58</f>
        <v>0</v>
      </c>
      <c r="AM58" s="1082">
        <f t="shared" si="220">IF(M58&gt;0,1,0)</f>
        <v>0</v>
      </c>
      <c r="AN58" s="1096">
        <f>IF(AM58&gt;0,COUNTIF(AM$8:AM58,"&gt;0"),0)</f>
        <v>0</v>
      </c>
      <c r="AO58" s="1083">
        <f t="shared" si="221">B58</f>
        <v>0</v>
      </c>
      <c r="AP58" s="1084">
        <f t="shared" si="222">C58</f>
        <v>0</v>
      </c>
      <c r="AQ58" s="1085">
        <f t="shared" si="223">IF(I58&lt;&gt;"",YEAR(I58),"")</f>
        <v>0</v>
      </c>
      <c r="AR58" s="1080">
        <f t="shared" si="224">IF(E58&lt;&gt;"",E58,"")</f>
        <v>0</v>
      </c>
      <c r="AS58" s="1078">
        <f t="shared" si="225">F58</f>
        <v>0</v>
      </c>
      <c r="AT58" s="1080">
        <f t="shared" si="226">IF(H58&lt;&gt;"",H58,"")</f>
        <v>0</v>
      </c>
      <c r="AU58" s="1080">
        <f t="shared" si="227">J58</f>
        <v>0</v>
      </c>
      <c r="AV58" s="1080">
        <f t="shared" si="228">K58</f>
        <v>0</v>
      </c>
      <c r="AW58" s="1086">
        <f t="shared" si="229">M58</f>
        <v>0</v>
      </c>
      <c r="AX58" s="237">
        <f t="shared" si="258">IF(AZ58&lt;&gt;"",AX57+1,"")</f>
        <v>0</v>
      </c>
      <c r="AY58" s="1087">
        <v>46</v>
      </c>
      <c r="AZ58" s="1087">
        <f t="shared" si="230">IF(ISNA(VLOOKUP(AY58,$AN$8:$AW$148,2,False))=True,"",VLOOKUP(AY58,$AN$8:$AW$148,2,False))</f>
        <v>0</v>
      </c>
      <c r="BA58" s="1087">
        <f t="shared" si="231">IF(ISNA(VLOOKUP(AZ58,$AE$8:$AF$46,2,False))=True,"",VLOOKUP(AZ58,$AE$8:$AF$46,2,False))</f>
        <v>0</v>
      </c>
      <c r="BB58" s="1087">
        <f t="shared" si="232">IF(ISNA(VLOOKUP(AY58,$AN$8:$AW$148,4,False))=True,"",VLOOKUP(AY58,$AN$8:$AW$148,4,False))</f>
        <v>0</v>
      </c>
      <c r="BC58" s="1087">
        <f t="shared" si="233">IF(ISNA(VLOOKUP(AY58,$AN$8:$AW$148,5,False))=True,"",VLOOKUP(AY58,$AN$8:$AW$148,5,False))</f>
        <v>0</v>
      </c>
      <c r="BD58" s="1087" t="str">
        <f t="shared" si="262" ref="BD58:BD59">IF(ISNA(VLOOKUP(AY58,$AN$8:$AW$148,6,False))=True,"0",VLOOKUP(AY58,$AN$8:$AW$148,6,False))</f>
        <v>0</v>
      </c>
      <c r="BE58" s="1125">
        <f t="shared" si="235">IF(ISNA(VLOOKUP(AY58,$AN$8:$AW$148,7,False))=True,"",VLOOKUP(AY58,$AN$8:$AW$148,7,False))</f>
        <v>0</v>
      </c>
      <c r="BF58" s="1123">
        <f t="shared" si="192">IF(ISNA(VLOOKUP($AY58,$AN$8:$AW$148,8,False))=True,"",VLOOKUP($AY58,$AN$8:$AW$148,8,False))</f>
        <v>0</v>
      </c>
      <c r="BG58" s="1120">
        <f t="shared" si="193">IF(ISNA(VLOOKUP($AY58,$AN$8:$AW$148,9,False))=True,"",VLOOKUP($AY58,$AN$8:$AW$148,9,False))</f>
        <v>0</v>
      </c>
      <c r="BH58" s="1120">
        <f t="shared" si="194">IF(ISNA(VLOOKUP($AY58,$AN$8:$AW$148,10,False))=True,"",VLOOKUP($AY58,$AN$8:$AW$148,10,False))</f>
        <v>0</v>
      </c>
      <c r="BI58" s="250">
        <f t="shared" si="236">IF(AZ58&lt;&gt;"",AZ58,"")</f>
        <v>0</v>
      </c>
      <c r="BJ58" s="1098">
        <f t="shared" si="237">BI58</f>
        <v>0</v>
      </c>
      <c r="BK58" s="1115">
        <f>COUNTIFS($AZ:$AZ, AZ58,$BJ:$BJ, "&lt;"&amp;BJ58)+COUNTIFS(AZ$8:AZ58, AZ58, BJ$8:BJ58, BJ58)</f>
        <v>51</v>
      </c>
      <c r="BL58" s="1114">
        <f t="shared" si="238">BK58/100</f>
        <v>0.51</v>
      </c>
      <c r="BM58" s="1093" t="e">
        <f t="shared" si="263" ref="BM58">BJ58+BL58</f>
        <v>#VALUE!</v>
      </c>
      <c r="BN58" s="1101">
        <f t="shared" si="240">IF(BA58&lt;&gt;"",BM58,"")</f>
        <v>0</v>
      </c>
      <c r="BO58" s="1118">
        <f t="shared" si="241">IF(BN58&lt;&gt;"",BN58,0)</f>
        <v>0</v>
      </c>
      <c r="BP58" s="237" t="e">
        <f t="shared" si="162">SMALL($BN$8:$BN$152,AX58)</f>
        <v>#VALUE!</v>
      </c>
      <c r="BR58" s="1102" t="e">
        <f t="shared" si="260">IF(BP58&lt;&gt;"",BR57+1,"")</f>
        <v>#VALUE!</v>
      </c>
      <c r="BS58" s="1102">
        <f t="shared" si="261">IFERROR(BP58,"")</f>
        <v>0</v>
      </c>
      <c r="BT58" s="1102">
        <f t="shared" si="242">IFERROR(CC58,"")</f>
        <v>0</v>
      </c>
      <c r="BU58" s="1098">
        <f t="shared" si="243">IFERROR(CD58,"")</f>
        <v>0</v>
      </c>
      <c r="BV58" s="1098">
        <f t="shared" si="244">IFERROR(CE58,"")</f>
        <v>0</v>
      </c>
      <c r="BW58" s="1098">
        <f t="shared" si="245">IFERROR(CF58,"")</f>
        <v>0</v>
      </c>
      <c r="BX58" s="1146">
        <f t="shared" si="246">IFERROR(CH58,"")</f>
        <v>0</v>
      </c>
      <c r="BY58" s="1098">
        <f t="shared" si="247">IFERROR(CG58,"")</f>
        <v>0</v>
      </c>
      <c r="BZ58" s="1144" t="str">
        <f t="shared" si="248">IFERROR(CI58,"-")</f>
        <v>-</v>
      </c>
      <c r="CA58" s="1107">
        <f t="shared" si="249">IFERROR(CJ58,"")</f>
        <v>0</v>
      </c>
      <c r="CB58" s="1107">
        <f t="shared" si="250">IFERROR(CK58,"")</f>
        <v>0</v>
      </c>
      <c r="CC58" s="1110" t="e">
        <f t="shared" si="163">INDEX($AZ$8:$AZ$153,MATCH(BP58,$BO$8:$BO$153,0))</f>
        <v>#VALUE!</v>
      </c>
      <c r="CD58" s="1087" t="e">
        <f t="shared" si="164">INDEX($BA$8:$BA$153,MATCH(BP58,$BO$8:$BO$153,0))</f>
        <v>#VALUE!</v>
      </c>
      <c r="CE58" s="1106" t="e">
        <f t="shared" si="165">INDEX($BB$8:$BB$153,MATCH(BP58,$BO$8:$BO$153,0))</f>
        <v>#VALUE!</v>
      </c>
      <c r="CF58" s="1106" t="e">
        <f t="shared" si="166">INDEX(BC$8:BC$153,MATCH(BP58,$BO$8:$BO$153,0))</f>
        <v>#VALUE!</v>
      </c>
      <c r="CG58" s="1118" t="e">
        <f t="shared" si="167">INDEX(BE$8:BE$153,MATCH(BP58,$BO$8:$BO$153,0))</f>
        <v>#VALUE!</v>
      </c>
      <c r="CH58" s="1106" t="e">
        <f t="shared" si="168">INDEX($BD$8:$BD$153,MATCH($BP58,$BO$8:$BO$153,0))</f>
        <v>#VALUE!</v>
      </c>
      <c r="CI58" s="1142" t="e">
        <f t="shared" si="169">INDEX($BF$8:$BF$153,MATCH(BP58,$BO$8:$BO$153,0))</f>
        <v>#VALUE!</v>
      </c>
      <c r="CJ58" s="1106" t="e">
        <f t="shared" si="170">INDEX($BG$8:$BG$153,MATCH(BP58,$BO$8:$BO$153,0))</f>
        <v>#VALUE!</v>
      </c>
      <c r="CK58" s="1106" t="e">
        <f t="shared" si="171">INDEX($BH$8:$BH$153,MATCH(BP58,$BO$8:$BO$153,0))</f>
        <v>#VALUE!</v>
      </c>
      <c r="CM58" s="1131">
        <f t="shared" si="172">COUNTIF($CH$8:$CH$228,"&lt;="&amp;CH58)</f>
        <v>145</v>
      </c>
      <c r="CN58" s="1121">
        <f t="shared" si="251">--ISNUMBER(BX58)</f>
        <v>0</v>
      </c>
      <c r="CO58" s="1121">
        <f t="shared" si="252">IF(BX58=0,1,0)</f>
        <v>0</v>
      </c>
      <c r="CP58" s="1124">
        <f t="shared" si="253">IF(ISNUMBER(BX58),CM58,IF(ISERROR(BX58),CM58,CM58+$CN$154))+$CO$154</f>
        <v>145</v>
      </c>
      <c r="CQ58" s="237">
        <f>IFERROR(INDEX($BX$8:$BX$153,MATCH(SMALL($CP$8:$CP$153,ROWS($CQ$8:CQ58)+$CO$154),$CP$8:$CP$154,0)),"")</f>
        <v>0</v>
      </c>
      <c r="CR58" s="237">
        <v>0.1</v>
      </c>
      <c r="CS58" s="1135">
        <f t="shared" si="254">CM58+CR58</f>
        <v>145.1</v>
      </c>
      <c r="CT58" s="237">
        <f>COUNTIFS($CM:$CM, CM58,$CS:$CS, "&lt;"&amp;CL)+COUNTIFS(CM$8:CM58, CM58, CS$8:CS58, CS58)</f>
        <v>51</v>
      </c>
      <c r="CU58" s="1109">
        <f t="shared" si="255">CT58/100</f>
        <v>0.51</v>
      </c>
      <c r="CV58" s="1109">
        <f t="shared" si="256">CM58+CU58</f>
        <v>145.51</v>
      </c>
      <c r="CW58" s="237" t="e">
        <f t="shared" si="173">SMALL(CV$8:CV$153,AX58)</f>
        <v>#VALUE!</v>
      </c>
      <c r="CX58" s="1109">
        <f t="shared" si="257">IFERROR(CW58,"")</f>
        <v>0</v>
      </c>
      <c r="CY58" s="237" t="e">
        <f t="shared" si="174">INDEX(BU$8:BU$152,MATCH($CX58,CV$8:CV$152,0))</f>
        <v>#N/A</v>
      </c>
      <c r="CZ58" s="237" t="e">
        <f t="shared" si="175">INDEX(BV$8:BV$152,MATCH($CX58,$CV$8:$CV$152,0))</f>
        <v>#N/A</v>
      </c>
      <c r="DA58" s="237" t="e">
        <f t="shared" si="176">INDEX(BW$8:BW$152,MATCH($CX58,$CV$8:$CV$152,0))</f>
        <v>#N/A</v>
      </c>
      <c r="DB58" s="237" t="e">
        <f t="shared" si="177">INDEX(BX$8:BX$152,MATCH($CX58,$CV$8:$CV$152,0))</f>
        <v>#N/A</v>
      </c>
      <c r="DC58" s="237" t="e">
        <f t="shared" si="178">INDEX(BY$8:BY$152,MATCH($CX58,$CV$8:$CV$152,0))</f>
        <v>#N/A</v>
      </c>
      <c r="DD58" s="237" t="e">
        <f t="shared" si="179">INDEX(BZ$8:BZ$152,MATCH($CX58,$CV$8:$CV$152,0))</f>
        <v>#N/A</v>
      </c>
      <c r="DE58" s="237" t="e">
        <f t="shared" si="180">INDEX(CA$8:CA$152,MATCH($CX58,$CV$8:$CV$152,0))</f>
        <v>#N/A</v>
      </c>
      <c r="DF58" s="237" t="e">
        <f t="shared" si="181">INDEX(CB$8:CB$152,MATCH($CX58,$CV$8:$CV$152,0))</f>
        <v>#N/A</v>
      </c>
    </row>
    <row r="59" spans="1:110">
      <c r="A59" s="1291">
        <v>10</v>
      </c>
      <c r="B59" s="1510"/>
      <c r="C59" s="1022"/>
      <c r="D59" s="1022"/>
      <c r="E59" s="1022"/>
      <c r="F59" s="1022"/>
      <c r="G59" s="1022"/>
      <c r="H59" s="1022"/>
      <c r="I59" s="1475"/>
      <c r="J59" s="1020"/>
      <c r="K59" s="253"/>
      <c r="L59" s="254"/>
      <c r="M59" s="1292">
        <f t="shared" si="219">K59*L59</f>
        <v>0</v>
      </c>
      <c r="AM59" s="1077">
        <f t="shared" si="220">IF(M59&gt;0,1,0)</f>
        <v>0</v>
      </c>
      <c r="AN59" s="1096">
        <f>IF(AM59&gt;0,COUNTIF(AM$8:AM59,"&gt;0"),0)</f>
        <v>0</v>
      </c>
      <c r="AO59" s="1078">
        <f t="shared" si="221">B59</f>
        <v>0</v>
      </c>
      <c r="AP59" s="1079">
        <f t="shared" si="222">C59</f>
        <v>0</v>
      </c>
      <c r="AQ59" s="1080">
        <f t="shared" si="223">IF(I59&lt;&gt;"",YEAR(I59),"")</f>
        <v>0</v>
      </c>
      <c r="AR59" s="1080">
        <f t="shared" si="224">IF(E59&lt;&gt;"",E59,"")</f>
        <v>0</v>
      </c>
      <c r="AS59" s="1078">
        <f t="shared" si="225">F59</f>
        <v>0</v>
      </c>
      <c r="AT59" s="1080">
        <f t="shared" si="226">IF(H59&lt;&gt;"",H59,"")</f>
        <v>0</v>
      </c>
      <c r="AU59" s="1080">
        <f t="shared" si="227">J59</f>
        <v>0</v>
      </c>
      <c r="AV59" s="1080">
        <f t="shared" si="228">K59</f>
        <v>0</v>
      </c>
      <c r="AW59" s="1081">
        <f t="shared" si="229">M59</f>
        <v>0</v>
      </c>
      <c r="AX59" s="237">
        <f t="shared" si="258">IF(AZ59&lt;&gt;"",AX58+1,"")</f>
        <v>0</v>
      </c>
      <c r="AY59" s="1087">
        <v>47</v>
      </c>
      <c r="AZ59" s="1087">
        <f t="shared" si="230">IF(ISNA(VLOOKUP(AY59,$AN$8:$AW$148,2,False))=True,"",VLOOKUP(AY59,$AN$8:$AW$148,2,False))</f>
        <v>0</v>
      </c>
      <c r="BA59" s="1087">
        <f t="shared" si="231">IF(ISNA(VLOOKUP(AZ59,$AE$8:$AF$46,2,False))=True,"",VLOOKUP(AZ59,$AE$8:$AF$46,2,False))</f>
        <v>0</v>
      </c>
      <c r="BB59" s="1087">
        <f t="shared" si="232">IF(ISNA(VLOOKUP(AY59,$AN$8:$AW$148,4,False))=True,"",VLOOKUP(AY59,$AN$8:$AW$148,4,False))</f>
        <v>0</v>
      </c>
      <c r="BC59" s="1087">
        <f t="shared" si="233">IF(ISNA(VLOOKUP(AY59,$AN$8:$AW$148,5,False))=True,"",VLOOKUP(AY59,$AN$8:$AW$148,5,False))</f>
        <v>0</v>
      </c>
      <c r="BD59" s="1087" t="str">
        <f t="shared" si="262">IF(ISNA(VLOOKUP(AY59,$AN$8:$AW$148,6,False))=True,"0",VLOOKUP(AY59,$AN$8:$AW$148,6,False))</f>
        <v>0</v>
      </c>
      <c r="BE59" s="1125">
        <f t="shared" si="235">IF(ISNA(VLOOKUP(AY59,$AN$8:$AW$148,7,False))=True,"",VLOOKUP(AY59,$AN$8:$AW$148,7,False))</f>
        <v>0</v>
      </c>
      <c r="BF59" s="1123">
        <f t="shared" si="192">IF(ISNA(VLOOKUP($AY59,$AN$8:$AW$148,8,False))=True,"",VLOOKUP($AY59,$AN$8:$AW$148,8,False))</f>
        <v>0</v>
      </c>
      <c r="BG59" s="1120">
        <f t="shared" si="193">IF(ISNA(VLOOKUP($AY59,$AN$8:$AW$148,9,False))=True,"",VLOOKUP($AY59,$AN$8:$AW$148,9,False))</f>
        <v>0</v>
      </c>
      <c r="BH59" s="1120">
        <f t="shared" si="194">IF(ISNA(VLOOKUP($AY59,$AN$8:$AW$148,10,False))=True,"",VLOOKUP($AY59,$AN$8:$AW$148,10,False))</f>
        <v>0</v>
      </c>
      <c r="BI59" s="250">
        <f t="shared" si="236">IF(AZ59&lt;&gt;"",AZ59,"")</f>
        <v>0</v>
      </c>
      <c r="BJ59" s="1098">
        <f t="shared" si="237">BI59</f>
        <v>0</v>
      </c>
      <c r="BK59" s="1115">
        <f>COUNTIFS($AZ:$AZ, AZ59,$BJ:$BJ, "&lt;"&amp;BJ59)+COUNTIFS(AZ$8:AZ59, AZ59, BJ$8:BJ59, BJ59)</f>
        <v>52</v>
      </c>
      <c r="BL59" s="1114">
        <f t="shared" si="238">BK59/100</f>
        <v>0.52</v>
      </c>
      <c r="BM59" s="1093" t="e">
        <f t="shared" si="264" ref="BM59">BI59+BL59</f>
        <v>#VALUE!</v>
      </c>
      <c r="BN59" s="1101">
        <f t="shared" si="240">IF(BA59&lt;&gt;"",BM59,"")</f>
        <v>0</v>
      </c>
      <c r="BO59" s="1118">
        <f t="shared" si="241">IF(BN59&lt;&gt;"",BN59,0)</f>
        <v>0</v>
      </c>
      <c r="BP59" s="237" t="e">
        <f t="shared" si="162">SMALL($BN$8:$BN$152,AX59)</f>
        <v>#VALUE!</v>
      </c>
      <c r="BR59" s="1102" t="e">
        <f t="shared" si="260">IF(BP59&lt;&gt;"",BR58+1,"")</f>
        <v>#VALUE!</v>
      </c>
      <c r="BS59" s="1102">
        <f t="shared" si="261">IFERROR(BP59,"")</f>
        <v>0</v>
      </c>
      <c r="BT59" s="1102">
        <f t="shared" si="242">IFERROR(CC59,"")</f>
        <v>0</v>
      </c>
      <c r="BU59" s="1098">
        <f t="shared" si="243">IFERROR(CD59,"")</f>
        <v>0</v>
      </c>
      <c r="BV59" s="1098">
        <f t="shared" si="244">IFERROR(CE59,"")</f>
        <v>0</v>
      </c>
      <c r="BW59" s="1098">
        <f t="shared" si="245">IFERROR(CF59,"")</f>
        <v>0</v>
      </c>
      <c r="BX59" s="1146">
        <f t="shared" si="246">IFERROR(CH59,"")</f>
        <v>0</v>
      </c>
      <c r="BY59" s="1098">
        <f t="shared" si="247">IFERROR(CG59,"")</f>
        <v>0</v>
      </c>
      <c r="BZ59" s="1144" t="str">
        <f t="shared" si="248">IFERROR(CI59,"-")</f>
        <v>-</v>
      </c>
      <c r="CA59" s="1107">
        <f t="shared" si="249">IFERROR(CJ59,"")</f>
        <v>0</v>
      </c>
      <c r="CB59" s="1107">
        <f t="shared" si="250">IFERROR(CK59,"")</f>
        <v>0</v>
      </c>
      <c r="CC59" s="1110" t="e">
        <f t="shared" si="163">INDEX($AZ$8:$AZ$153,MATCH(BP59,$BO$8:$BO$153,0))</f>
        <v>#VALUE!</v>
      </c>
      <c r="CD59" s="1087" t="e">
        <f t="shared" si="164">INDEX($BA$8:$BA$153,MATCH(BP59,$BO$8:$BO$153,0))</f>
        <v>#VALUE!</v>
      </c>
      <c r="CE59" s="1106" t="e">
        <f t="shared" si="165">INDEX($BB$8:$BB$153,MATCH(BP59,$BO$8:$BO$153,0))</f>
        <v>#VALUE!</v>
      </c>
      <c r="CF59" s="1106" t="e">
        <f t="shared" si="166">INDEX(BC$8:BC$153,MATCH(BP59,$BO$8:$BO$153,0))</f>
        <v>#VALUE!</v>
      </c>
      <c r="CG59" s="1118" t="e">
        <f t="shared" si="167">INDEX(BE$8:BE$153,MATCH(BP59,$BO$8:$BO$153,0))</f>
        <v>#VALUE!</v>
      </c>
      <c r="CH59" s="1106" t="e">
        <f t="shared" si="168">INDEX($BD$8:$BD$153,MATCH($BP59,$BO$8:$BO$153,0))</f>
        <v>#VALUE!</v>
      </c>
      <c r="CI59" s="1142" t="e">
        <f t="shared" si="169">INDEX($BF$8:$BF$153,MATCH(BP59,$BO$8:$BO$153,0))</f>
        <v>#VALUE!</v>
      </c>
      <c r="CJ59" s="1106" t="e">
        <f t="shared" si="170">INDEX($BG$8:$BG$153,MATCH(BP59,$BO$8:$BO$153,0))</f>
        <v>#VALUE!</v>
      </c>
      <c r="CK59" s="1106" t="e">
        <f t="shared" si="171">INDEX($BH$8:$BH$153,MATCH(BP59,$BO$8:$BO$153,0))</f>
        <v>#VALUE!</v>
      </c>
      <c r="CM59" s="1131">
        <f t="shared" si="172">COUNTIF($CH$8:$CH$228,"&lt;="&amp;CH59)</f>
        <v>145</v>
      </c>
      <c r="CN59" s="1121">
        <f t="shared" si="251">--ISNUMBER(BX59)</f>
        <v>0</v>
      </c>
      <c r="CO59" s="1121">
        <f t="shared" si="252">IF(BX59=0,1,0)</f>
        <v>0</v>
      </c>
      <c r="CP59" s="1124">
        <f t="shared" si="253">IF(ISNUMBER(BX59),CM59,IF(ISERROR(BX59),CM59,CM59+$CN$154))+$CO$154</f>
        <v>145</v>
      </c>
      <c r="CQ59" s="237">
        <f>IFERROR(INDEX($BX$8:$BX$153,MATCH(SMALL($CP$8:$CP$153,ROWS($CQ$8:CQ59)+$CO$154),$CP$8:$CP$154,0)),"")</f>
        <v>0</v>
      </c>
      <c r="CR59" s="237">
        <v>0.1</v>
      </c>
      <c r="CS59" s="1135">
        <f t="shared" si="254">CM59+CR59</f>
        <v>145.1</v>
      </c>
      <c r="CT59" s="237">
        <f>COUNTIFS($CM:$CM, CM59,$CS:$CS, "&lt;"&amp;CL)+COUNTIFS(CM$8:CM59, CM59, CS$8:CS59, CS59)</f>
        <v>52</v>
      </c>
      <c r="CU59" s="1109">
        <f t="shared" si="255">CT59/100</f>
        <v>0.52</v>
      </c>
      <c r="CV59" s="1109">
        <f t="shared" si="256">CM59+CU59</f>
        <v>145.52</v>
      </c>
      <c r="CW59" s="237" t="e">
        <f t="shared" si="173">SMALL(CV$8:CV$153,AX59)</f>
        <v>#VALUE!</v>
      </c>
      <c r="CX59" s="1109">
        <f t="shared" si="257">IFERROR(CW59,"")</f>
        <v>0</v>
      </c>
      <c r="CY59" s="237" t="e">
        <f t="shared" si="174">INDEX(BU$8:BU$152,MATCH($CX59,CV$8:CV$152,0))</f>
        <v>#N/A</v>
      </c>
      <c r="CZ59" s="237" t="e">
        <f t="shared" si="175">INDEX(BV$8:BV$152,MATCH($CX59,$CV$8:$CV$152,0))</f>
        <v>#N/A</v>
      </c>
      <c r="DA59" s="237" t="e">
        <f t="shared" si="176">INDEX(BW$8:BW$152,MATCH($CX59,$CV$8:$CV$152,0))</f>
        <v>#N/A</v>
      </c>
      <c r="DB59" s="237" t="e">
        <f t="shared" si="177">INDEX(BX$8:BX$152,MATCH($CX59,$CV$8:$CV$152,0))</f>
        <v>#N/A</v>
      </c>
      <c r="DC59" s="237" t="e">
        <f t="shared" si="178">INDEX(BY$8:BY$152,MATCH($CX59,$CV$8:$CV$152,0))</f>
        <v>#N/A</v>
      </c>
      <c r="DD59" s="237" t="e">
        <f t="shared" si="179">INDEX(BZ$8:BZ$152,MATCH($CX59,$CV$8:$CV$152,0))</f>
        <v>#N/A</v>
      </c>
      <c r="DE59" s="237" t="e">
        <f t="shared" si="180">INDEX(CA$8:CA$152,MATCH($CX59,$CV$8:$CV$152,0))</f>
        <v>#N/A</v>
      </c>
      <c r="DF59" s="237" t="e">
        <f t="shared" si="181">INDEX(CB$8:CB$152,MATCH($CX59,$CV$8:$CV$152,0))</f>
        <v>#N/A</v>
      </c>
    </row>
    <row r="60" spans="1:110">
      <c r="A60" s="1291">
        <v>11</v>
      </c>
      <c r="B60" s="1510"/>
      <c r="C60" s="1022"/>
      <c r="D60" s="1022"/>
      <c r="E60" s="1022"/>
      <c r="F60" s="1022"/>
      <c r="G60" s="1022"/>
      <c r="H60" s="1022"/>
      <c r="I60" s="1475"/>
      <c r="J60" s="1020"/>
      <c r="K60" s="253"/>
      <c r="L60" s="254"/>
      <c r="M60" s="1292">
        <f t="shared" si="213">K60*L60</f>
        <v>0</v>
      </c>
      <c r="AM60" s="1077">
        <f t="shared" si="206">IF(M60&gt;0,1,0)</f>
        <v>0</v>
      </c>
      <c r="AN60" s="1096">
        <f>IF(AM60&gt;0,COUNTIF(AM$8:AM60,"&gt;0"),0)</f>
        <v>0</v>
      </c>
      <c r="AO60" s="1078">
        <f t="shared" si="207">B60</f>
        <v>0</v>
      </c>
      <c r="AP60" s="1079">
        <f t="shared" si="208">C60</f>
        <v>0</v>
      </c>
      <c r="AQ60" s="1080">
        <f t="shared" si="209">IF(I60&lt;&gt;"",YEAR(I60),"")</f>
        <v>0</v>
      </c>
      <c r="AR60" s="1080">
        <f t="shared" si="202">IF(E60&lt;&gt;"",E60,"")</f>
        <v>0</v>
      </c>
      <c r="AS60" s="1078">
        <f t="shared" si="186">F60</f>
        <v>0</v>
      </c>
      <c r="AT60" s="1080">
        <f t="shared" si="203">IF(H60&lt;&gt;"",H60,"")</f>
        <v>0</v>
      </c>
      <c r="AU60" s="1080">
        <f t="shared" si="204">J60</f>
        <v>0</v>
      </c>
      <c r="AV60" s="1080">
        <f t="shared" si="210">K60</f>
        <v>0</v>
      </c>
      <c r="AW60" s="1081">
        <f t="shared" si="211">M60</f>
        <v>0</v>
      </c>
      <c r="AX60" s="237">
        <f>IF(AZ60&lt;&gt;"",AX55+1,"")</f>
        <v>0</v>
      </c>
      <c r="AY60" s="1087">
        <v>44</v>
      </c>
      <c r="AZ60" s="1087">
        <f t="shared" si="187">IF(ISNA(VLOOKUP(AY60,$AN$8:$AW$148,2,False))=True,"",VLOOKUP(AY60,$AN$8:$AW$148,2,False))</f>
        <v>0</v>
      </c>
      <c r="BA60" s="1087">
        <f t="shared" si="188">IF(ISNA(VLOOKUP(AZ60,$AE$8:$AF$46,2,False))=True,"",VLOOKUP(AZ60,$AE$8:$AF$46,2,False))</f>
        <v>0</v>
      </c>
      <c r="BB60" s="1087">
        <f t="shared" si="189">IF(ISNA(VLOOKUP(AY60,$AN$8:$AW$148,4,False))=True,"",VLOOKUP(AY60,$AN$8:$AW$148,4,False))</f>
        <v>0</v>
      </c>
      <c r="BC60" s="1087">
        <f t="shared" si="190">IF(ISNA(VLOOKUP(AY60,$AN$8:$AW$148,5,False))=True,"",VLOOKUP(AY60,$AN$8:$AW$148,5,False))</f>
        <v>0</v>
      </c>
      <c r="BD60" s="1087">
        <f t="shared" si="84">IF(ISNA(VLOOKUP(AY60,$AN$8:$AW$148,6,False))=True,"",VLOOKUP(AY60,$AN$8:$AW$148,6,False))</f>
        <v>0</v>
      </c>
      <c r="BE60" s="1125">
        <f t="shared" si="191">IF(ISNA(VLOOKUP(AY60,$AN$8:$AW$148,7,False))=True,"",VLOOKUP(AY60,$AN$8:$AW$148,7,False))</f>
        <v>0</v>
      </c>
      <c r="BF60" s="1123">
        <f t="shared" si="192">IF(ISNA(VLOOKUP($AY60,$AN$8:$AW$148,8,False))=True,"",VLOOKUP($AY60,$AN$8:$AW$148,8,False))</f>
        <v>0</v>
      </c>
      <c r="BG60" s="1120">
        <f t="shared" si="193">IF(ISNA(VLOOKUP($AY60,$AN$8:$AW$148,9,False))=True,"",VLOOKUP($AY60,$AN$8:$AW$148,9,False))</f>
        <v>0</v>
      </c>
      <c r="BH60" s="1120">
        <f t="shared" si="194">IF(ISNA(VLOOKUP($AY60,$AN$8:$AW$148,10,False))=True,"",VLOOKUP($AY60,$AN$8:$AW$148,10,False))</f>
        <v>0</v>
      </c>
      <c r="BI60" s="250">
        <f t="shared" si="49">IF(AZ60&lt;&gt;"",AZ60,"")</f>
        <v>0</v>
      </c>
      <c r="BJ60" s="1098">
        <f t="shared" si="50">BI60</f>
        <v>0</v>
      </c>
      <c r="BK60" s="1115">
        <f>COUNTIFS($AZ:$AZ, AZ60,$BJ:$BJ, "&lt;"&amp;BJ60)+COUNTIFS(AZ$8:AZ60, AZ60, BJ$8:BJ60, BJ60)</f>
        <v>53</v>
      </c>
      <c r="BL60" s="1114">
        <f t="shared" si="51">BK60/100</f>
        <v>0.53</v>
      </c>
      <c r="BM60" s="1093" t="e">
        <f t="shared" si="265" ref="BM60">BJ60+BL60</f>
        <v>#VALUE!</v>
      </c>
      <c r="BN60" s="1101">
        <f t="shared" si="196">IF(BA60&lt;&gt;"",BM60,"")</f>
        <v>0</v>
      </c>
      <c r="BO60" s="1118">
        <f t="shared" si="53">IF(BN60&lt;&gt;"",BN60,0)</f>
        <v>0</v>
      </c>
      <c r="BP60" s="237" t="e">
        <f t="shared" si="162">SMALL($BN$8:$BN$152,AX60)</f>
        <v>#VALUE!</v>
      </c>
      <c r="BR60" s="1102" t="e">
        <f>IF(BP60&lt;&gt;"",BR55+1,"")</f>
        <v>#VALUE!</v>
      </c>
      <c r="BS60" s="1102">
        <f>IFERROR(BP60,"")</f>
        <v>0</v>
      </c>
      <c r="BT60" s="1102">
        <f t="shared" si="56">IFERROR(CC60,"")</f>
        <v>0</v>
      </c>
      <c r="BU60" s="1098">
        <f t="shared" si="57">IFERROR(CD60,"")</f>
        <v>0</v>
      </c>
      <c r="BV60" s="1098">
        <f t="shared" si="58">IFERROR(CE60,"")</f>
        <v>0</v>
      </c>
      <c r="BW60" s="1098">
        <f t="shared" si="59">IFERROR(CF60,"")</f>
        <v>0</v>
      </c>
      <c r="BX60" s="1146">
        <f t="shared" si="60">IFERROR(CH60,"")</f>
        <v>0</v>
      </c>
      <c r="BY60" s="1098">
        <f t="shared" si="61">IFERROR(CG60,"")</f>
        <v>0</v>
      </c>
      <c r="BZ60" s="1144" t="str">
        <f t="shared" si="62">IFERROR(CI60,"-")</f>
        <v>-</v>
      </c>
      <c r="CA60" s="1107">
        <f t="shared" si="63">IFERROR(CJ60,"")</f>
        <v>0</v>
      </c>
      <c r="CB60" s="1107">
        <f t="shared" si="64">IFERROR(CK60,"")</f>
        <v>0</v>
      </c>
      <c r="CC60" s="1110" t="e">
        <f t="shared" si="163">INDEX($AZ$8:$AZ$153,MATCH(BP60,$BO$8:$BO$153,0))</f>
        <v>#VALUE!</v>
      </c>
      <c r="CD60" s="1087" t="e">
        <f t="shared" si="164">INDEX($BA$8:$BA$153,MATCH(BP60,$BO$8:$BO$153,0))</f>
        <v>#VALUE!</v>
      </c>
      <c r="CE60" s="1106" t="e">
        <f t="shared" si="165">INDEX($BB$8:$BB$153,MATCH(BP60,$BO$8:$BO$153,0))</f>
        <v>#VALUE!</v>
      </c>
      <c r="CF60" s="1106" t="e">
        <f t="shared" si="166">INDEX(BC$8:BC$153,MATCH(BP60,$BO$8:$BO$153,0))</f>
        <v>#VALUE!</v>
      </c>
      <c r="CG60" s="1118" t="e">
        <f t="shared" si="167">INDEX(BE$8:BE$153,MATCH(BP60,$BO$8:$BO$153,0))</f>
        <v>#VALUE!</v>
      </c>
      <c r="CH60" s="1106" t="e">
        <f t="shared" si="168">INDEX($BD$8:$BD$153,MATCH($BP60,$BO$8:$BO$153,0))</f>
        <v>#VALUE!</v>
      </c>
      <c r="CI60" s="1142" t="e">
        <f t="shared" si="169">INDEX($BF$8:$BF$153,MATCH(BP60,$BO$8:$BO$153,0))</f>
        <v>#VALUE!</v>
      </c>
      <c r="CJ60" s="1106" t="e">
        <f t="shared" si="170">INDEX($BG$8:$BG$153,MATCH(BP60,$BO$8:$BO$153,0))</f>
        <v>#VALUE!</v>
      </c>
      <c r="CK60" s="1106" t="e">
        <f t="shared" si="171">INDEX($BH$8:$BH$153,MATCH(BP60,$BO$8:$BO$153,0))</f>
        <v>#VALUE!</v>
      </c>
      <c r="CM60" s="1131">
        <f t="shared" si="172">COUNTIF($CH$8:$CH$228,"&lt;="&amp;CH60)</f>
        <v>145</v>
      </c>
      <c r="CN60" s="1121">
        <f t="shared" si="65">--ISNUMBER(BX60)</f>
        <v>0</v>
      </c>
      <c r="CO60" s="1121">
        <f t="shared" si="66">IF(BX60=0,1,0)</f>
        <v>0</v>
      </c>
      <c r="CP60" s="1124">
        <f t="shared" si="197">IF(ISNUMBER(BX60),CM60,IF(ISERROR(BX60),CM60,CM60+$CN$154))+$CO$154</f>
        <v>145</v>
      </c>
      <c r="CQ60" s="237">
        <f>IFERROR(INDEX($BX$8:$BX$153,MATCH(SMALL($CP$8:$CP$153,ROWS($CQ$8:CQ60)+$CO$154),$CP$8:$CP$154,0)),"")</f>
        <v>0</v>
      </c>
      <c r="CR60" s="237">
        <v>0.1</v>
      </c>
      <c r="CS60" s="1135">
        <f t="shared" si="67">CM60+CR60</f>
        <v>145.1</v>
      </c>
      <c r="CT60" s="237">
        <f>COUNTIFS($CM:$CM, CM60,$CS:$CS, "&lt;"&amp;CL)+COUNTIFS(CM$8:CM60, CM60, CS$8:CS60, CS60)</f>
        <v>53</v>
      </c>
      <c r="CU60" s="1109">
        <f t="shared" si="68">CT60/100</f>
        <v>0.53</v>
      </c>
      <c r="CV60" s="1109">
        <f t="shared" si="69">CM60+CU60</f>
        <v>145.53</v>
      </c>
      <c r="CW60" s="237" t="e">
        <f t="shared" si="173">SMALL(CV$8:CV$153,AX60)</f>
        <v>#VALUE!</v>
      </c>
      <c r="CX60" s="1109">
        <f t="shared" si="70">IFERROR(CW60,"")</f>
        <v>0</v>
      </c>
      <c r="CY60" s="237" t="e">
        <f t="shared" si="174">INDEX(BU$8:BU$152,MATCH($CX60,CV$8:CV$152,0))</f>
        <v>#N/A</v>
      </c>
      <c r="CZ60" s="237" t="e">
        <f t="shared" si="175">INDEX(BV$8:BV$152,MATCH($CX60,$CV$8:$CV$152,0))</f>
        <v>#N/A</v>
      </c>
      <c r="DA60" s="237" t="e">
        <f t="shared" si="176">INDEX(BW$8:BW$152,MATCH($CX60,$CV$8:$CV$152,0))</f>
        <v>#N/A</v>
      </c>
      <c r="DB60" s="237" t="e">
        <f t="shared" si="177">INDEX(BX$8:BX$152,MATCH($CX60,$CV$8:$CV$152,0))</f>
        <v>#N/A</v>
      </c>
      <c r="DC60" s="237" t="e">
        <f t="shared" si="178">INDEX(BY$8:BY$152,MATCH($CX60,$CV$8:$CV$152,0))</f>
        <v>#N/A</v>
      </c>
      <c r="DD60" s="237" t="e">
        <f t="shared" si="179">INDEX(BZ$8:BZ$152,MATCH($CX60,$CV$8:$CV$152,0))</f>
        <v>#N/A</v>
      </c>
      <c r="DE60" s="237" t="e">
        <f t="shared" si="180">INDEX(CA$8:CA$152,MATCH($CX60,$CV$8:$CV$152,0))</f>
        <v>#N/A</v>
      </c>
      <c r="DF60" s="237" t="e">
        <f t="shared" si="181">INDEX(CB$8:CB$152,MATCH($CX60,$CV$8:$CV$152,0))</f>
        <v>#N/A</v>
      </c>
    </row>
    <row r="61" spans="1:110">
      <c r="A61" s="1291">
        <v>12</v>
      </c>
      <c r="B61" s="1510"/>
      <c r="C61" s="1022"/>
      <c r="D61" s="1022"/>
      <c r="E61" s="1022"/>
      <c r="F61" s="1022"/>
      <c r="G61" s="1022"/>
      <c r="H61" s="1022"/>
      <c r="I61" s="1475"/>
      <c r="J61" s="1020"/>
      <c r="K61" s="253"/>
      <c r="L61" s="254"/>
      <c r="M61" s="1292">
        <f t="shared" si="213">K61*L61</f>
        <v>0</v>
      </c>
      <c r="AM61" s="1077">
        <f t="shared" si="206">IF(M61&gt;0,1,0)</f>
        <v>0</v>
      </c>
      <c r="AN61" s="1096">
        <f>IF(K61&gt;0,COUNTIF(AM$8:AM61,"&gt;0"),0)</f>
        <v>0</v>
      </c>
      <c r="AO61" s="1078">
        <f t="shared" si="207">B61</f>
        <v>0</v>
      </c>
      <c r="AP61" s="1079">
        <f t="shared" si="208">C61</f>
        <v>0</v>
      </c>
      <c r="AQ61" s="1080">
        <f t="shared" si="209">IF(I61&lt;&gt;"",YEAR(I61),"")</f>
        <v>0</v>
      </c>
      <c r="AR61" s="1080">
        <f t="shared" si="202">IF(E61&lt;&gt;"",E61,"")</f>
        <v>0</v>
      </c>
      <c r="AS61" s="1078">
        <f t="shared" si="186">F61</f>
        <v>0</v>
      </c>
      <c r="AT61" s="1080">
        <f t="shared" si="203">IF(H61&lt;&gt;"",H61,"")</f>
        <v>0</v>
      </c>
      <c r="AU61" s="1080">
        <f t="shared" si="204">J61</f>
        <v>0</v>
      </c>
      <c r="AV61" s="1080">
        <f t="shared" si="210">K61</f>
        <v>0</v>
      </c>
      <c r="AW61" s="1081">
        <f t="shared" si="211">M61</f>
        <v>0</v>
      </c>
      <c r="AX61" s="237">
        <f t="shared" si="71">IF(AZ61&lt;&gt;"",AX60+1,"")</f>
        <v>0</v>
      </c>
      <c r="AY61" s="1087">
        <v>45</v>
      </c>
      <c r="AZ61" s="1087">
        <f t="shared" si="187">IF(ISNA(VLOOKUP(AY61,$AN$8:$AW$148,2,False))=True,"",VLOOKUP(AY61,$AN$8:$AW$148,2,False))</f>
        <v>0</v>
      </c>
      <c r="BA61" s="1087">
        <f t="shared" si="188">IF(ISNA(VLOOKUP(AZ61,$AE$8:$AF$46,2,False))=True,"",VLOOKUP(AZ61,$AE$8:$AF$46,2,False))</f>
        <v>0</v>
      </c>
      <c r="BB61" s="1087">
        <f t="shared" si="189">IF(ISNA(VLOOKUP(AY61,$AN$8:$AW$148,4,False))=True,"",VLOOKUP(AY61,$AN$8:$AW$148,4,False))</f>
        <v>0</v>
      </c>
      <c r="BC61" s="1087">
        <f t="shared" si="190">IF(ISNA(VLOOKUP(AY61,$AN$8:$AW$148,5,False))=True,"",VLOOKUP(AY61,$AN$8:$AW$148,5,False))</f>
        <v>0</v>
      </c>
      <c r="BD61" s="1087">
        <f t="shared" si="84">IF(ISNA(VLOOKUP(AY61,$AN$8:$AW$148,6,False))=True,"",VLOOKUP(AY61,$AN$8:$AW$148,6,False))</f>
        <v>0</v>
      </c>
      <c r="BE61" s="1125">
        <f t="shared" si="191">IF(ISNA(VLOOKUP(AY61,$AN$8:$AW$148,7,False))=True,"",VLOOKUP(AY61,$AN$8:$AW$148,7,False))</f>
        <v>0</v>
      </c>
      <c r="BF61" s="1123">
        <f t="shared" si="192">IF(ISNA(VLOOKUP($AY61,$AN$8:$AW$148,8,False))=True,"",VLOOKUP($AY61,$AN$8:$AW$148,8,False))</f>
        <v>0</v>
      </c>
      <c r="BG61" s="1120">
        <f t="shared" si="193">IF(ISNA(VLOOKUP($AY61,$AN$8:$AW$148,9,False))=True,"",VLOOKUP($AY61,$AN$8:$AW$148,9,False))</f>
        <v>0</v>
      </c>
      <c r="BH61" s="1120">
        <f t="shared" si="194">IF(ISNA(VLOOKUP($AY61,$AN$8:$AW$148,10,False))=True,"",VLOOKUP($AY61,$AN$8:$AW$148,10,False))</f>
        <v>0</v>
      </c>
      <c r="BI61" s="250">
        <f t="shared" si="49">IF(AZ61&lt;&gt;"",AZ61,"")</f>
        <v>0</v>
      </c>
      <c r="BJ61" s="1098">
        <f t="shared" si="50">BI61</f>
        <v>0</v>
      </c>
      <c r="BK61" s="1115">
        <f>COUNTIFS($AZ:$AZ, AZ61,$BJ:$BJ, "&lt;"&amp;BJ61)+COUNTIFS(AZ$8:AZ61, AZ61, BJ$8:BJ61, BJ61)</f>
        <v>54</v>
      </c>
      <c r="BL61" s="1114">
        <f t="shared" si="51">BK61/100</f>
        <v>0.54</v>
      </c>
      <c r="BM61" s="1093" t="e">
        <f t="shared" si="266" ref="BM61">BI61+BL61</f>
        <v>#VALUE!</v>
      </c>
      <c r="BN61" s="1101">
        <f t="shared" si="196">IF(BA61&lt;&gt;"",BM61,"")</f>
        <v>0</v>
      </c>
      <c r="BO61" s="1118">
        <f t="shared" si="53">IF(BN61&lt;&gt;"",BN61,0)</f>
        <v>0</v>
      </c>
      <c r="BP61" s="237" t="e">
        <f t="shared" si="162">SMALL($BN$8:$BN$152,AX61)</f>
        <v>#VALUE!</v>
      </c>
      <c r="BR61" s="1102" t="e">
        <f t="shared" si="199">IF(BP61&lt;&gt;"",BR60+1,"")</f>
        <v>#VALUE!</v>
      </c>
      <c r="BS61" s="1102">
        <f t="shared" si="55">IFERROR(BP61,"")</f>
        <v>0</v>
      </c>
      <c r="BT61" s="1102">
        <f t="shared" si="56">IFERROR(CC61,"")</f>
        <v>0</v>
      </c>
      <c r="BU61" s="1098">
        <f t="shared" si="57">IFERROR(CD61,"")</f>
        <v>0</v>
      </c>
      <c r="BV61" s="1098">
        <f t="shared" si="58">IFERROR(CE61,"")</f>
        <v>0</v>
      </c>
      <c r="BW61" s="1098">
        <f t="shared" si="59">IFERROR(CF61,"")</f>
        <v>0</v>
      </c>
      <c r="BX61" s="1146">
        <f t="shared" si="60">IFERROR(CH61,"")</f>
        <v>0</v>
      </c>
      <c r="BY61" s="1098">
        <f t="shared" si="61">IFERROR(CG61,"")</f>
        <v>0</v>
      </c>
      <c r="BZ61" s="1144" t="str">
        <f t="shared" si="62">IFERROR(CI61,"-")</f>
        <v>-</v>
      </c>
      <c r="CA61" s="1107">
        <f t="shared" si="63">IFERROR(CJ61,"")</f>
        <v>0</v>
      </c>
      <c r="CB61" s="1107">
        <f t="shared" si="64">IFERROR(CK61,"")</f>
        <v>0</v>
      </c>
      <c r="CC61" s="1110" t="e">
        <f t="shared" si="163">INDEX($AZ$8:$AZ$153,MATCH(BP61,$BO$8:$BO$153,0))</f>
        <v>#VALUE!</v>
      </c>
      <c r="CD61" s="1087" t="e">
        <f t="shared" si="164">INDEX($BA$8:$BA$153,MATCH(BP61,$BO$8:$BO$153,0))</f>
        <v>#VALUE!</v>
      </c>
      <c r="CE61" s="1106" t="e">
        <f t="shared" si="165">INDEX($BB$8:$BB$153,MATCH(BP61,$BO$8:$BO$153,0))</f>
        <v>#VALUE!</v>
      </c>
      <c r="CF61" s="1106" t="e">
        <f t="shared" si="166">INDEX(BC$8:BC$153,MATCH(BP61,$BO$8:$BO$153,0))</f>
        <v>#VALUE!</v>
      </c>
      <c r="CG61" s="1118" t="e">
        <f t="shared" si="167">INDEX(BE$8:BE$153,MATCH(BP61,$BO$8:$BO$153,0))</f>
        <v>#VALUE!</v>
      </c>
      <c r="CH61" s="1106" t="e">
        <f t="shared" si="168">INDEX($BD$8:$BD$153,MATCH($BP61,$BO$8:$BO$153,0))</f>
        <v>#VALUE!</v>
      </c>
      <c r="CI61" s="1142" t="e">
        <f t="shared" si="169">INDEX($BF$8:$BF$153,MATCH(BP61,$BO$8:$BO$153,0))</f>
        <v>#VALUE!</v>
      </c>
      <c r="CJ61" s="1106" t="e">
        <f t="shared" si="170">INDEX($BG$8:$BG$153,MATCH(BP61,$BO$8:$BO$153,0))</f>
        <v>#VALUE!</v>
      </c>
      <c r="CK61" s="1106" t="e">
        <f t="shared" si="171">INDEX($BH$8:$BH$153,MATCH(BP61,$BO$8:$BO$153,0))</f>
        <v>#VALUE!</v>
      </c>
      <c r="CM61" s="1131">
        <f t="shared" si="172">COUNTIF($CH$8:$CH$228,"&lt;="&amp;CH61)</f>
        <v>145</v>
      </c>
      <c r="CN61" s="1121">
        <f t="shared" si="65">--ISNUMBER(BX61)</f>
        <v>0</v>
      </c>
      <c r="CO61" s="1121">
        <f t="shared" si="66">IF(BX61=0,1,0)</f>
        <v>0</v>
      </c>
      <c r="CP61" s="1124">
        <f t="shared" si="197">IF(ISNUMBER(BX61),CM61,IF(ISERROR(BX61),CM61,CM61+$CN$154))+$CO$154</f>
        <v>145</v>
      </c>
      <c r="CQ61" s="237">
        <f>IFERROR(INDEX($BX$8:$BX$153,MATCH(SMALL($CP$8:$CP$153,ROWS($CQ$8:CQ61)+$CO$154),$CP$8:$CP$154,0)),"")</f>
        <v>0</v>
      </c>
      <c r="CR61" s="237">
        <v>0.1</v>
      </c>
      <c r="CS61" s="1135">
        <f t="shared" si="67">CM61+CR61</f>
        <v>145.1</v>
      </c>
      <c r="CT61" s="237">
        <f>COUNTIFS($CM:$CM, CM61,$CS:$CS, "&lt;"&amp;CL)+COUNTIFS(CM$8:CM61, CM61, CS$8:CS61, CS61)</f>
        <v>54</v>
      </c>
      <c r="CU61" s="1109">
        <f t="shared" si="68">CT61/100</f>
        <v>0.54</v>
      </c>
      <c r="CV61" s="1109">
        <f t="shared" si="69">CM61+CU61</f>
        <v>145.54</v>
      </c>
      <c r="CW61" s="237" t="e">
        <f t="shared" si="173">SMALL(CV$8:CV$153,AX61)</f>
        <v>#VALUE!</v>
      </c>
      <c r="CX61" s="1109">
        <f t="shared" si="70">IFERROR(CW61,"")</f>
        <v>0</v>
      </c>
      <c r="CY61" s="237" t="e">
        <f t="shared" si="174">INDEX(BU$8:BU$152,MATCH($CX61,CV$8:CV$152,0))</f>
        <v>#N/A</v>
      </c>
      <c r="CZ61" s="237" t="e">
        <f t="shared" si="175">INDEX(BV$8:BV$152,MATCH($CX61,$CV$8:$CV$152,0))</f>
        <v>#N/A</v>
      </c>
      <c r="DA61" s="237" t="e">
        <f t="shared" si="176">INDEX(BW$8:BW$152,MATCH($CX61,$CV$8:$CV$152,0))</f>
        <v>#N/A</v>
      </c>
      <c r="DB61" s="237" t="e">
        <f t="shared" si="177">INDEX(BX$8:BX$152,MATCH($CX61,$CV$8:$CV$152,0))</f>
        <v>#N/A</v>
      </c>
      <c r="DC61" s="237" t="e">
        <f t="shared" si="178">INDEX(BY$8:BY$152,MATCH($CX61,$CV$8:$CV$152,0))</f>
        <v>#N/A</v>
      </c>
      <c r="DD61" s="237" t="e">
        <f t="shared" si="179">INDEX(BZ$8:BZ$152,MATCH($CX61,$CV$8:$CV$152,0))</f>
        <v>#N/A</v>
      </c>
      <c r="DE61" s="237" t="e">
        <f t="shared" si="180">INDEX(CA$8:CA$152,MATCH($CX61,$CV$8:$CV$152,0))</f>
        <v>#N/A</v>
      </c>
      <c r="DF61" s="237" t="e">
        <f t="shared" si="181">INDEX(CB$8:CB$152,MATCH($CX61,$CV$8:$CV$152,0))</f>
        <v>#N/A</v>
      </c>
    </row>
    <row r="62" spans="1:110">
      <c r="A62" s="1291">
        <v>13</v>
      </c>
      <c r="B62" s="1510"/>
      <c r="C62" s="1022"/>
      <c r="D62" s="1022"/>
      <c r="E62" s="1022"/>
      <c r="F62" s="1022"/>
      <c r="G62" s="1022"/>
      <c r="H62" s="1022"/>
      <c r="I62" s="1475"/>
      <c r="J62" s="1020"/>
      <c r="K62" s="253"/>
      <c r="L62" s="254"/>
      <c r="M62" s="1292">
        <f t="shared" si="213">K62*L62</f>
        <v>0</v>
      </c>
      <c r="AM62" s="1082">
        <f t="shared" si="206">IF(M62&gt;0,1,0)</f>
        <v>0</v>
      </c>
      <c r="AN62" s="1096">
        <f>IF(AM62&gt;0,COUNTIF(AM$8:AM62,"&gt;0"),0)</f>
        <v>0</v>
      </c>
      <c r="AO62" s="1083">
        <f t="shared" si="207">B62</f>
        <v>0</v>
      </c>
      <c r="AP62" s="1084">
        <f t="shared" si="208">C62</f>
        <v>0</v>
      </c>
      <c r="AQ62" s="1085">
        <f t="shared" si="209">IF(I62&lt;&gt;"",YEAR(I62),"")</f>
        <v>0</v>
      </c>
      <c r="AR62" s="1080">
        <f t="shared" si="202">IF(E62&lt;&gt;"",E62,"")</f>
        <v>0</v>
      </c>
      <c r="AS62" s="1078">
        <f t="shared" si="186">F62</f>
        <v>0</v>
      </c>
      <c r="AT62" s="1080">
        <f t="shared" si="203">IF(H62&lt;&gt;"",H62,"")</f>
        <v>0</v>
      </c>
      <c r="AU62" s="1080">
        <f t="shared" si="204">J62</f>
        <v>0</v>
      </c>
      <c r="AV62" s="1080">
        <f t="shared" si="210">K62</f>
        <v>0</v>
      </c>
      <c r="AW62" s="1086">
        <f t="shared" si="211">M62</f>
        <v>0</v>
      </c>
      <c r="AX62" s="237">
        <f t="shared" si="71">IF(AZ62&lt;&gt;"",AX61+1,"")</f>
        <v>0</v>
      </c>
      <c r="AY62" s="1087">
        <v>46</v>
      </c>
      <c r="AZ62" s="1087">
        <f t="shared" si="187">IF(ISNA(VLOOKUP(AY62,$AN$8:$AW$148,2,False))=True,"",VLOOKUP(AY62,$AN$8:$AW$148,2,False))</f>
        <v>0</v>
      </c>
      <c r="BA62" s="1087">
        <f t="shared" si="188">IF(ISNA(VLOOKUP(AZ62,$AE$8:$AF$46,2,False))=True,"",VLOOKUP(AZ62,$AE$8:$AF$46,2,False))</f>
        <v>0</v>
      </c>
      <c r="BB62" s="1087">
        <f t="shared" si="189">IF(ISNA(VLOOKUP(AY62,$AN$8:$AW$148,4,False))=True,"",VLOOKUP(AY62,$AN$8:$AW$148,4,False))</f>
        <v>0</v>
      </c>
      <c r="BC62" s="1087">
        <f t="shared" si="190">IF(ISNA(VLOOKUP(AY62,$AN$8:$AW$148,5,False))=True,"",VLOOKUP(AY62,$AN$8:$AW$148,5,False))</f>
        <v>0</v>
      </c>
      <c r="BD62" s="1087" t="str">
        <f t="shared" si="267" ref="BD62:BD103">IF(ISNA(VLOOKUP(AY62,$AN$8:$AW$148,6,False))=True,"0",VLOOKUP(AY62,$AN$8:$AW$148,6,False))</f>
        <v>0</v>
      </c>
      <c r="BE62" s="1125">
        <f t="shared" si="191">IF(ISNA(VLOOKUP(AY62,$AN$8:$AW$148,7,False))=True,"",VLOOKUP(AY62,$AN$8:$AW$148,7,False))</f>
        <v>0</v>
      </c>
      <c r="BF62" s="1123">
        <f t="shared" si="192">IF(ISNA(VLOOKUP($AY62,$AN$8:$AW$148,8,False))=True,"",VLOOKUP($AY62,$AN$8:$AW$148,8,False))</f>
        <v>0</v>
      </c>
      <c r="BG62" s="1120">
        <f t="shared" si="193">IF(ISNA(VLOOKUP($AY62,$AN$8:$AW$148,9,False))=True,"",VLOOKUP($AY62,$AN$8:$AW$148,9,False))</f>
        <v>0</v>
      </c>
      <c r="BH62" s="1120">
        <f t="shared" si="194">IF(ISNA(VLOOKUP($AY62,$AN$8:$AW$148,10,False))=True,"",VLOOKUP($AY62,$AN$8:$AW$148,10,False))</f>
        <v>0</v>
      </c>
      <c r="BI62" s="250">
        <f t="shared" si="49">IF(AZ62&lt;&gt;"",AZ62,"")</f>
        <v>0</v>
      </c>
      <c r="BJ62" s="1098">
        <f t="shared" si="50">BI62</f>
        <v>0</v>
      </c>
      <c r="BK62" s="1115">
        <f>COUNTIFS($AZ:$AZ, AZ62,$BJ:$BJ, "&lt;"&amp;BJ62)+COUNTIFS(AZ$8:AZ62, AZ62, BJ$8:BJ62, BJ62)</f>
        <v>55</v>
      </c>
      <c r="BL62" s="1114">
        <f t="shared" si="51">BK62/100</f>
        <v>0.55</v>
      </c>
      <c r="BM62" s="1093" t="e">
        <f t="shared" si="268" ref="BM62">BJ62+BL62</f>
        <v>#VALUE!</v>
      </c>
      <c r="BN62" s="1101">
        <f t="shared" si="196">IF(BA62&lt;&gt;"",BM62,"")</f>
        <v>0</v>
      </c>
      <c r="BO62" s="1118">
        <f t="shared" si="53">IF(BN62&lt;&gt;"",BN62,0)</f>
        <v>0</v>
      </c>
      <c r="BP62" s="237" t="e">
        <f t="shared" si="162">SMALL($BN$8:$BN$152,AX62)</f>
        <v>#VALUE!</v>
      </c>
      <c r="BR62" s="1102" t="e">
        <f t="shared" si="199">IF(BP62&lt;&gt;"",BR61+1,"")</f>
        <v>#VALUE!</v>
      </c>
      <c r="BS62" s="1102">
        <f t="shared" si="55">IFERROR(BP62,"")</f>
        <v>0</v>
      </c>
      <c r="BT62" s="1102">
        <f t="shared" si="56">IFERROR(CC62,"")</f>
        <v>0</v>
      </c>
      <c r="BU62" s="1098">
        <f t="shared" si="57">IFERROR(CD62,"")</f>
        <v>0</v>
      </c>
      <c r="BV62" s="1098">
        <f t="shared" si="58">IFERROR(CE62,"")</f>
        <v>0</v>
      </c>
      <c r="BW62" s="1098">
        <f t="shared" si="59">IFERROR(CF62,"")</f>
        <v>0</v>
      </c>
      <c r="BX62" s="1146">
        <f t="shared" si="60">IFERROR(CH62,"")</f>
        <v>0</v>
      </c>
      <c r="BY62" s="1098">
        <f t="shared" si="61">IFERROR(CG62,"")</f>
        <v>0</v>
      </c>
      <c r="BZ62" s="1144" t="str">
        <f t="shared" si="62">IFERROR(CI62,"-")</f>
        <v>-</v>
      </c>
      <c r="CA62" s="1107">
        <f t="shared" si="63">IFERROR(CJ62,"")</f>
        <v>0</v>
      </c>
      <c r="CB62" s="1107">
        <f t="shared" si="64">IFERROR(CK62,"")</f>
        <v>0</v>
      </c>
      <c r="CC62" s="1110" t="e">
        <f t="shared" si="163">INDEX($AZ$8:$AZ$153,MATCH(BP62,$BO$8:$BO$153,0))</f>
        <v>#VALUE!</v>
      </c>
      <c r="CD62" s="1087" t="e">
        <f t="shared" si="164">INDEX($BA$8:$BA$153,MATCH(BP62,$BO$8:$BO$153,0))</f>
        <v>#VALUE!</v>
      </c>
      <c r="CE62" s="1106" t="e">
        <f t="shared" si="165">INDEX($BB$8:$BB$153,MATCH(BP62,$BO$8:$BO$153,0))</f>
        <v>#VALUE!</v>
      </c>
      <c r="CF62" s="1106" t="e">
        <f t="shared" si="166">INDEX(BC$8:BC$153,MATCH(BP62,$BO$8:$BO$153,0))</f>
        <v>#VALUE!</v>
      </c>
      <c r="CG62" s="1118" t="e">
        <f t="shared" si="167">INDEX(BE$8:BE$153,MATCH(BP62,$BO$8:$BO$153,0))</f>
        <v>#VALUE!</v>
      </c>
      <c r="CH62" s="1106" t="e">
        <f t="shared" si="168">INDEX($BD$8:$BD$153,MATCH($BP62,$BO$8:$BO$153,0))</f>
        <v>#VALUE!</v>
      </c>
      <c r="CI62" s="1142" t="e">
        <f t="shared" si="169">INDEX($BF$8:$BF$153,MATCH(BP62,$BO$8:$BO$153,0))</f>
        <v>#VALUE!</v>
      </c>
      <c r="CJ62" s="1106" t="e">
        <f t="shared" si="170">INDEX($BG$8:$BG$153,MATCH(BP62,$BO$8:$BO$153,0))</f>
        <v>#VALUE!</v>
      </c>
      <c r="CK62" s="1106" t="e">
        <f t="shared" si="171">INDEX($BH$8:$BH$153,MATCH(BP62,$BO$8:$BO$153,0))</f>
        <v>#VALUE!</v>
      </c>
      <c r="CM62" s="1131">
        <f t="shared" si="172">COUNTIF($CH$8:$CH$228,"&lt;="&amp;CH62)</f>
        <v>145</v>
      </c>
      <c r="CN62" s="1121">
        <f t="shared" si="65">--ISNUMBER(BX62)</f>
        <v>0</v>
      </c>
      <c r="CO62" s="1121">
        <f t="shared" si="66">IF(BX62=0,1,0)</f>
        <v>0</v>
      </c>
      <c r="CP62" s="1124">
        <f t="shared" si="197">IF(ISNUMBER(BX62),CM62,IF(ISERROR(BX62),CM62,CM62+$CN$154))+$CO$154</f>
        <v>145</v>
      </c>
      <c r="CQ62" s="237">
        <f>IFERROR(INDEX($BX$8:$BX$153,MATCH(SMALL($CP$8:$CP$153,ROWS($CQ$8:CQ62)+$CO$154),$CP$8:$CP$154,0)),"")</f>
        <v>0</v>
      </c>
      <c r="CR62" s="237">
        <v>0.1</v>
      </c>
      <c r="CS62" s="1135">
        <f t="shared" si="67">CM62+CR62</f>
        <v>145.1</v>
      </c>
      <c r="CT62" s="237">
        <f>COUNTIFS($CM:$CM, CM62,$CS:$CS, "&lt;"&amp;CL)+COUNTIFS(CM$8:CM62, CM62, CS$8:CS62, CS62)</f>
        <v>55</v>
      </c>
      <c r="CU62" s="1109">
        <f t="shared" si="68">CT62/100</f>
        <v>0.55</v>
      </c>
      <c r="CV62" s="1109">
        <f t="shared" si="69">CM62+CU62</f>
        <v>145.55</v>
      </c>
      <c r="CW62" s="237" t="e">
        <f t="shared" si="173">SMALL(CV$8:CV$153,AX62)</f>
        <v>#VALUE!</v>
      </c>
      <c r="CX62" s="1109">
        <f t="shared" si="70">IFERROR(CW62,"")</f>
        <v>0</v>
      </c>
      <c r="CY62" s="237" t="e">
        <f t="shared" si="174">INDEX(BU$8:BU$152,MATCH($CX62,CV$8:CV$152,0))</f>
        <v>#N/A</v>
      </c>
      <c r="CZ62" s="237" t="e">
        <f t="shared" si="175">INDEX(BV$8:BV$152,MATCH($CX62,$CV$8:$CV$152,0))</f>
        <v>#N/A</v>
      </c>
      <c r="DA62" s="237" t="e">
        <f t="shared" si="176">INDEX(BW$8:BW$152,MATCH($CX62,$CV$8:$CV$152,0))</f>
        <v>#N/A</v>
      </c>
      <c r="DB62" s="237" t="e">
        <f t="shared" si="177">INDEX(BX$8:BX$152,MATCH($CX62,$CV$8:$CV$152,0))</f>
        <v>#N/A</v>
      </c>
      <c r="DC62" s="237" t="e">
        <f t="shared" si="178">INDEX(BY$8:BY$152,MATCH($CX62,$CV$8:$CV$152,0))</f>
        <v>#N/A</v>
      </c>
      <c r="DD62" s="237" t="e">
        <f t="shared" si="179">INDEX(BZ$8:BZ$152,MATCH($CX62,$CV$8:$CV$152,0))</f>
        <v>#N/A</v>
      </c>
      <c r="DE62" s="237" t="e">
        <f t="shared" si="180">INDEX(CA$8:CA$152,MATCH($CX62,$CV$8:$CV$152,0))</f>
        <v>#N/A</v>
      </c>
      <c r="DF62" s="237" t="e">
        <f t="shared" si="181">INDEX(CB$8:CB$152,MATCH($CX62,$CV$8:$CV$152,0))</f>
        <v>#N/A</v>
      </c>
    </row>
    <row r="63" spans="1:110">
      <c r="A63" s="1291">
        <v>14</v>
      </c>
      <c r="B63" s="1510"/>
      <c r="C63" s="1022"/>
      <c r="D63" s="1022"/>
      <c r="E63" s="1022"/>
      <c r="F63" s="1022"/>
      <c r="G63" s="1022"/>
      <c r="H63" s="1022"/>
      <c r="I63" s="1475"/>
      <c r="J63" s="1020"/>
      <c r="K63" s="253"/>
      <c r="L63" s="254"/>
      <c r="M63" s="1292">
        <f t="shared" si="213">K63*L63</f>
        <v>0</v>
      </c>
      <c r="AM63" s="1077">
        <f t="shared" si="206">IF(M63&gt;0,1,0)</f>
        <v>0</v>
      </c>
      <c r="AN63" s="1096">
        <f>IF(AM63&gt;0,COUNTIF(AM$8:AM63,"&gt;0"),0)</f>
        <v>0</v>
      </c>
      <c r="AO63" s="1078">
        <f t="shared" si="207">B63</f>
        <v>0</v>
      </c>
      <c r="AP63" s="1079">
        <f t="shared" si="208">C63</f>
        <v>0</v>
      </c>
      <c r="AQ63" s="1080">
        <f t="shared" si="209">IF(I63&lt;&gt;"",YEAR(I63),"")</f>
        <v>0</v>
      </c>
      <c r="AR63" s="1080">
        <f t="shared" si="202">IF(E63&lt;&gt;"",E63,"")</f>
        <v>0</v>
      </c>
      <c r="AS63" s="1078">
        <f t="shared" si="186">F63</f>
        <v>0</v>
      </c>
      <c r="AT63" s="1080">
        <f t="shared" si="203">IF(H63&lt;&gt;"",H63,"")</f>
        <v>0</v>
      </c>
      <c r="AU63" s="1080">
        <f t="shared" si="204">J63</f>
        <v>0</v>
      </c>
      <c r="AV63" s="1080">
        <f t="shared" si="210">K63</f>
        <v>0</v>
      </c>
      <c r="AW63" s="1081">
        <f t="shared" si="211">M63</f>
        <v>0</v>
      </c>
      <c r="AX63" s="237">
        <f t="shared" si="71">IF(AZ63&lt;&gt;"",AX62+1,"")</f>
        <v>0</v>
      </c>
      <c r="AY63" s="1087">
        <v>47</v>
      </c>
      <c r="AZ63" s="1087">
        <f t="shared" si="187">IF(ISNA(VLOOKUP(AY63,$AN$8:$AW$148,2,False))=True,"",VLOOKUP(AY63,$AN$8:$AW$148,2,False))</f>
        <v>0</v>
      </c>
      <c r="BA63" s="1087">
        <f t="shared" si="188">IF(ISNA(VLOOKUP(AZ63,$AE$8:$AF$46,2,False))=True,"",VLOOKUP(AZ63,$AE$8:$AF$46,2,False))</f>
        <v>0</v>
      </c>
      <c r="BB63" s="1087">
        <f t="shared" si="189">IF(ISNA(VLOOKUP(AY63,$AN$8:$AW$148,4,False))=True,"",VLOOKUP(AY63,$AN$8:$AW$148,4,False))</f>
        <v>0</v>
      </c>
      <c r="BC63" s="1087">
        <f t="shared" si="190">IF(ISNA(VLOOKUP(AY63,$AN$8:$AW$148,5,False))=True,"",VLOOKUP(AY63,$AN$8:$AW$148,5,False))</f>
        <v>0</v>
      </c>
      <c r="BD63" s="1087" t="str">
        <f t="shared" si="267">IF(ISNA(VLOOKUP(AY63,$AN$8:$AW$148,6,False))=True,"0",VLOOKUP(AY63,$AN$8:$AW$148,6,False))</f>
        <v>0</v>
      </c>
      <c r="BE63" s="1125">
        <f t="shared" si="191">IF(ISNA(VLOOKUP(AY63,$AN$8:$AW$148,7,False))=True,"",VLOOKUP(AY63,$AN$8:$AW$148,7,False))</f>
        <v>0</v>
      </c>
      <c r="BF63" s="1123">
        <f t="shared" si="192">IF(ISNA(VLOOKUP($AY63,$AN$8:$AW$148,8,False))=True,"",VLOOKUP($AY63,$AN$8:$AW$148,8,False))</f>
        <v>0</v>
      </c>
      <c r="BG63" s="1120">
        <f t="shared" si="193">IF(ISNA(VLOOKUP($AY63,$AN$8:$AW$148,9,False))=True,"",VLOOKUP($AY63,$AN$8:$AW$148,9,False))</f>
        <v>0</v>
      </c>
      <c r="BH63" s="1120">
        <f t="shared" si="194">IF(ISNA(VLOOKUP($AY63,$AN$8:$AW$148,10,False))=True,"",VLOOKUP($AY63,$AN$8:$AW$148,10,False))</f>
        <v>0</v>
      </c>
      <c r="BI63" s="250">
        <f t="shared" si="49">IF(AZ63&lt;&gt;"",AZ63,"")</f>
        <v>0</v>
      </c>
      <c r="BJ63" s="1098">
        <f t="shared" si="50">BI63</f>
        <v>0</v>
      </c>
      <c r="BK63" s="1115">
        <f>COUNTIFS($AZ:$AZ, AZ63,$BJ:$BJ, "&lt;"&amp;BJ63)+COUNTIFS(AZ$8:AZ63, AZ63, BJ$8:BJ63, BJ63)</f>
        <v>56</v>
      </c>
      <c r="BL63" s="1114">
        <f t="shared" si="51">BK63/100</f>
        <v>0.56</v>
      </c>
      <c r="BM63" s="1093" t="e">
        <f t="shared" si="269" ref="BM63">BI63+BL63</f>
        <v>#VALUE!</v>
      </c>
      <c r="BN63" s="1101">
        <f t="shared" si="196">IF(BA63&lt;&gt;"",BM63,"")</f>
        <v>0</v>
      </c>
      <c r="BO63" s="1118">
        <f t="shared" si="53">IF(BN63&lt;&gt;"",BN63,0)</f>
        <v>0</v>
      </c>
      <c r="BP63" s="237" t="e">
        <f t="shared" si="162">SMALL($BN$8:$BN$152,AX63)</f>
        <v>#VALUE!</v>
      </c>
      <c r="BR63" s="1102" t="e">
        <f t="shared" si="199">IF(BP63&lt;&gt;"",BR62+1,"")</f>
        <v>#VALUE!</v>
      </c>
      <c r="BS63" s="1102">
        <f t="shared" si="55">IFERROR(BP63,"")</f>
        <v>0</v>
      </c>
      <c r="BT63" s="1102">
        <f t="shared" si="56">IFERROR(CC63,"")</f>
        <v>0</v>
      </c>
      <c r="BU63" s="1098">
        <f t="shared" si="57">IFERROR(CD63,"")</f>
        <v>0</v>
      </c>
      <c r="BV63" s="1098">
        <f t="shared" si="58">IFERROR(CE63,"")</f>
        <v>0</v>
      </c>
      <c r="BW63" s="1098">
        <f t="shared" si="59">IFERROR(CF63,"")</f>
        <v>0</v>
      </c>
      <c r="BX63" s="1146">
        <f t="shared" si="60">IFERROR(CH63,"")</f>
        <v>0</v>
      </c>
      <c r="BY63" s="1098">
        <f t="shared" si="61">IFERROR(CG63,"")</f>
        <v>0</v>
      </c>
      <c r="BZ63" s="1144" t="str">
        <f t="shared" si="62">IFERROR(CI63,"-")</f>
        <v>-</v>
      </c>
      <c r="CA63" s="1107">
        <f t="shared" si="63">IFERROR(CJ63,"")</f>
        <v>0</v>
      </c>
      <c r="CB63" s="1107">
        <f t="shared" si="64">IFERROR(CK63,"")</f>
        <v>0</v>
      </c>
      <c r="CC63" s="1110" t="e">
        <f t="shared" si="163">INDEX($AZ$8:$AZ$153,MATCH(BP63,$BO$8:$BO$153,0))</f>
        <v>#VALUE!</v>
      </c>
      <c r="CD63" s="1087" t="e">
        <f t="shared" si="164">INDEX($BA$8:$BA$153,MATCH(BP63,$BO$8:$BO$153,0))</f>
        <v>#VALUE!</v>
      </c>
      <c r="CE63" s="1106" t="e">
        <f t="shared" si="165">INDEX($BB$8:$BB$153,MATCH(BP63,$BO$8:$BO$153,0))</f>
        <v>#VALUE!</v>
      </c>
      <c r="CF63" s="1106" t="e">
        <f t="shared" si="166">INDEX(BC$8:BC$153,MATCH(BP63,$BO$8:$BO$153,0))</f>
        <v>#VALUE!</v>
      </c>
      <c r="CG63" s="1118" t="e">
        <f t="shared" si="167">INDEX(BE$8:BE$153,MATCH(BP63,$BO$8:$BO$153,0))</f>
        <v>#VALUE!</v>
      </c>
      <c r="CH63" s="1106" t="e">
        <f t="shared" si="168">INDEX($BD$8:$BD$153,MATCH($BP63,$BO$8:$BO$153,0))</f>
        <v>#VALUE!</v>
      </c>
      <c r="CI63" s="1142" t="e">
        <f t="shared" si="169">INDEX($BF$8:$BF$153,MATCH(BP63,$BO$8:$BO$153,0))</f>
        <v>#VALUE!</v>
      </c>
      <c r="CJ63" s="1106" t="e">
        <f t="shared" si="170">INDEX($BG$8:$BG$153,MATCH(BP63,$BO$8:$BO$153,0))</f>
        <v>#VALUE!</v>
      </c>
      <c r="CK63" s="1106" t="e">
        <f t="shared" si="171">INDEX($BH$8:$BH$153,MATCH(BP63,$BO$8:$BO$153,0))</f>
        <v>#VALUE!</v>
      </c>
      <c r="CM63" s="1131">
        <f t="shared" si="172">COUNTIF($CH$8:$CH$228,"&lt;="&amp;CH63)</f>
        <v>145</v>
      </c>
      <c r="CN63" s="1121">
        <f t="shared" si="65">--ISNUMBER(BX63)</f>
        <v>0</v>
      </c>
      <c r="CO63" s="1121">
        <f t="shared" si="66">IF(BX63=0,1,0)</f>
        <v>0</v>
      </c>
      <c r="CP63" s="1124">
        <f t="shared" si="197">IF(ISNUMBER(BX63),CM63,IF(ISERROR(BX63),CM63,CM63+$CN$154))+$CO$154</f>
        <v>145</v>
      </c>
      <c r="CQ63" s="237">
        <f>IFERROR(INDEX($BX$8:$BX$153,MATCH(SMALL($CP$8:$CP$153,ROWS($CQ$8:CQ63)+$CO$154),$CP$8:$CP$154,0)),"")</f>
        <v>0</v>
      </c>
      <c r="CR63" s="237">
        <v>0.1</v>
      </c>
      <c r="CS63" s="1135">
        <f t="shared" si="67">CM63+CR63</f>
        <v>145.1</v>
      </c>
      <c r="CT63" s="237">
        <f>COUNTIFS($CM:$CM, CM63,$CS:$CS, "&lt;"&amp;CL)+COUNTIFS(CM$8:CM63, CM63, CS$8:CS63, CS63)</f>
        <v>56</v>
      </c>
      <c r="CU63" s="1109">
        <f t="shared" si="68">CT63/100</f>
        <v>0.56</v>
      </c>
      <c r="CV63" s="1109">
        <f t="shared" si="69">CM63+CU63</f>
        <v>145.56</v>
      </c>
      <c r="CW63" s="237" t="e">
        <f t="shared" si="173">SMALL(CV$8:CV$153,AX63)</f>
        <v>#VALUE!</v>
      </c>
      <c r="CX63" s="1109">
        <f t="shared" si="70">IFERROR(CW63,"")</f>
        <v>0</v>
      </c>
      <c r="CY63" s="237" t="e">
        <f t="shared" si="174">INDEX(BU$8:BU$152,MATCH($CX63,CV$8:CV$152,0))</f>
        <v>#N/A</v>
      </c>
      <c r="CZ63" s="237" t="e">
        <f t="shared" si="175">INDEX(BV$8:BV$152,MATCH($CX63,$CV$8:$CV$152,0))</f>
        <v>#N/A</v>
      </c>
      <c r="DA63" s="237" t="e">
        <f t="shared" si="176">INDEX(BW$8:BW$152,MATCH($CX63,$CV$8:$CV$152,0))</f>
        <v>#N/A</v>
      </c>
      <c r="DB63" s="237" t="e">
        <f t="shared" si="177">INDEX(BX$8:BX$152,MATCH($CX63,$CV$8:$CV$152,0))</f>
        <v>#N/A</v>
      </c>
      <c r="DC63" s="237" t="e">
        <f t="shared" si="178">INDEX(BY$8:BY$152,MATCH($CX63,$CV$8:$CV$152,0))</f>
        <v>#N/A</v>
      </c>
      <c r="DD63" s="237" t="e">
        <f t="shared" si="179">INDEX(BZ$8:BZ$152,MATCH($CX63,$CV$8:$CV$152,0))</f>
        <v>#N/A</v>
      </c>
      <c r="DE63" s="237" t="e">
        <f t="shared" si="180">INDEX(CA$8:CA$152,MATCH($CX63,$CV$8:$CV$152,0))</f>
        <v>#N/A</v>
      </c>
      <c r="DF63" s="237" t="e">
        <f t="shared" si="181">INDEX(CB$8:CB$152,MATCH($CX63,$CV$8:$CV$152,0))</f>
        <v>#N/A</v>
      </c>
    </row>
    <row r="64" spans="1:110" ht="13.5" customHeight="1" thickBot="1">
      <c r="A64" s="1293">
        <v>15</v>
      </c>
      <c r="B64" s="1511"/>
      <c r="C64" s="1300"/>
      <c r="D64" s="1300"/>
      <c r="E64" s="1300"/>
      <c r="F64" s="1300"/>
      <c r="G64" s="1300"/>
      <c r="H64" s="1300"/>
      <c r="I64" s="1476"/>
      <c r="J64" s="1301"/>
      <c r="K64" s="1302"/>
      <c r="L64" s="1303"/>
      <c r="M64" s="1298">
        <f t="shared" si="213">K64*L64</f>
        <v>0</v>
      </c>
      <c r="AM64" s="1077">
        <f t="shared" si="206">IF(M64&gt;0,1,0)</f>
        <v>0</v>
      </c>
      <c r="AN64" s="1096">
        <f>IF(AM64&gt;0,COUNTIF(AM$8:AM64,"&gt;0"),0)</f>
        <v>0</v>
      </c>
      <c r="AO64" s="1078">
        <f t="shared" si="207">B64</f>
        <v>0</v>
      </c>
      <c r="AP64" s="1079">
        <f t="shared" si="208">C64</f>
        <v>0</v>
      </c>
      <c r="AQ64" s="1080">
        <f t="shared" si="209">IF(I64&lt;&gt;"",YEAR(I64),"")</f>
        <v>0</v>
      </c>
      <c r="AR64" s="1080">
        <f t="shared" si="202">IF(E64&lt;&gt;"",E64,"")</f>
        <v>0</v>
      </c>
      <c r="AS64" s="1078">
        <f t="shared" si="186">F64</f>
        <v>0</v>
      </c>
      <c r="AT64" s="1080">
        <f t="shared" si="203">IF(H64&lt;&gt;"",H64,"")</f>
        <v>0</v>
      </c>
      <c r="AU64" s="1080">
        <f t="shared" si="204">J64</f>
        <v>0</v>
      </c>
      <c r="AV64" s="1080">
        <f t="shared" si="210">K64</f>
        <v>0</v>
      </c>
      <c r="AW64" s="1081">
        <f t="shared" si="211">M64</f>
        <v>0</v>
      </c>
      <c r="AX64" s="237">
        <f>IF(AZ64&lt;&gt;"",#REF!+1,"")</f>
        <v>0</v>
      </c>
      <c r="AY64" s="1087">
        <v>71</v>
      </c>
      <c r="AZ64" s="1087">
        <f t="shared" si="187">IF(ISNA(VLOOKUP(AY64,$AN$8:$AW$148,2,False))=True,"",VLOOKUP(AY64,$AN$8:$AW$148,2,False))</f>
        <v>0</v>
      </c>
      <c r="BA64" s="1087">
        <f t="shared" si="188">IF(ISNA(VLOOKUP(AZ64,$AE$8:$AF$46,2,False))=True,"",VLOOKUP(AZ64,$AE$8:$AF$46,2,False))</f>
        <v>0</v>
      </c>
      <c r="BB64" s="1087">
        <f t="shared" si="189">IF(ISNA(VLOOKUP(AY64,$AN$8:$AW$148,4,False))=True,"",VLOOKUP(AY64,$AN$8:$AW$148,4,False))</f>
        <v>0</v>
      </c>
      <c r="BC64" s="1087">
        <f t="shared" si="190">IF(ISNA(VLOOKUP(AY64,$AN$8:$AW$148,5,False))=True,"",VLOOKUP(AY64,$AN$8:$AW$148,5,False))</f>
        <v>0</v>
      </c>
      <c r="BD64" s="1087" t="str">
        <f t="shared" si="267">IF(ISNA(VLOOKUP(AY64,$AN$8:$AW$148,6,False))=True,"0",VLOOKUP(AY64,$AN$8:$AW$148,6,False))</f>
        <v>0</v>
      </c>
      <c r="BE64" s="1125">
        <f t="shared" si="191">IF(ISNA(VLOOKUP(AY64,$AN$8:$AW$148,7,False))=True,"",VLOOKUP(AY64,$AN$8:$AW$148,7,False))</f>
        <v>0</v>
      </c>
      <c r="BF64" s="1123">
        <f t="shared" si="192">IF(ISNA(VLOOKUP($AY64,$AN$8:$AW$148,8,False))=True,"",VLOOKUP($AY64,$AN$8:$AW$148,8,False))</f>
        <v>0</v>
      </c>
      <c r="BG64" s="1120">
        <f t="shared" si="193">IF(ISNA(VLOOKUP($AY64,$AN$8:$AW$148,9,False))=True,"",VLOOKUP($AY64,$AN$8:$AW$148,9,False))</f>
        <v>0</v>
      </c>
      <c r="BH64" s="1120">
        <f t="shared" si="194">IF(ISNA(VLOOKUP($AY64,$AN$8:$AW$148,10,False))=True,"",VLOOKUP($AY64,$AN$8:$AW$148,10,False))</f>
        <v>0</v>
      </c>
      <c r="BI64" s="250">
        <f t="shared" si="270" ref="BI64:BI137">IF(AZ64&lt;&gt;"",AZ64,"")</f>
        <v>0</v>
      </c>
      <c r="BJ64" s="1098">
        <f t="shared" si="271" ref="BJ64:BJ137">BI64</f>
        <v>0</v>
      </c>
      <c r="BK64" s="1115">
        <f>COUNTIFS($AZ:$AZ, AZ64,$BJ:$BJ, "&lt;"&amp;BJ64)+COUNTIFS(AZ$8:AZ64, AZ64, BJ$8:BJ64, BJ64)</f>
        <v>57</v>
      </c>
      <c r="BL64" s="1114">
        <f t="shared" si="272" ref="BL64:BL137">BK64/100</f>
        <v>0.57</v>
      </c>
      <c r="BM64" s="1093" t="e">
        <f t="shared" si="273" ref="BM64">BI64+BL64</f>
        <v>#VALUE!</v>
      </c>
      <c r="BN64" s="1101">
        <f t="shared" si="274" ref="BN64:BN94">IF(BA64&lt;&gt;"",BM64,"")</f>
        <v>0</v>
      </c>
      <c r="BO64" s="1118">
        <f t="shared" si="275" ref="BO64:BO137">IF(BN64&lt;&gt;"",BN64,0)</f>
        <v>0</v>
      </c>
      <c r="BP64" s="237" t="e">
        <f t="shared" si="162">SMALL($BN$8:$BN$152,AX64)</f>
        <v>#VALUE!</v>
      </c>
      <c r="BR64" s="1102" t="e">
        <f>IF(BP64&lt;&gt;"",#REF!+1,"")</f>
        <v>#VALUE!</v>
      </c>
      <c r="BS64" s="1102">
        <f t="shared" si="276" ref="BS64:BS136">IFERROR(BP64,"")</f>
        <v>0</v>
      </c>
      <c r="BT64" s="1102">
        <f t="shared" si="277" ref="BT64:BT137">IFERROR(CC64,"")</f>
        <v>0</v>
      </c>
      <c r="BU64" s="1098">
        <f t="shared" si="278" ref="BU64:BU137">IFERROR(CD64,"")</f>
        <v>0</v>
      </c>
      <c r="BV64" s="1098">
        <f t="shared" si="279" ref="BV64:BV137">IFERROR(CE64,"")</f>
        <v>0</v>
      </c>
      <c r="BW64" s="1098">
        <f t="shared" si="280" ref="BW64:BW137">IFERROR(CF64,"")</f>
        <v>0</v>
      </c>
      <c r="BX64" s="1146">
        <f t="shared" si="281" ref="BX64:BX137">IFERROR(CH64,"")</f>
        <v>0</v>
      </c>
      <c r="BY64" s="1098">
        <f t="shared" si="282" ref="BY64:BY137">IFERROR(CG64,"")</f>
        <v>0</v>
      </c>
      <c r="BZ64" s="1144" t="str">
        <f t="shared" si="283" ref="BZ64:BZ137">IFERROR(CI64,"-")</f>
        <v>-</v>
      </c>
      <c r="CA64" s="1107">
        <f t="shared" si="284" ref="CA64:CA137">IFERROR(CJ64,"")</f>
        <v>0</v>
      </c>
      <c r="CB64" s="1107">
        <f t="shared" si="285" ref="CB64:CB137">IFERROR(CK64,"")</f>
        <v>0</v>
      </c>
      <c r="CC64" s="1110" t="e">
        <f t="shared" si="163">INDEX($AZ$8:$AZ$153,MATCH(BP64,$BO$8:$BO$153,0))</f>
        <v>#VALUE!</v>
      </c>
      <c r="CD64" s="1087" t="e">
        <f t="shared" si="164">INDEX($BA$8:$BA$153,MATCH(BP64,$BO$8:$BO$153,0))</f>
        <v>#VALUE!</v>
      </c>
      <c r="CE64" s="1106" t="e">
        <f t="shared" si="165">INDEX($BB$8:$BB$153,MATCH(BP64,$BO$8:$BO$153,0))</f>
        <v>#VALUE!</v>
      </c>
      <c r="CF64" s="1106" t="e">
        <f t="shared" si="166">INDEX(BC$8:BC$153,MATCH(BP64,$BO$8:$BO$153,0))</f>
        <v>#VALUE!</v>
      </c>
      <c r="CG64" s="1118" t="e">
        <f t="shared" si="167">INDEX(BE$8:BE$153,MATCH(BP64,$BO$8:$BO$153,0))</f>
        <v>#VALUE!</v>
      </c>
      <c r="CH64" s="1106" t="e">
        <f t="shared" si="168">INDEX($BD$8:$BD$153,MATCH($BP64,$BO$8:$BO$153,0))</f>
        <v>#VALUE!</v>
      </c>
      <c r="CI64" s="1142" t="e">
        <f t="shared" si="169">INDEX($BF$8:$BF$153,MATCH(BP64,$BO$8:$BO$153,0))</f>
        <v>#VALUE!</v>
      </c>
      <c r="CJ64" s="1106" t="e">
        <f t="shared" si="170">INDEX($BG$8:$BG$153,MATCH(BP64,$BO$8:$BO$153,0))</f>
        <v>#VALUE!</v>
      </c>
      <c r="CK64" s="1106" t="e">
        <f t="shared" si="171">INDEX($BH$8:$BH$153,MATCH(BP64,$BO$8:$BO$153,0))</f>
        <v>#VALUE!</v>
      </c>
      <c r="CM64" s="1131">
        <f t="shared" si="172">COUNTIF($CH$8:$CH$228,"&lt;="&amp;CH64)</f>
        <v>145</v>
      </c>
      <c r="CN64" s="1121">
        <f t="shared" si="286" ref="CN64:CN137">--ISNUMBER(BX64)</f>
        <v>0</v>
      </c>
      <c r="CO64" s="1121">
        <f t="shared" si="287" ref="CO64:CO137">IF(BX64=0,1,0)</f>
        <v>0</v>
      </c>
      <c r="CP64" s="1124">
        <f t="shared" si="197">IF(ISNUMBER(BX64),CM64,IF(ISERROR(BX64),CM64,CM64+$CN$154))+$CO$154</f>
        <v>145</v>
      </c>
      <c r="CQ64" s="237">
        <f>IFERROR(INDEX($BX$8:$BX$153,MATCH(SMALL($CP$8:$CP$153,ROWS($CQ$8:CQ64)+$CO$154),$CP$8:$CP$154,0)),"")</f>
        <v>0</v>
      </c>
      <c r="CR64" s="237">
        <v>0.1</v>
      </c>
      <c r="CS64" s="1135">
        <f t="shared" si="288" ref="CS64:CS137">CM64+CR64</f>
        <v>145.1</v>
      </c>
      <c r="CT64" s="237">
        <f>COUNTIFS($CM:$CM, CM64,$CS:$CS, "&lt;"&amp;CL)+COUNTIFS(CM$8:CM64, CM64, CS$8:CS64, CS64)</f>
        <v>57</v>
      </c>
      <c r="CU64" s="1109">
        <f t="shared" si="289" ref="CU64:CU137">CT64/100</f>
        <v>0.57</v>
      </c>
      <c r="CV64" s="1109">
        <f t="shared" si="290" ref="CV64:CV137">CM64+CU64</f>
        <v>145.57</v>
      </c>
      <c r="CW64" s="237" t="e">
        <f t="shared" si="173">SMALL(CV$8:CV$153,AX64)</f>
        <v>#VALUE!</v>
      </c>
      <c r="CX64" s="1109">
        <f t="shared" si="291" ref="CX64:CX137">IFERROR(CW64,"")</f>
        <v>0</v>
      </c>
      <c r="CY64" s="237" t="e">
        <f t="shared" si="174">INDEX(BU$8:BU$152,MATCH($CX64,CV$8:CV$152,0))</f>
        <v>#N/A</v>
      </c>
      <c r="CZ64" s="237" t="e">
        <f t="shared" si="175">INDEX(BV$8:BV$152,MATCH($CX64,$CV$8:$CV$152,0))</f>
        <v>#N/A</v>
      </c>
      <c r="DA64" s="237" t="e">
        <f t="shared" si="176">INDEX(BW$8:BW$152,MATCH($CX64,$CV$8:$CV$152,0))</f>
        <v>#N/A</v>
      </c>
      <c r="DB64" s="237" t="e">
        <f t="shared" si="177">INDEX(BX$8:BX$152,MATCH($CX64,$CV$8:$CV$152,0))</f>
        <v>#N/A</v>
      </c>
      <c r="DC64" s="237" t="e">
        <f t="shared" si="178">INDEX(BY$8:BY$152,MATCH($CX64,$CV$8:$CV$152,0))</f>
        <v>#N/A</v>
      </c>
      <c r="DD64" s="237" t="e">
        <f t="shared" si="179">INDEX(BZ$8:BZ$152,MATCH($CX64,$CV$8:$CV$152,0))</f>
        <v>#N/A</v>
      </c>
      <c r="DE64" s="237" t="e">
        <f t="shared" si="180">INDEX(CA$8:CA$152,MATCH($CX64,$CV$8:$CV$152,0))</f>
        <v>#N/A</v>
      </c>
      <c r="DF64" s="237" t="e">
        <f t="shared" si="181">INDEX(CB$8:CB$152,MATCH($CX64,$CV$8:$CV$152,0))</f>
        <v>#N/A</v>
      </c>
    </row>
    <row r="65" spans="1:110" ht="13.5" customHeight="1" thickBot="1">
      <c r="A65" s="1214"/>
      <c r="B65" s="1504"/>
      <c r="C65" s="865"/>
      <c r="D65" s="1153"/>
      <c r="E65" s="865"/>
      <c r="F65" s="865"/>
      <c r="G65" s="865"/>
      <c r="H65" s="865"/>
      <c r="I65" s="1471"/>
      <c r="J65" s="763"/>
      <c r="K65" s="763"/>
      <c r="L65" s="867"/>
      <c r="M65" s="807"/>
      <c r="AM65" s="1077"/>
      <c r="AN65" s="1096"/>
      <c r="AO65" s="1078"/>
      <c r="AP65" s="1079"/>
      <c r="AQ65" s="1080"/>
      <c r="AR65" s="1080">
        <f t="shared" si="202">IF(E65&lt;&gt;"",E65,"")</f>
        <v>0</v>
      </c>
      <c r="AS65" s="1078">
        <f t="shared" si="186">F65</f>
        <v>0</v>
      </c>
      <c r="AT65" s="1080">
        <f t="shared" si="203">IF(H65&lt;&gt;"",H65,"")</f>
        <v>0</v>
      </c>
      <c r="AU65" s="1080">
        <f t="shared" si="204">J65</f>
        <v>0</v>
      </c>
      <c r="AV65" s="1080"/>
      <c r="AW65" s="1081"/>
      <c r="AX65" s="237">
        <f t="shared" si="292" ref="AX65:AX138">IF(AZ65&lt;&gt;"",AX64+1,"")</f>
        <v>0</v>
      </c>
      <c r="AY65" s="1087">
        <v>72</v>
      </c>
      <c r="AZ65" s="1087">
        <f t="shared" si="187">IF(ISNA(VLOOKUP(AY65,$AN$8:$AW$148,2,False))=True,"",VLOOKUP(AY65,$AN$8:$AW$148,2,False))</f>
        <v>0</v>
      </c>
      <c r="BA65" s="1087">
        <f t="shared" si="188">IF(ISNA(VLOOKUP(AZ65,$AE$8:$AF$46,2,False))=True,"",VLOOKUP(AZ65,$AE$8:$AF$46,2,False))</f>
        <v>0</v>
      </c>
      <c r="BB65" s="1087">
        <f t="shared" si="189">IF(ISNA(VLOOKUP(AY65,$AN$8:$AW$148,4,False))=True,"",VLOOKUP(AY65,$AN$8:$AW$148,4,False))</f>
        <v>0</v>
      </c>
      <c r="BC65" s="1087">
        <f t="shared" si="190">IF(ISNA(VLOOKUP(AY65,$AN$8:$AW$148,5,False))=True,"",VLOOKUP(AY65,$AN$8:$AW$148,5,False))</f>
        <v>0</v>
      </c>
      <c r="BD65" s="1087" t="str">
        <f t="shared" si="267">IF(ISNA(VLOOKUP(AY65,$AN$8:$AW$148,6,False))=True,"0",VLOOKUP(AY65,$AN$8:$AW$148,6,False))</f>
        <v>0</v>
      </c>
      <c r="BE65" s="1125">
        <f t="shared" si="191">IF(ISNA(VLOOKUP(AY65,$AN$8:$AW$148,7,False))=True,"",VLOOKUP(AY65,$AN$8:$AW$148,7,False))</f>
        <v>0</v>
      </c>
      <c r="BF65" s="1123">
        <f t="shared" si="192">IF(ISNA(VLOOKUP($AY65,$AN$8:$AW$148,8,False))=True,"",VLOOKUP($AY65,$AN$8:$AW$148,8,False))</f>
        <v>0</v>
      </c>
      <c r="BG65" s="1120">
        <f t="shared" si="193">IF(ISNA(VLOOKUP($AY65,$AN$8:$AW$148,9,False))=True,"",VLOOKUP($AY65,$AN$8:$AW$148,9,False))</f>
        <v>0</v>
      </c>
      <c r="BH65" s="1120">
        <f t="shared" si="194">IF(ISNA(VLOOKUP($AY65,$AN$8:$AW$148,10,False))=True,"",VLOOKUP($AY65,$AN$8:$AW$148,10,False))</f>
        <v>0</v>
      </c>
      <c r="BI65" s="250">
        <f t="shared" si="270">IF(AZ65&lt;&gt;"",AZ65,"")</f>
        <v>0</v>
      </c>
      <c r="BJ65" s="1098">
        <f t="shared" si="271">BI65</f>
        <v>0</v>
      </c>
      <c r="BK65" s="1115">
        <f>COUNTIFS($AZ:$AZ, AZ65,$BJ:$BJ, "&lt;"&amp;BJ65)+COUNTIFS(AZ$8:AZ65, AZ65, BJ$8:BJ65, BJ65)</f>
        <v>58</v>
      </c>
      <c r="BL65" s="1114">
        <f t="shared" si="272">BK65/100</f>
        <v>0.58</v>
      </c>
      <c r="BM65" s="1093" t="e">
        <f t="shared" si="293" ref="BM65">BJ65+BL65</f>
        <v>#VALUE!</v>
      </c>
      <c r="BN65" s="1101">
        <f t="shared" si="274">IF(BA65&lt;&gt;"",BM65,"")</f>
        <v>0</v>
      </c>
      <c r="BO65" s="1118">
        <f t="shared" si="275">IF(BN65&lt;&gt;"",BN65,0)</f>
        <v>0</v>
      </c>
      <c r="BP65" s="237" t="e">
        <f t="shared" si="162">SMALL($BN$8:$BN$152,AX65)</f>
        <v>#VALUE!</v>
      </c>
      <c r="BR65" s="1102" t="e">
        <f t="shared" si="294" ref="BR65:BR95">IF(BP65&lt;&gt;"",BR64+1,"")</f>
        <v>#VALUE!</v>
      </c>
      <c r="BS65" s="1102">
        <f t="shared" si="276">IFERROR(BP65,"")</f>
        <v>0</v>
      </c>
      <c r="BT65" s="1102">
        <f t="shared" si="277">IFERROR(CC65,"")</f>
        <v>0</v>
      </c>
      <c r="BU65" s="1098">
        <f t="shared" si="278">IFERROR(CD65,"")</f>
        <v>0</v>
      </c>
      <c r="BV65" s="1098">
        <f t="shared" si="279">IFERROR(CE65,"")</f>
        <v>0</v>
      </c>
      <c r="BW65" s="1098">
        <f t="shared" si="280">IFERROR(CF65,"")</f>
        <v>0</v>
      </c>
      <c r="BX65" s="1146">
        <f t="shared" si="281">IFERROR(CH65,"")</f>
        <v>0</v>
      </c>
      <c r="BY65" s="1098">
        <f t="shared" si="282">IFERROR(CG65,"")</f>
        <v>0</v>
      </c>
      <c r="BZ65" s="1144" t="str">
        <f t="shared" si="283">IFERROR(CI65,"-")</f>
        <v>-</v>
      </c>
      <c r="CA65" s="1107">
        <f t="shared" si="284">IFERROR(CJ65,"")</f>
        <v>0</v>
      </c>
      <c r="CB65" s="1107">
        <f t="shared" si="285">IFERROR(CK65,"")</f>
        <v>0</v>
      </c>
      <c r="CC65" s="1110" t="e">
        <f t="shared" si="163">INDEX($AZ$8:$AZ$153,MATCH(BP65,$BO$8:$BO$153,0))</f>
        <v>#VALUE!</v>
      </c>
      <c r="CD65" s="1087" t="e">
        <f t="shared" si="164">INDEX($BA$8:$BA$153,MATCH(BP65,$BO$8:$BO$153,0))</f>
        <v>#VALUE!</v>
      </c>
      <c r="CE65" s="1106" t="e">
        <f t="shared" si="165">INDEX($BB$8:$BB$153,MATCH(BP65,$BO$8:$BO$153,0))</f>
        <v>#VALUE!</v>
      </c>
      <c r="CF65" s="1106" t="e">
        <f t="shared" si="166">INDEX(BC$8:BC$153,MATCH(BP65,$BO$8:$BO$153,0))</f>
        <v>#VALUE!</v>
      </c>
      <c r="CG65" s="1118" t="e">
        <f t="shared" si="167">INDEX(BE$8:BE$153,MATCH(BP65,$BO$8:$BO$153,0))</f>
        <v>#VALUE!</v>
      </c>
      <c r="CH65" s="1106" t="e">
        <f t="shared" si="168">INDEX($BD$8:$BD$153,MATCH($BP65,$BO$8:$BO$153,0))</f>
        <v>#VALUE!</v>
      </c>
      <c r="CI65" s="1142" t="e">
        <f t="shared" si="169">INDEX($BF$8:$BF$153,MATCH(BP65,$BO$8:$BO$153,0))</f>
        <v>#VALUE!</v>
      </c>
      <c r="CJ65" s="1106" t="e">
        <f t="shared" si="170">INDEX($BG$8:$BG$153,MATCH(BP65,$BO$8:$BO$153,0))</f>
        <v>#VALUE!</v>
      </c>
      <c r="CK65" s="1106" t="e">
        <f t="shared" si="171">INDEX($BH$8:$BH$153,MATCH(BP65,$BO$8:$BO$153,0))</f>
        <v>#VALUE!</v>
      </c>
      <c r="CM65" s="1131">
        <f t="shared" si="172">COUNTIF($CH$8:$CH$228,"&lt;="&amp;CH65)</f>
        <v>145</v>
      </c>
      <c r="CN65" s="1121">
        <f t="shared" si="286">--ISNUMBER(BX65)</f>
        <v>0</v>
      </c>
      <c r="CO65" s="1121">
        <f t="shared" si="287">IF(BX65=0,1,0)</f>
        <v>0</v>
      </c>
      <c r="CP65" s="1124">
        <f t="shared" si="197">IF(ISNUMBER(BX65),CM65,IF(ISERROR(BX65),CM65,CM65+$CN$154))+$CO$154</f>
        <v>145</v>
      </c>
      <c r="CQ65" s="237">
        <f>IFERROR(INDEX($BX$8:$BX$153,MATCH(SMALL($CP$8:$CP$153,ROWS($CQ$8:CQ65)+$CO$154),$CP$8:$CP$154,0)),"")</f>
        <v>0</v>
      </c>
      <c r="CR65" s="237">
        <v>0.1</v>
      </c>
      <c r="CS65" s="1135">
        <f t="shared" si="288">CM65+CR65</f>
        <v>145.1</v>
      </c>
      <c r="CT65" s="237">
        <f>COUNTIFS($CM:$CM, CM65,$CS:$CS, "&lt;"&amp;CL)+COUNTIFS(CM$8:CM65, CM65, CS$8:CS65, CS65)</f>
        <v>58</v>
      </c>
      <c r="CU65" s="1109">
        <f t="shared" si="289">CT65/100</f>
        <v>0.58</v>
      </c>
      <c r="CV65" s="1109">
        <f t="shared" si="290">CM65+CU65</f>
        <v>145.58</v>
      </c>
      <c r="CW65" s="237" t="e">
        <f t="shared" si="173">SMALL(CV$8:CV$153,AX65)</f>
        <v>#VALUE!</v>
      </c>
      <c r="CX65" s="1109">
        <f t="shared" si="291">IFERROR(CW65,"")</f>
        <v>0</v>
      </c>
      <c r="CY65" s="237" t="e">
        <f t="shared" si="174">INDEX(BU$8:BU$152,MATCH($CX65,CV$8:CV$152,0))</f>
        <v>#N/A</v>
      </c>
      <c r="CZ65" s="237" t="e">
        <f t="shared" si="175">INDEX(BV$8:BV$152,MATCH($CX65,$CV$8:$CV$152,0))</f>
        <v>#N/A</v>
      </c>
      <c r="DA65" s="237" t="e">
        <f t="shared" si="176">INDEX(BW$8:BW$152,MATCH($CX65,$CV$8:$CV$152,0))</f>
        <v>#N/A</v>
      </c>
      <c r="DB65" s="237" t="e">
        <f t="shared" si="177">INDEX(BX$8:BX$152,MATCH($CX65,$CV$8:$CV$152,0))</f>
        <v>#N/A</v>
      </c>
      <c r="DC65" s="237" t="e">
        <f t="shared" si="178">INDEX(BY$8:BY$152,MATCH($CX65,$CV$8:$CV$152,0))</f>
        <v>#N/A</v>
      </c>
      <c r="DD65" s="237" t="e">
        <f t="shared" si="179">INDEX(BZ$8:BZ$152,MATCH($CX65,$CV$8:$CV$152,0))</f>
        <v>#N/A</v>
      </c>
      <c r="DE65" s="237" t="e">
        <f t="shared" si="180">INDEX(CA$8:CA$152,MATCH($CX65,$CV$8:$CV$152,0))</f>
        <v>#N/A</v>
      </c>
      <c r="DF65" s="237" t="e">
        <f t="shared" si="181">INDEX(CB$8:CB$152,MATCH($CX65,$CV$8:$CV$152,0))</f>
        <v>#N/A</v>
      </c>
    </row>
    <row r="66" spans="1:110" ht="14.25" customHeight="1" thickTop="1" thickBot="1">
      <c r="A66" s="1215"/>
      <c r="B66" s="1505"/>
      <c r="C66" s="773"/>
      <c r="D66" s="1154"/>
      <c r="E66" s="773"/>
      <c r="F66" s="773"/>
      <c r="G66" s="773"/>
      <c r="H66" s="773"/>
      <c r="I66" s="1474"/>
      <c r="J66" s="763"/>
      <c r="K66" s="763"/>
      <c r="L66" s="868" t="s">
        <v>347</v>
      </c>
      <c r="M66" s="260">
        <f>SUM(M50:M64)</f>
        <v>0</v>
      </c>
      <c r="AM66" s="1082"/>
      <c r="AN66" s="1096"/>
      <c r="AO66" s="1083"/>
      <c r="AP66" s="1084"/>
      <c r="AQ66" s="1085"/>
      <c r="AR66" s="1080">
        <f t="shared" si="202">IF(E66&lt;&gt;"",E66,"")</f>
        <v>0</v>
      </c>
      <c r="AS66" s="1078">
        <f t="shared" si="186">F66</f>
        <v>0</v>
      </c>
      <c r="AT66" s="1080">
        <f t="shared" si="203">IF(H66&lt;&gt;"",H66,"")</f>
        <v>0</v>
      </c>
      <c r="AU66" s="1080">
        <f t="shared" si="204">J66</f>
        <v>0</v>
      </c>
      <c r="AV66" s="1080"/>
      <c r="AW66" s="1086"/>
      <c r="AX66" s="237">
        <f t="shared" si="292">IF(AZ66&lt;&gt;"",AX65+1,"")</f>
        <v>0</v>
      </c>
      <c r="AY66" s="1087">
        <v>73</v>
      </c>
      <c r="AZ66" s="1087">
        <f t="shared" si="187">IF(ISNA(VLOOKUP(AY66,$AN$8:$AW$148,2,False))=True,"",VLOOKUP(AY66,$AN$8:$AW$148,2,False))</f>
        <v>0</v>
      </c>
      <c r="BA66" s="1087">
        <f t="shared" si="188">IF(ISNA(VLOOKUP(AZ66,$AE$8:$AF$46,2,False))=True,"",VLOOKUP(AZ66,$AE$8:$AF$46,2,False))</f>
        <v>0</v>
      </c>
      <c r="BB66" s="1087">
        <f t="shared" si="189">IF(ISNA(VLOOKUP(AY66,$AN$8:$AW$148,4,False))=True,"",VLOOKUP(AY66,$AN$8:$AW$148,4,False))</f>
        <v>0</v>
      </c>
      <c r="BC66" s="1087">
        <f t="shared" si="190">IF(ISNA(VLOOKUP(AY66,$AN$8:$AW$148,5,False))=True,"",VLOOKUP(AY66,$AN$8:$AW$148,5,False))</f>
        <v>0</v>
      </c>
      <c r="BD66" s="1087" t="str">
        <f t="shared" si="267">IF(ISNA(VLOOKUP(AY66,$AN$8:$AW$148,6,False))=True,"0",VLOOKUP(AY66,$AN$8:$AW$148,6,False))</f>
        <v>0</v>
      </c>
      <c r="BE66" s="1125">
        <f t="shared" si="191">IF(ISNA(VLOOKUP(AY66,$AN$8:$AW$148,7,False))=True,"",VLOOKUP(AY66,$AN$8:$AW$148,7,False))</f>
        <v>0</v>
      </c>
      <c r="BF66" s="1123">
        <f t="shared" si="192">IF(ISNA(VLOOKUP($AY66,$AN$8:$AW$148,8,False))=True,"",VLOOKUP($AY66,$AN$8:$AW$148,8,False))</f>
        <v>0</v>
      </c>
      <c r="BG66" s="1120">
        <f t="shared" si="193">IF(ISNA(VLOOKUP($AY66,$AN$8:$AW$148,9,False))=True,"",VLOOKUP($AY66,$AN$8:$AW$148,9,False))</f>
        <v>0</v>
      </c>
      <c r="BH66" s="1120">
        <f t="shared" si="194">IF(ISNA(VLOOKUP($AY66,$AN$8:$AW$148,10,False))=True,"",VLOOKUP($AY66,$AN$8:$AW$148,10,False))</f>
        <v>0</v>
      </c>
      <c r="BI66" s="250">
        <f t="shared" si="270">IF(AZ66&lt;&gt;"",AZ66,"")</f>
        <v>0</v>
      </c>
      <c r="BJ66" s="1098">
        <f t="shared" si="271">BI66</f>
        <v>0</v>
      </c>
      <c r="BK66" s="1115">
        <f>COUNTIFS($AZ:$AZ, AZ66,$BJ:$BJ, "&lt;"&amp;BJ66)+COUNTIFS(AZ$8:AZ66, AZ66, BJ$8:BJ66, BJ66)</f>
        <v>59</v>
      </c>
      <c r="BL66" s="1114">
        <f t="shared" si="272">BK66/100</f>
        <v>0.59</v>
      </c>
      <c r="BM66" s="1093" t="e">
        <f t="shared" si="295" ref="BM66">BI66+BL66</f>
        <v>#VALUE!</v>
      </c>
      <c r="BN66" s="1101">
        <f t="shared" si="274">IF(BA66&lt;&gt;"",BM66,"")</f>
        <v>0</v>
      </c>
      <c r="BO66" s="1118">
        <f t="shared" si="275">IF(BN66&lt;&gt;"",BN66,0)</f>
        <v>0</v>
      </c>
      <c r="BP66" s="237" t="e">
        <f t="shared" si="162">SMALL($BN$8:$BN$152,AX66)</f>
        <v>#VALUE!</v>
      </c>
      <c r="BR66" s="1102" t="e">
        <f t="shared" si="294">IF(BP66&lt;&gt;"",BR65+1,"")</f>
        <v>#VALUE!</v>
      </c>
      <c r="BS66" s="1102">
        <f t="shared" si="276">IFERROR(BP66,"")</f>
        <v>0</v>
      </c>
      <c r="BT66" s="1102">
        <f t="shared" si="277">IFERROR(CC66,"")</f>
        <v>0</v>
      </c>
      <c r="BU66" s="1098">
        <f t="shared" si="278">IFERROR(CD66,"")</f>
        <v>0</v>
      </c>
      <c r="BV66" s="1098">
        <f t="shared" si="279">IFERROR(CE66,"")</f>
        <v>0</v>
      </c>
      <c r="BW66" s="1098">
        <f t="shared" si="280">IFERROR(CF66,"")</f>
        <v>0</v>
      </c>
      <c r="BX66" s="1146">
        <f t="shared" si="281">IFERROR(CH66,"")</f>
        <v>0</v>
      </c>
      <c r="BY66" s="1098">
        <f t="shared" si="282">IFERROR(CG66,"")</f>
        <v>0</v>
      </c>
      <c r="BZ66" s="1144" t="str">
        <f t="shared" si="283">IFERROR(CI66,"-")</f>
        <v>-</v>
      </c>
      <c r="CA66" s="1107">
        <f t="shared" si="284">IFERROR(CJ66,"")</f>
        <v>0</v>
      </c>
      <c r="CB66" s="1107">
        <f t="shared" si="285">IFERROR(CK66,"")</f>
        <v>0</v>
      </c>
      <c r="CC66" s="1110" t="e">
        <f t="shared" si="163">INDEX($AZ$8:$AZ$153,MATCH(BP66,$BO$8:$BO$153,0))</f>
        <v>#VALUE!</v>
      </c>
      <c r="CD66" s="1087" t="e">
        <f t="shared" si="164">INDEX($BA$8:$BA$153,MATCH(BP66,$BO$8:$BO$153,0))</f>
        <v>#VALUE!</v>
      </c>
      <c r="CE66" s="1106" t="e">
        <f t="shared" si="165">INDEX($BB$8:$BB$153,MATCH(BP66,$BO$8:$BO$153,0))</f>
        <v>#VALUE!</v>
      </c>
      <c r="CF66" s="1106" t="e">
        <f t="shared" si="166">INDEX(BC$8:BC$153,MATCH(BP66,$BO$8:$BO$153,0))</f>
        <v>#VALUE!</v>
      </c>
      <c r="CG66" s="1118" t="e">
        <f t="shared" si="167">INDEX(BE$8:BE$153,MATCH(BP66,$BO$8:$BO$153,0))</f>
        <v>#VALUE!</v>
      </c>
      <c r="CH66" s="1106" t="e">
        <f t="shared" si="168">INDEX($BD$8:$BD$153,MATCH($BP66,$BO$8:$BO$153,0))</f>
        <v>#VALUE!</v>
      </c>
      <c r="CI66" s="1142" t="e">
        <f t="shared" si="169">INDEX($BF$8:$BF$153,MATCH(BP66,$BO$8:$BO$153,0))</f>
        <v>#VALUE!</v>
      </c>
      <c r="CJ66" s="1106" t="e">
        <f t="shared" si="170">INDEX($BG$8:$BG$153,MATCH(BP66,$BO$8:$BO$153,0))</f>
        <v>#VALUE!</v>
      </c>
      <c r="CK66" s="1106" t="e">
        <f t="shared" si="171">INDEX($BH$8:$BH$153,MATCH(BP66,$BO$8:$BO$153,0))</f>
        <v>#VALUE!</v>
      </c>
      <c r="CM66" s="1131">
        <f t="shared" si="172">COUNTIF($CH$8:$CH$228,"&lt;="&amp;CH66)</f>
        <v>145</v>
      </c>
      <c r="CN66" s="1121">
        <f t="shared" si="286">--ISNUMBER(BX66)</f>
        <v>0</v>
      </c>
      <c r="CO66" s="1121">
        <f t="shared" si="287">IF(BX66=0,1,0)</f>
        <v>0</v>
      </c>
      <c r="CP66" s="1124">
        <f t="shared" si="197">IF(ISNUMBER(BX66),CM66,IF(ISERROR(BX66),CM66,CM66+$CN$154))+$CO$154</f>
        <v>145</v>
      </c>
      <c r="CQ66" s="237">
        <f>IFERROR(INDEX($BX$8:$BX$153,MATCH(SMALL($CP$8:$CP$153,ROWS($CQ$8:CQ66)+$CO$154),$CP$8:$CP$154,0)),"")</f>
        <v>0</v>
      </c>
      <c r="CR66" s="237">
        <v>0.1</v>
      </c>
      <c r="CS66" s="1135">
        <f t="shared" si="288">CM66+CR66</f>
        <v>145.1</v>
      </c>
      <c r="CT66" s="237">
        <f>COUNTIFS($CM:$CM, CM66,$CS:$CS, "&lt;"&amp;CL)+COUNTIFS(CM$8:CM66, CM66, CS$8:CS66, CS66)</f>
        <v>59</v>
      </c>
      <c r="CU66" s="1109">
        <f t="shared" si="289">CT66/100</f>
        <v>0.59</v>
      </c>
      <c r="CV66" s="1109">
        <f t="shared" si="290">CM66+CU66</f>
        <v>145.59</v>
      </c>
      <c r="CW66" s="237" t="e">
        <f t="shared" si="173">SMALL(CV$8:CV$153,AX66)</f>
        <v>#VALUE!</v>
      </c>
      <c r="CX66" s="1109">
        <f t="shared" si="291">IFERROR(CW66,"")</f>
        <v>0</v>
      </c>
      <c r="CY66" s="237" t="e">
        <f t="shared" si="174">INDEX(BU$8:BU$152,MATCH($CX66,CV$8:CV$152,0))</f>
        <v>#N/A</v>
      </c>
      <c r="CZ66" s="237" t="e">
        <f t="shared" si="175">INDEX(BV$8:BV$152,MATCH($CX66,$CV$8:$CV$152,0))</f>
        <v>#N/A</v>
      </c>
      <c r="DA66" s="237" t="e">
        <f t="shared" si="176">INDEX(BW$8:BW$152,MATCH($CX66,$CV$8:$CV$152,0))</f>
        <v>#N/A</v>
      </c>
      <c r="DB66" s="237" t="e">
        <f t="shared" si="177">INDEX(BX$8:BX$152,MATCH($CX66,$CV$8:$CV$152,0))</f>
        <v>#N/A</v>
      </c>
      <c r="DC66" s="237" t="e">
        <f t="shared" si="178">INDEX(BY$8:BY$152,MATCH($CX66,$CV$8:$CV$152,0))</f>
        <v>#N/A</v>
      </c>
      <c r="DD66" s="237" t="e">
        <f t="shared" si="179">INDEX(BZ$8:BZ$152,MATCH($CX66,$CV$8:$CV$152,0))</f>
        <v>#N/A</v>
      </c>
      <c r="DE66" s="237" t="e">
        <f t="shared" si="180">INDEX(CA$8:CA$152,MATCH($CX66,$CV$8:$CV$152,0))</f>
        <v>#N/A</v>
      </c>
      <c r="DF66" s="237" t="e">
        <f t="shared" si="181">INDEX(CB$8:CB$152,MATCH($CX66,$CV$8:$CV$152,0))</f>
        <v>#N/A</v>
      </c>
    </row>
    <row r="67" spans="1:110" ht="13.5" customHeight="1" thickTop="1">
      <c r="A67" s="866" t="s">
        <v>841</v>
      </c>
      <c r="B67" s="1505"/>
      <c r="C67" s="773"/>
      <c r="D67" s="1154"/>
      <c r="E67" s="773"/>
      <c r="F67" s="773"/>
      <c r="G67" s="773"/>
      <c r="H67" s="773"/>
      <c r="I67" s="1474"/>
      <c r="J67" s="763"/>
      <c r="K67" s="763"/>
      <c r="L67" s="868"/>
      <c r="M67" s="807"/>
      <c r="AM67" s="1077"/>
      <c r="AN67" s="1096"/>
      <c r="AO67" s="1078"/>
      <c r="AP67" s="1079"/>
      <c r="AQ67" s="1080"/>
      <c r="AR67" s="1080">
        <f t="shared" si="202">IF(E67&lt;&gt;"",E67,"")</f>
        <v>0</v>
      </c>
      <c r="AS67" s="1078">
        <f t="shared" si="186">F67</f>
        <v>0</v>
      </c>
      <c r="AT67" s="1080">
        <f t="shared" si="203">IF(H67&lt;&gt;"",H67,"")</f>
        <v>0</v>
      </c>
      <c r="AU67" s="1080">
        <f t="shared" si="204">J67</f>
        <v>0</v>
      </c>
      <c r="AV67" s="1080"/>
      <c r="AW67" s="1081"/>
      <c r="AX67" s="237">
        <f t="shared" si="292">IF(AZ67&lt;&gt;"",AX66+1,"")</f>
        <v>0</v>
      </c>
      <c r="AY67" s="1087">
        <v>74</v>
      </c>
      <c r="AZ67" s="1087">
        <f t="shared" si="187">IF(ISNA(VLOOKUP(AY67,$AN$8:$AW$148,2,False))=True,"",VLOOKUP(AY67,$AN$8:$AW$148,2,False))</f>
        <v>0</v>
      </c>
      <c r="BA67" s="1087">
        <f t="shared" si="188">IF(ISNA(VLOOKUP(AZ67,$AE$8:$AF$46,2,False))=True,"",VLOOKUP(AZ67,$AE$8:$AF$46,2,False))</f>
        <v>0</v>
      </c>
      <c r="BB67" s="1087">
        <f t="shared" si="189">IF(ISNA(VLOOKUP(AY67,$AN$8:$AW$148,4,False))=True,"",VLOOKUP(AY67,$AN$8:$AW$148,4,False))</f>
        <v>0</v>
      </c>
      <c r="BC67" s="1087">
        <f t="shared" si="190">IF(ISNA(VLOOKUP(AY67,$AN$8:$AW$148,5,False))=True,"",VLOOKUP(AY67,$AN$8:$AW$148,5,False))</f>
        <v>0</v>
      </c>
      <c r="BD67" s="1087" t="str">
        <f t="shared" si="267">IF(ISNA(VLOOKUP(AY67,$AN$8:$AW$148,6,False))=True,"0",VLOOKUP(AY67,$AN$8:$AW$148,6,False))</f>
        <v>0</v>
      </c>
      <c r="BE67" s="1125">
        <f t="shared" si="191">IF(ISNA(VLOOKUP(AY67,$AN$8:$AW$148,7,False))=True,"",VLOOKUP(AY67,$AN$8:$AW$148,7,False))</f>
        <v>0</v>
      </c>
      <c r="BF67" s="1123">
        <f t="shared" si="192">IF(ISNA(VLOOKUP($AY67,$AN$8:$AW$148,8,False))=True,"",VLOOKUP($AY67,$AN$8:$AW$148,8,False))</f>
        <v>0</v>
      </c>
      <c r="BG67" s="1120">
        <f t="shared" si="193">IF(ISNA(VLOOKUP($AY67,$AN$8:$AW$148,9,False))=True,"",VLOOKUP($AY67,$AN$8:$AW$148,9,False))</f>
        <v>0</v>
      </c>
      <c r="BH67" s="1120">
        <f t="shared" si="194">IF(ISNA(VLOOKUP($AY67,$AN$8:$AW$148,10,False))=True,"",VLOOKUP($AY67,$AN$8:$AW$148,10,False))</f>
        <v>0</v>
      </c>
      <c r="BI67" s="250">
        <f t="shared" si="270">IF(AZ67&lt;&gt;"",AZ67,"")</f>
        <v>0</v>
      </c>
      <c r="BJ67" s="1098">
        <f t="shared" si="271">BI67</f>
        <v>0</v>
      </c>
      <c r="BK67" s="1115">
        <f>COUNTIFS($AZ:$AZ, AZ67,$BJ:$BJ, "&lt;"&amp;BJ67)+COUNTIFS(AZ$8:AZ67, AZ67, BJ$8:BJ67, BJ67)</f>
        <v>60</v>
      </c>
      <c r="BL67" s="1114">
        <f t="shared" si="272">BK67/100</f>
        <v>0.6</v>
      </c>
      <c r="BM67" s="1093" t="e">
        <f t="shared" si="296" ref="BM67">BJ67+BL67</f>
        <v>#VALUE!</v>
      </c>
      <c r="BN67" s="1101">
        <f t="shared" si="274">IF(BA67&lt;&gt;"",BM67,"")</f>
        <v>0</v>
      </c>
      <c r="BO67" s="1118">
        <f t="shared" si="275">IF(BN67&lt;&gt;"",BN67,0)</f>
        <v>0</v>
      </c>
      <c r="BP67" s="237" t="e">
        <f t="shared" si="162">SMALL($BN$8:$BN$152,AX67)</f>
        <v>#VALUE!</v>
      </c>
      <c r="BR67" s="1102" t="e">
        <f t="shared" si="294">IF(BP67&lt;&gt;"",BR66+1,"")</f>
        <v>#VALUE!</v>
      </c>
      <c r="BS67" s="1102">
        <f t="shared" si="276">IFERROR(BP67,"")</f>
        <v>0</v>
      </c>
      <c r="BT67" s="1102">
        <f t="shared" si="277">IFERROR(CC67,"")</f>
        <v>0</v>
      </c>
      <c r="BU67" s="1098">
        <f t="shared" si="278">IFERROR(CD67,"")</f>
        <v>0</v>
      </c>
      <c r="BV67" s="1098">
        <f t="shared" si="279">IFERROR(CE67,"")</f>
        <v>0</v>
      </c>
      <c r="BW67" s="1098">
        <f t="shared" si="280">IFERROR(CF67,"")</f>
        <v>0</v>
      </c>
      <c r="BX67" s="1146">
        <f t="shared" si="281">IFERROR(CH67,"")</f>
        <v>0</v>
      </c>
      <c r="BY67" s="1098">
        <f t="shared" si="282">IFERROR(CG67,"")</f>
        <v>0</v>
      </c>
      <c r="BZ67" s="1144" t="str">
        <f t="shared" si="283">IFERROR(CI67,"-")</f>
        <v>-</v>
      </c>
      <c r="CA67" s="1107">
        <f t="shared" si="284">IFERROR(CJ67,"")</f>
        <v>0</v>
      </c>
      <c r="CB67" s="1107">
        <f t="shared" si="285">IFERROR(CK67,"")</f>
        <v>0</v>
      </c>
      <c r="CC67" s="1110" t="e">
        <f t="shared" si="163">INDEX($AZ$8:$AZ$153,MATCH(BP67,$BO$8:$BO$153,0))</f>
        <v>#VALUE!</v>
      </c>
      <c r="CD67" s="1087" t="e">
        <f t="shared" si="164">INDEX($BA$8:$BA$153,MATCH(BP67,$BO$8:$BO$153,0))</f>
        <v>#VALUE!</v>
      </c>
      <c r="CE67" s="1106" t="e">
        <f t="shared" si="165">INDEX($BB$8:$BB$153,MATCH(BP67,$BO$8:$BO$153,0))</f>
        <v>#VALUE!</v>
      </c>
      <c r="CF67" s="1106" t="e">
        <f t="shared" si="166">INDEX(BC$8:BC$153,MATCH(BP67,$BO$8:$BO$153,0))</f>
        <v>#VALUE!</v>
      </c>
      <c r="CG67" s="1118" t="e">
        <f t="shared" si="167">INDEX(BE$8:BE$153,MATCH(BP67,$BO$8:$BO$153,0))</f>
        <v>#VALUE!</v>
      </c>
      <c r="CH67" s="1106" t="e">
        <f t="shared" si="168">INDEX($BD$8:$BD$153,MATCH($BP67,$BO$8:$BO$153,0))</f>
        <v>#VALUE!</v>
      </c>
      <c r="CI67" s="1142" t="e">
        <f t="shared" si="169">INDEX($BF$8:$BF$153,MATCH(BP67,$BO$8:$BO$153,0))</f>
        <v>#VALUE!</v>
      </c>
      <c r="CJ67" s="1106" t="e">
        <f t="shared" si="170">INDEX($BG$8:$BG$153,MATCH(BP67,$BO$8:$BO$153,0))</f>
        <v>#VALUE!</v>
      </c>
      <c r="CK67" s="1106" t="e">
        <f t="shared" si="171">INDEX($BH$8:$BH$153,MATCH(BP67,$BO$8:$BO$153,0))</f>
        <v>#VALUE!</v>
      </c>
      <c r="CM67" s="1131">
        <f t="shared" si="172">COUNTIF($CH$8:$CH$228,"&lt;="&amp;CH67)</f>
        <v>145</v>
      </c>
      <c r="CN67" s="1121">
        <f t="shared" si="286">--ISNUMBER(BX67)</f>
        <v>0</v>
      </c>
      <c r="CO67" s="1121">
        <f t="shared" si="287">IF(BX67=0,1,0)</f>
        <v>0</v>
      </c>
      <c r="CP67" s="1124">
        <f t="shared" si="197">IF(ISNUMBER(BX67),CM67,IF(ISERROR(BX67),CM67,CM67+$CN$154))+$CO$154</f>
        <v>145</v>
      </c>
      <c r="CQ67" s="237">
        <f>IFERROR(INDEX($BX$8:$BX$153,MATCH(SMALL($CP$8:$CP$153,ROWS($CQ$8:CQ67)+$CO$154),$CP$8:$CP$154,0)),"")</f>
        <v>0</v>
      </c>
      <c r="CR67" s="237">
        <v>0.1</v>
      </c>
      <c r="CS67" s="1135">
        <f t="shared" si="288">CM67+CR67</f>
        <v>145.1</v>
      </c>
      <c r="CT67" s="237">
        <f>COUNTIFS($CM:$CM, CM67,$CS:$CS, "&lt;"&amp;CL)+COUNTIFS(CM$8:CM67, CM67, CS$8:CS67, CS67)</f>
        <v>60</v>
      </c>
      <c r="CU67" s="1109">
        <f t="shared" si="289">CT67/100</f>
        <v>0.6</v>
      </c>
      <c r="CV67" s="1109">
        <f t="shared" si="290">CM67+CU67</f>
        <v>145.6</v>
      </c>
      <c r="CW67" s="237" t="e">
        <f t="shared" si="173">SMALL(CV$8:CV$153,AX67)</f>
        <v>#VALUE!</v>
      </c>
      <c r="CX67" s="1109">
        <f t="shared" si="291">IFERROR(CW67,"")</f>
        <v>0</v>
      </c>
      <c r="CY67" s="237" t="e">
        <f t="shared" si="174">INDEX(BU$8:BU$152,MATCH($CX67,CV$8:CV$152,0))</f>
        <v>#N/A</v>
      </c>
      <c r="CZ67" s="237" t="e">
        <f t="shared" si="175">INDEX(BV$8:BV$152,MATCH($CX67,$CV$8:$CV$152,0))</f>
        <v>#N/A</v>
      </c>
      <c r="DA67" s="237" t="e">
        <f t="shared" si="176">INDEX(BW$8:BW$152,MATCH($CX67,$CV$8:$CV$152,0))</f>
        <v>#N/A</v>
      </c>
      <c r="DB67" s="237" t="e">
        <f t="shared" si="177">INDEX(BX$8:BX$152,MATCH($CX67,$CV$8:$CV$152,0))</f>
        <v>#N/A</v>
      </c>
      <c r="DC67" s="237" t="e">
        <f t="shared" si="178">INDEX(BY$8:BY$152,MATCH($CX67,$CV$8:$CV$152,0))</f>
        <v>#N/A</v>
      </c>
      <c r="DD67" s="237" t="e">
        <f t="shared" si="179">INDEX(BZ$8:BZ$152,MATCH($CX67,$CV$8:$CV$152,0))</f>
        <v>#N/A</v>
      </c>
      <c r="DE67" s="237" t="e">
        <f t="shared" si="180">INDEX(CA$8:CA$152,MATCH($CX67,$CV$8:$CV$152,0))</f>
        <v>#N/A</v>
      </c>
      <c r="DF67" s="237" t="e">
        <f t="shared" si="181">INDEX(CB$8:CB$152,MATCH($CX67,$CV$8:$CV$152,0))</f>
        <v>#N/A</v>
      </c>
    </row>
    <row r="68" spans="1:110" ht="13.5" customHeight="1" thickBot="1">
      <c r="A68" s="1215"/>
      <c r="B68" s="1505"/>
      <c r="C68" s="773"/>
      <c r="D68" s="1154"/>
      <c r="E68" s="773"/>
      <c r="F68" s="773"/>
      <c r="G68" s="773"/>
      <c r="H68" s="773"/>
      <c r="I68" s="1474"/>
      <c r="J68" s="763"/>
      <c r="K68" s="763"/>
      <c r="L68" s="868"/>
      <c r="M68" s="807"/>
      <c r="AM68" s="1077"/>
      <c r="AN68" s="1096"/>
      <c r="AO68" s="1078"/>
      <c r="AP68" s="1079"/>
      <c r="AQ68" s="1080"/>
      <c r="AR68" s="1080">
        <f t="shared" si="202">IF(E68&lt;&gt;"",E68,"")</f>
        <v>0</v>
      </c>
      <c r="AS68" s="1078">
        <f t="shared" si="186">F68</f>
        <v>0</v>
      </c>
      <c r="AT68" s="1080">
        <f t="shared" si="203">IF(H68&lt;&gt;"",H68,"")</f>
        <v>0</v>
      </c>
      <c r="AU68" s="1080">
        <f t="shared" si="204">J68</f>
        <v>0</v>
      </c>
      <c r="AV68" s="1080"/>
      <c r="AW68" s="1081"/>
      <c r="AX68" s="237">
        <f t="shared" si="292">IF(AZ68&lt;&gt;"",AX67+1,"")</f>
        <v>0</v>
      </c>
      <c r="AY68" s="1087">
        <v>75</v>
      </c>
      <c r="AZ68" s="1087">
        <f t="shared" si="187">IF(ISNA(VLOOKUP(AY68,$AN$8:$AW$148,2,False))=True,"",VLOOKUP(AY68,$AN$8:$AW$148,2,False))</f>
        <v>0</v>
      </c>
      <c r="BA68" s="1087">
        <f t="shared" si="188">IF(ISNA(VLOOKUP(AZ68,$AE$8:$AF$46,2,False))=True,"",VLOOKUP(AZ68,$AE$8:$AF$46,2,False))</f>
        <v>0</v>
      </c>
      <c r="BB68" s="1087">
        <f t="shared" si="189">IF(ISNA(VLOOKUP(AY68,$AN$8:$AW$148,4,False))=True,"",VLOOKUP(AY68,$AN$8:$AW$148,4,False))</f>
        <v>0</v>
      </c>
      <c r="BC68" s="1087">
        <f t="shared" si="190">IF(ISNA(VLOOKUP(AY68,$AN$8:$AW$148,5,False))=True,"",VLOOKUP(AY68,$AN$8:$AW$148,5,False))</f>
        <v>0</v>
      </c>
      <c r="BD68" s="1087" t="str">
        <f t="shared" si="267">IF(ISNA(VLOOKUP(AY68,$AN$8:$AW$148,6,False))=True,"0",VLOOKUP(AY68,$AN$8:$AW$148,6,False))</f>
        <v>0</v>
      </c>
      <c r="BE68" s="1125">
        <f t="shared" si="191">IF(ISNA(VLOOKUP(AY68,$AN$8:$AW$148,7,False))=True,"",VLOOKUP(AY68,$AN$8:$AW$148,7,False))</f>
        <v>0</v>
      </c>
      <c r="BF68" s="1123">
        <f t="shared" si="192">IF(ISNA(VLOOKUP($AY68,$AN$8:$AW$148,8,False))=True,"",VLOOKUP($AY68,$AN$8:$AW$148,8,False))</f>
        <v>0</v>
      </c>
      <c r="BG68" s="1120">
        <f t="shared" si="193">IF(ISNA(VLOOKUP($AY68,$AN$8:$AW$148,9,False))=True,"",VLOOKUP($AY68,$AN$8:$AW$148,9,False))</f>
        <v>0</v>
      </c>
      <c r="BH68" s="1120">
        <f t="shared" si="194">IF(ISNA(VLOOKUP($AY68,$AN$8:$AW$148,10,False))=True,"",VLOOKUP($AY68,$AN$8:$AW$148,10,False))</f>
        <v>0</v>
      </c>
      <c r="BI68" s="250">
        <f t="shared" si="270">IF(AZ68&lt;&gt;"",AZ68,"")</f>
        <v>0</v>
      </c>
      <c r="BJ68" s="1098">
        <f t="shared" si="271">BI68</f>
        <v>0</v>
      </c>
      <c r="BK68" s="1115">
        <f>COUNTIFS($AZ:$AZ, AZ68,$BJ:$BJ, "&lt;"&amp;BJ68)+COUNTIFS(AZ$8:AZ68, AZ68, BJ$8:BJ68, BJ68)</f>
        <v>61</v>
      </c>
      <c r="BL68" s="1114">
        <f t="shared" si="272">BK68/100</f>
        <v>0.61</v>
      </c>
      <c r="BM68" s="1093" t="e">
        <f t="shared" si="297" ref="BM68">BI68+BL68</f>
        <v>#VALUE!</v>
      </c>
      <c r="BN68" s="1101">
        <f t="shared" si="274">IF(BA68&lt;&gt;"",BM68,"")</f>
        <v>0</v>
      </c>
      <c r="BO68" s="1118">
        <f t="shared" si="275">IF(BN68&lt;&gt;"",BN68,0)</f>
        <v>0</v>
      </c>
      <c r="BP68" s="237" t="e">
        <f t="shared" si="162">SMALL($BN$8:$BN$152,AX68)</f>
        <v>#VALUE!</v>
      </c>
      <c r="BR68" s="1102" t="e">
        <f t="shared" si="294">IF(BP68&lt;&gt;"",BR67+1,"")</f>
        <v>#VALUE!</v>
      </c>
      <c r="BS68" s="1102">
        <f t="shared" si="276">IFERROR(BP68,"")</f>
        <v>0</v>
      </c>
      <c r="BT68" s="1102">
        <f t="shared" si="277">IFERROR(CC68,"")</f>
        <v>0</v>
      </c>
      <c r="BU68" s="1098">
        <f t="shared" si="278">IFERROR(CD68,"")</f>
        <v>0</v>
      </c>
      <c r="BV68" s="1098">
        <f t="shared" si="279">IFERROR(CE68,"")</f>
        <v>0</v>
      </c>
      <c r="BW68" s="1098">
        <f t="shared" si="280">IFERROR(CF68,"")</f>
        <v>0</v>
      </c>
      <c r="BX68" s="1146">
        <f t="shared" si="281">IFERROR(CH68,"")</f>
        <v>0</v>
      </c>
      <c r="BY68" s="1098">
        <f t="shared" si="282">IFERROR(CG68,"")</f>
        <v>0</v>
      </c>
      <c r="BZ68" s="1144" t="str">
        <f t="shared" si="283">IFERROR(CI68,"-")</f>
        <v>-</v>
      </c>
      <c r="CA68" s="1107">
        <f t="shared" si="284">IFERROR(CJ68,"")</f>
        <v>0</v>
      </c>
      <c r="CB68" s="1107">
        <f t="shared" si="285">IFERROR(CK68,"")</f>
        <v>0</v>
      </c>
      <c r="CC68" s="1110" t="e">
        <f t="shared" si="163">INDEX($AZ$8:$AZ$153,MATCH(BP68,$BO$8:$BO$153,0))</f>
        <v>#VALUE!</v>
      </c>
      <c r="CD68" s="1087" t="e">
        <f t="shared" si="164">INDEX($BA$8:$BA$153,MATCH(BP68,$BO$8:$BO$153,0))</f>
        <v>#VALUE!</v>
      </c>
      <c r="CE68" s="1106" t="e">
        <f t="shared" si="165">INDEX($BB$8:$BB$153,MATCH(BP68,$BO$8:$BO$153,0))</f>
        <v>#VALUE!</v>
      </c>
      <c r="CF68" s="1106" t="e">
        <f t="shared" si="166">INDEX(BC$8:BC$153,MATCH(BP68,$BO$8:$BO$153,0))</f>
        <v>#VALUE!</v>
      </c>
      <c r="CG68" s="1118" t="e">
        <f t="shared" si="167">INDEX(BE$8:BE$153,MATCH(BP68,$BO$8:$BO$153,0))</f>
        <v>#VALUE!</v>
      </c>
      <c r="CH68" s="1106" t="e">
        <f t="shared" si="168">INDEX($BD$8:$BD$153,MATCH($BP68,$BO$8:$BO$153,0))</f>
        <v>#VALUE!</v>
      </c>
      <c r="CI68" s="1142" t="e">
        <f t="shared" si="169">INDEX($BF$8:$BF$153,MATCH(BP68,$BO$8:$BO$153,0))</f>
        <v>#VALUE!</v>
      </c>
      <c r="CJ68" s="1106" t="e">
        <f t="shared" si="170">INDEX($BG$8:$BG$153,MATCH(BP68,$BO$8:$BO$153,0))</f>
        <v>#VALUE!</v>
      </c>
      <c r="CK68" s="1106" t="e">
        <f t="shared" si="171">INDEX($BH$8:$BH$153,MATCH(BP68,$BO$8:$BO$153,0))</f>
        <v>#VALUE!</v>
      </c>
      <c r="CM68" s="1131">
        <f t="shared" si="172">COUNTIF($CH$8:$CH$228,"&lt;="&amp;CH68)</f>
        <v>145</v>
      </c>
      <c r="CN68" s="1121">
        <f t="shared" si="286">--ISNUMBER(BX68)</f>
        <v>0</v>
      </c>
      <c r="CO68" s="1121">
        <f t="shared" si="287">IF(BX68=0,1,0)</f>
        <v>0</v>
      </c>
      <c r="CP68" s="1124">
        <f t="shared" si="197">IF(ISNUMBER(BX68),CM68,IF(ISERROR(BX68),CM68,CM68+$CN$154))+$CO$154</f>
        <v>145</v>
      </c>
      <c r="CQ68" s="237">
        <f>IFERROR(INDEX($BX$8:$BX$153,MATCH(SMALL($CP$8:$CP$153,ROWS($CQ$8:CQ68)+$CO$154),$CP$8:$CP$154,0)),"")</f>
        <v>0</v>
      </c>
      <c r="CR68" s="237">
        <v>0.1</v>
      </c>
      <c r="CS68" s="1135">
        <f t="shared" si="288">CM68+CR68</f>
        <v>145.1</v>
      </c>
      <c r="CT68" s="237">
        <f>COUNTIFS($CM:$CM, CM68,$CS:$CS, "&lt;"&amp;CL)+COUNTIFS(CM$8:CM68, CM68, CS$8:CS68, CS68)</f>
        <v>61</v>
      </c>
      <c r="CU68" s="1109">
        <f t="shared" si="289">CT68/100</f>
        <v>0.61</v>
      </c>
      <c r="CV68" s="1109">
        <f t="shared" si="290">CM68+CU68</f>
        <v>145.61</v>
      </c>
      <c r="CW68" s="237" t="e">
        <f t="shared" si="173">SMALL(CV$8:CV$153,AX68)</f>
        <v>#VALUE!</v>
      </c>
      <c r="CX68" s="1109">
        <f t="shared" si="291">IFERROR(CW68,"")</f>
        <v>0</v>
      </c>
      <c r="CY68" s="237" t="e">
        <f t="shared" si="174">INDEX(BU$8:BU$152,MATCH($CX68,CV$8:CV$152,0))</f>
        <v>#N/A</v>
      </c>
      <c r="CZ68" s="237" t="e">
        <f t="shared" si="175">INDEX(BV$8:BV$152,MATCH($CX68,$CV$8:$CV$152,0))</f>
        <v>#N/A</v>
      </c>
      <c r="DA68" s="237" t="e">
        <f t="shared" si="176">INDEX(BW$8:BW$152,MATCH($CX68,$CV$8:$CV$152,0))</f>
        <v>#N/A</v>
      </c>
      <c r="DB68" s="237" t="e">
        <f t="shared" si="177">INDEX(BX$8:BX$152,MATCH($CX68,$CV$8:$CV$152,0))</f>
        <v>#N/A</v>
      </c>
      <c r="DC68" s="237" t="e">
        <f t="shared" si="178">INDEX(BY$8:BY$152,MATCH($CX68,$CV$8:$CV$152,0))</f>
        <v>#N/A</v>
      </c>
      <c r="DD68" s="237" t="e">
        <f t="shared" si="179">INDEX(BZ$8:BZ$152,MATCH($CX68,$CV$8:$CV$152,0))</f>
        <v>#N/A</v>
      </c>
      <c r="DE68" s="237" t="e">
        <f t="shared" si="180">INDEX(CA$8:CA$152,MATCH($CX68,$CV$8:$CV$152,0))</f>
        <v>#N/A</v>
      </c>
      <c r="DF68" s="237" t="e">
        <f t="shared" si="181">INDEX(CB$8:CB$152,MATCH($CX68,$CV$8:$CV$152,0))</f>
        <v>#N/A</v>
      </c>
    </row>
    <row r="69" spans="1:110" s="252" customFormat="1" ht="13.5" customHeight="1" thickTop="1">
      <c r="A69" s="2037" t="s">
        <v>84</v>
      </c>
      <c r="B69" s="2039" t="s">
        <v>994</v>
      </c>
      <c r="C69" s="2040" t="s">
        <v>340</v>
      </c>
      <c r="D69" s="2036" t="s">
        <v>1090</v>
      </c>
      <c r="E69" s="2041" t="s">
        <v>606</v>
      </c>
      <c r="F69" s="2036" t="s">
        <v>1122</v>
      </c>
      <c r="G69" s="2036" t="s">
        <v>1091</v>
      </c>
      <c r="H69" s="2036" t="s">
        <v>1092</v>
      </c>
      <c r="I69" s="2012" t="s">
        <v>341</v>
      </c>
      <c r="J69" s="2041" t="s">
        <v>342</v>
      </c>
      <c r="K69" s="2041" t="s">
        <v>343</v>
      </c>
      <c r="L69" s="2041"/>
      <c r="M69" s="2042"/>
      <c r="N69" s="252"/>
      <c r="W69" s="1230"/>
      <c r="X69" s="1230"/>
      <c r="Y69" s="423"/>
      <c r="Z69" s="423"/>
      <c r="AA69" s="1231"/>
      <c r="AB69" s="1230"/>
      <c r="AC69" s="1242"/>
      <c r="AM69" s="1082"/>
      <c r="AN69" s="1096"/>
      <c r="AO69" s="1083"/>
      <c r="AP69" s="1084"/>
      <c r="AQ69" s="1085"/>
      <c r="AR69" s="1080"/>
      <c r="AS69" s="1078" t="str">
        <f t="shared" si="186">F69</f>
        <v>COUNTRY</v>
      </c>
      <c r="AT69" s="1080"/>
      <c r="AU69" s="1080"/>
      <c r="AV69" s="1080"/>
      <c r="AW69" s="1086"/>
      <c r="AX69" s="237">
        <f t="shared" si="292">IF(AZ69&lt;&gt;"",AX68+1,"")</f>
        <v>0</v>
      </c>
      <c r="AY69" s="1087">
        <v>76</v>
      </c>
      <c r="AZ69" s="1087">
        <f t="shared" si="187">IF(ISNA(VLOOKUP(AY69,$AN$8:$AW$148,2,False))=True,"",VLOOKUP(AY69,$AN$8:$AW$148,2,False))</f>
        <v>0</v>
      </c>
      <c r="BA69" s="1087">
        <f t="shared" si="188">IF(ISNA(VLOOKUP(AZ69,$AE$8:$AF$46,2,False))=True,"",VLOOKUP(AZ69,$AE$8:$AF$46,2,False))</f>
        <v>0</v>
      </c>
      <c r="BB69" s="1087">
        <f t="shared" si="189">IF(ISNA(VLOOKUP(AY69,$AN$8:$AW$148,4,False))=True,"",VLOOKUP(AY69,$AN$8:$AW$148,4,False))</f>
        <v>0</v>
      </c>
      <c r="BC69" s="1087">
        <f t="shared" si="190">IF(ISNA(VLOOKUP(AY69,$AN$8:$AW$148,5,False))=True,"",VLOOKUP(AY69,$AN$8:$AW$148,5,False))</f>
        <v>0</v>
      </c>
      <c r="BD69" s="1087" t="str">
        <f t="shared" si="267">IF(ISNA(VLOOKUP(AY69,$AN$8:$AW$148,6,False))=True,"0",VLOOKUP(AY69,$AN$8:$AW$148,6,False))</f>
        <v>0</v>
      </c>
      <c r="BE69" s="1125">
        <f t="shared" si="191">IF(ISNA(VLOOKUP(AY69,$AN$8:$AW$148,7,False))=True,"",VLOOKUP(AY69,$AN$8:$AW$148,7,False))</f>
        <v>0</v>
      </c>
      <c r="BF69" s="1123">
        <f t="shared" si="192">IF(ISNA(VLOOKUP($AY69,$AN$8:$AW$148,8,False))=True,"",VLOOKUP($AY69,$AN$8:$AW$148,8,False))</f>
        <v>0</v>
      </c>
      <c r="BG69" s="1120">
        <f t="shared" si="193">IF(ISNA(VLOOKUP($AY69,$AN$8:$AW$148,9,False))=True,"",VLOOKUP($AY69,$AN$8:$AW$148,9,False))</f>
        <v>0</v>
      </c>
      <c r="BH69" s="1120">
        <f t="shared" si="194">IF(ISNA(VLOOKUP($AY69,$AN$8:$AW$148,10,False))=True,"",VLOOKUP($AY69,$AN$8:$AW$148,10,False))</f>
        <v>0</v>
      </c>
      <c r="BI69" s="250">
        <f t="shared" si="270">IF(AZ69&lt;&gt;"",AZ69,"")</f>
        <v>0</v>
      </c>
      <c r="BJ69" s="1098">
        <f t="shared" si="271">BI69</f>
        <v>0</v>
      </c>
      <c r="BK69" s="1115">
        <f>COUNTIFS($AZ:$AZ, AZ69,$BJ:$BJ, "&lt;"&amp;BJ69)+COUNTIFS(AZ$8:AZ69, AZ69, BJ$8:BJ69, BJ69)</f>
        <v>62</v>
      </c>
      <c r="BL69" s="1114">
        <f t="shared" si="272">BK69/100</f>
        <v>0.62</v>
      </c>
      <c r="BM69" s="1093" t="e">
        <f t="shared" si="298" ref="BM69">BJ69+BL69</f>
        <v>#VALUE!</v>
      </c>
      <c r="BN69" s="1101">
        <f t="shared" si="274">IF(BA69&lt;&gt;"",BM69,"")</f>
        <v>0</v>
      </c>
      <c r="BO69" s="1118">
        <f t="shared" si="275">IF(BN69&lt;&gt;"",BN69,0)</f>
        <v>0</v>
      </c>
      <c r="BP69" s="237" t="e">
        <f t="shared" si="162">SMALL($BN$8:$BN$152,AX69)</f>
        <v>#VALUE!</v>
      </c>
      <c r="BQ69" s="1109"/>
      <c r="BR69" s="1102" t="e">
        <f t="shared" si="294">IF(BP69&lt;&gt;"",BR68+1,"")</f>
        <v>#VALUE!</v>
      </c>
      <c r="BS69" s="1102">
        <f t="shared" si="276">IFERROR(BP69,"")</f>
        <v>0</v>
      </c>
      <c r="BT69" s="1102">
        <f t="shared" si="277">IFERROR(CC69,"")</f>
        <v>0</v>
      </c>
      <c r="BU69" s="1098">
        <f t="shared" si="278">IFERROR(CD69,"")</f>
        <v>0</v>
      </c>
      <c r="BV69" s="1098">
        <f t="shared" si="279">IFERROR(CE69,"")</f>
        <v>0</v>
      </c>
      <c r="BW69" s="1098">
        <f t="shared" si="280">IFERROR(CF69,"")</f>
        <v>0</v>
      </c>
      <c r="BX69" s="1146">
        <f t="shared" si="281">IFERROR(CH69,"")</f>
        <v>0</v>
      </c>
      <c r="BY69" s="1098">
        <f t="shared" si="282">IFERROR(CG69,"")</f>
        <v>0</v>
      </c>
      <c r="BZ69" s="1144" t="str">
        <f t="shared" si="283">IFERROR(CI69,"-")</f>
        <v>-</v>
      </c>
      <c r="CA69" s="1107">
        <f t="shared" si="284">IFERROR(CJ69,"")</f>
        <v>0</v>
      </c>
      <c r="CB69" s="1107">
        <f t="shared" si="285">IFERROR(CK69,"")</f>
        <v>0</v>
      </c>
      <c r="CC69" s="1110" t="e">
        <f t="shared" si="163">INDEX($AZ$8:$AZ$153,MATCH(BP69,$BO$8:$BO$153,0))</f>
        <v>#VALUE!</v>
      </c>
      <c r="CD69" s="1087" t="e">
        <f t="shared" si="164">INDEX($BA$8:$BA$153,MATCH(BP69,$BO$8:$BO$153,0))</f>
        <v>#VALUE!</v>
      </c>
      <c r="CE69" s="1106" t="e">
        <f t="shared" si="165">INDEX($BB$8:$BB$153,MATCH(BP69,$BO$8:$BO$153,0))</f>
        <v>#VALUE!</v>
      </c>
      <c r="CF69" s="1106" t="e">
        <f t="shared" si="166">INDEX(BC$8:BC$153,MATCH(BP69,$BO$8:$BO$153,0))</f>
        <v>#VALUE!</v>
      </c>
      <c r="CG69" s="1118" t="e">
        <f t="shared" si="167">INDEX(BE$8:BE$153,MATCH(BP69,$BO$8:$BO$153,0))</f>
        <v>#VALUE!</v>
      </c>
      <c r="CH69" s="1106" t="e">
        <f t="shared" si="168">INDEX($BD$8:$BD$153,MATCH($BP69,$BO$8:$BO$153,0))</f>
        <v>#VALUE!</v>
      </c>
      <c r="CI69" s="1142" t="e">
        <f t="shared" si="169">INDEX($BF$8:$BF$153,MATCH(BP69,$BO$8:$BO$153,0))</f>
        <v>#VALUE!</v>
      </c>
      <c r="CJ69" s="1106" t="e">
        <f t="shared" si="170">INDEX($BG$8:$BG$153,MATCH(BP69,$BO$8:$BO$153,0))</f>
        <v>#VALUE!</v>
      </c>
      <c r="CK69" s="1106" t="e">
        <f t="shared" si="171">INDEX($BH$8:$BH$153,MATCH(BP69,$BO$8:$BO$153,0))</f>
        <v>#VALUE!</v>
      </c>
      <c r="CM69" s="1131">
        <f t="shared" si="172">COUNTIF($CH$8:$CH$228,"&lt;="&amp;CH69)</f>
        <v>145</v>
      </c>
      <c r="CN69" s="1121">
        <f t="shared" si="286">--ISNUMBER(BX69)</f>
        <v>0</v>
      </c>
      <c r="CO69" s="1121">
        <f t="shared" si="287">IF(BX69=0,1,0)</f>
        <v>0</v>
      </c>
      <c r="CP69" s="1124">
        <f t="shared" si="197">IF(ISNUMBER(BX69),CM69,IF(ISERROR(BX69),CM69,CM69+$CN$154))+$CO$154</f>
        <v>145</v>
      </c>
      <c r="CQ69" s="237">
        <f>IFERROR(INDEX($BX$8:$BX$153,MATCH(SMALL($CP$8:$CP$153,ROWS($CQ$8:CQ69)+$CO$154),$CP$8:$CP$154,0)),"")</f>
        <v>0</v>
      </c>
      <c r="CR69" s="237">
        <v>0.1</v>
      </c>
      <c r="CS69" s="1135">
        <f t="shared" si="288">CM69+CR69</f>
        <v>145.1</v>
      </c>
      <c r="CT69" s="237">
        <f>COUNTIFS($CM:$CM, CM69,$CS:$CS, "&lt;"&amp;CL)+COUNTIFS(CM$8:CM69, CM69, CS$8:CS69, CS69)</f>
        <v>62</v>
      </c>
      <c r="CU69" s="1109">
        <f t="shared" si="289">CT69/100</f>
        <v>0.62</v>
      </c>
      <c r="CV69" s="1109">
        <f t="shared" si="290">CM69+CU69</f>
        <v>145.62</v>
      </c>
      <c r="CW69" s="237" t="e">
        <f t="shared" si="173">SMALL(CV$8:CV$153,AX69)</f>
        <v>#VALUE!</v>
      </c>
      <c r="CX69" s="1109">
        <f t="shared" si="291">IFERROR(CW69,"")</f>
        <v>0</v>
      </c>
      <c r="CY69" s="237" t="e">
        <f t="shared" si="174">INDEX(BU$8:BU$152,MATCH($CX69,CV$8:CV$152,0))</f>
        <v>#N/A</v>
      </c>
      <c r="CZ69" s="237" t="e">
        <f t="shared" si="175">INDEX(BV$8:BV$152,MATCH($CX69,$CV$8:$CV$152,0))</f>
        <v>#N/A</v>
      </c>
      <c r="DA69" s="237" t="e">
        <f t="shared" si="176">INDEX(BW$8:BW$152,MATCH($CX69,$CV$8:$CV$152,0))</f>
        <v>#N/A</v>
      </c>
      <c r="DB69" s="237" t="e">
        <f t="shared" si="177">INDEX(BX$8:BX$152,MATCH($CX69,$CV$8:$CV$152,0))</f>
        <v>#N/A</v>
      </c>
      <c r="DC69" s="237" t="e">
        <f t="shared" si="178">INDEX(BY$8:BY$152,MATCH($CX69,$CV$8:$CV$152,0))</f>
        <v>#N/A</v>
      </c>
      <c r="DD69" s="237" t="e">
        <f t="shared" si="179">INDEX(BZ$8:BZ$152,MATCH($CX69,$CV$8:$CV$152,0))</f>
        <v>#N/A</v>
      </c>
      <c r="DE69" s="237" t="e">
        <f t="shared" si="180">INDEX(CA$8:CA$152,MATCH($CX69,$CV$8:$CV$152,0))</f>
        <v>#N/A</v>
      </c>
      <c r="DF69" s="237" t="e">
        <f t="shared" si="181">INDEX(CB$8:CB$152,MATCH($CX69,$CV$8:$CV$152,0))</f>
        <v>#N/A</v>
      </c>
    </row>
    <row r="70" spans="1:110" s="252" customFormat="1" ht="13.5" customHeight="1">
      <c r="A70" s="2038"/>
      <c r="B70" s="2031"/>
      <c r="C70" s="1501"/>
      <c r="D70" s="2035"/>
      <c r="E70" s="1033"/>
      <c r="F70" s="2035"/>
      <c r="G70" s="2035"/>
      <c r="H70" s="2035"/>
      <c r="I70" s="2013"/>
      <c r="J70" s="1033"/>
      <c r="K70" s="1033" t="s">
        <v>344</v>
      </c>
      <c r="L70" s="1033" t="s">
        <v>345</v>
      </c>
      <c r="M70" s="1021" t="s">
        <v>346</v>
      </c>
      <c r="N70" s="252"/>
      <c r="W70" s="1230"/>
      <c r="X70" s="1230"/>
      <c r="Y70" s="423"/>
      <c r="Z70" s="423"/>
      <c r="AA70" s="1231"/>
      <c r="AB70" s="1230"/>
      <c r="AC70" s="1242"/>
      <c r="AM70" s="1077"/>
      <c r="AN70" s="1096"/>
      <c r="AO70" s="1078"/>
      <c r="AP70" s="1079"/>
      <c r="AQ70" s="1080"/>
      <c r="AR70" s="1080">
        <f t="shared" si="299" ref="AR70:AR89">IF(E70&lt;&gt;"",E70,"")</f>
        <v>0</v>
      </c>
      <c r="AS70" s="1078">
        <f t="shared" si="186">F70</f>
        <v>0</v>
      </c>
      <c r="AT70" s="1080">
        <f t="shared" si="300" ref="AT70:AT89">IF(H70&lt;&gt;"",H70,"")</f>
        <v>0</v>
      </c>
      <c r="AU70" s="1080">
        <f t="shared" si="301" ref="AU70:AU89">J70</f>
        <v>0</v>
      </c>
      <c r="AV70" s="1080"/>
      <c r="AW70" s="1081"/>
      <c r="AX70" s="237">
        <f t="shared" si="292">IF(AZ70&lt;&gt;"",AX69+1,"")</f>
        <v>0</v>
      </c>
      <c r="AY70" s="1087">
        <v>77</v>
      </c>
      <c r="AZ70" s="1087">
        <f t="shared" si="187">IF(ISNA(VLOOKUP(AY70,$AN$8:$AW$148,2,False))=True,"",VLOOKUP(AY70,$AN$8:$AW$148,2,False))</f>
        <v>0</v>
      </c>
      <c r="BA70" s="1087">
        <f t="shared" si="188">IF(ISNA(VLOOKUP(AZ70,$AE$8:$AF$46,2,False))=True,"",VLOOKUP(AZ70,$AE$8:$AF$46,2,False))</f>
        <v>0</v>
      </c>
      <c r="BB70" s="1087">
        <f t="shared" si="189">IF(ISNA(VLOOKUP(AY70,$AN$8:$AW$148,4,False))=True,"",VLOOKUP(AY70,$AN$8:$AW$148,4,False))</f>
        <v>0</v>
      </c>
      <c r="BC70" s="1087">
        <f t="shared" si="190">IF(ISNA(VLOOKUP(AY70,$AN$8:$AW$148,5,False))=True,"",VLOOKUP(AY70,$AN$8:$AW$148,5,False))</f>
        <v>0</v>
      </c>
      <c r="BD70" s="1087" t="str">
        <f t="shared" si="267">IF(ISNA(VLOOKUP(AY70,$AN$8:$AW$148,6,False))=True,"0",VLOOKUP(AY70,$AN$8:$AW$148,6,False))</f>
        <v>0</v>
      </c>
      <c r="BE70" s="1125">
        <f t="shared" si="191">IF(ISNA(VLOOKUP(AY70,$AN$8:$AW$148,7,False))=True,"",VLOOKUP(AY70,$AN$8:$AW$148,7,False))</f>
        <v>0</v>
      </c>
      <c r="BF70" s="1123">
        <f t="shared" si="192">IF(ISNA(VLOOKUP($AY70,$AN$8:$AW$148,8,False))=True,"",VLOOKUP($AY70,$AN$8:$AW$148,8,False))</f>
        <v>0</v>
      </c>
      <c r="BG70" s="1120">
        <f t="shared" si="193">IF(ISNA(VLOOKUP($AY70,$AN$8:$AW$148,9,False))=True,"",VLOOKUP($AY70,$AN$8:$AW$148,9,False))</f>
        <v>0</v>
      </c>
      <c r="BH70" s="1120">
        <f t="shared" si="194">IF(ISNA(VLOOKUP($AY70,$AN$8:$AW$148,10,False))=True,"",VLOOKUP($AY70,$AN$8:$AW$148,10,False))</f>
        <v>0</v>
      </c>
      <c r="BI70" s="250">
        <f t="shared" si="270">IF(AZ70&lt;&gt;"",AZ70,"")</f>
        <v>0</v>
      </c>
      <c r="BJ70" s="1098">
        <f t="shared" si="271">BI70</f>
        <v>0</v>
      </c>
      <c r="BK70" s="1115">
        <f>COUNTIFS($AZ:$AZ, AZ70,$BJ:$BJ, "&lt;"&amp;BJ70)+COUNTIFS(AZ$8:AZ70, AZ70, BJ$8:BJ70, BJ70)</f>
        <v>63</v>
      </c>
      <c r="BL70" s="1114">
        <f t="shared" si="272">BK70/100</f>
        <v>0.63</v>
      </c>
      <c r="BM70" s="1093" t="e">
        <f t="shared" si="302" ref="BM70">BI70+BL70</f>
        <v>#VALUE!</v>
      </c>
      <c r="BN70" s="1101">
        <f t="shared" si="274">IF(BA70&lt;&gt;"",BM70,"")</f>
        <v>0</v>
      </c>
      <c r="BO70" s="1118">
        <f t="shared" si="275">IF(BN70&lt;&gt;"",BN70,0)</f>
        <v>0</v>
      </c>
      <c r="BP70" s="237" t="e">
        <f t="shared" si="162">SMALL($BN$8:$BN$152,AX70)</f>
        <v>#VALUE!</v>
      </c>
      <c r="BQ70" s="1109"/>
      <c r="BR70" s="1102" t="e">
        <f t="shared" si="294">IF(BP70&lt;&gt;"",BR69+1,"")</f>
        <v>#VALUE!</v>
      </c>
      <c r="BS70" s="1102">
        <f t="shared" si="276">IFERROR(BP70,"")</f>
        <v>0</v>
      </c>
      <c r="BT70" s="1102">
        <f t="shared" si="277">IFERROR(CC70,"")</f>
        <v>0</v>
      </c>
      <c r="BU70" s="1098">
        <f t="shared" si="278">IFERROR(CD70,"")</f>
        <v>0</v>
      </c>
      <c r="BV70" s="1098">
        <f t="shared" si="279">IFERROR(CE70,"")</f>
        <v>0</v>
      </c>
      <c r="BW70" s="1098">
        <f t="shared" si="280">IFERROR(CF70,"")</f>
        <v>0</v>
      </c>
      <c r="BX70" s="1146">
        <f t="shared" si="281">IFERROR(CH70,"")</f>
        <v>0</v>
      </c>
      <c r="BY70" s="1098">
        <f t="shared" si="282">IFERROR(CG70,"")</f>
        <v>0</v>
      </c>
      <c r="BZ70" s="1144" t="str">
        <f t="shared" si="283">IFERROR(CI70,"-")</f>
        <v>-</v>
      </c>
      <c r="CA70" s="1107">
        <f t="shared" si="284">IFERROR(CJ70,"")</f>
        <v>0</v>
      </c>
      <c r="CB70" s="1107">
        <f t="shared" si="285">IFERROR(CK70,"")</f>
        <v>0</v>
      </c>
      <c r="CC70" s="1110" t="e">
        <f t="shared" si="163">INDEX($AZ$8:$AZ$153,MATCH(BP70,$BO$8:$BO$153,0))</f>
        <v>#VALUE!</v>
      </c>
      <c r="CD70" s="1087" t="e">
        <f t="shared" si="164">INDEX($BA$8:$BA$153,MATCH(BP70,$BO$8:$BO$153,0))</f>
        <v>#VALUE!</v>
      </c>
      <c r="CE70" s="1106" t="e">
        <f t="shared" si="165">INDEX($BB$8:$BB$153,MATCH(BP70,$BO$8:$BO$153,0))</f>
        <v>#VALUE!</v>
      </c>
      <c r="CF70" s="1106" t="e">
        <f t="shared" si="166">INDEX(BC$8:BC$153,MATCH(BP70,$BO$8:$BO$153,0))</f>
        <v>#VALUE!</v>
      </c>
      <c r="CG70" s="1118" t="e">
        <f t="shared" si="167">INDEX(BE$8:BE$153,MATCH(BP70,$BO$8:$BO$153,0))</f>
        <v>#VALUE!</v>
      </c>
      <c r="CH70" s="1106" t="e">
        <f t="shared" si="168">INDEX($BD$8:$BD$153,MATCH($BP70,$BO$8:$BO$153,0))</f>
        <v>#VALUE!</v>
      </c>
      <c r="CI70" s="1142" t="e">
        <f t="shared" si="169">INDEX($BF$8:$BF$153,MATCH(BP70,$BO$8:$BO$153,0))</f>
        <v>#VALUE!</v>
      </c>
      <c r="CJ70" s="1106" t="e">
        <f t="shared" si="170">INDEX($BG$8:$BG$153,MATCH(BP70,$BO$8:$BO$153,0))</f>
        <v>#VALUE!</v>
      </c>
      <c r="CK70" s="1106" t="e">
        <f t="shared" si="171">INDEX($BH$8:$BH$153,MATCH(BP70,$BO$8:$BO$153,0))</f>
        <v>#VALUE!</v>
      </c>
      <c r="CM70" s="1131">
        <f t="shared" si="172">COUNTIF($CH$8:$CH$228,"&lt;="&amp;CH70)</f>
        <v>145</v>
      </c>
      <c r="CN70" s="1121">
        <f t="shared" si="286">--ISNUMBER(BX70)</f>
        <v>0</v>
      </c>
      <c r="CO70" s="1121">
        <f t="shared" si="287">IF(BX70=0,1,0)</f>
        <v>0</v>
      </c>
      <c r="CP70" s="1124">
        <f t="shared" si="197">IF(ISNUMBER(BX70),CM70,IF(ISERROR(BX70),CM70,CM70+$CN$154))+$CO$154</f>
        <v>145</v>
      </c>
      <c r="CQ70" s="237">
        <f>IFERROR(INDEX($BX$8:$BX$153,MATCH(SMALL($CP$8:$CP$153,ROWS($CQ$8:CQ70)+$CO$154),$CP$8:$CP$154,0)),"")</f>
        <v>0</v>
      </c>
      <c r="CR70" s="237">
        <v>0.1</v>
      </c>
      <c r="CS70" s="1135">
        <f t="shared" si="288">CM70+CR70</f>
        <v>145.1</v>
      </c>
      <c r="CT70" s="237">
        <f>COUNTIFS($CM:$CM, CM70,$CS:$CS, "&lt;"&amp;CL)+COUNTIFS(CM$8:CM70, CM70, CS$8:CS70, CS70)</f>
        <v>63</v>
      </c>
      <c r="CU70" s="1109">
        <f t="shared" si="289">CT70/100</f>
        <v>0.63</v>
      </c>
      <c r="CV70" s="1109">
        <f t="shared" si="290">CM70+CU70</f>
        <v>145.63</v>
      </c>
      <c r="CW70" s="237" t="e">
        <f t="shared" si="173">SMALL(CV$8:CV$153,AX70)</f>
        <v>#VALUE!</v>
      </c>
      <c r="CX70" s="1109">
        <f t="shared" si="291">IFERROR(CW70,"")</f>
        <v>0</v>
      </c>
      <c r="CY70" s="237" t="e">
        <f t="shared" si="174">INDEX(BU$8:BU$152,MATCH($CX70,CV$8:CV$152,0))</f>
        <v>#N/A</v>
      </c>
      <c r="CZ70" s="237" t="e">
        <f t="shared" si="175">INDEX(BV$8:BV$152,MATCH($CX70,$CV$8:$CV$152,0))</f>
        <v>#N/A</v>
      </c>
      <c r="DA70" s="237" t="e">
        <f t="shared" si="176">INDEX(BW$8:BW$152,MATCH($CX70,$CV$8:$CV$152,0))</f>
        <v>#N/A</v>
      </c>
      <c r="DB70" s="237" t="e">
        <f t="shared" si="177">INDEX(BX$8:BX$152,MATCH($CX70,$CV$8:$CV$152,0))</f>
        <v>#N/A</v>
      </c>
      <c r="DC70" s="237" t="e">
        <f t="shared" si="178">INDEX(BY$8:BY$152,MATCH($CX70,$CV$8:$CV$152,0))</f>
        <v>#N/A</v>
      </c>
      <c r="DD70" s="237" t="e">
        <f t="shared" si="179">INDEX(BZ$8:BZ$152,MATCH($CX70,$CV$8:$CV$152,0))</f>
        <v>#N/A</v>
      </c>
      <c r="DE70" s="237" t="e">
        <f t="shared" si="180">INDEX(CA$8:CA$152,MATCH($CX70,$CV$8:$CV$152,0))</f>
        <v>#N/A</v>
      </c>
      <c r="DF70" s="237" t="e">
        <f t="shared" si="181">INDEX(CB$8:CB$152,MATCH($CX70,$CV$8:$CV$152,0))</f>
        <v>#N/A</v>
      </c>
    </row>
    <row r="71" spans="1:110">
      <c r="A71" s="1216">
        <v>1</v>
      </c>
      <c r="B71" s="1510"/>
      <c r="C71" s="1022"/>
      <c r="D71" s="1022"/>
      <c r="E71" s="1022"/>
      <c r="F71" s="1022"/>
      <c r="G71" s="1022"/>
      <c r="H71" s="1022"/>
      <c r="I71" s="1475"/>
      <c r="J71" s="1020"/>
      <c r="K71" s="253"/>
      <c r="L71" s="254"/>
      <c r="M71" s="255">
        <f t="shared" si="303" ref="M71:M85">K71*L71</f>
        <v>0</v>
      </c>
      <c r="AM71" s="1077">
        <f t="shared" si="304" ref="AM71:AM85">IF(M71&gt;0,1,0)</f>
        <v>0</v>
      </c>
      <c r="AN71" s="1096">
        <f>IF(K71&gt;0,COUNTIF(AM$8:AM71,"&gt;0"),0)</f>
        <v>0</v>
      </c>
      <c r="AO71" s="1078">
        <f t="shared" si="305" ref="AO71:AO85">B71</f>
        <v>0</v>
      </c>
      <c r="AP71" s="1079">
        <f t="shared" si="306" ref="AP71:AP85">C71</f>
        <v>0</v>
      </c>
      <c r="AQ71" s="1080">
        <f t="shared" si="307" ref="AQ71:AQ85">IF(I71&lt;&gt;"",YEAR(I71),"")</f>
        <v>0</v>
      </c>
      <c r="AR71" s="1080">
        <f t="shared" si="299">IF(E71&lt;&gt;"",E71,"")</f>
        <v>0</v>
      </c>
      <c r="AS71" s="1078">
        <f t="shared" si="186">F71</f>
        <v>0</v>
      </c>
      <c r="AT71" s="1080">
        <f t="shared" si="300">IF(H71&lt;&gt;"",H71,"")</f>
        <v>0</v>
      </c>
      <c r="AU71" s="1080">
        <f t="shared" si="301">J71</f>
        <v>0</v>
      </c>
      <c r="AV71" s="1080">
        <f t="shared" si="308" ref="AV71:AV85">K71</f>
        <v>0</v>
      </c>
      <c r="AW71" s="1081">
        <f t="shared" si="309" ref="AW71:AW85">M71</f>
        <v>0</v>
      </c>
      <c r="AX71" s="237">
        <f t="shared" si="292">IF(AZ71&lt;&gt;"",AX70+1,"")</f>
        <v>0</v>
      </c>
      <c r="AY71" s="1087">
        <v>78</v>
      </c>
      <c r="AZ71" s="1087">
        <f t="shared" si="187">IF(ISNA(VLOOKUP(AY71,$AN$8:$AW$148,2,False))=True,"",VLOOKUP(AY71,$AN$8:$AW$148,2,False))</f>
        <v>0</v>
      </c>
      <c r="BA71" s="1087">
        <f t="shared" si="188">IF(ISNA(VLOOKUP(AZ71,$AE$8:$AF$46,2,False))=True,"",VLOOKUP(AZ71,$AE$8:$AF$46,2,False))</f>
        <v>0</v>
      </c>
      <c r="BB71" s="1087">
        <f t="shared" si="189">IF(ISNA(VLOOKUP(AY71,$AN$8:$AW$148,4,False))=True,"",VLOOKUP(AY71,$AN$8:$AW$148,4,False))</f>
        <v>0</v>
      </c>
      <c r="BC71" s="1087">
        <f t="shared" si="190">IF(ISNA(VLOOKUP(AY71,$AN$8:$AW$148,5,False))=True,"",VLOOKUP(AY71,$AN$8:$AW$148,5,False))</f>
        <v>0</v>
      </c>
      <c r="BD71" s="1087" t="str">
        <f t="shared" si="267">IF(ISNA(VLOOKUP(AY71,$AN$8:$AW$148,6,False))=True,"0",VLOOKUP(AY71,$AN$8:$AW$148,6,False))</f>
        <v>0</v>
      </c>
      <c r="BE71" s="1125">
        <f t="shared" si="191">IF(ISNA(VLOOKUP(AY71,$AN$8:$AW$148,7,False))=True,"",VLOOKUP(AY71,$AN$8:$AW$148,7,False))</f>
        <v>0</v>
      </c>
      <c r="BF71" s="1123">
        <f t="shared" si="192">IF(ISNA(VLOOKUP($AY71,$AN$8:$AW$148,8,False))=True,"",VLOOKUP($AY71,$AN$8:$AW$148,8,False))</f>
        <v>0</v>
      </c>
      <c r="BG71" s="1120">
        <f t="shared" si="193">IF(ISNA(VLOOKUP($AY71,$AN$8:$AW$148,9,False))=True,"",VLOOKUP($AY71,$AN$8:$AW$148,9,False))</f>
        <v>0</v>
      </c>
      <c r="BH71" s="1120">
        <f t="shared" si="194">IF(ISNA(VLOOKUP($AY71,$AN$8:$AW$148,10,False))=True,"",VLOOKUP($AY71,$AN$8:$AW$148,10,False))</f>
        <v>0</v>
      </c>
      <c r="BI71" s="250">
        <f t="shared" si="270">IF(AZ71&lt;&gt;"",AZ71,"")</f>
        <v>0</v>
      </c>
      <c r="BJ71" s="1098">
        <f t="shared" si="271">BI71</f>
        <v>0</v>
      </c>
      <c r="BK71" s="1115">
        <f>COUNTIFS($AZ:$AZ, AZ71,$BJ:$BJ, "&lt;"&amp;BJ71)+COUNTIFS(AZ$8:AZ71, AZ71, BJ$8:BJ71, BJ71)</f>
        <v>64</v>
      </c>
      <c r="BL71" s="1114">
        <f t="shared" si="272">BK71/100</f>
        <v>0.64</v>
      </c>
      <c r="BM71" s="1093" t="e">
        <f t="shared" si="310" ref="BM71">BJ71+BL71</f>
        <v>#VALUE!</v>
      </c>
      <c r="BN71" s="1101">
        <f t="shared" si="274">IF(BA71&lt;&gt;"",BM71,"")</f>
        <v>0</v>
      </c>
      <c r="BO71" s="1118">
        <f t="shared" si="275">IF(BN71&lt;&gt;"",BN71,0)</f>
        <v>0</v>
      </c>
      <c r="BP71" s="237" t="e">
        <f t="shared" si="162">SMALL($BN$8:$BN$152,AX71)</f>
        <v>#VALUE!</v>
      </c>
      <c r="BR71" s="1102" t="e">
        <f t="shared" si="294">IF(BP71&lt;&gt;"",BR70+1,"")</f>
        <v>#VALUE!</v>
      </c>
      <c r="BS71" s="1102">
        <f t="shared" si="276">IFERROR(BP71,"")</f>
        <v>0</v>
      </c>
      <c r="BT71" s="1102">
        <f t="shared" si="277">IFERROR(CC71,"")</f>
        <v>0</v>
      </c>
      <c r="BU71" s="1098">
        <f t="shared" si="278">IFERROR(CD71,"")</f>
        <v>0</v>
      </c>
      <c r="BV71" s="1098">
        <f t="shared" si="279">IFERROR(CE71,"")</f>
        <v>0</v>
      </c>
      <c r="BW71" s="1098">
        <f t="shared" si="280">IFERROR(CF71,"")</f>
        <v>0</v>
      </c>
      <c r="BX71" s="1146">
        <f t="shared" si="281">IFERROR(CH71,"")</f>
        <v>0</v>
      </c>
      <c r="BY71" s="1098">
        <f t="shared" si="282">IFERROR(CG71,"")</f>
        <v>0</v>
      </c>
      <c r="BZ71" s="1144" t="str">
        <f t="shared" si="283">IFERROR(CI71,"-")</f>
        <v>-</v>
      </c>
      <c r="CA71" s="1107">
        <f t="shared" si="284">IFERROR(CJ71,"")</f>
        <v>0</v>
      </c>
      <c r="CB71" s="1107">
        <f t="shared" si="285">IFERROR(CK71,"")</f>
        <v>0</v>
      </c>
      <c r="CC71" s="1110" t="e">
        <f t="shared" si="163">INDEX($AZ$8:$AZ$153,MATCH(BP71,$BO$8:$BO$153,0))</f>
        <v>#VALUE!</v>
      </c>
      <c r="CD71" s="1087" t="e">
        <f t="shared" si="164">INDEX($BA$8:$BA$153,MATCH(BP71,$BO$8:$BO$153,0))</f>
        <v>#VALUE!</v>
      </c>
      <c r="CE71" s="1106" t="e">
        <f t="shared" si="165">INDEX($BB$8:$BB$153,MATCH(BP71,$BO$8:$BO$153,0))</f>
        <v>#VALUE!</v>
      </c>
      <c r="CF71" s="1106" t="e">
        <f t="shared" si="166">INDEX(BC$8:BC$153,MATCH(BP71,$BO$8:$BO$153,0))</f>
        <v>#VALUE!</v>
      </c>
      <c r="CG71" s="1118" t="e">
        <f t="shared" si="167">INDEX(BE$8:BE$153,MATCH(BP71,$BO$8:$BO$153,0))</f>
        <v>#VALUE!</v>
      </c>
      <c r="CH71" s="1106" t="e">
        <f t="shared" si="168">INDEX($BD$8:$BD$153,MATCH($BP71,$BO$8:$BO$153,0))</f>
        <v>#VALUE!</v>
      </c>
      <c r="CI71" s="1142" t="e">
        <f t="shared" si="169">INDEX($BF$8:$BF$153,MATCH(BP71,$BO$8:$BO$153,0))</f>
        <v>#VALUE!</v>
      </c>
      <c r="CJ71" s="1106" t="e">
        <f t="shared" si="170">INDEX($BG$8:$BG$153,MATCH(BP71,$BO$8:$BO$153,0))</f>
        <v>#VALUE!</v>
      </c>
      <c r="CK71" s="1106" t="e">
        <f t="shared" si="171">INDEX($BH$8:$BH$153,MATCH(BP71,$BO$8:$BO$153,0))</f>
        <v>#VALUE!</v>
      </c>
      <c r="CM71" s="1131">
        <f t="shared" si="172">COUNTIF($CH$8:$CH$228,"&lt;="&amp;CH71)</f>
        <v>145</v>
      </c>
      <c r="CN71" s="1121">
        <f t="shared" si="286">--ISNUMBER(BX71)</f>
        <v>0</v>
      </c>
      <c r="CO71" s="1121">
        <f t="shared" si="287">IF(BX71=0,1,0)</f>
        <v>0</v>
      </c>
      <c r="CP71" s="1124">
        <f t="shared" si="197">IF(ISNUMBER(BX71),CM71,IF(ISERROR(BX71),CM71,CM71+$CN$154))+$CO$154</f>
        <v>145</v>
      </c>
      <c r="CQ71" s="237">
        <f>IFERROR(INDEX($BX$8:$BX$153,MATCH(SMALL($CP$8:$CP$153,ROWS($CQ$8:CQ71)+$CO$154),$CP$8:$CP$154,0)),"")</f>
        <v>0</v>
      </c>
      <c r="CR71" s="237">
        <v>0.1</v>
      </c>
      <c r="CS71" s="1135">
        <f t="shared" si="288">CM71+CR71</f>
        <v>145.1</v>
      </c>
      <c r="CT71" s="237">
        <f>COUNTIFS($CM:$CM, CM71,$CS:$CS, "&lt;"&amp;CL)+COUNTIFS(CM$8:CM71, CM71, CS$8:CS71, CS71)</f>
        <v>64</v>
      </c>
      <c r="CU71" s="1109">
        <f t="shared" si="289">CT71/100</f>
        <v>0.64</v>
      </c>
      <c r="CV71" s="1109">
        <f t="shared" si="290">CM71+CU71</f>
        <v>145.64</v>
      </c>
      <c r="CW71" s="237" t="e">
        <f t="shared" si="173">SMALL(CV$8:CV$153,AX71)</f>
        <v>#VALUE!</v>
      </c>
      <c r="CX71" s="1109">
        <f t="shared" si="291">IFERROR(CW71,"")</f>
        <v>0</v>
      </c>
      <c r="CY71" s="237" t="e">
        <f t="shared" si="174">INDEX(BU$8:BU$152,MATCH($CX71,CV$8:CV$152,0))</f>
        <v>#N/A</v>
      </c>
      <c r="CZ71" s="237" t="e">
        <f t="shared" si="175">INDEX(BV$8:BV$152,MATCH($CX71,$CV$8:$CV$152,0))</f>
        <v>#N/A</v>
      </c>
      <c r="DA71" s="237" t="e">
        <f t="shared" si="176">INDEX(BW$8:BW$152,MATCH($CX71,$CV$8:$CV$152,0))</f>
        <v>#N/A</v>
      </c>
      <c r="DB71" s="237" t="e">
        <f t="shared" si="177">INDEX(BX$8:BX$152,MATCH($CX71,$CV$8:$CV$152,0))</f>
        <v>#N/A</v>
      </c>
      <c r="DC71" s="237" t="e">
        <f t="shared" si="178">INDEX(BY$8:BY$152,MATCH($CX71,$CV$8:$CV$152,0))</f>
        <v>#N/A</v>
      </c>
      <c r="DD71" s="237" t="e">
        <f t="shared" si="179">INDEX(BZ$8:BZ$152,MATCH($CX71,$CV$8:$CV$152,0))</f>
        <v>#N/A</v>
      </c>
      <c r="DE71" s="237" t="e">
        <f t="shared" si="180">INDEX(CA$8:CA$152,MATCH($CX71,$CV$8:$CV$152,0))</f>
        <v>#N/A</v>
      </c>
      <c r="DF71" s="237" t="e">
        <f t="shared" si="181">INDEX(CB$8:CB$152,MATCH($CX71,$CV$8:$CV$152,0))</f>
        <v>#N/A</v>
      </c>
    </row>
    <row r="72" spans="1:110">
      <c r="A72" s="1216">
        <v>2</v>
      </c>
      <c r="B72" s="1510"/>
      <c r="C72" s="1022"/>
      <c r="D72" s="1022"/>
      <c r="E72" s="1022"/>
      <c r="F72" s="1022"/>
      <c r="G72" s="1022"/>
      <c r="H72" s="1022"/>
      <c r="I72" s="1475"/>
      <c r="J72" s="1020"/>
      <c r="K72" s="253"/>
      <c r="L72" s="254"/>
      <c r="M72" s="255">
        <f t="shared" si="303">K72*L72</f>
        <v>0</v>
      </c>
      <c r="AM72" s="1082">
        <f t="shared" si="304">IF(M72&gt;0,1,0)</f>
        <v>0</v>
      </c>
      <c r="AN72" s="1096">
        <f>IF(AM72&gt;0,COUNTIF(AM$8:AM72,"&gt;0"),0)</f>
        <v>0</v>
      </c>
      <c r="AO72" s="1083">
        <f t="shared" si="305">B72</f>
        <v>0</v>
      </c>
      <c r="AP72" s="1084">
        <f t="shared" si="306">C72</f>
        <v>0</v>
      </c>
      <c r="AQ72" s="1085">
        <f t="shared" si="307">IF(I72&lt;&gt;"",YEAR(I72),"")</f>
        <v>0</v>
      </c>
      <c r="AR72" s="1080">
        <f t="shared" si="299">IF(E72&lt;&gt;"",E72,"")</f>
        <v>0</v>
      </c>
      <c r="AS72" s="1078">
        <f t="shared" si="186">F72</f>
        <v>0</v>
      </c>
      <c r="AT72" s="1080">
        <f t="shared" si="300">IF(H72&lt;&gt;"",H72,"")</f>
        <v>0</v>
      </c>
      <c r="AU72" s="1080">
        <f t="shared" si="301">J72</f>
        <v>0</v>
      </c>
      <c r="AV72" s="1080">
        <f t="shared" si="308">K72</f>
        <v>0</v>
      </c>
      <c r="AW72" s="1086">
        <f t="shared" si="309">M72</f>
        <v>0</v>
      </c>
      <c r="AX72" s="237">
        <f t="shared" si="292">IF(AZ72&lt;&gt;"",AX71+1,"")</f>
        <v>0</v>
      </c>
      <c r="AY72" s="1087">
        <v>79</v>
      </c>
      <c r="AZ72" s="1087">
        <f t="shared" si="187">IF(ISNA(VLOOKUP(AY72,$AN$8:$AW$148,2,False))=True,"",VLOOKUP(AY72,$AN$8:$AW$148,2,False))</f>
        <v>0</v>
      </c>
      <c r="BA72" s="1087">
        <f t="shared" si="188">IF(ISNA(VLOOKUP(AZ72,$AE$8:$AF$46,2,False))=True,"",VLOOKUP(AZ72,$AE$8:$AF$46,2,False))</f>
        <v>0</v>
      </c>
      <c r="BB72" s="1087">
        <f t="shared" si="189">IF(ISNA(VLOOKUP(AY72,$AN$8:$AW$148,4,False))=True,"",VLOOKUP(AY72,$AN$8:$AW$148,4,False))</f>
        <v>0</v>
      </c>
      <c r="BC72" s="1087">
        <f t="shared" si="190">IF(ISNA(VLOOKUP(AY72,$AN$8:$AW$148,5,False))=True,"",VLOOKUP(AY72,$AN$8:$AW$148,5,False))</f>
        <v>0</v>
      </c>
      <c r="BD72" s="1087" t="str">
        <f t="shared" si="267">IF(ISNA(VLOOKUP(AY72,$AN$8:$AW$148,6,False))=True,"0",VLOOKUP(AY72,$AN$8:$AW$148,6,False))</f>
        <v>0</v>
      </c>
      <c r="BE72" s="1125">
        <f t="shared" si="191">IF(ISNA(VLOOKUP(AY72,$AN$8:$AW$148,7,False))=True,"",VLOOKUP(AY72,$AN$8:$AW$148,7,False))</f>
        <v>0</v>
      </c>
      <c r="BF72" s="1123">
        <f t="shared" si="192">IF(ISNA(VLOOKUP($AY72,$AN$8:$AW$148,8,False))=True,"",VLOOKUP($AY72,$AN$8:$AW$148,8,False))</f>
        <v>0</v>
      </c>
      <c r="BG72" s="1120">
        <f t="shared" si="193">IF(ISNA(VLOOKUP($AY72,$AN$8:$AW$148,9,False))=True,"",VLOOKUP($AY72,$AN$8:$AW$148,9,False))</f>
        <v>0</v>
      </c>
      <c r="BH72" s="1120">
        <f t="shared" si="194">IF(ISNA(VLOOKUP($AY72,$AN$8:$AW$148,10,False))=True,"",VLOOKUP($AY72,$AN$8:$AW$148,10,False))</f>
        <v>0</v>
      </c>
      <c r="BI72" s="250">
        <f t="shared" si="270">IF(AZ72&lt;&gt;"",AZ72,"")</f>
        <v>0</v>
      </c>
      <c r="BJ72" s="1098">
        <f t="shared" si="271">BI72</f>
        <v>0</v>
      </c>
      <c r="BK72" s="1115">
        <f>COUNTIFS($AZ:$AZ, AZ72,$BJ:$BJ, "&lt;"&amp;BJ72)+COUNTIFS(AZ$8:AZ72, AZ72, BJ$8:BJ72, BJ72)</f>
        <v>65</v>
      </c>
      <c r="BL72" s="1114">
        <f t="shared" si="272">BK72/100</f>
        <v>0.65</v>
      </c>
      <c r="BM72" s="1093" t="e">
        <f t="shared" si="311" ref="BM72">BI72+BL72</f>
        <v>#VALUE!</v>
      </c>
      <c r="BN72" s="1101">
        <f t="shared" si="274">IF(BA72&lt;&gt;"",BM72,"")</f>
        <v>0</v>
      </c>
      <c r="BO72" s="1118">
        <f t="shared" si="275">IF(BN72&lt;&gt;"",BN72,0)</f>
        <v>0</v>
      </c>
      <c r="BP72" s="237" t="e">
        <f t="shared" si="312" ref="BP72:BP103">SMALL($BN$8:$BN$152,AX72)</f>
        <v>#VALUE!</v>
      </c>
      <c r="BR72" s="1102" t="e">
        <f t="shared" si="294">IF(BP72&lt;&gt;"",BR71+1,"")</f>
        <v>#VALUE!</v>
      </c>
      <c r="BS72" s="1102">
        <f t="shared" si="276">IFERROR(BP72,"")</f>
        <v>0</v>
      </c>
      <c r="BT72" s="1102">
        <f t="shared" si="277">IFERROR(CC72,"")</f>
        <v>0</v>
      </c>
      <c r="BU72" s="1098">
        <f t="shared" si="278">IFERROR(CD72,"")</f>
        <v>0</v>
      </c>
      <c r="BV72" s="1098">
        <f t="shared" si="279">IFERROR(CE72,"")</f>
        <v>0</v>
      </c>
      <c r="BW72" s="1098">
        <f t="shared" si="280">IFERROR(CF72,"")</f>
        <v>0</v>
      </c>
      <c r="BX72" s="1146">
        <f t="shared" si="281">IFERROR(CH72,"")</f>
        <v>0</v>
      </c>
      <c r="BY72" s="1098">
        <f t="shared" si="282">IFERROR(CG72,"")</f>
        <v>0</v>
      </c>
      <c r="BZ72" s="1144" t="str">
        <f t="shared" si="283">IFERROR(CI72,"-")</f>
        <v>-</v>
      </c>
      <c r="CA72" s="1107">
        <f t="shared" si="284">IFERROR(CJ72,"")</f>
        <v>0</v>
      </c>
      <c r="CB72" s="1107">
        <f t="shared" si="285">IFERROR(CK72,"")</f>
        <v>0</v>
      </c>
      <c r="CC72" s="1110" t="e">
        <f t="shared" si="313" ref="CC72:CC103">INDEX($AZ$8:$AZ$153,MATCH(BP72,$BO$8:$BO$153,0))</f>
        <v>#VALUE!</v>
      </c>
      <c r="CD72" s="1087" t="e">
        <f t="shared" si="314" ref="CD72:CD103">INDEX($BA$8:$BA$153,MATCH(BP72,$BO$8:$BO$153,0))</f>
        <v>#VALUE!</v>
      </c>
      <c r="CE72" s="1106" t="e">
        <f t="shared" si="315" ref="CE72:CE103">INDEX($BB$8:$BB$153,MATCH(BP72,$BO$8:$BO$153,0))</f>
        <v>#VALUE!</v>
      </c>
      <c r="CF72" s="1106" t="e">
        <f t="shared" si="316" ref="CF72:CF103">INDEX(BC$8:BC$153,MATCH(BP72,$BO$8:$BO$153,0))</f>
        <v>#VALUE!</v>
      </c>
      <c r="CG72" s="1118" t="e">
        <f t="shared" si="317" ref="CG72:CG103">INDEX(BE$8:BE$153,MATCH(BP72,$BO$8:$BO$153,0))</f>
        <v>#VALUE!</v>
      </c>
      <c r="CH72" s="1106" t="e">
        <f t="shared" si="318" ref="CH72:CH103">INDEX($BD$8:$BD$153,MATCH($BP72,$BO$8:$BO$153,0))</f>
        <v>#VALUE!</v>
      </c>
      <c r="CI72" s="1142" t="e">
        <f t="shared" si="319" ref="CI72:CI103">INDEX($BF$8:$BF$153,MATCH(BP72,$BO$8:$BO$153,0))</f>
        <v>#VALUE!</v>
      </c>
      <c r="CJ72" s="1106" t="e">
        <f t="shared" si="320" ref="CJ72:CJ103">INDEX($BG$8:$BG$153,MATCH(BP72,$BO$8:$BO$153,0))</f>
        <v>#VALUE!</v>
      </c>
      <c r="CK72" s="1106" t="e">
        <f t="shared" si="321" ref="CK72:CK103">INDEX($BH$8:$BH$153,MATCH(BP72,$BO$8:$BO$153,0))</f>
        <v>#VALUE!</v>
      </c>
      <c r="CM72" s="1131">
        <f t="shared" si="322" ref="CM72:CM103">COUNTIF($CH$8:$CH$228,"&lt;="&amp;CH72)</f>
        <v>145</v>
      </c>
      <c r="CN72" s="1121">
        <f t="shared" si="286">--ISNUMBER(BX72)</f>
        <v>0</v>
      </c>
      <c r="CO72" s="1121">
        <f t="shared" si="287">IF(BX72=0,1,0)</f>
        <v>0</v>
      </c>
      <c r="CP72" s="1124">
        <f t="shared" si="197">IF(ISNUMBER(BX72),CM72,IF(ISERROR(BX72),CM72,CM72+$CN$154))+$CO$154</f>
        <v>145</v>
      </c>
      <c r="CQ72" s="237">
        <f>IFERROR(INDEX($BX$8:$BX$153,MATCH(SMALL($CP$8:$CP$153,ROWS($CQ$8:CQ72)+$CO$154),$CP$8:$CP$154,0)),"")</f>
        <v>0</v>
      </c>
      <c r="CR72" s="237">
        <v>0.1</v>
      </c>
      <c r="CS72" s="1135">
        <f t="shared" si="288">CM72+CR72</f>
        <v>145.1</v>
      </c>
      <c r="CT72" s="237">
        <f>COUNTIFS($CM:$CM, CM72,$CS:$CS, "&lt;"&amp;CL)+COUNTIFS(CM$8:CM72, CM72, CS$8:CS72, CS72)</f>
        <v>65</v>
      </c>
      <c r="CU72" s="1109">
        <f t="shared" si="289">CT72/100</f>
        <v>0.65</v>
      </c>
      <c r="CV72" s="1109">
        <f t="shared" si="290">CM72+CU72</f>
        <v>145.65</v>
      </c>
      <c r="CW72" s="237" t="e">
        <f t="shared" si="323" ref="CW72:CW103">SMALL(CV$8:CV$153,AX72)</f>
        <v>#VALUE!</v>
      </c>
      <c r="CX72" s="1109">
        <f t="shared" si="291">IFERROR(CW72,"")</f>
        <v>0</v>
      </c>
      <c r="CY72" s="237" t="e">
        <f t="shared" si="324" ref="CY72:CY103">INDEX(BU$8:BU$152,MATCH($CX72,CV$8:CV$152,0))</f>
        <v>#N/A</v>
      </c>
      <c r="CZ72" s="237" t="e">
        <f t="shared" si="325" ref="CZ72:CZ103">INDEX(BV$8:BV$152,MATCH($CX72,$CV$8:$CV$152,0))</f>
        <v>#N/A</v>
      </c>
      <c r="DA72" s="237" t="e">
        <f t="shared" si="326" ref="DA72:DA103">INDEX(BW$8:BW$152,MATCH($CX72,$CV$8:$CV$152,0))</f>
        <v>#N/A</v>
      </c>
      <c r="DB72" s="237" t="e">
        <f t="shared" si="327" ref="DB72:DB103">INDEX(BX$8:BX$152,MATCH($CX72,$CV$8:$CV$152,0))</f>
        <v>#N/A</v>
      </c>
      <c r="DC72" s="237" t="e">
        <f t="shared" si="328" ref="DC72:DC103">INDEX(BY$8:BY$152,MATCH($CX72,$CV$8:$CV$152,0))</f>
        <v>#N/A</v>
      </c>
      <c r="DD72" s="237" t="e">
        <f t="shared" si="329" ref="DD72:DD103">INDEX(BZ$8:BZ$152,MATCH($CX72,$CV$8:$CV$152,0))</f>
        <v>#N/A</v>
      </c>
      <c r="DE72" s="237" t="e">
        <f t="shared" si="330" ref="DE72:DE103">INDEX(CA$8:CA$152,MATCH($CX72,$CV$8:$CV$152,0))</f>
        <v>#N/A</v>
      </c>
      <c r="DF72" s="237" t="e">
        <f t="shared" si="331" ref="DF72:DF103">INDEX(CB$8:CB$152,MATCH($CX72,$CV$8:$CV$152,0))</f>
        <v>#N/A</v>
      </c>
    </row>
    <row r="73" spans="1:110" ht="13.5" customHeight="1">
      <c r="A73" s="1216">
        <v>3</v>
      </c>
      <c r="B73" s="1510"/>
      <c r="C73" s="1022"/>
      <c r="D73" s="1022"/>
      <c r="E73" s="1022"/>
      <c r="F73" s="1022"/>
      <c r="G73" s="1022"/>
      <c r="H73" s="1022"/>
      <c r="I73" s="1475"/>
      <c r="J73" s="1020"/>
      <c r="K73" s="253"/>
      <c r="L73" s="254"/>
      <c r="M73" s="255">
        <f t="shared" si="303">K73*L73</f>
        <v>0</v>
      </c>
      <c r="W73" s="1241"/>
      <c r="X73" s="1241"/>
      <c r="Y73" s="1242"/>
      <c r="Z73" s="1242"/>
      <c r="AA73" s="1243"/>
      <c r="AB73" s="1241"/>
      <c r="AM73" s="1077">
        <f t="shared" si="304">IF(M73&gt;0,1,0)</f>
        <v>0</v>
      </c>
      <c r="AN73" s="1096">
        <f>IF(AM73&gt;0,COUNTIF(AM$8:AM73,"&gt;0"),0)</f>
        <v>0</v>
      </c>
      <c r="AO73" s="1078">
        <f t="shared" si="305">B73</f>
        <v>0</v>
      </c>
      <c r="AP73" s="1079">
        <f t="shared" si="306">C73</f>
        <v>0</v>
      </c>
      <c r="AQ73" s="1080">
        <f t="shared" si="307">IF(I73&lt;&gt;"",YEAR(I73),"")</f>
        <v>0</v>
      </c>
      <c r="AR73" s="1080">
        <f t="shared" si="299">IF(E73&lt;&gt;"",E73,"")</f>
        <v>0</v>
      </c>
      <c r="AS73" s="1078">
        <f t="shared" si="186">F73</f>
        <v>0</v>
      </c>
      <c r="AT73" s="1080">
        <f t="shared" si="300">IF(H73&lt;&gt;"",H73,"")</f>
        <v>0</v>
      </c>
      <c r="AU73" s="1080">
        <f t="shared" si="301">J73</f>
        <v>0</v>
      </c>
      <c r="AV73" s="1080">
        <f t="shared" si="308">K73</f>
        <v>0</v>
      </c>
      <c r="AW73" s="1081">
        <f t="shared" si="309">M73</f>
        <v>0</v>
      </c>
      <c r="AX73" s="237">
        <f t="shared" si="292">IF(AZ73&lt;&gt;"",AX72+1,"")</f>
        <v>0</v>
      </c>
      <c r="AY73" s="1087">
        <v>80</v>
      </c>
      <c r="AZ73" s="1087">
        <f t="shared" si="187">IF(ISNA(VLOOKUP(AY73,$AN$8:$AW$148,2,False))=True,"",VLOOKUP(AY73,$AN$8:$AW$148,2,False))</f>
        <v>0</v>
      </c>
      <c r="BA73" s="1087">
        <f t="shared" si="188">IF(ISNA(VLOOKUP(AZ73,$AE$8:$AF$46,2,False))=True,"",VLOOKUP(AZ73,$AE$8:$AF$46,2,False))</f>
        <v>0</v>
      </c>
      <c r="BB73" s="1087">
        <f t="shared" si="189">IF(ISNA(VLOOKUP(AY73,$AN$8:$AW$148,4,False))=True,"",VLOOKUP(AY73,$AN$8:$AW$148,4,False))</f>
        <v>0</v>
      </c>
      <c r="BC73" s="1087">
        <f t="shared" si="190">IF(ISNA(VLOOKUP(AY73,$AN$8:$AW$148,5,False))=True,"",VLOOKUP(AY73,$AN$8:$AW$148,5,False))</f>
        <v>0</v>
      </c>
      <c r="BD73" s="1087" t="str">
        <f t="shared" si="267">IF(ISNA(VLOOKUP(AY73,$AN$8:$AW$148,6,False))=True,"0",VLOOKUP(AY73,$AN$8:$AW$148,6,False))</f>
        <v>0</v>
      </c>
      <c r="BE73" s="1125">
        <f t="shared" si="191">IF(ISNA(VLOOKUP(AY73,$AN$8:$AW$148,7,False))=True,"",VLOOKUP(AY73,$AN$8:$AW$148,7,False))</f>
        <v>0</v>
      </c>
      <c r="BF73" s="1123">
        <f t="shared" si="192">IF(ISNA(VLOOKUP($AY73,$AN$8:$AW$148,8,False))=True,"",VLOOKUP($AY73,$AN$8:$AW$148,8,False))</f>
        <v>0</v>
      </c>
      <c r="BG73" s="1120">
        <f t="shared" si="193">IF(ISNA(VLOOKUP($AY73,$AN$8:$AW$148,9,False))=True,"",VLOOKUP($AY73,$AN$8:$AW$148,9,False))</f>
        <v>0</v>
      </c>
      <c r="BH73" s="1120">
        <f t="shared" si="194">IF(ISNA(VLOOKUP($AY73,$AN$8:$AW$148,10,False))=True,"",VLOOKUP($AY73,$AN$8:$AW$148,10,False))</f>
        <v>0</v>
      </c>
      <c r="BI73" s="250">
        <f t="shared" si="270">IF(AZ73&lt;&gt;"",AZ73,"")</f>
        <v>0</v>
      </c>
      <c r="BJ73" s="1098">
        <f t="shared" si="271">BI73</f>
        <v>0</v>
      </c>
      <c r="BK73" s="1115">
        <f>COUNTIFS($AZ:$AZ, AZ73,$BJ:$BJ, "&lt;"&amp;BJ73)+COUNTIFS(AZ$8:AZ73, AZ73, BJ$8:BJ73, BJ73)</f>
        <v>66</v>
      </c>
      <c r="BL73" s="1114">
        <f t="shared" si="272">BK73/100</f>
        <v>0.66</v>
      </c>
      <c r="BM73" s="1093" t="e">
        <f t="shared" si="332" ref="BM73">BJ73+BL73</f>
        <v>#VALUE!</v>
      </c>
      <c r="BN73" s="1101">
        <f t="shared" si="274">IF(BA73&lt;&gt;"",BM73,"")</f>
        <v>0</v>
      </c>
      <c r="BO73" s="1118">
        <f t="shared" si="275">IF(BN73&lt;&gt;"",BN73,0)</f>
        <v>0</v>
      </c>
      <c r="BP73" s="237" t="e">
        <f t="shared" si="312">SMALL($BN$8:$BN$152,AX73)</f>
        <v>#VALUE!</v>
      </c>
      <c r="BR73" s="1102" t="e">
        <f t="shared" si="294">IF(BP73&lt;&gt;"",BR72+1,"")</f>
        <v>#VALUE!</v>
      </c>
      <c r="BS73" s="1102">
        <f t="shared" si="276">IFERROR(BP73,"")</f>
        <v>0</v>
      </c>
      <c r="BT73" s="1102">
        <f t="shared" si="277">IFERROR(CC73,"")</f>
        <v>0</v>
      </c>
      <c r="BU73" s="1098">
        <f t="shared" si="278">IFERROR(CD73,"")</f>
        <v>0</v>
      </c>
      <c r="BV73" s="1098">
        <f t="shared" si="279">IFERROR(CE73,"")</f>
        <v>0</v>
      </c>
      <c r="BW73" s="1098">
        <f t="shared" si="280">IFERROR(CF73,"")</f>
        <v>0</v>
      </c>
      <c r="BX73" s="1146">
        <f t="shared" si="281">IFERROR(CH73,"")</f>
        <v>0</v>
      </c>
      <c r="BY73" s="1098">
        <f t="shared" si="282">IFERROR(CG73,"")</f>
        <v>0</v>
      </c>
      <c r="BZ73" s="1144" t="str">
        <f t="shared" si="283">IFERROR(CI73,"-")</f>
        <v>-</v>
      </c>
      <c r="CA73" s="1107">
        <f t="shared" si="284">IFERROR(CJ73,"")</f>
        <v>0</v>
      </c>
      <c r="CB73" s="1107">
        <f t="shared" si="285">IFERROR(CK73,"")</f>
        <v>0</v>
      </c>
      <c r="CC73" s="1110" t="e">
        <f t="shared" si="313">INDEX($AZ$8:$AZ$153,MATCH(BP73,$BO$8:$BO$153,0))</f>
        <v>#VALUE!</v>
      </c>
      <c r="CD73" s="1087" t="e">
        <f t="shared" si="314">INDEX($BA$8:$BA$153,MATCH(BP73,$BO$8:$BO$153,0))</f>
        <v>#VALUE!</v>
      </c>
      <c r="CE73" s="1106" t="e">
        <f t="shared" si="315">INDEX($BB$8:$BB$153,MATCH(BP73,$BO$8:$BO$153,0))</f>
        <v>#VALUE!</v>
      </c>
      <c r="CF73" s="1106" t="e">
        <f t="shared" si="316">INDEX(BC$8:BC$153,MATCH(BP73,$BO$8:$BO$153,0))</f>
        <v>#VALUE!</v>
      </c>
      <c r="CG73" s="1118" t="e">
        <f t="shared" si="317">INDEX(BE$8:BE$153,MATCH(BP73,$BO$8:$BO$153,0))</f>
        <v>#VALUE!</v>
      </c>
      <c r="CH73" s="1106" t="e">
        <f t="shared" si="318">INDEX($BD$8:$BD$153,MATCH($BP73,$BO$8:$BO$153,0))</f>
        <v>#VALUE!</v>
      </c>
      <c r="CI73" s="1142" t="e">
        <f t="shared" si="319">INDEX($BF$8:$BF$153,MATCH(BP73,$BO$8:$BO$153,0))</f>
        <v>#VALUE!</v>
      </c>
      <c r="CJ73" s="1106" t="e">
        <f t="shared" si="320">INDEX($BG$8:$BG$153,MATCH(BP73,$BO$8:$BO$153,0))</f>
        <v>#VALUE!</v>
      </c>
      <c r="CK73" s="1106" t="e">
        <f t="shared" si="321">INDEX($BH$8:$BH$153,MATCH(BP73,$BO$8:$BO$153,0))</f>
        <v>#VALUE!</v>
      </c>
      <c r="CM73" s="1131">
        <f t="shared" si="322">COUNTIF($CH$8:$CH$228,"&lt;="&amp;CH73)</f>
        <v>145</v>
      </c>
      <c r="CN73" s="1121">
        <f t="shared" si="286">--ISNUMBER(BX73)</f>
        <v>0</v>
      </c>
      <c r="CO73" s="1121">
        <f t="shared" si="287">IF(BX73=0,1,0)</f>
        <v>0</v>
      </c>
      <c r="CP73" s="1124">
        <f t="shared" si="197">IF(ISNUMBER(BX73),CM73,IF(ISERROR(BX73),CM73,CM73+$CN$154))+$CO$154</f>
        <v>145</v>
      </c>
      <c r="CQ73" s="237">
        <f>IFERROR(INDEX($BX$8:$BX$153,MATCH(SMALL($CP$8:$CP$153,ROWS($CQ$8:CQ73)+$CO$154),$CP$8:$CP$154,0)),"")</f>
        <v>0</v>
      </c>
      <c r="CR73" s="237">
        <v>0.1</v>
      </c>
      <c r="CS73" s="1135">
        <f t="shared" si="288">CM73+CR73</f>
        <v>145.1</v>
      </c>
      <c r="CT73" s="237">
        <f>COUNTIFS($CM:$CM, CM73,$CS:$CS, "&lt;"&amp;CL)+COUNTIFS(CM$8:CM73, CM73, CS$8:CS73, CS73)</f>
        <v>66</v>
      </c>
      <c r="CU73" s="1109">
        <f t="shared" si="289">CT73/100</f>
        <v>0.66</v>
      </c>
      <c r="CV73" s="1109">
        <f t="shared" si="290">CM73+CU73</f>
        <v>145.66</v>
      </c>
      <c r="CW73" s="237" t="e">
        <f t="shared" si="323">SMALL(CV$8:CV$153,AX73)</f>
        <v>#VALUE!</v>
      </c>
      <c r="CX73" s="1109">
        <f t="shared" si="291">IFERROR(CW73,"")</f>
        <v>0</v>
      </c>
      <c r="CY73" s="237" t="e">
        <f t="shared" si="324">INDEX(BU$8:BU$152,MATCH($CX73,CV$8:CV$152,0))</f>
        <v>#N/A</v>
      </c>
      <c r="CZ73" s="237" t="e">
        <f t="shared" si="325">INDEX(BV$8:BV$152,MATCH($CX73,$CV$8:$CV$152,0))</f>
        <v>#N/A</v>
      </c>
      <c r="DA73" s="237" t="e">
        <f t="shared" si="326">INDEX(BW$8:BW$152,MATCH($CX73,$CV$8:$CV$152,0))</f>
        <v>#N/A</v>
      </c>
      <c r="DB73" s="237" t="e">
        <f t="shared" si="327">INDEX(BX$8:BX$152,MATCH($CX73,$CV$8:$CV$152,0))</f>
        <v>#N/A</v>
      </c>
      <c r="DC73" s="237" t="e">
        <f t="shared" si="328">INDEX(BY$8:BY$152,MATCH($CX73,$CV$8:$CV$152,0))</f>
        <v>#N/A</v>
      </c>
      <c r="DD73" s="237" t="e">
        <f t="shared" si="329">INDEX(BZ$8:BZ$152,MATCH($CX73,$CV$8:$CV$152,0))</f>
        <v>#N/A</v>
      </c>
      <c r="DE73" s="237" t="e">
        <f t="shared" si="330">INDEX(CA$8:CA$152,MATCH($CX73,$CV$8:$CV$152,0))</f>
        <v>#N/A</v>
      </c>
      <c r="DF73" s="237" t="e">
        <f t="shared" si="331">INDEX(CB$8:CB$152,MATCH($CX73,$CV$8:$CV$152,0))</f>
        <v>#N/A</v>
      </c>
    </row>
    <row r="74" spans="1:110" ht="13.5" customHeight="1">
      <c r="A74" s="1216">
        <v>4</v>
      </c>
      <c r="B74" s="1510"/>
      <c r="C74" s="1022"/>
      <c r="D74" s="1022"/>
      <c r="E74" s="1022"/>
      <c r="F74" s="1022"/>
      <c r="G74" s="1022"/>
      <c r="H74" s="1022"/>
      <c r="I74" s="1475"/>
      <c r="J74" s="1020"/>
      <c r="K74" s="253"/>
      <c r="L74" s="254"/>
      <c r="M74" s="255">
        <f t="shared" si="303">K74*L74</f>
        <v>0</v>
      </c>
      <c r="W74" s="1241"/>
      <c r="X74" s="1241"/>
      <c r="Y74" s="1242"/>
      <c r="Z74" s="1242"/>
      <c r="AA74" s="1243"/>
      <c r="AB74" s="1241"/>
      <c r="AM74" s="1077">
        <f t="shared" si="304">IF(M74&gt;0,1,0)</f>
        <v>0</v>
      </c>
      <c r="AN74" s="1096">
        <f>IF(K74&gt;0,COUNTIF(AM$8:AM74,"&gt;0"),0)</f>
        <v>0</v>
      </c>
      <c r="AO74" s="1078">
        <f t="shared" si="305">B74</f>
        <v>0</v>
      </c>
      <c r="AP74" s="1079">
        <f t="shared" si="306">C74</f>
        <v>0</v>
      </c>
      <c r="AQ74" s="1080">
        <f t="shared" si="307">IF(I74&lt;&gt;"",YEAR(I74),"")</f>
        <v>0</v>
      </c>
      <c r="AR74" s="1080">
        <f t="shared" si="299">IF(E74&lt;&gt;"",E74,"")</f>
        <v>0</v>
      </c>
      <c r="AS74" s="1078">
        <f t="shared" si="186">F74</f>
        <v>0</v>
      </c>
      <c r="AT74" s="1080">
        <f t="shared" si="300">IF(H74&lt;&gt;"",H74,"")</f>
        <v>0</v>
      </c>
      <c r="AU74" s="1080">
        <f t="shared" si="301">J74</f>
        <v>0</v>
      </c>
      <c r="AV74" s="1080">
        <f t="shared" si="308">K74</f>
        <v>0</v>
      </c>
      <c r="AW74" s="1081">
        <f t="shared" si="309">M74</f>
        <v>0</v>
      </c>
      <c r="AX74" s="237">
        <f t="shared" si="292">IF(AZ74&lt;&gt;"",AX73+1,"")</f>
        <v>0</v>
      </c>
      <c r="AY74" s="1087">
        <v>81</v>
      </c>
      <c r="AZ74" s="1087">
        <f t="shared" si="187">IF(ISNA(VLOOKUP(AY74,$AN$8:$AW$148,2,False))=True,"",VLOOKUP(AY74,$AN$8:$AW$148,2,False))</f>
        <v>0</v>
      </c>
      <c r="BA74" s="1087">
        <f t="shared" si="188">IF(ISNA(VLOOKUP(AZ74,$AE$8:$AF$46,2,False))=True,"",VLOOKUP(AZ74,$AE$8:$AF$46,2,False))</f>
        <v>0</v>
      </c>
      <c r="BB74" s="1087">
        <f t="shared" si="189">IF(ISNA(VLOOKUP(AY74,$AN$8:$AW$148,4,False))=True,"",VLOOKUP(AY74,$AN$8:$AW$148,4,False))</f>
        <v>0</v>
      </c>
      <c r="BC74" s="1087">
        <f t="shared" si="190">IF(ISNA(VLOOKUP(AY74,$AN$8:$AW$148,5,False))=True,"",VLOOKUP(AY74,$AN$8:$AW$148,5,False))</f>
        <v>0</v>
      </c>
      <c r="BD74" s="1087" t="str">
        <f t="shared" si="267">IF(ISNA(VLOOKUP(AY74,$AN$8:$AW$148,6,False))=True,"0",VLOOKUP(AY74,$AN$8:$AW$148,6,False))</f>
        <v>0</v>
      </c>
      <c r="BE74" s="1125">
        <f t="shared" si="191">IF(ISNA(VLOOKUP(AY74,$AN$8:$AW$148,7,False))=True,"",VLOOKUP(AY74,$AN$8:$AW$148,7,False))</f>
        <v>0</v>
      </c>
      <c r="BF74" s="1123">
        <f t="shared" si="192">IF(ISNA(VLOOKUP($AY74,$AN$8:$AW$148,8,False))=True,"",VLOOKUP($AY74,$AN$8:$AW$148,8,False))</f>
        <v>0</v>
      </c>
      <c r="BG74" s="1120">
        <f t="shared" si="193">IF(ISNA(VLOOKUP($AY74,$AN$8:$AW$148,9,False))=True,"",VLOOKUP($AY74,$AN$8:$AW$148,9,False))</f>
        <v>0</v>
      </c>
      <c r="BH74" s="1120">
        <f t="shared" si="194">IF(ISNA(VLOOKUP($AY74,$AN$8:$AW$148,10,False))=True,"",VLOOKUP($AY74,$AN$8:$AW$148,10,False))</f>
        <v>0</v>
      </c>
      <c r="BI74" s="250">
        <f t="shared" si="270">IF(AZ74&lt;&gt;"",AZ74,"")</f>
        <v>0</v>
      </c>
      <c r="BJ74" s="1098">
        <f t="shared" si="271">BI74</f>
        <v>0</v>
      </c>
      <c r="BK74" s="1115">
        <f>COUNTIFS($AZ:$AZ, AZ74,$BJ:$BJ, "&lt;"&amp;BJ74)+COUNTIFS(AZ$8:AZ74, AZ74, BJ$8:BJ74, BJ74)</f>
        <v>67</v>
      </c>
      <c r="BL74" s="1114">
        <f t="shared" si="272">BK74/100</f>
        <v>0.67</v>
      </c>
      <c r="BM74" s="1093" t="e">
        <f t="shared" si="333" ref="BM74">BI74+BL74</f>
        <v>#VALUE!</v>
      </c>
      <c r="BN74" s="1101">
        <f t="shared" si="274">IF(BA74&lt;&gt;"",BM74,"")</f>
        <v>0</v>
      </c>
      <c r="BO74" s="1118">
        <f t="shared" si="275">IF(BN74&lt;&gt;"",BN74,0)</f>
        <v>0</v>
      </c>
      <c r="BP74" s="237" t="e">
        <f t="shared" si="312">SMALL($BN$8:$BN$152,AX74)</f>
        <v>#VALUE!</v>
      </c>
      <c r="BR74" s="1102" t="e">
        <f t="shared" si="294">IF(BP74&lt;&gt;"",BR73+1,"")</f>
        <v>#VALUE!</v>
      </c>
      <c r="BS74" s="1102">
        <f t="shared" si="276">IFERROR(BP74,"")</f>
        <v>0</v>
      </c>
      <c r="BT74" s="1102">
        <f t="shared" si="277">IFERROR(CC74,"")</f>
        <v>0</v>
      </c>
      <c r="BU74" s="1098">
        <f t="shared" si="278">IFERROR(CD74,"")</f>
        <v>0</v>
      </c>
      <c r="BV74" s="1098">
        <f t="shared" si="279">IFERROR(CE74,"")</f>
        <v>0</v>
      </c>
      <c r="BW74" s="1098">
        <f t="shared" si="280">IFERROR(CF74,"")</f>
        <v>0</v>
      </c>
      <c r="BX74" s="1146">
        <f t="shared" si="281">IFERROR(CH74,"")</f>
        <v>0</v>
      </c>
      <c r="BY74" s="1098">
        <f t="shared" si="282">IFERROR(CG74,"")</f>
        <v>0</v>
      </c>
      <c r="BZ74" s="1144" t="str">
        <f t="shared" si="283">IFERROR(CI74,"-")</f>
        <v>-</v>
      </c>
      <c r="CA74" s="1107">
        <f t="shared" si="284">IFERROR(CJ74,"")</f>
        <v>0</v>
      </c>
      <c r="CB74" s="1107">
        <f t="shared" si="285">IFERROR(CK74,"")</f>
        <v>0</v>
      </c>
      <c r="CC74" s="1110" t="e">
        <f t="shared" si="313">INDEX($AZ$8:$AZ$153,MATCH(BP74,$BO$8:$BO$153,0))</f>
        <v>#VALUE!</v>
      </c>
      <c r="CD74" s="1087" t="e">
        <f t="shared" si="314">INDEX($BA$8:$BA$153,MATCH(BP74,$BO$8:$BO$153,0))</f>
        <v>#VALUE!</v>
      </c>
      <c r="CE74" s="1106" t="e">
        <f t="shared" si="315">INDEX($BB$8:$BB$153,MATCH(BP74,$BO$8:$BO$153,0))</f>
        <v>#VALUE!</v>
      </c>
      <c r="CF74" s="1106" t="e">
        <f t="shared" si="316">INDEX(BC$8:BC$153,MATCH(BP74,$BO$8:$BO$153,0))</f>
        <v>#VALUE!</v>
      </c>
      <c r="CG74" s="1118" t="e">
        <f t="shared" si="317">INDEX(BE$8:BE$153,MATCH(BP74,$BO$8:$BO$153,0))</f>
        <v>#VALUE!</v>
      </c>
      <c r="CH74" s="1106" t="e">
        <f t="shared" si="318">INDEX($BD$8:$BD$153,MATCH($BP74,$BO$8:$BO$153,0))</f>
        <v>#VALUE!</v>
      </c>
      <c r="CI74" s="1142" t="e">
        <f t="shared" si="319">INDEX($BF$8:$BF$153,MATCH(BP74,$BO$8:$BO$153,0))</f>
        <v>#VALUE!</v>
      </c>
      <c r="CJ74" s="1106" t="e">
        <f t="shared" si="320">INDEX($BG$8:$BG$153,MATCH(BP74,$BO$8:$BO$153,0))</f>
        <v>#VALUE!</v>
      </c>
      <c r="CK74" s="1106" t="e">
        <f t="shared" si="321">INDEX($BH$8:$BH$153,MATCH(BP74,$BO$8:$BO$153,0))</f>
        <v>#VALUE!</v>
      </c>
      <c r="CM74" s="1131">
        <f t="shared" si="322">COUNTIF($CH$8:$CH$228,"&lt;="&amp;CH74)</f>
        <v>145</v>
      </c>
      <c r="CN74" s="1121">
        <f t="shared" si="286">--ISNUMBER(BX74)</f>
        <v>0</v>
      </c>
      <c r="CO74" s="1121">
        <f t="shared" si="287">IF(BX74=0,1,0)</f>
        <v>0</v>
      </c>
      <c r="CP74" s="1124">
        <f t="shared" si="197">IF(ISNUMBER(BX74),CM74,IF(ISERROR(BX74),CM74,CM74+$CN$154))+$CO$154</f>
        <v>145</v>
      </c>
      <c r="CQ74" s="237">
        <f>IFERROR(INDEX($BX$8:$BX$153,MATCH(SMALL($CP$8:$CP$153,ROWS($CQ$8:CQ74)+$CO$154),$CP$8:$CP$154,0)),"")</f>
        <v>0</v>
      </c>
      <c r="CR74" s="237">
        <v>0.1</v>
      </c>
      <c r="CS74" s="1135">
        <f t="shared" si="288">CM74+CR74</f>
        <v>145.1</v>
      </c>
      <c r="CT74" s="237">
        <f>COUNTIFS($CM:$CM, CM74,$CS:$CS, "&lt;"&amp;CL)+COUNTIFS(CM$8:CM74, CM74, CS$8:CS74, CS74)</f>
        <v>67</v>
      </c>
      <c r="CU74" s="1109">
        <f t="shared" si="289">CT74/100</f>
        <v>0.67</v>
      </c>
      <c r="CV74" s="1109">
        <f t="shared" si="290">CM74+CU74</f>
        <v>145.67</v>
      </c>
      <c r="CW74" s="237" t="e">
        <f t="shared" si="323">SMALL(CV$8:CV$153,AX74)</f>
        <v>#VALUE!</v>
      </c>
      <c r="CX74" s="1109">
        <f t="shared" si="291">IFERROR(CW74,"")</f>
        <v>0</v>
      </c>
      <c r="CY74" s="237" t="e">
        <f t="shared" si="324">INDEX(BU$8:BU$152,MATCH($CX74,CV$8:CV$152,0))</f>
        <v>#N/A</v>
      </c>
      <c r="CZ74" s="237" t="e">
        <f t="shared" si="325">INDEX(BV$8:BV$152,MATCH($CX74,$CV$8:$CV$152,0))</f>
        <v>#N/A</v>
      </c>
      <c r="DA74" s="237" t="e">
        <f t="shared" si="326">INDEX(BW$8:BW$152,MATCH($CX74,$CV$8:$CV$152,0))</f>
        <v>#N/A</v>
      </c>
      <c r="DB74" s="237" t="e">
        <f t="shared" si="327">INDEX(BX$8:BX$152,MATCH($CX74,$CV$8:$CV$152,0))</f>
        <v>#N/A</v>
      </c>
      <c r="DC74" s="237" t="e">
        <f t="shared" si="328">INDEX(BY$8:BY$152,MATCH($CX74,$CV$8:$CV$152,0))</f>
        <v>#N/A</v>
      </c>
      <c r="DD74" s="237" t="e">
        <f t="shared" si="329">INDEX(BZ$8:BZ$152,MATCH($CX74,$CV$8:$CV$152,0))</f>
        <v>#N/A</v>
      </c>
      <c r="DE74" s="237" t="e">
        <f t="shared" si="330">INDEX(CA$8:CA$152,MATCH($CX74,$CV$8:$CV$152,0))</f>
        <v>#N/A</v>
      </c>
      <c r="DF74" s="237" t="e">
        <f t="shared" si="331">INDEX(CB$8:CB$152,MATCH($CX74,$CV$8:$CV$152,0))</f>
        <v>#N/A</v>
      </c>
    </row>
    <row r="75" spans="1:110">
      <c r="A75" s="1216">
        <v>5</v>
      </c>
      <c r="B75" s="1510"/>
      <c r="C75" s="1022"/>
      <c r="D75" s="1022"/>
      <c r="E75" s="1022"/>
      <c r="F75" s="1022"/>
      <c r="G75" s="1022"/>
      <c r="H75" s="1022"/>
      <c r="I75" s="1475"/>
      <c r="J75" s="1020"/>
      <c r="K75" s="253"/>
      <c r="L75" s="254"/>
      <c r="M75" s="255">
        <f t="shared" si="334" ref="M75:M79">K75*L75</f>
        <v>0</v>
      </c>
      <c r="AM75" s="1082">
        <f t="shared" si="335" ref="AM75:AM79">IF(M75&gt;0,1,0)</f>
        <v>0</v>
      </c>
      <c r="AN75" s="1096">
        <f>IF(AM75&gt;0,COUNTIF(AM$8:AM75,"&gt;0"),0)</f>
        <v>0</v>
      </c>
      <c r="AO75" s="1083">
        <f t="shared" si="336" ref="AO75:AO79">B75</f>
        <v>0</v>
      </c>
      <c r="AP75" s="1084">
        <f t="shared" si="337" ref="AP75:AP79">C75</f>
        <v>0</v>
      </c>
      <c r="AQ75" s="1085">
        <f t="shared" si="338" ref="AQ75:AQ79">IF(I75&lt;&gt;"",YEAR(I75),"")</f>
        <v>0</v>
      </c>
      <c r="AR75" s="1080">
        <f t="shared" si="339" ref="AR75:AR79">IF(E75&lt;&gt;"",E75,"")</f>
        <v>0</v>
      </c>
      <c r="AS75" s="1078">
        <f t="shared" si="340" ref="AS75:AS79">F75</f>
        <v>0</v>
      </c>
      <c r="AT75" s="1080">
        <f t="shared" si="341" ref="AT75:AT79">IF(H75&lt;&gt;"",H75,"")</f>
        <v>0</v>
      </c>
      <c r="AU75" s="1080">
        <f t="shared" si="342" ref="AU75:AU79">J75</f>
        <v>0</v>
      </c>
      <c r="AV75" s="1080">
        <f t="shared" si="343" ref="AV75:AV79">K75</f>
        <v>0</v>
      </c>
      <c r="AW75" s="1086">
        <f t="shared" si="344" ref="AW75:AW79">M75</f>
        <v>0</v>
      </c>
      <c r="AX75" s="237">
        <f>IF(AZ75&lt;&gt;"",AX69+1,"")</f>
        <v>0</v>
      </c>
      <c r="AY75" s="1087">
        <v>82</v>
      </c>
      <c r="AZ75" s="1087">
        <f t="shared" si="345" ref="AZ75:AZ79">IF(ISNA(VLOOKUP(AY75,$AN$8:$AW$148,2,False))=True,"",VLOOKUP(AY75,$AN$8:$AW$148,2,False))</f>
        <v>0</v>
      </c>
      <c r="BA75" s="1087">
        <f t="shared" si="346" ref="BA75:BA79">IF(ISNA(VLOOKUP(AZ75,$AE$8:$AF$46,2,False))=True,"",VLOOKUP(AZ75,$AE$8:$AF$46,2,False))</f>
        <v>0</v>
      </c>
      <c r="BB75" s="1087">
        <f t="shared" si="347" ref="BB75:BB79">IF(ISNA(VLOOKUP(AY75,$AN$8:$AW$148,4,False))=True,"",VLOOKUP(AY75,$AN$8:$AW$148,4,False))</f>
        <v>0</v>
      </c>
      <c r="BC75" s="1087">
        <f t="shared" si="348" ref="BC75:BC79">IF(ISNA(VLOOKUP(AY75,$AN$8:$AW$148,5,False))=True,"",VLOOKUP(AY75,$AN$8:$AW$148,5,False))</f>
        <v>0</v>
      </c>
      <c r="BD75" s="1087" t="str">
        <f t="shared" si="349" ref="BD75:BD79">IF(ISNA(VLOOKUP(AY75,$AN$8:$AW$148,6,False))=True,"0",VLOOKUP(AY75,$AN$8:$AW$148,6,False))</f>
        <v>0</v>
      </c>
      <c r="BE75" s="1125">
        <f t="shared" si="350" ref="BE75:BE79">IF(ISNA(VLOOKUP(AY75,$AN$8:$AW$148,7,False))=True,"",VLOOKUP(AY75,$AN$8:$AW$148,7,False))</f>
        <v>0</v>
      </c>
      <c r="BF75" s="1123">
        <f t="shared" si="192">IF(ISNA(VLOOKUP($AY75,$AN$8:$AW$148,8,False))=True,"",VLOOKUP($AY75,$AN$8:$AW$148,8,False))</f>
        <v>0</v>
      </c>
      <c r="BG75" s="1120">
        <f t="shared" si="193">IF(ISNA(VLOOKUP($AY75,$AN$8:$AW$148,9,False))=True,"",VLOOKUP($AY75,$AN$8:$AW$148,9,False))</f>
        <v>0</v>
      </c>
      <c r="BH75" s="1120">
        <f t="shared" si="194">IF(ISNA(VLOOKUP($AY75,$AN$8:$AW$148,10,False))=True,"",VLOOKUP($AY75,$AN$8:$AW$148,10,False))</f>
        <v>0</v>
      </c>
      <c r="BI75" s="250">
        <f t="shared" si="351" ref="BI75:BI79">IF(AZ75&lt;&gt;"",AZ75,"")</f>
        <v>0</v>
      </c>
      <c r="BJ75" s="1098">
        <f t="shared" si="352" ref="BJ75:BJ79">BI75</f>
        <v>0</v>
      </c>
      <c r="BK75" s="1115">
        <f>COUNTIFS($AZ:$AZ, AZ75,$BJ:$BJ, "&lt;"&amp;BJ75)+COUNTIFS(AZ$8:AZ75, AZ75, BJ$8:BJ75, BJ75)</f>
        <v>68</v>
      </c>
      <c r="BL75" s="1114">
        <f t="shared" si="353" ref="BL75:BL79">BK75/100</f>
        <v>0.68</v>
      </c>
      <c r="BM75" s="1093" t="e">
        <f t="shared" si="354" ref="BM75">BJ75+BL75</f>
        <v>#VALUE!</v>
      </c>
      <c r="BN75" s="1101">
        <f t="shared" si="355" ref="BN75:BN79">IF(BA75&lt;&gt;"",BM75,"")</f>
        <v>0</v>
      </c>
      <c r="BO75" s="1118">
        <f t="shared" si="356" ref="BO75:BO79">IF(BN75&lt;&gt;"",BN75,0)</f>
        <v>0</v>
      </c>
      <c r="BP75" s="237" t="e">
        <f t="shared" si="312">SMALL($BN$8:$BN$152,AX75)</f>
        <v>#VALUE!</v>
      </c>
      <c r="BR75" s="1102" t="e">
        <f>IF(BP75&lt;&gt;"",BR69+1,"")</f>
        <v>#VALUE!</v>
      </c>
      <c r="BS75" s="1102">
        <f t="shared" si="357" ref="BS75:BS79">IFERROR(BP75,"")</f>
        <v>0</v>
      </c>
      <c r="BT75" s="1102">
        <f t="shared" si="358" ref="BT75:BT79">IFERROR(CC75,"")</f>
        <v>0</v>
      </c>
      <c r="BU75" s="1098">
        <f t="shared" si="359" ref="BU75:BU79">IFERROR(CD75,"")</f>
        <v>0</v>
      </c>
      <c r="BV75" s="1098">
        <f t="shared" si="360" ref="BV75:BV79">IFERROR(CE75,"")</f>
        <v>0</v>
      </c>
      <c r="BW75" s="1098">
        <f t="shared" si="361" ref="BW75:BW79">IFERROR(CF75,"")</f>
        <v>0</v>
      </c>
      <c r="BX75" s="1146">
        <f t="shared" si="362" ref="BX75:BX79">IFERROR(CH75,"")</f>
        <v>0</v>
      </c>
      <c r="BY75" s="1098">
        <f t="shared" si="363" ref="BY75:BY79">IFERROR(CG75,"")</f>
        <v>0</v>
      </c>
      <c r="BZ75" s="1144" t="str">
        <f t="shared" si="364" ref="BZ75:BZ79">IFERROR(CI75,"-")</f>
        <v>-</v>
      </c>
      <c r="CA75" s="1107">
        <f t="shared" si="365" ref="CA75:CA79">IFERROR(CJ75,"")</f>
        <v>0</v>
      </c>
      <c r="CB75" s="1107">
        <f t="shared" si="366" ref="CB75:CB79">IFERROR(CK75,"")</f>
        <v>0</v>
      </c>
      <c r="CC75" s="1110" t="e">
        <f t="shared" si="313">INDEX($AZ$8:$AZ$153,MATCH(BP75,$BO$8:$BO$153,0))</f>
        <v>#VALUE!</v>
      </c>
      <c r="CD75" s="1087" t="e">
        <f t="shared" si="314">INDEX($BA$8:$BA$153,MATCH(BP75,$BO$8:$BO$153,0))</f>
        <v>#VALUE!</v>
      </c>
      <c r="CE75" s="1106" t="e">
        <f t="shared" si="315">INDEX($BB$8:$BB$153,MATCH(BP75,$BO$8:$BO$153,0))</f>
        <v>#VALUE!</v>
      </c>
      <c r="CF75" s="1106" t="e">
        <f t="shared" si="316">INDEX(BC$8:BC$153,MATCH(BP75,$BO$8:$BO$153,0))</f>
        <v>#VALUE!</v>
      </c>
      <c r="CG75" s="1118" t="e">
        <f t="shared" si="317">INDEX(BE$8:BE$153,MATCH(BP75,$BO$8:$BO$153,0))</f>
        <v>#VALUE!</v>
      </c>
      <c r="CH75" s="1106" t="e">
        <f t="shared" si="318">INDEX($BD$8:$BD$153,MATCH($BP75,$BO$8:$BO$153,0))</f>
        <v>#VALUE!</v>
      </c>
      <c r="CI75" s="1142" t="e">
        <f t="shared" si="319">INDEX($BF$8:$BF$153,MATCH(BP75,$BO$8:$BO$153,0))</f>
        <v>#VALUE!</v>
      </c>
      <c r="CJ75" s="1106" t="e">
        <f t="shared" si="320">INDEX($BG$8:$BG$153,MATCH(BP75,$BO$8:$BO$153,0))</f>
        <v>#VALUE!</v>
      </c>
      <c r="CK75" s="1106" t="e">
        <f t="shared" si="321">INDEX($BH$8:$BH$153,MATCH(BP75,$BO$8:$BO$153,0))</f>
        <v>#VALUE!</v>
      </c>
      <c r="CM75" s="1131">
        <f t="shared" si="322">COUNTIF($CH$8:$CH$228,"&lt;="&amp;CH75)</f>
        <v>145</v>
      </c>
      <c r="CN75" s="1121">
        <f t="shared" si="367" ref="CN75:CN79">--ISNUMBER(BX75)</f>
        <v>0</v>
      </c>
      <c r="CO75" s="1121">
        <f t="shared" si="368" ref="CO75:CO79">IF(BX75=0,1,0)</f>
        <v>0</v>
      </c>
      <c r="CP75" s="1124">
        <f t="shared" si="369" ref="CP75:CP79">IF(ISNUMBER(BX75),CM75,IF(ISERROR(BX75),CM75,CM75+$CN$154))+$CO$154</f>
        <v>145</v>
      </c>
      <c r="CQ75" s="237">
        <f>IFERROR(INDEX($BX$8:$BX$153,MATCH(SMALL($CP$8:$CP$153,ROWS($CQ$8:CQ75)+$CO$154),$CP$8:$CP$154,0)),"")</f>
        <v>0</v>
      </c>
      <c r="CR75" s="237">
        <v>0.1</v>
      </c>
      <c r="CS75" s="1135">
        <f t="shared" si="370" ref="CS75:CS79">CM75+CR75</f>
        <v>145.1</v>
      </c>
      <c r="CT75" s="237">
        <f>COUNTIFS($CM:$CM, CM75,$CS:$CS, "&lt;"&amp;CL)+COUNTIFS(CM$8:CM75, CM75, CS$8:CS75, CS75)</f>
        <v>68</v>
      </c>
      <c r="CU75" s="1109">
        <f t="shared" si="371" ref="CU75:CU79">CT75/100</f>
        <v>0.68</v>
      </c>
      <c r="CV75" s="1109">
        <f t="shared" si="372" ref="CV75:CV79">CM75+CU75</f>
        <v>145.68</v>
      </c>
      <c r="CW75" s="237" t="e">
        <f t="shared" si="323">SMALL(CV$8:CV$153,AX75)</f>
        <v>#VALUE!</v>
      </c>
      <c r="CX75" s="1109">
        <f t="shared" si="373" ref="CX75:CX79">IFERROR(CW75,"")</f>
        <v>0</v>
      </c>
      <c r="CY75" s="237" t="e">
        <f t="shared" si="324">INDEX(BU$8:BU$152,MATCH($CX75,CV$8:CV$152,0))</f>
        <v>#N/A</v>
      </c>
      <c r="CZ75" s="237" t="e">
        <f t="shared" si="325">INDEX(BV$8:BV$152,MATCH($CX75,$CV$8:$CV$152,0))</f>
        <v>#N/A</v>
      </c>
      <c r="DA75" s="237" t="e">
        <f t="shared" si="326">INDEX(BW$8:BW$152,MATCH($CX75,$CV$8:$CV$152,0))</f>
        <v>#N/A</v>
      </c>
      <c r="DB75" s="237" t="e">
        <f t="shared" si="327">INDEX(BX$8:BX$152,MATCH($CX75,$CV$8:$CV$152,0))</f>
        <v>#N/A</v>
      </c>
      <c r="DC75" s="237" t="e">
        <f t="shared" si="328">INDEX(BY$8:BY$152,MATCH($CX75,$CV$8:$CV$152,0))</f>
        <v>#N/A</v>
      </c>
      <c r="DD75" s="237" t="e">
        <f t="shared" si="329">INDEX(BZ$8:BZ$152,MATCH($CX75,$CV$8:$CV$152,0))</f>
        <v>#N/A</v>
      </c>
      <c r="DE75" s="237" t="e">
        <f t="shared" si="330">INDEX(CA$8:CA$152,MATCH($CX75,$CV$8:$CV$152,0))</f>
        <v>#N/A</v>
      </c>
      <c r="DF75" s="237" t="e">
        <f t="shared" si="331">INDEX(CB$8:CB$152,MATCH($CX75,$CV$8:$CV$152,0))</f>
        <v>#N/A</v>
      </c>
    </row>
    <row r="76" spans="1:110">
      <c r="A76" s="1216">
        <v>6</v>
      </c>
      <c r="B76" s="1510"/>
      <c r="C76" s="1022"/>
      <c r="D76" s="1022"/>
      <c r="E76" s="1022"/>
      <c r="F76" s="1022"/>
      <c r="G76" s="1022"/>
      <c r="H76" s="1022"/>
      <c r="I76" s="1475"/>
      <c r="J76" s="1020"/>
      <c r="K76" s="253"/>
      <c r="L76" s="254"/>
      <c r="M76" s="255">
        <f t="shared" si="334">K76*L76</f>
        <v>0</v>
      </c>
      <c r="AM76" s="1077">
        <f t="shared" si="335">IF(M76&gt;0,1,0)</f>
        <v>0</v>
      </c>
      <c r="AN76" s="1096">
        <f>IF(AM76&gt;0,COUNTIF(AM$8:AM76,"&gt;0"),0)</f>
        <v>0</v>
      </c>
      <c r="AO76" s="1078">
        <f t="shared" si="336">B76</f>
        <v>0</v>
      </c>
      <c r="AP76" s="1079">
        <f t="shared" si="337">C76</f>
        <v>0</v>
      </c>
      <c r="AQ76" s="1080">
        <f t="shared" si="338">IF(I76&lt;&gt;"",YEAR(I76),"")</f>
        <v>0</v>
      </c>
      <c r="AR76" s="1080">
        <f t="shared" si="339">IF(E76&lt;&gt;"",E76,"")</f>
        <v>0</v>
      </c>
      <c r="AS76" s="1078">
        <f t="shared" si="340">F76</f>
        <v>0</v>
      </c>
      <c r="AT76" s="1080">
        <f t="shared" si="341">IF(H76&lt;&gt;"",H76,"")</f>
        <v>0</v>
      </c>
      <c r="AU76" s="1080">
        <f t="shared" si="342">J76</f>
        <v>0</v>
      </c>
      <c r="AV76" s="1080">
        <f t="shared" si="343">K76</f>
        <v>0</v>
      </c>
      <c r="AW76" s="1081">
        <f t="shared" si="344">M76</f>
        <v>0</v>
      </c>
      <c r="AX76" s="237">
        <f t="shared" si="374" ref="AX76:AX79">IF(AZ76&lt;&gt;"",AX75+1,"")</f>
        <v>0</v>
      </c>
      <c r="AY76" s="1087">
        <v>83</v>
      </c>
      <c r="AZ76" s="1087">
        <f t="shared" si="345">IF(ISNA(VLOOKUP(AY76,$AN$8:$AW$148,2,False))=True,"",VLOOKUP(AY76,$AN$8:$AW$148,2,False))</f>
        <v>0</v>
      </c>
      <c r="BA76" s="1087">
        <f t="shared" si="346">IF(ISNA(VLOOKUP(AZ76,$AE$8:$AF$46,2,False))=True,"",VLOOKUP(AZ76,$AE$8:$AF$46,2,False))</f>
        <v>0</v>
      </c>
      <c r="BB76" s="1087">
        <f t="shared" si="347">IF(ISNA(VLOOKUP(AY76,$AN$8:$AW$148,4,False))=True,"",VLOOKUP(AY76,$AN$8:$AW$148,4,False))</f>
        <v>0</v>
      </c>
      <c r="BC76" s="1087">
        <f t="shared" si="348">IF(ISNA(VLOOKUP(AY76,$AN$8:$AW$148,5,False))=True,"",VLOOKUP(AY76,$AN$8:$AW$148,5,False))</f>
        <v>0</v>
      </c>
      <c r="BD76" s="1087" t="str">
        <f t="shared" si="349">IF(ISNA(VLOOKUP(AY76,$AN$8:$AW$148,6,False))=True,"0",VLOOKUP(AY76,$AN$8:$AW$148,6,False))</f>
        <v>0</v>
      </c>
      <c r="BE76" s="1125">
        <f t="shared" si="350">IF(ISNA(VLOOKUP(AY76,$AN$8:$AW$148,7,False))=True,"",VLOOKUP(AY76,$AN$8:$AW$148,7,False))</f>
        <v>0</v>
      </c>
      <c r="BF76" s="1123">
        <f t="shared" si="192">IF(ISNA(VLOOKUP($AY76,$AN$8:$AW$148,8,False))=True,"",VLOOKUP($AY76,$AN$8:$AW$148,8,False))</f>
        <v>0</v>
      </c>
      <c r="BG76" s="1120">
        <f t="shared" si="193">IF(ISNA(VLOOKUP($AY76,$AN$8:$AW$148,9,False))=True,"",VLOOKUP($AY76,$AN$8:$AW$148,9,False))</f>
        <v>0</v>
      </c>
      <c r="BH76" s="1120">
        <f t="shared" si="194">IF(ISNA(VLOOKUP($AY76,$AN$8:$AW$148,10,False))=True,"",VLOOKUP($AY76,$AN$8:$AW$148,10,False))</f>
        <v>0</v>
      </c>
      <c r="BI76" s="250">
        <f t="shared" si="351">IF(AZ76&lt;&gt;"",AZ76,"")</f>
        <v>0</v>
      </c>
      <c r="BJ76" s="1098">
        <f t="shared" si="352">BI76</f>
        <v>0</v>
      </c>
      <c r="BK76" s="1115">
        <f>COUNTIFS($AZ:$AZ, AZ76,$BJ:$BJ, "&lt;"&amp;BJ76)+COUNTIFS(AZ$8:AZ76, AZ76, BJ$8:BJ76, BJ76)</f>
        <v>69</v>
      </c>
      <c r="BL76" s="1114">
        <f t="shared" si="353">BK76/100</f>
        <v>0.69</v>
      </c>
      <c r="BM76" s="1093" t="e">
        <f t="shared" si="375" ref="BM76">BI76+BL76</f>
        <v>#VALUE!</v>
      </c>
      <c r="BN76" s="1101">
        <f t="shared" si="355">IF(BA76&lt;&gt;"",BM76,"")</f>
        <v>0</v>
      </c>
      <c r="BO76" s="1118">
        <f t="shared" si="356">IF(BN76&lt;&gt;"",BN76,0)</f>
        <v>0</v>
      </c>
      <c r="BP76" s="237" t="e">
        <f t="shared" si="312">SMALL($BN$8:$BN$152,AX76)</f>
        <v>#VALUE!</v>
      </c>
      <c r="BR76" s="1102" t="e">
        <f t="shared" si="376" ref="BR76:BR79">IF(BP76&lt;&gt;"",BR75+1,"")</f>
        <v>#VALUE!</v>
      </c>
      <c r="BS76" s="1102">
        <f t="shared" si="357">IFERROR(BP76,"")</f>
        <v>0</v>
      </c>
      <c r="BT76" s="1102">
        <f t="shared" si="358">IFERROR(CC76,"")</f>
        <v>0</v>
      </c>
      <c r="BU76" s="1098">
        <f t="shared" si="359">IFERROR(CD76,"")</f>
        <v>0</v>
      </c>
      <c r="BV76" s="1098">
        <f t="shared" si="360">IFERROR(CE76,"")</f>
        <v>0</v>
      </c>
      <c r="BW76" s="1098">
        <f t="shared" si="361">IFERROR(CF76,"")</f>
        <v>0</v>
      </c>
      <c r="BX76" s="1146">
        <f t="shared" si="362">IFERROR(CH76,"")</f>
        <v>0</v>
      </c>
      <c r="BY76" s="1098">
        <f t="shared" si="363">IFERROR(CG76,"")</f>
        <v>0</v>
      </c>
      <c r="BZ76" s="1144" t="str">
        <f t="shared" si="364">IFERROR(CI76,"-")</f>
        <v>-</v>
      </c>
      <c r="CA76" s="1107">
        <f t="shared" si="365">IFERROR(CJ76,"")</f>
        <v>0</v>
      </c>
      <c r="CB76" s="1107">
        <f t="shared" si="366">IFERROR(CK76,"")</f>
        <v>0</v>
      </c>
      <c r="CC76" s="1110" t="e">
        <f t="shared" si="313">INDEX($AZ$8:$AZ$153,MATCH(BP76,$BO$8:$BO$153,0))</f>
        <v>#VALUE!</v>
      </c>
      <c r="CD76" s="1087" t="e">
        <f t="shared" si="314">INDEX($BA$8:$BA$153,MATCH(BP76,$BO$8:$BO$153,0))</f>
        <v>#VALUE!</v>
      </c>
      <c r="CE76" s="1106" t="e">
        <f t="shared" si="315">INDEX($BB$8:$BB$153,MATCH(BP76,$BO$8:$BO$153,0))</f>
        <v>#VALUE!</v>
      </c>
      <c r="CF76" s="1106" t="e">
        <f t="shared" si="316">INDEX(BC$8:BC$153,MATCH(BP76,$BO$8:$BO$153,0))</f>
        <v>#VALUE!</v>
      </c>
      <c r="CG76" s="1118" t="e">
        <f t="shared" si="317">INDEX(BE$8:BE$153,MATCH(BP76,$BO$8:$BO$153,0))</f>
        <v>#VALUE!</v>
      </c>
      <c r="CH76" s="1106" t="e">
        <f t="shared" si="318">INDEX($BD$8:$BD$153,MATCH($BP76,$BO$8:$BO$153,0))</f>
        <v>#VALUE!</v>
      </c>
      <c r="CI76" s="1142" t="e">
        <f t="shared" si="319">INDEX($BF$8:$BF$153,MATCH(BP76,$BO$8:$BO$153,0))</f>
        <v>#VALUE!</v>
      </c>
      <c r="CJ76" s="1106" t="e">
        <f t="shared" si="320">INDEX($BG$8:$BG$153,MATCH(BP76,$BO$8:$BO$153,0))</f>
        <v>#VALUE!</v>
      </c>
      <c r="CK76" s="1106" t="e">
        <f t="shared" si="321">INDEX($BH$8:$BH$153,MATCH(BP76,$BO$8:$BO$153,0))</f>
        <v>#VALUE!</v>
      </c>
      <c r="CM76" s="1131">
        <f t="shared" si="322">COUNTIF($CH$8:$CH$228,"&lt;="&amp;CH76)</f>
        <v>145</v>
      </c>
      <c r="CN76" s="1121">
        <f t="shared" si="367">--ISNUMBER(BX76)</f>
        <v>0</v>
      </c>
      <c r="CO76" s="1121">
        <f t="shared" si="368">IF(BX76=0,1,0)</f>
        <v>0</v>
      </c>
      <c r="CP76" s="1124">
        <f t="shared" si="369">IF(ISNUMBER(BX76),CM76,IF(ISERROR(BX76),CM76,CM76+$CN$154))+$CO$154</f>
        <v>145</v>
      </c>
      <c r="CQ76" s="237">
        <f>IFERROR(INDEX($BX$8:$BX$153,MATCH(SMALL($CP$8:$CP$153,ROWS($CQ$8:CQ76)+$CO$154),$CP$8:$CP$154,0)),"")</f>
        <v>0</v>
      </c>
      <c r="CR76" s="237">
        <v>0.1</v>
      </c>
      <c r="CS76" s="1135">
        <f t="shared" si="370">CM76+CR76</f>
        <v>145.1</v>
      </c>
      <c r="CT76" s="237">
        <f>COUNTIFS($CM:$CM, CM76,$CS:$CS, "&lt;"&amp;CL)+COUNTIFS(CM$8:CM76, CM76, CS$8:CS76, CS76)</f>
        <v>69</v>
      </c>
      <c r="CU76" s="1109">
        <f t="shared" si="371">CT76/100</f>
        <v>0.69</v>
      </c>
      <c r="CV76" s="1109">
        <f t="shared" si="372">CM76+CU76</f>
        <v>145.69</v>
      </c>
      <c r="CW76" s="237" t="e">
        <f t="shared" si="323">SMALL(CV$8:CV$153,AX76)</f>
        <v>#VALUE!</v>
      </c>
      <c r="CX76" s="1109">
        <f t="shared" si="373">IFERROR(CW76,"")</f>
        <v>0</v>
      </c>
      <c r="CY76" s="237" t="e">
        <f t="shared" si="324">INDEX(BU$8:BU$152,MATCH($CX76,CV$8:CV$152,0))</f>
        <v>#N/A</v>
      </c>
      <c r="CZ76" s="237" t="e">
        <f t="shared" si="325">INDEX(BV$8:BV$152,MATCH($CX76,$CV$8:$CV$152,0))</f>
        <v>#N/A</v>
      </c>
      <c r="DA76" s="237" t="e">
        <f t="shared" si="326">INDEX(BW$8:BW$152,MATCH($CX76,$CV$8:$CV$152,0))</f>
        <v>#N/A</v>
      </c>
      <c r="DB76" s="237" t="e">
        <f t="shared" si="327">INDEX(BX$8:BX$152,MATCH($CX76,$CV$8:$CV$152,0))</f>
        <v>#N/A</v>
      </c>
      <c r="DC76" s="237" t="e">
        <f t="shared" si="328">INDEX(BY$8:BY$152,MATCH($CX76,$CV$8:$CV$152,0))</f>
        <v>#N/A</v>
      </c>
      <c r="DD76" s="237" t="e">
        <f t="shared" si="329">INDEX(BZ$8:BZ$152,MATCH($CX76,$CV$8:$CV$152,0))</f>
        <v>#N/A</v>
      </c>
      <c r="DE76" s="237" t="e">
        <f t="shared" si="330">INDEX(CA$8:CA$152,MATCH($CX76,$CV$8:$CV$152,0))</f>
        <v>#N/A</v>
      </c>
      <c r="DF76" s="237" t="e">
        <f t="shared" si="331">INDEX(CB$8:CB$152,MATCH($CX76,$CV$8:$CV$152,0))</f>
        <v>#N/A</v>
      </c>
    </row>
    <row r="77" spans="1:110">
      <c r="A77" s="1216">
        <v>7</v>
      </c>
      <c r="B77" s="1510"/>
      <c r="C77" s="1022"/>
      <c r="D77" s="1022"/>
      <c r="E77" s="1022"/>
      <c r="F77" s="1022"/>
      <c r="G77" s="1022"/>
      <c r="H77" s="1022"/>
      <c r="I77" s="1475"/>
      <c r="J77" s="1020"/>
      <c r="K77" s="253"/>
      <c r="L77" s="254"/>
      <c r="M77" s="255">
        <f t="shared" si="334">K77*L77</f>
        <v>0</v>
      </c>
      <c r="AM77" s="1077">
        <f t="shared" si="335">IF(M77&gt;0,1,0)</f>
        <v>0</v>
      </c>
      <c r="AN77" s="1096">
        <f>IF(K77&gt;0,COUNTIF(AM$8:AM77,"&gt;0"),0)</f>
        <v>0</v>
      </c>
      <c r="AO77" s="1078">
        <f t="shared" si="336">B77</f>
        <v>0</v>
      </c>
      <c r="AP77" s="1079">
        <f t="shared" si="337">C77</f>
        <v>0</v>
      </c>
      <c r="AQ77" s="1080">
        <f t="shared" si="338">IF(I77&lt;&gt;"",YEAR(I77),"")</f>
        <v>0</v>
      </c>
      <c r="AR77" s="1080">
        <f t="shared" si="339">IF(E77&lt;&gt;"",E77,"")</f>
        <v>0</v>
      </c>
      <c r="AS77" s="1078">
        <f t="shared" si="340">F77</f>
        <v>0</v>
      </c>
      <c r="AT77" s="1080">
        <f t="shared" si="341">IF(H77&lt;&gt;"",H77,"")</f>
        <v>0</v>
      </c>
      <c r="AU77" s="1080">
        <f t="shared" si="342">J77</f>
        <v>0</v>
      </c>
      <c r="AV77" s="1080">
        <f t="shared" si="343">K77</f>
        <v>0</v>
      </c>
      <c r="AW77" s="1081">
        <f t="shared" si="344">M77</f>
        <v>0</v>
      </c>
      <c r="AX77" s="237">
        <f t="shared" si="374">IF(AZ77&lt;&gt;"",AX76+1,"")</f>
        <v>0</v>
      </c>
      <c r="AY77" s="1087">
        <v>84</v>
      </c>
      <c r="AZ77" s="1087">
        <f t="shared" si="345">IF(ISNA(VLOOKUP(AY77,$AN$8:$AW$148,2,False))=True,"",VLOOKUP(AY77,$AN$8:$AW$148,2,False))</f>
        <v>0</v>
      </c>
      <c r="BA77" s="1087">
        <f t="shared" si="346">IF(ISNA(VLOOKUP(AZ77,$AE$8:$AF$46,2,False))=True,"",VLOOKUP(AZ77,$AE$8:$AF$46,2,False))</f>
        <v>0</v>
      </c>
      <c r="BB77" s="1087">
        <f t="shared" si="347">IF(ISNA(VLOOKUP(AY77,$AN$8:$AW$148,4,False))=True,"",VLOOKUP(AY77,$AN$8:$AW$148,4,False))</f>
        <v>0</v>
      </c>
      <c r="BC77" s="1087">
        <f t="shared" si="348">IF(ISNA(VLOOKUP(AY77,$AN$8:$AW$148,5,False))=True,"",VLOOKUP(AY77,$AN$8:$AW$148,5,False))</f>
        <v>0</v>
      </c>
      <c r="BD77" s="1087" t="str">
        <f t="shared" si="349">IF(ISNA(VLOOKUP(AY77,$AN$8:$AW$148,6,False))=True,"0",VLOOKUP(AY77,$AN$8:$AW$148,6,False))</f>
        <v>0</v>
      </c>
      <c r="BE77" s="1125">
        <f t="shared" si="350">IF(ISNA(VLOOKUP(AY77,$AN$8:$AW$148,7,False))=True,"",VLOOKUP(AY77,$AN$8:$AW$148,7,False))</f>
        <v>0</v>
      </c>
      <c r="BF77" s="1123">
        <f t="shared" si="192">IF(ISNA(VLOOKUP($AY77,$AN$8:$AW$148,8,False))=True,"",VLOOKUP($AY77,$AN$8:$AW$148,8,False))</f>
        <v>0</v>
      </c>
      <c r="BG77" s="1120">
        <f t="shared" si="193">IF(ISNA(VLOOKUP($AY77,$AN$8:$AW$148,9,False))=True,"",VLOOKUP($AY77,$AN$8:$AW$148,9,False))</f>
        <v>0</v>
      </c>
      <c r="BH77" s="1120">
        <f t="shared" si="194">IF(ISNA(VLOOKUP($AY77,$AN$8:$AW$148,10,False))=True,"",VLOOKUP($AY77,$AN$8:$AW$148,10,False))</f>
        <v>0</v>
      </c>
      <c r="BI77" s="250">
        <f t="shared" si="351">IF(AZ77&lt;&gt;"",AZ77,"")</f>
        <v>0</v>
      </c>
      <c r="BJ77" s="1098">
        <f t="shared" si="352">BI77</f>
        <v>0</v>
      </c>
      <c r="BK77" s="1115">
        <f>COUNTIFS($AZ:$AZ, AZ77,$BJ:$BJ, "&lt;"&amp;BJ77)+COUNTIFS(AZ$8:AZ77, AZ77, BJ$8:BJ77, BJ77)</f>
        <v>70</v>
      </c>
      <c r="BL77" s="1114">
        <f t="shared" si="353">BK77/100</f>
        <v>0.7</v>
      </c>
      <c r="BM77" s="1093" t="e">
        <f t="shared" si="377" ref="BM77">BJ77+BL77</f>
        <v>#VALUE!</v>
      </c>
      <c r="BN77" s="1101">
        <f t="shared" si="355">IF(BA77&lt;&gt;"",BM77,"")</f>
        <v>0</v>
      </c>
      <c r="BO77" s="1118">
        <f t="shared" si="356">IF(BN77&lt;&gt;"",BN77,0)</f>
        <v>0</v>
      </c>
      <c r="BP77" s="237" t="e">
        <f t="shared" si="312">SMALL($BN$8:$BN$152,AX77)</f>
        <v>#VALUE!</v>
      </c>
      <c r="BR77" s="1102" t="e">
        <f t="shared" si="376">IF(BP77&lt;&gt;"",BR76+1,"")</f>
        <v>#VALUE!</v>
      </c>
      <c r="BS77" s="1102">
        <f t="shared" si="357">IFERROR(BP77,"")</f>
        <v>0</v>
      </c>
      <c r="BT77" s="1102">
        <f t="shared" si="358">IFERROR(CC77,"")</f>
        <v>0</v>
      </c>
      <c r="BU77" s="1098">
        <f t="shared" si="359">IFERROR(CD77,"")</f>
        <v>0</v>
      </c>
      <c r="BV77" s="1098">
        <f t="shared" si="360">IFERROR(CE77,"")</f>
        <v>0</v>
      </c>
      <c r="BW77" s="1098">
        <f t="shared" si="361">IFERROR(CF77,"")</f>
        <v>0</v>
      </c>
      <c r="BX77" s="1146">
        <f t="shared" si="362">IFERROR(CH77,"")</f>
        <v>0</v>
      </c>
      <c r="BY77" s="1098">
        <f t="shared" si="363">IFERROR(CG77,"")</f>
        <v>0</v>
      </c>
      <c r="BZ77" s="1144" t="str">
        <f t="shared" si="364">IFERROR(CI77,"-")</f>
        <v>-</v>
      </c>
      <c r="CA77" s="1107">
        <f t="shared" si="365">IFERROR(CJ77,"")</f>
        <v>0</v>
      </c>
      <c r="CB77" s="1107">
        <f t="shared" si="366">IFERROR(CK77,"")</f>
        <v>0</v>
      </c>
      <c r="CC77" s="1110" t="e">
        <f t="shared" si="313">INDEX($AZ$8:$AZ$153,MATCH(BP77,$BO$8:$BO$153,0))</f>
        <v>#VALUE!</v>
      </c>
      <c r="CD77" s="1087" t="e">
        <f t="shared" si="314">INDEX($BA$8:$BA$153,MATCH(BP77,$BO$8:$BO$153,0))</f>
        <v>#VALUE!</v>
      </c>
      <c r="CE77" s="1106" t="e">
        <f t="shared" si="315">INDEX($BB$8:$BB$153,MATCH(BP77,$BO$8:$BO$153,0))</f>
        <v>#VALUE!</v>
      </c>
      <c r="CF77" s="1106" t="e">
        <f t="shared" si="316">INDEX(BC$8:BC$153,MATCH(BP77,$BO$8:$BO$153,0))</f>
        <v>#VALUE!</v>
      </c>
      <c r="CG77" s="1118" t="e">
        <f t="shared" si="317">INDEX(BE$8:BE$153,MATCH(BP77,$BO$8:$BO$153,0))</f>
        <v>#VALUE!</v>
      </c>
      <c r="CH77" s="1106" t="e">
        <f t="shared" si="318">INDEX($BD$8:$BD$153,MATCH($BP77,$BO$8:$BO$153,0))</f>
        <v>#VALUE!</v>
      </c>
      <c r="CI77" s="1142" t="e">
        <f t="shared" si="319">INDEX($BF$8:$BF$153,MATCH(BP77,$BO$8:$BO$153,0))</f>
        <v>#VALUE!</v>
      </c>
      <c r="CJ77" s="1106" t="e">
        <f t="shared" si="320">INDEX($BG$8:$BG$153,MATCH(BP77,$BO$8:$BO$153,0))</f>
        <v>#VALUE!</v>
      </c>
      <c r="CK77" s="1106" t="e">
        <f t="shared" si="321">INDEX($BH$8:$BH$153,MATCH(BP77,$BO$8:$BO$153,0))</f>
        <v>#VALUE!</v>
      </c>
      <c r="CM77" s="1131">
        <f t="shared" si="322">COUNTIF($CH$8:$CH$228,"&lt;="&amp;CH77)</f>
        <v>145</v>
      </c>
      <c r="CN77" s="1121">
        <f t="shared" si="367">--ISNUMBER(BX77)</f>
        <v>0</v>
      </c>
      <c r="CO77" s="1121">
        <f t="shared" si="368">IF(BX77=0,1,0)</f>
        <v>0</v>
      </c>
      <c r="CP77" s="1124">
        <f t="shared" si="369">IF(ISNUMBER(BX77),CM77,IF(ISERROR(BX77),CM77,CM77+$CN$154))+$CO$154</f>
        <v>145</v>
      </c>
      <c r="CQ77" s="237">
        <f>IFERROR(INDEX($BX$8:$BX$153,MATCH(SMALL($CP$8:$CP$153,ROWS($CQ$8:CQ77)+$CO$154),$CP$8:$CP$154,0)),"")</f>
        <v>0</v>
      </c>
      <c r="CR77" s="237">
        <v>0.1</v>
      </c>
      <c r="CS77" s="1135">
        <f t="shared" si="370">CM77+CR77</f>
        <v>145.1</v>
      </c>
      <c r="CT77" s="237">
        <f>COUNTIFS($CM:$CM, CM77,$CS:$CS, "&lt;"&amp;CL)+COUNTIFS(CM$8:CM77, CM77, CS$8:CS77, CS77)</f>
        <v>70</v>
      </c>
      <c r="CU77" s="1109">
        <f t="shared" si="371">CT77/100</f>
        <v>0.7</v>
      </c>
      <c r="CV77" s="1109">
        <f t="shared" si="372">CM77+CU77</f>
        <v>145.7</v>
      </c>
      <c r="CW77" s="237" t="e">
        <f t="shared" si="323">SMALL(CV$8:CV$153,AX77)</f>
        <v>#VALUE!</v>
      </c>
      <c r="CX77" s="1109">
        <f t="shared" si="373">IFERROR(CW77,"")</f>
        <v>0</v>
      </c>
      <c r="CY77" s="237" t="e">
        <f t="shared" si="324">INDEX(BU$8:BU$152,MATCH($CX77,CV$8:CV$152,0))</f>
        <v>#N/A</v>
      </c>
      <c r="CZ77" s="237" t="e">
        <f t="shared" si="325">INDEX(BV$8:BV$152,MATCH($CX77,$CV$8:$CV$152,0))</f>
        <v>#N/A</v>
      </c>
      <c r="DA77" s="237" t="e">
        <f t="shared" si="326">INDEX(BW$8:BW$152,MATCH($CX77,$CV$8:$CV$152,0))</f>
        <v>#N/A</v>
      </c>
      <c r="DB77" s="237" t="e">
        <f t="shared" si="327">INDEX(BX$8:BX$152,MATCH($CX77,$CV$8:$CV$152,0))</f>
        <v>#N/A</v>
      </c>
      <c r="DC77" s="237" t="e">
        <f t="shared" si="328">INDEX(BY$8:BY$152,MATCH($CX77,$CV$8:$CV$152,0))</f>
        <v>#N/A</v>
      </c>
      <c r="DD77" s="237" t="e">
        <f t="shared" si="329">INDEX(BZ$8:BZ$152,MATCH($CX77,$CV$8:$CV$152,0))</f>
        <v>#N/A</v>
      </c>
      <c r="DE77" s="237" t="e">
        <f t="shared" si="330">INDEX(CA$8:CA$152,MATCH($CX77,$CV$8:$CV$152,0))</f>
        <v>#N/A</v>
      </c>
      <c r="DF77" s="237" t="e">
        <f t="shared" si="331">INDEX(CB$8:CB$152,MATCH($CX77,$CV$8:$CV$152,0))</f>
        <v>#N/A</v>
      </c>
    </row>
    <row r="78" spans="1:110">
      <c r="A78" s="1216">
        <v>8</v>
      </c>
      <c r="B78" s="1510"/>
      <c r="C78" s="1022"/>
      <c r="D78" s="1022"/>
      <c r="E78" s="1022"/>
      <c r="F78" s="1022"/>
      <c r="G78" s="1022"/>
      <c r="H78" s="1022"/>
      <c r="I78" s="1475"/>
      <c r="J78" s="1020"/>
      <c r="K78" s="253"/>
      <c r="L78" s="254"/>
      <c r="M78" s="255">
        <f t="shared" si="334">K78*L78</f>
        <v>0</v>
      </c>
      <c r="AM78" s="1082">
        <f t="shared" si="335">IF(M78&gt;0,1,0)</f>
        <v>0</v>
      </c>
      <c r="AN78" s="1096">
        <f>IF(AM78&gt;0,COUNTIF(AM$8:AM78,"&gt;0"),0)</f>
        <v>0</v>
      </c>
      <c r="AO78" s="1083">
        <f t="shared" si="336">B78</f>
        <v>0</v>
      </c>
      <c r="AP78" s="1084">
        <f t="shared" si="337">C78</f>
        <v>0</v>
      </c>
      <c r="AQ78" s="1085">
        <f t="shared" si="338">IF(I78&lt;&gt;"",YEAR(I78),"")</f>
        <v>0</v>
      </c>
      <c r="AR78" s="1080">
        <f t="shared" si="339">IF(E78&lt;&gt;"",E78,"")</f>
        <v>0</v>
      </c>
      <c r="AS78" s="1078">
        <f t="shared" si="340">F78</f>
        <v>0</v>
      </c>
      <c r="AT78" s="1080">
        <f t="shared" si="341">IF(H78&lt;&gt;"",H78,"")</f>
        <v>0</v>
      </c>
      <c r="AU78" s="1080">
        <f t="shared" si="342">J78</f>
        <v>0</v>
      </c>
      <c r="AV78" s="1080">
        <f t="shared" si="343">K78</f>
        <v>0</v>
      </c>
      <c r="AW78" s="1086">
        <f t="shared" si="344">M78</f>
        <v>0</v>
      </c>
      <c r="AX78" s="237">
        <f t="shared" si="374">IF(AZ78&lt;&gt;"",AX77+1,"")</f>
        <v>0</v>
      </c>
      <c r="AY78" s="1087">
        <v>85</v>
      </c>
      <c r="AZ78" s="1087">
        <f t="shared" si="345">IF(ISNA(VLOOKUP(AY78,$AN$8:$AW$148,2,False))=True,"",VLOOKUP(AY78,$AN$8:$AW$148,2,False))</f>
        <v>0</v>
      </c>
      <c r="BA78" s="1087">
        <f t="shared" si="346">IF(ISNA(VLOOKUP(AZ78,$AE$8:$AF$46,2,False))=True,"",VLOOKUP(AZ78,$AE$8:$AF$46,2,False))</f>
        <v>0</v>
      </c>
      <c r="BB78" s="1087">
        <f t="shared" si="347">IF(ISNA(VLOOKUP(AY78,$AN$8:$AW$148,4,False))=True,"",VLOOKUP(AY78,$AN$8:$AW$148,4,False))</f>
        <v>0</v>
      </c>
      <c r="BC78" s="1087">
        <f t="shared" si="348">IF(ISNA(VLOOKUP(AY78,$AN$8:$AW$148,5,False))=True,"",VLOOKUP(AY78,$AN$8:$AW$148,5,False))</f>
        <v>0</v>
      </c>
      <c r="BD78" s="1087" t="str">
        <f t="shared" si="349">IF(ISNA(VLOOKUP(AY78,$AN$8:$AW$148,6,False))=True,"0",VLOOKUP(AY78,$AN$8:$AW$148,6,False))</f>
        <v>0</v>
      </c>
      <c r="BE78" s="1125">
        <f t="shared" si="350">IF(ISNA(VLOOKUP(AY78,$AN$8:$AW$148,7,False))=True,"",VLOOKUP(AY78,$AN$8:$AW$148,7,False))</f>
        <v>0</v>
      </c>
      <c r="BF78" s="1123">
        <f t="shared" si="192">IF(ISNA(VLOOKUP($AY78,$AN$8:$AW$148,8,False))=True,"",VLOOKUP($AY78,$AN$8:$AW$148,8,False))</f>
        <v>0</v>
      </c>
      <c r="BG78" s="1120">
        <f t="shared" si="193">IF(ISNA(VLOOKUP($AY78,$AN$8:$AW$148,9,False))=True,"",VLOOKUP($AY78,$AN$8:$AW$148,9,False))</f>
        <v>0</v>
      </c>
      <c r="BH78" s="1120">
        <f t="shared" si="194">IF(ISNA(VLOOKUP($AY78,$AN$8:$AW$148,10,False))=True,"",VLOOKUP($AY78,$AN$8:$AW$148,10,False))</f>
        <v>0</v>
      </c>
      <c r="BI78" s="250">
        <f t="shared" si="351">IF(AZ78&lt;&gt;"",AZ78,"")</f>
        <v>0</v>
      </c>
      <c r="BJ78" s="1098">
        <f t="shared" si="352">BI78</f>
        <v>0</v>
      </c>
      <c r="BK78" s="1115">
        <f>COUNTIFS($AZ:$AZ, AZ78,$BJ:$BJ, "&lt;"&amp;BJ78)+COUNTIFS(AZ$8:AZ78, AZ78, BJ$8:BJ78, BJ78)</f>
        <v>71</v>
      </c>
      <c r="BL78" s="1114">
        <f t="shared" si="353">BK78/100</f>
        <v>0.71</v>
      </c>
      <c r="BM78" s="1093" t="e">
        <f t="shared" si="378" ref="BM78">BI78+BL78</f>
        <v>#VALUE!</v>
      </c>
      <c r="BN78" s="1101">
        <f t="shared" si="355">IF(BA78&lt;&gt;"",BM78,"")</f>
        <v>0</v>
      </c>
      <c r="BO78" s="1118">
        <f t="shared" si="356">IF(BN78&lt;&gt;"",BN78,0)</f>
        <v>0</v>
      </c>
      <c r="BP78" s="237" t="e">
        <f t="shared" si="312">SMALL($BN$8:$BN$152,AX78)</f>
        <v>#VALUE!</v>
      </c>
      <c r="BR78" s="1102" t="e">
        <f t="shared" si="376">IF(BP78&lt;&gt;"",BR77+1,"")</f>
        <v>#VALUE!</v>
      </c>
      <c r="BS78" s="1102">
        <f t="shared" si="357">IFERROR(BP78,"")</f>
        <v>0</v>
      </c>
      <c r="BT78" s="1102">
        <f t="shared" si="358">IFERROR(CC78,"")</f>
        <v>0</v>
      </c>
      <c r="BU78" s="1098">
        <f t="shared" si="359">IFERROR(CD78,"")</f>
        <v>0</v>
      </c>
      <c r="BV78" s="1098">
        <f t="shared" si="360">IFERROR(CE78,"")</f>
        <v>0</v>
      </c>
      <c r="BW78" s="1098">
        <f t="shared" si="361">IFERROR(CF78,"")</f>
        <v>0</v>
      </c>
      <c r="BX78" s="1146">
        <f t="shared" si="362">IFERROR(CH78,"")</f>
        <v>0</v>
      </c>
      <c r="BY78" s="1098">
        <f t="shared" si="363">IFERROR(CG78,"")</f>
        <v>0</v>
      </c>
      <c r="BZ78" s="1144" t="str">
        <f t="shared" si="364">IFERROR(CI78,"-")</f>
        <v>-</v>
      </c>
      <c r="CA78" s="1107">
        <f t="shared" si="365">IFERROR(CJ78,"")</f>
        <v>0</v>
      </c>
      <c r="CB78" s="1107">
        <f t="shared" si="366">IFERROR(CK78,"")</f>
        <v>0</v>
      </c>
      <c r="CC78" s="1110" t="e">
        <f t="shared" si="313">INDEX($AZ$8:$AZ$153,MATCH(BP78,$BO$8:$BO$153,0))</f>
        <v>#VALUE!</v>
      </c>
      <c r="CD78" s="1087" t="e">
        <f t="shared" si="314">INDEX($BA$8:$BA$153,MATCH(BP78,$BO$8:$BO$153,0))</f>
        <v>#VALUE!</v>
      </c>
      <c r="CE78" s="1106" t="e">
        <f t="shared" si="315">INDEX($BB$8:$BB$153,MATCH(BP78,$BO$8:$BO$153,0))</f>
        <v>#VALUE!</v>
      </c>
      <c r="CF78" s="1106" t="e">
        <f t="shared" si="316">INDEX(BC$8:BC$153,MATCH(BP78,$BO$8:$BO$153,0))</f>
        <v>#VALUE!</v>
      </c>
      <c r="CG78" s="1118" t="e">
        <f t="shared" si="317">INDEX(BE$8:BE$153,MATCH(BP78,$BO$8:$BO$153,0))</f>
        <v>#VALUE!</v>
      </c>
      <c r="CH78" s="1106" t="e">
        <f t="shared" si="318">INDEX($BD$8:$BD$153,MATCH($BP78,$BO$8:$BO$153,0))</f>
        <v>#VALUE!</v>
      </c>
      <c r="CI78" s="1142" t="e">
        <f t="shared" si="319">INDEX($BF$8:$BF$153,MATCH(BP78,$BO$8:$BO$153,0))</f>
        <v>#VALUE!</v>
      </c>
      <c r="CJ78" s="1106" t="e">
        <f t="shared" si="320">INDEX($BG$8:$BG$153,MATCH(BP78,$BO$8:$BO$153,0))</f>
        <v>#VALUE!</v>
      </c>
      <c r="CK78" s="1106" t="e">
        <f t="shared" si="321">INDEX($BH$8:$BH$153,MATCH(BP78,$BO$8:$BO$153,0))</f>
        <v>#VALUE!</v>
      </c>
      <c r="CM78" s="1131">
        <f t="shared" si="322">COUNTIF($CH$8:$CH$228,"&lt;="&amp;CH78)</f>
        <v>145</v>
      </c>
      <c r="CN78" s="1121">
        <f t="shared" si="367">--ISNUMBER(BX78)</f>
        <v>0</v>
      </c>
      <c r="CO78" s="1121">
        <f t="shared" si="368">IF(BX78=0,1,0)</f>
        <v>0</v>
      </c>
      <c r="CP78" s="1124">
        <f t="shared" si="369">IF(ISNUMBER(BX78),CM78,IF(ISERROR(BX78),CM78,CM78+$CN$154))+$CO$154</f>
        <v>145</v>
      </c>
      <c r="CQ78" s="237">
        <f>IFERROR(INDEX($BX$8:$BX$153,MATCH(SMALL($CP$8:$CP$153,ROWS($CQ$8:CQ78)+$CO$154),$CP$8:$CP$154,0)),"")</f>
        <v>0</v>
      </c>
      <c r="CR78" s="237">
        <v>0.1</v>
      </c>
      <c r="CS78" s="1135">
        <f t="shared" si="370">CM78+CR78</f>
        <v>145.1</v>
      </c>
      <c r="CT78" s="237">
        <f>COUNTIFS($CM:$CM, CM78,$CS:$CS, "&lt;"&amp;CL)+COUNTIFS(CM$8:CM78, CM78, CS$8:CS78, CS78)</f>
        <v>71</v>
      </c>
      <c r="CU78" s="1109">
        <f t="shared" si="371">CT78/100</f>
        <v>0.71</v>
      </c>
      <c r="CV78" s="1109">
        <f t="shared" si="372">CM78+CU78</f>
        <v>145.71</v>
      </c>
      <c r="CW78" s="237" t="e">
        <f t="shared" si="323">SMALL(CV$8:CV$153,AX78)</f>
        <v>#VALUE!</v>
      </c>
      <c r="CX78" s="1109">
        <f t="shared" si="373">IFERROR(CW78,"")</f>
        <v>0</v>
      </c>
      <c r="CY78" s="237" t="e">
        <f t="shared" si="324">INDEX(BU$8:BU$152,MATCH($CX78,CV$8:CV$152,0))</f>
        <v>#N/A</v>
      </c>
      <c r="CZ78" s="237" t="e">
        <f t="shared" si="325">INDEX(BV$8:BV$152,MATCH($CX78,$CV$8:$CV$152,0))</f>
        <v>#N/A</v>
      </c>
      <c r="DA78" s="237" t="e">
        <f t="shared" si="326">INDEX(BW$8:BW$152,MATCH($CX78,$CV$8:$CV$152,0))</f>
        <v>#N/A</v>
      </c>
      <c r="DB78" s="237" t="e">
        <f t="shared" si="327">INDEX(BX$8:BX$152,MATCH($CX78,$CV$8:$CV$152,0))</f>
        <v>#N/A</v>
      </c>
      <c r="DC78" s="237" t="e">
        <f t="shared" si="328">INDEX(BY$8:BY$152,MATCH($CX78,$CV$8:$CV$152,0))</f>
        <v>#N/A</v>
      </c>
      <c r="DD78" s="237" t="e">
        <f t="shared" si="329">INDEX(BZ$8:BZ$152,MATCH($CX78,$CV$8:$CV$152,0))</f>
        <v>#N/A</v>
      </c>
      <c r="DE78" s="237" t="e">
        <f t="shared" si="330">INDEX(CA$8:CA$152,MATCH($CX78,$CV$8:$CV$152,0))</f>
        <v>#N/A</v>
      </c>
      <c r="DF78" s="237" t="e">
        <f t="shared" si="331">INDEX(CB$8:CB$152,MATCH($CX78,$CV$8:$CV$152,0))</f>
        <v>#N/A</v>
      </c>
    </row>
    <row r="79" spans="1:110">
      <c r="A79" s="1216">
        <v>9</v>
      </c>
      <c r="B79" s="1510"/>
      <c r="C79" s="1022"/>
      <c r="D79" s="1022"/>
      <c r="E79" s="1022"/>
      <c r="F79" s="1022"/>
      <c r="G79" s="1022"/>
      <c r="H79" s="1022"/>
      <c r="I79" s="1475"/>
      <c r="J79" s="1020"/>
      <c r="K79" s="253"/>
      <c r="L79" s="254"/>
      <c r="M79" s="255">
        <f t="shared" si="334">K79*L79</f>
        <v>0</v>
      </c>
      <c r="AM79" s="1077">
        <f t="shared" si="335">IF(M79&gt;0,1,0)</f>
        <v>0</v>
      </c>
      <c r="AN79" s="1096">
        <f>IF(AM79&gt;0,COUNTIF(AM$8:AM79,"&gt;0"),0)</f>
        <v>0</v>
      </c>
      <c r="AO79" s="1078">
        <f t="shared" si="336">B79</f>
        <v>0</v>
      </c>
      <c r="AP79" s="1079">
        <f t="shared" si="337">C79</f>
        <v>0</v>
      </c>
      <c r="AQ79" s="1080">
        <f t="shared" si="338">IF(I79&lt;&gt;"",YEAR(I79),"")</f>
        <v>0</v>
      </c>
      <c r="AR79" s="1080">
        <f t="shared" si="339">IF(E79&lt;&gt;"",E79,"")</f>
        <v>0</v>
      </c>
      <c r="AS79" s="1078">
        <f t="shared" si="340">F79</f>
        <v>0</v>
      </c>
      <c r="AT79" s="1080">
        <f t="shared" si="341">IF(H79&lt;&gt;"",H79,"")</f>
        <v>0</v>
      </c>
      <c r="AU79" s="1080">
        <f t="shared" si="342">J79</f>
        <v>0</v>
      </c>
      <c r="AV79" s="1080">
        <f t="shared" si="343">K79</f>
        <v>0</v>
      </c>
      <c r="AW79" s="1081">
        <f t="shared" si="344">M79</f>
        <v>0</v>
      </c>
      <c r="AX79" s="237">
        <f t="shared" si="374">IF(AZ79&lt;&gt;"",AX78+1,"")</f>
        <v>0</v>
      </c>
      <c r="AY79" s="1087">
        <v>86</v>
      </c>
      <c r="AZ79" s="1087">
        <f t="shared" si="345">IF(ISNA(VLOOKUP(AY79,$AN$8:$AW$148,2,False))=True,"",VLOOKUP(AY79,$AN$8:$AW$148,2,False))</f>
        <v>0</v>
      </c>
      <c r="BA79" s="1087">
        <f t="shared" si="346">IF(ISNA(VLOOKUP(AZ79,$AE$8:$AF$46,2,False))=True,"",VLOOKUP(AZ79,$AE$8:$AF$46,2,False))</f>
        <v>0</v>
      </c>
      <c r="BB79" s="1087">
        <f t="shared" si="347">IF(ISNA(VLOOKUP(AY79,$AN$8:$AW$148,4,False))=True,"",VLOOKUP(AY79,$AN$8:$AW$148,4,False))</f>
        <v>0</v>
      </c>
      <c r="BC79" s="1087">
        <f t="shared" si="348">IF(ISNA(VLOOKUP(AY79,$AN$8:$AW$148,5,False))=True,"",VLOOKUP(AY79,$AN$8:$AW$148,5,False))</f>
        <v>0</v>
      </c>
      <c r="BD79" s="1087" t="str">
        <f t="shared" si="349">IF(ISNA(VLOOKUP(AY79,$AN$8:$AW$148,6,False))=True,"0",VLOOKUP(AY79,$AN$8:$AW$148,6,False))</f>
        <v>0</v>
      </c>
      <c r="BE79" s="1125">
        <f t="shared" si="350">IF(ISNA(VLOOKUP(AY79,$AN$8:$AW$148,7,False))=True,"",VLOOKUP(AY79,$AN$8:$AW$148,7,False))</f>
        <v>0</v>
      </c>
      <c r="BF79" s="1123">
        <f t="shared" si="192">IF(ISNA(VLOOKUP($AY79,$AN$8:$AW$148,8,False))=True,"",VLOOKUP($AY79,$AN$8:$AW$148,8,False))</f>
        <v>0</v>
      </c>
      <c r="BG79" s="1120">
        <f t="shared" si="193">IF(ISNA(VLOOKUP($AY79,$AN$8:$AW$148,9,False))=True,"",VLOOKUP($AY79,$AN$8:$AW$148,9,False))</f>
        <v>0</v>
      </c>
      <c r="BH79" s="1120">
        <f t="shared" si="194">IF(ISNA(VLOOKUP($AY79,$AN$8:$AW$148,10,False))=True,"",VLOOKUP($AY79,$AN$8:$AW$148,10,False))</f>
        <v>0</v>
      </c>
      <c r="BI79" s="250">
        <f t="shared" si="351">IF(AZ79&lt;&gt;"",AZ79,"")</f>
        <v>0</v>
      </c>
      <c r="BJ79" s="1098">
        <f t="shared" si="352">BI79</f>
        <v>0</v>
      </c>
      <c r="BK79" s="1115">
        <f>COUNTIFS($AZ:$AZ, AZ79,$BJ:$BJ, "&lt;"&amp;BJ79)+COUNTIFS(AZ$8:AZ79, AZ79, BJ$8:BJ79, BJ79)</f>
        <v>72</v>
      </c>
      <c r="BL79" s="1114">
        <f t="shared" si="353">BK79/100</f>
        <v>0.72</v>
      </c>
      <c r="BM79" s="1093" t="e">
        <f t="shared" si="379" ref="BM79">BJ79+BL79</f>
        <v>#VALUE!</v>
      </c>
      <c r="BN79" s="1101">
        <f t="shared" si="355">IF(BA79&lt;&gt;"",BM79,"")</f>
        <v>0</v>
      </c>
      <c r="BO79" s="1118">
        <f t="shared" si="356">IF(BN79&lt;&gt;"",BN79,0)</f>
        <v>0</v>
      </c>
      <c r="BP79" s="237" t="e">
        <f t="shared" si="312">SMALL($BN$8:$BN$152,AX79)</f>
        <v>#VALUE!</v>
      </c>
      <c r="BR79" s="1102" t="e">
        <f t="shared" si="376">IF(BP79&lt;&gt;"",BR78+1,"")</f>
        <v>#VALUE!</v>
      </c>
      <c r="BS79" s="1102">
        <f t="shared" si="357">IFERROR(BP79,"")</f>
        <v>0</v>
      </c>
      <c r="BT79" s="1102">
        <f t="shared" si="358">IFERROR(CC79,"")</f>
        <v>0</v>
      </c>
      <c r="BU79" s="1098">
        <f t="shared" si="359">IFERROR(CD79,"")</f>
        <v>0</v>
      </c>
      <c r="BV79" s="1098">
        <f t="shared" si="360">IFERROR(CE79,"")</f>
        <v>0</v>
      </c>
      <c r="BW79" s="1098">
        <f t="shared" si="361">IFERROR(CF79,"")</f>
        <v>0</v>
      </c>
      <c r="BX79" s="1146">
        <f t="shared" si="362">IFERROR(CH79,"")</f>
        <v>0</v>
      </c>
      <c r="BY79" s="1098">
        <f t="shared" si="363">IFERROR(CG79,"")</f>
        <v>0</v>
      </c>
      <c r="BZ79" s="1144" t="str">
        <f t="shared" si="364">IFERROR(CI79,"-")</f>
        <v>-</v>
      </c>
      <c r="CA79" s="1107">
        <f t="shared" si="365">IFERROR(CJ79,"")</f>
        <v>0</v>
      </c>
      <c r="CB79" s="1107">
        <f t="shared" si="366">IFERROR(CK79,"")</f>
        <v>0</v>
      </c>
      <c r="CC79" s="1110" t="e">
        <f t="shared" si="313">INDEX($AZ$8:$AZ$153,MATCH(BP79,$BO$8:$BO$153,0))</f>
        <v>#VALUE!</v>
      </c>
      <c r="CD79" s="1087" t="e">
        <f t="shared" si="314">INDEX($BA$8:$BA$153,MATCH(BP79,$BO$8:$BO$153,0))</f>
        <v>#VALUE!</v>
      </c>
      <c r="CE79" s="1106" t="e">
        <f t="shared" si="315">INDEX($BB$8:$BB$153,MATCH(BP79,$BO$8:$BO$153,0))</f>
        <v>#VALUE!</v>
      </c>
      <c r="CF79" s="1106" t="e">
        <f t="shared" si="316">INDEX(BC$8:BC$153,MATCH(BP79,$BO$8:$BO$153,0))</f>
        <v>#VALUE!</v>
      </c>
      <c r="CG79" s="1118" t="e">
        <f t="shared" si="317">INDEX(BE$8:BE$153,MATCH(BP79,$BO$8:$BO$153,0))</f>
        <v>#VALUE!</v>
      </c>
      <c r="CH79" s="1106" t="e">
        <f t="shared" si="318">INDEX($BD$8:$BD$153,MATCH($BP79,$BO$8:$BO$153,0))</f>
        <v>#VALUE!</v>
      </c>
      <c r="CI79" s="1142" t="e">
        <f t="shared" si="319">INDEX($BF$8:$BF$153,MATCH(BP79,$BO$8:$BO$153,0))</f>
        <v>#VALUE!</v>
      </c>
      <c r="CJ79" s="1106" t="e">
        <f t="shared" si="320">INDEX($BG$8:$BG$153,MATCH(BP79,$BO$8:$BO$153,0))</f>
        <v>#VALUE!</v>
      </c>
      <c r="CK79" s="1106" t="e">
        <f t="shared" si="321">INDEX($BH$8:$BH$153,MATCH(BP79,$BO$8:$BO$153,0))</f>
        <v>#VALUE!</v>
      </c>
      <c r="CM79" s="1131">
        <f t="shared" si="322">COUNTIF($CH$8:$CH$228,"&lt;="&amp;CH79)</f>
        <v>145</v>
      </c>
      <c r="CN79" s="1121">
        <f t="shared" si="367">--ISNUMBER(BX79)</f>
        <v>0</v>
      </c>
      <c r="CO79" s="1121">
        <f t="shared" si="368">IF(BX79=0,1,0)</f>
        <v>0</v>
      </c>
      <c r="CP79" s="1124">
        <f t="shared" si="369">IF(ISNUMBER(BX79),CM79,IF(ISERROR(BX79),CM79,CM79+$CN$154))+$CO$154</f>
        <v>145</v>
      </c>
      <c r="CQ79" s="237">
        <f>IFERROR(INDEX($BX$8:$BX$153,MATCH(SMALL($CP$8:$CP$153,ROWS($CQ$8:CQ79)+$CO$154),$CP$8:$CP$154,0)),"")</f>
        <v>0</v>
      </c>
      <c r="CR79" s="237">
        <v>0.1</v>
      </c>
      <c r="CS79" s="1135">
        <f t="shared" si="370">CM79+CR79</f>
        <v>145.1</v>
      </c>
      <c r="CT79" s="237">
        <f>COUNTIFS($CM:$CM, CM79,$CS:$CS, "&lt;"&amp;CL)+COUNTIFS(CM$8:CM79, CM79, CS$8:CS79, CS79)</f>
        <v>72</v>
      </c>
      <c r="CU79" s="1109">
        <f t="shared" si="371">CT79/100</f>
        <v>0.72</v>
      </c>
      <c r="CV79" s="1109">
        <f t="shared" si="372">CM79+CU79</f>
        <v>145.72</v>
      </c>
      <c r="CW79" s="237" t="e">
        <f t="shared" si="323">SMALL(CV$8:CV$153,AX79)</f>
        <v>#VALUE!</v>
      </c>
      <c r="CX79" s="1109">
        <f t="shared" si="373">IFERROR(CW79,"")</f>
        <v>0</v>
      </c>
      <c r="CY79" s="237" t="e">
        <f t="shared" si="324">INDEX(BU$8:BU$152,MATCH($CX79,CV$8:CV$152,0))</f>
        <v>#N/A</v>
      </c>
      <c r="CZ79" s="237" t="e">
        <f t="shared" si="325">INDEX(BV$8:BV$152,MATCH($CX79,$CV$8:$CV$152,0))</f>
        <v>#N/A</v>
      </c>
      <c r="DA79" s="237" t="e">
        <f t="shared" si="326">INDEX(BW$8:BW$152,MATCH($CX79,$CV$8:$CV$152,0))</f>
        <v>#N/A</v>
      </c>
      <c r="DB79" s="237" t="e">
        <f t="shared" si="327">INDEX(BX$8:BX$152,MATCH($CX79,$CV$8:$CV$152,0))</f>
        <v>#N/A</v>
      </c>
      <c r="DC79" s="237" t="e">
        <f t="shared" si="328">INDEX(BY$8:BY$152,MATCH($CX79,$CV$8:$CV$152,0))</f>
        <v>#N/A</v>
      </c>
      <c r="DD79" s="237" t="e">
        <f t="shared" si="329">INDEX(BZ$8:BZ$152,MATCH($CX79,$CV$8:$CV$152,0))</f>
        <v>#N/A</v>
      </c>
      <c r="DE79" s="237" t="e">
        <f t="shared" si="330">INDEX(CA$8:CA$152,MATCH($CX79,$CV$8:$CV$152,0))</f>
        <v>#N/A</v>
      </c>
      <c r="DF79" s="237" t="e">
        <f t="shared" si="331">INDEX(CB$8:CB$152,MATCH($CX79,$CV$8:$CV$152,0))</f>
        <v>#N/A</v>
      </c>
    </row>
    <row r="80" spans="1:110">
      <c r="A80" s="1216">
        <v>10</v>
      </c>
      <c r="B80" s="1510"/>
      <c r="C80" s="1022"/>
      <c r="D80" s="1022"/>
      <c r="E80" s="1022"/>
      <c r="F80" s="1022"/>
      <c r="G80" s="1022"/>
      <c r="H80" s="1022"/>
      <c r="I80" s="1475"/>
      <c r="J80" s="1020"/>
      <c r="K80" s="253"/>
      <c r="L80" s="254"/>
      <c r="M80" s="255">
        <f t="shared" si="303">K80*L80</f>
        <v>0</v>
      </c>
      <c r="AM80" s="1082">
        <f t="shared" si="304">IF(M80&gt;0,1,0)</f>
        <v>0</v>
      </c>
      <c r="AN80" s="1096">
        <f>IF(AM80&gt;0,COUNTIF(AM$8:AM80,"&gt;0"),0)</f>
        <v>0</v>
      </c>
      <c r="AO80" s="1083">
        <f t="shared" si="305">B80</f>
        <v>0</v>
      </c>
      <c r="AP80" s="1084">
        <f t="shared" si="306">C80</f>
        <v>0</v>
      </c>
      <c r="AQ80" s="1085">
        <f t="shared" si="307">IF(I80&lt;&gt;"",YEAR(I80),"")</f>
        <v>0</v>
      </c>
      <c r="AR80" s="1080">
        <f t="shared" si="299">IF(E80&lt;&gt;"",E80,"")</f>
        <v>0</v>
      </c>
      <c r="AS80" s="1078">
        <f t="shared" si="186">F80</f>
        <v>0</v>
      </c>
      <c r="AT80" s="1080">
        <f t="shared" si="300">IF(H80&lt;&gt;"",H80,"")</f>
        <v>0</v>
      </c>
      <c r="AU80" s="1080">
        <f t="shared" si="301">J80</f>
        <v>0</v>
      </c>
      <c r="AV80" s="1080">
        <f t="shared" si="308">K80</f>
        <v>0</v>
      </c>
      <c r="AW80" s="1086">
        <f t="shared" si="309">M80</f>
        <v>0</v>
      </c>
      <c r="AX80" s="237">
        <f>IF(AZ80&lt;&gt;"",AX74+1,"")</f>
        <v>0</v>
      </c>
      <c r="AY80" s="1087">
        <v>82</v>
      </c>
      <c r="AZ80" s="1087">
        <f t="shared" si="187">IF(ISNA(VLOOKUP(AY80,$AN$8:$AW$148,2,False))=True,"",VLOOKUP(AY80,$AN$8:$AW$148,2,False))</f>
        <v>0</v>
      </c>
      <c r="BA80" s="1087">
        <f t="shared" si="188">IF(ISNA(VLOOKUP(AZ80,$AE$8:$AF$46,2,False))=True,"",VLOOKUP(AZ80,$AE$8:$AF$46,2,False))</f>
        <v>0</v>
      </c>
      <c r="BB80" s="1087">
        <f t="shared" si="189">IF(ISNA(VLOOKUP(AY80,$AN$8:$AW$148,4,False))=True,"",VLOOKUP(AY80,$AN$8:$AW$148,4,False))</f>
        <v>0</v>
      </c>
      <c r="BC80" s="1087">
        <f t="shared" si="190">IF(ISNA(VLOOKUP(AY80,$AN$8:$AW$148,5,False))=True,"",VLOOKUP(AY80,$AN$8:$AW$148,5,False))</f>
        <v>0</v>
      </c>
      <c r="BD80" s="1087" t="str">
        <f t="shared" si="267">IF(ISNA(VLOOKUP(AY80,$AN$8:$AW$148,6,False))=True,"0",VLOOKUP(AY80,$AN$8:$AW$148,6,False))</f>
        <v>0</v>
      </c>
      <c r="BE80" s="1125">
        <f t="shared" si="191">IF(ISNA(VLOOKUP(AY80,$AN$8:$AW$148,7,False))=True,"",VLOOKUP(AY80,$AN$8:$AW$148,7,False))</f>
        <v>0</v>
      </c>
      <c r="BF80" s="1123">
        <f t="shared" si="192">IF(ISNA(VLOOKUP($AY80,$AN$8:$AW$148,8,False))=True,"",VLOOKUP($AY80,$AN$8:$AW$148,8,False))</f>
        <v>0</v>
      </c>
      <c r="BG80" s="1120">
        <f t="shared" si="193">IF(ISNA(VLOOKUP($AY80,$AN$8:$AW$148,9,False))=True,"",VLOOKUP($AY80,$AN$8:$AW$148,9,False))</f>
        <v>0</v>
      </c>
      <c r="BH80" s="1120">
        <f t="shared" si="194">IF(ISNA(VLOOKUP($AY80,$AN$8:$AW$148,10,False))=True,"",VLOOKUP($AY80,$AN$8:$AW$148,10,False))</f>
        <v>0</v>
      </c>
      <c r="BI80" s="250">
        <f t="shared" si="270">IF(AZ80&lt;&gt;"",AZ80,"")</f>
        <v>0</v>
      </c>
      <c r="BJ80" s="1098">
        <f t="shared" si="271">BI80</f>
        <v>0</v>
      </c>
      <c r="BK80" s="1115">
        <f>COUNTIFS($AZ:$AZ, AZ80,$BJ:$BJ, "&lt;"&amp;BJ80)+COUNTIFS(AZ$8:AZ80, AZ80, BJ$8:BJ80, BJ80)</f>
        <v>73</v>
      </c>
      <c r="BL80" s="1114">
        <f t="shared" si="272">BK80/100</f>
        <v>0.73</v>
      </c>
      <c r="BM80" s="1093" t="e">
        <f t="shared" si="380" ref="BM80">BJ80+BL80</f>
        <v>#VALUE!</v>
      </c>
      <c r="BN80" s="1101">
        <f t="shared" si="274">IF(BA80&lt;&gt;"",BM80,"")</f>
        <v>0</v>
      </c>
      <c r="BO80" s="1118">
        <f t="shared" si="275">IF(BN80&lt;&gt;"",BN80,0)</f>
        <v>0</v>
      </c>
      <c r="BP80" s="237" t="e">
        <f t="shared" si="312">SMALL($BN$8:$BN$152,AX80)</f>
        <v>#VALUE!</v>
      </c>
      <c r="BR80" s="1102" t="e">
        <f>IF(BP80&lt;&gt;"",BR74+1,"")</f>
        <v>#VALUE!</v>
      </c>
      <c r="BS80" s="1102">
        <f t="shared" si="276">IFERROR(BP80,"")</f>
        <v>0</v>
      </c>
      <c r="BT80" s="1102">
        <f t="shared" si="277">IFERROR(CC80,"")</f>
        <v>0</v>
      </c>
      <c r="BU80" s="1098">
        <f t="shared" si="278">IFERROR(CD80,"")</f>
        <v>0</v>
      </c>
      <c r="BV80" s="1098">
        <f t="shared" si="279">IFERROR(CE80,"")</f>
        <v>0</v>
      </c>
      <c r="BW80" s="1098">
        <f t="shared" si="280">IFERROR(CF80,"")</f>
        <v>0</v>
      </c>
      <c r="BX80" s="1146">
        <f t="shared" si="281">IFERROR(CH80,"")</f>
        <v>0</v>
      </c>
      <c r="BY80" s="1098">
        <f t="shared" si="282">IFERROR(CG80,"")</f>
        <v>0</v>
      </c>
      <c r="BZ80" s="1144" t="str">
        <f t="shared" si="283">IFERROR(CI80,"-")</f>
        <v>-</v>
      </c>
      <c r="CA80" s="1107">
        <f t="shared" si="284">IFERROR(CJ80,"")</f>
        <v>0</v>
      </c>
      <c r="CB80" s="1107">
        <f t="shared" si="285">IFERROR(CK80,"")</f>
        <v>0</v>
      </c>
      <c r="CC80" s="1110" t="e">
        <f t="shared" si="313">INDEX($AZ$8:$AZ$153,MATCH(BP80,$BO$8:$BO$153,0))</f>
        <v>#VALUE!</v>
      </c>
      <c r="CD80" s="1087" t="e">
        <f t="shared" si="314">INDEX($BA$8:$BA$153,MATCH(BP80,$BO$8:$BO$153,0))</f>
        <v>#VALUE!</v>
      </c>
      <c r="CE80" s="1106" t="e">
        <f t="shared" si="315">INDEX($BB$8:$BB$153,MATCH(BP80,$BO$8:$BO$153,0))</f>
        <v>#VALUE!</v>
      </c>
      <c r="CF80" s="1106" t="e">
        <f t="shared" si="316">INDEX(BC$8:BC$153,MATCH(BP80,$BO$8:$BO$153,0))</f>
        <v>#VALUE!</v>
      </c>
      <c r="CG80" s="1118" t="e">
        <f t="shared" si="317">INDEX(BE$8:BE$153,MATCH(BP80,$BO$8:$BO$153,0))</f>
        <v>#VALUE!</v>
      </c>
      <c r="CH80" s="1106" t="e">
        <f t="shared" si="318">INDEX($BD$8:$BD$153,MATCH($BP80,$BO$8:$BO$153,0))</f>
        <v>#VALUE!</v>
      </c>
      <c r="CI80" s="1142" t="e">
        <f t="shared" si="319">INDEX($BF$8:$BF$153,MATCH(BP80,$BO$8:$BO$153,0))</f>
        <v>#VALUE!</v>
      </c>
      <c r="CJ80" s="1106" t="e">
        <f t="shared" si="320">INDEX($BG$8:$BG$153,MATCH(BP80,$BO$8:$BO$153,0))</f>
        <v>#VALUE!</v>
      </c>
      <c r="CK80" s="1106" t="e">
        <f t="shared" si="321">INDEX($BH$8:$BH$153,MATCH(BP80,$BO$8:$BO$153,0))</f>
        <v>#VALUE!</v>
      </c>
      <c r="CM80" s="1131">
        <f t="shared" si="322">COUNTIF($CH$8:$CH$228,"&lt;="&amp;CH80)</f>
        <v>145</v>
      </c>
      <c r="CN80" s="1121">
        <f t="shared" si="286">--ISNUMBER(BX80)</f>
        <v>0</v>
      </c>
      <c r="CO80" s="1121">
        <f t="shared" si="287">IF(BX80=0,1,0)</f>
        <v>0</v>
      </c>
      <c r="CP80" s="1124">
        <f t="shared" si="197">IF(ISNUMBER(BX80),CM80,IF(ISERROR(BX80),CM80,CM80+$CN$154))+$CO$154</f>
        <v>145</v>
      </c>
      <c r="CQ80" s="237">
        <f>IFERROR(INDEX($BX$8:$BX$153,MATCH(SMALL($CP$8:$CP$153,ROWS($CQ$8:CQ80)+$CO$154),$CP$8:$CP$154,0)),"")</f>
        <v>0</v>
      </c>
      <c r="CR80" s="237">
        <v>0.1</v>
      </c>
      <c r="CS80" s="1135">
        <f t="shared" si="288">CM80+CR80</f>
        <v>145.1</v>
      </c>
      <c r="CT80" s="237">
        <f>COUNTIFS($CM:$CM, CM80,$CS:$CS, "&lt;"&amp;CL)+COUNTIFS(CM$8:CM80, CM80, CS$8:CS80, CS80)</f>
        <v>73</v>
      </c>
      <c r="CU80" s="1109">
        <f t="shared" si="289">CT80/100</f>
        <v>0.73</v>
      </c>
      <c r="CV80" s="1109">
        <f t="shared" si="290">CM80+CU80</f>
        <v>145.73</v>
      </c>
      <c r="CW80" s="237" t="e">
        <f t="shared" si="323">SMALL(CV$8:CV$153,AX80)</f>
        <v>#VALUE!</v>
      </c>
      <c r="CX80" s="1109">
        <f t="shared" si="291">IFERROR(CW80,"")</f>
        <v>0</v>
      </c>
      <c r="CY80" s="237" t="e">
        <f t="shared" si="324">INDEX(BU$8:BU$152,MATCH($CX80,CV$8:CV$152,0))</f>
        <v>#N/A</v>
      </c>
      <c r="CZ80" s="237" t="e">
        <f t="shared" si="325">INDEX(BV$8:BV$152,MATCH($CX80,$CV$8:$CV$152,0))</f>
        <v>#N/A</v>
      </c>
      <c r="DA80" s="237" t="e">
        <f t="shared" si="326">INDEX(BW$8:BW$152,MATCH($CX80,$CV$8:$CV$152,0))</f>
        <v>#N/A</v>
      </c>
      <c r="DB80" s="237" t="e">
        <f t="shared" si="327">INDEX(BX$8:BX$152,MATCH($CX80,$CV$8:$CV$152,0))</f>
        <v>#N/A</v>
      </c>
      <c r="DC80" s="237" t="e">
        <f t="shared" si="328">INDEX(BY$8:BY$152,MATCH($CX80,$CV$8:$CV$152,0))</f>
        <v>#N/A</v>
      </c>
      <c r="DD80" s="237" t="e">
        <f t="shared" si="329">INDEX(BZ$8:BZ$152,MATCH($CX80,$CV$8:$CV$152,0))</f>
        <v>#N/A</v>
      </c>
      <c r="DE80" s="237" t="e">
        <f t="shared" si="330">INDEX(CA$8:CA$152,MATCH($CX80,$CV$8:$CV$152,0))</f>
        <v>#N/A</v>
      </c>
      <c r="DF80" s="237" t="e">
        <f t="shared" si="331">INDEX(CB$8:CB$152,MATCH($CX80,$CV$8:$CV$152,0))</f>
        <v>#N/A</v>
      </c>
    </row>
    <row r="81" spans="1:110">
      <c r="A81" s="1216">
        <v>11</v>
      </c>
      <c r="B81" s="1510"/>
      <c r="C81" s="1022"/>
      <c r="D81" s="1022"/>
      <c r="E81" s="1022"/>
      <c r="F81" s="1022"/>
      <c r="G81" s="1022"/>
      <c r="H81" s="1022"/>
      <c r="I81" s="1475"/>
      <c r="J81" s="1020"/>
      <c r="K81" s="253"/>
      <c r="L81" s="254"/>
      <c r="M81" s="255">
        <f t="shared" si="303">K81*L81</f>
        <v>0</v>
      </c>
      <c r="AM81" s="1077">
        <f t="shared" si="304">IF(M81&gt;0,1,0)</f>
        <v>0</v>
      </c>
      <c r="AN81" s="1096">
        <f>IF(AM81&gt;0,COUNTIF(AM$8:AM81,"&gt;0"),0)</f>
        <v>0</v>
      </c>
      <c r="AO81" s="1078">
        <f t="shared" si="305">B81</f>
        <v>0</v>
      </c>
      <c r="AP81" s="1079">
        <f t="shared" si="306">C81</f>
        <v>0</v>
      </c>
      <c r="AQ81" s="1080">
        <f t="shared" si="307">IF(I81&lt;&gt;"",YEAR(I81),"")</f>
        <v>0</v>
      </c>
      <c r="AR81" s="1080">
        <f t="shared" si="299">IF(E81&lt;&gt;"",E81,"")</f>
        <v>0</v>
      </c>
      <c r="AS81" s="1078">
        <f t="shared" si="186">F81</f>
        <v>0</v>
      </c>
      <c r="AT81" s="1080">
        <f t="shared" si="300">IF(H81&lt;&gt;"",H81,"")</f>
        <v>0</v>
      </c>
      <c r="AU81" s="1080">
        <f t="shared" si="301">J81</f>
        <v>0</v>
      </c>
      <c r="AV81" s="1080">
        <f t="shared" si="308">K81</f>
        <v>0</v>
      </c>
      <c r="AW81" s="1081">
        <f t="shared" si="309">M81</f>
        <v>0</v>
      </c>
      <c r="AX81" s="237">
        <f t="shared" si="292">IF(AZ81&lt;&gt;"",AX80+1,"")</f>
        <v>0</v>
      </c>
      <c r="AY81" s="1087">
        <v>83</v>
      </c>
      <c r="AZ81" s="1087">
        <f t="shared" si="187">IF(ISNA(VLOOKUP(AY81,$AN$8:$AW$148,2,False))=True,"",VLOOKUP(AY81,$AN$8:$AW$148,2,False))</f>
        <v>0</v>
      </c>
      <c r="BA81" s="1087">
        <f t="shared" si="188">IF(ISNA(VLOOKUP(AZ81,$AE$8:$AF$46,2,False))=True,"",VLOOKUP(AZ81,$AE$8:$AF$46,2,False))</f>
        <v>0</v>
      </c>
      <c r="BB81" s="1087">
        <f t="shared" si="189">IF(ISNA(VLOOKUP(AY81,$AN$8:$AW$148,4,False))=True,"",VLOOKUP(AY81,$AN$8:$AW$148,4,False))</f>
        <v>0</v>
      </c>
      <c r="BC81" s="1087">
        <f t="shared" si="190">IF(ISNA(VLOOKUP(AY81,$AN$8:$AW$148,5,False))=True,"",VLOOKUP(AY81,$AN$8:$AW$148,5,False))</f>
        <v>0</v>
      </c>
      <c r="BD81" s="1087" t="str">
        <f t="shared" si="267">IF(ISNA(VLOOKUP(AY81,$AN$8:$AW$148,6,False))=True,"0",VLOOKUP(AY81,$AN$8:$AW$148,6,False))</f>
        <v>0</v>
      </c>
      <c r="BE81" s="1125">
        <f t="shared" si="191">IF(ISNA(VLOOKUP(AY81,$AN$8:$AW$148,7,False))=True,"",VLOOKUP(AY81,$AN$8:$AW$148,7,False))</f>
        <v>0</v>
      </c>
      <c r="BF81" s="1123">
        <f t="shared" si="192">IF(ISNA(VLOOKUP($AY81,$AN$8:$AW$148,8,False))=True,"",VLOOKUP($AY81,$AN$8:$AW$148,8,False))</f>
        <v>0</v>
      </c>
      <c r="BG81" s="1120">
        <f t="shared" si="193">IF(ISNA(VLOOKUP($AY81,$AN$8:$AW$148,9,False))=True,"",VLOOKUP($AY81,$AN$8:$AW$148,9,False))</f>
        <v>0</v>
      </c>
      <c r="BH81" s="1120">
        <f t="shared" si="194">IF(ISNA(VLOOKUP($AY81,$AN$8:$AW$148,10,False))=True,"",VLOOKUP($AY81,$AN$8:$AW$148,10,False))</f>
        <v>0</v>
      </c>
      <c r="BI81" s="250">
        <f t="shared" si="270">IF(AZ81&lt;&gt;"",AZ81,"")</f>
        <v>0</v>
      </c>
      <c r="BJ81" s="1098">
        <f t="shared" si="271">BI81</f>
        <v>0</v>
      </c>
      <c r="BK81" s="1115">
        <f>COUNTIFS($AZ:$AZ, AZ81,$BJ:$BJ, "&lt;"&amp;BJ81)+COUNTIFS(AZ$8:AZ81, AZ81, BJ$8:BJ81, BJ81)</f>
        <v>74</v>
      </c>
      <c r="BL81" s="1114">
        <f t="shared" si="272">BK81/100</f>
        <v>0.74</v>
      </c>
      <c r="BM81" s="1093" t="e">
        <f t="shared" si="381" ref="BM81">BI81+BL81</f>
        <v>#VALUE!</v>
      </c>
      <c r="BN81" s="1101">
        <f t="shared" si="274">IF(BA81&lt;&gt;"",BM81,"")</f>
        <v>0</v>
      </c>
      <c r="BO81" s="1118">
        <f t="shared" si="275">IF(BN81&lt;&gt;"",BN81,0)</f>
        <v>0</v>
      </c>
      <c r="BP81" s="237" t="e">
        <f t="shared" si="312">SMALL($BN$8:$BN$152,AX81)</f>
        <v>#VALUE!</v>
      </c>
      <c r="BR81" s="1102" t="e">
        <f t="shared" si="294">IF(BP81&lt;&gt;"",BR80+1,"")</f>
        <v>#VALUE!</v>
      </c>
      <c r="BS81" s="1102">
        <f t="shared" si="276">IFERROR(BP81,"")</f>
        <v>0</v>
      </c>
      <c r="BT81" s="1102">
        <f t="shared" si="277">IFERROR(CC81,"")</f>
        <v>0</v>
      </c>
      <c r="BU81" s="1098">
        <f t="shared" si="278">IFERROR(CD81,"")</f>
        <v>0</v>
      </c>
      <c r="BV81" s="1098">
        <f t="shared" si="279">IFERROR(CE81,"")</f>
        <v>0</v>
      </c>
      <c r="BW81" s="1098">
        <f t="shared" si="280">IFERROR(CF81,"")</f>
        <v>0</v>
      </c>
      <c r="BX81" s="1146">
        <f t="shared" si="281">IFERROR(CH81,"")</f>
        <v>0</v>
      </c>
      <c r="BY81" s="1098">
        <f t="shared" si="282">IFERROR(CG81,"")</f>
        <v>0</v>
      </c>
      <c r="BZ81" s="1144" t="str">
        <f t="shared" si="283">IFERROR(CI81,"-")</f>
        <v>-</v>
      </c>
      <c r="CA81" s="1107">
        <f t="shared" si="284">IFERROR(CJ81,"")</f>
        <v>0</v>
      </c>
      <c r="CB81" s="1107">
        <f t="shared" si="285">IFERROR(CK81,"")</f>
        <v>0</v>
      </c>
      <c r="CC81" s="1110" t="e">
        <f t="shared" si="313">INDEX($AZ$8:$AZ$153,MATCH(BP81,$BO$8:$BO$153,0))</f>
        <v>#VALUE!</v>
      </c>
      <c r="CD81" s="1087" t="e">
        <f t="shared" si="314">INDEX($BA$8:$BA$153,MATCH(BP81,$BO$8:$BO$153,0))</f>
        <v>#VALUE!</v>
      </c>
      <c r="CE81" s="1106" t="e">
        <f t="shared" si="315">INDEX($BB$8:$BB$153,MATCH(BP81,$BO$8:$BO$153,0))</f>
        <v>#VALUE!</v>
      </c>
      <c r="CF81" s="1106" t="e">
        <f t="shared" si="316">INDEX(BC$8:BC$153,MATCH(BP81,$BO$8:$BO$153,0))</f>
        <v>#VALUE!</v>
      </c>
      <c r="CG81" s="1118" t="e">
        <f t="shared" si="317">INDEX(BE$8:BE$153,MATCH(BP81,$BO$8:$BO$153,0))</f>
        <v>#VALUE!</v>
      </c>
      <c r="CH81" s="1106" t="e">
        <f t="shared" si="318">INDEX($BD$8:$BD$153,MATCH($BP81,$BO$8:$BO$153,0))</f>
        <v>#VALUE!</v>
      </c>
      <c r="CI81" s="1142" t="e">
        <f t="shared" si="319">INDEX($BF$8:$BF$153,MATCH(BP81,$BO$8:$BO$153,0))</f>
        <v>#VALUE!</v>
      </c>
      <c r="CJ81" s="1106" t="e">
        <f t="shared" si="320">INDEX($BG$8:$BG$153,MATCH(BP81,$BO$8:$BO$153,0))</f>
        <v>#VALUE!</v>
      </c>
      <c r="CK81" s="1106" t="e">
        <f t="shared" si="321">INDEX($BH$8:$BH$153,MATCH(BP81,$BO$8:$BO$153,0))</f>
        <v>#VALUE!</v>
      </c>
      <c r="CM81" s="1131">
        <f t="shared" si="322">COUNTIF($CH$8:$CH$228,"&lt;="&amp;CH81)</f>
        <v>145</v>
      </c>
      <c r="CN81" s="1121">
        <f t="shared" si="286">--ISNUMBER(BX81)</f>
        <v>0</v>
      </c>
      <c r="CO81" s="1121">
        <f t="shared" si="287">IF(BX81=0,1,0)</f>
        <v>0</v>
      </c>
      <c r="CP81" s="1124">
        <f t="shared" si="197">IF(ISNUMBER(BX81),CM81,IF(ISERROR(BX81),CM81,CM81+$CN$154))+$CO$154</f>
        <v>145</v>
      </c>
      <c r="CQ81" s="237">
        <f>IFERROR(INDEX($BX$8:$BX$153,MATCH(SMALL($CP$8:$CP$153,ROWS($CQ$8:CQ81)+$CO$154),$CP$8:$CP$154,0)),"")</f>
        <v>0</v>
      </c>
      <c r="CR81" s="237">
        <v>0.1</v>
      </c>
      <c r="CS81" s="1135">
        <f t="shared" si="288">CM81+CR81</f>
        <v>145.1</v>
      </c>
      <c r="CT81" s="237">
        <f>COUNTIFS($CM:$CM, CM81,$CS:$CS, "&lt;"&amp;CL)+COUNTIFS(CM$8:CM81, CM81, CS$8:CS81, CS81)</f>
        <v>74</v>
      </c>
      <c r="CU81" s="1109">
        <f t="shared" si="289">CT81/100</f>
        <v>0.74</v>
      </c>
      <c r="CV81" s="1109">
        <f t="shared" si="290">CM81+CU81</f>
        <v>145.74</v>
      </c>
      <c r="CW81" s="237" t="e">
        <f t="shared" si="323">SMALL(CV$8:CV$153,AX81)</f>
        <v>#VALUE!</v>
      </c>
      <c r="CX81" s="1109">
        <f t="shared" si="291">IFERROR(CW81,"")</f>
        <v>0</v>
      </c>
      <c r="CY81" s="237" t="e">
        <f t="shared" si="324">INDEX(BU$8:BU$152,MATCH($CX81,CV$8:CV$152,0))</f>
        <v>#N/A</v>
      </c>
      <c r="CZ81" s="237" t="e">
        <f t="shared" si="325">INDEX(BV$8:BV$152,MATCH($CX81,$CV$8:$CV$152,0))</f>
        <v>#N/A</v>
      </c>
      <c r="DA81" s="237" t="e">
        <f t="shared" si="326">INDEX(BW$8:BW$152,MATCH($CX81,$CV$8:$CV$152,0))</f>
        <v>#N/A</v>
      </c>
      <c r="DB81" s="237" t="e">
        <f t="shared" si="327">INDEX(BX$8:BX$152,MATCH($CX81,$CV$8:$CV$152,0))</f>
        <v>#N/A</v>
      </c>
      <c r="DC81" s="237" t="e">
        <f t="shared" si="328">INDEX(BY$8:BY$152,MATCH($CX81,$CV$8:$CV$152,0))</f>
        <v>#N/A</v>
      </c>
      <c r="DD81" s="237" t="e">
        <f t="shared" si="329">INDEX(BZ$8:BZ$152,MATCH($CX81,$CV$8:$CV$152,0))</f>
        <v>#N/A</v>
      </c>
      <c r="DE81" s="237" t="e">
        <f t="shared" si="330">INDEX(CA$8:CA$152,MATCH($CX81,$CV$8:$CV$152,0))</f>
        <v>#N/A</v>
      </c>
      <c r="DF81" s="237" t="e">
        <f t="shared" si="331">INDEX(CB$8:CB$152,MATCH($CX81,$CV$8:$CV$152,0))</f>
        <v>#N/A</v>
      </c>
    </row>
    <row r="82" spans="1:110">
      <c r="A82" s="1216">
        <v>12</v>
      </c>
      <c r="B82" s="1510"/>
      <c r="C82" s="1022"/>
      <c r="D82" s="1022"/>
      <c r="E82" s="1022"/>
      <c r="F82" s="1022"/>
      <c r="G82" s="1022"/>
      <c r="H82" s="1022"/>
      <c r="I82" s="1475"/>
      <c r="J82" s="1020"/>
      <c r="K82" s="253"/>
      <c r="L82" s="254"/>
      <c r="M82" s="255">
        <f t="shared" si="303">K82*L82</f>
        <v>0</v>
      </c>
      <c r="AM82" s="1077">
        <f t="shared" si="304">IF(M82&gt;0,1,0)</f>
        <v>0</v>
      </c>
      <c r="AN82" s="1096">
        <f>IF(K82&gt;0,COUNTIF(AM$8:AM82,"&gt;0"),0)</f>
        <v>0</v>
      </c>
      <c r="AO82" s="1078">
        <f t="shared" si="305">B82</f>
        <v>0</v>
      </c>
      <c r="AP82" s="1079">
        <f t="shared" si="306">C82</f>
        <v>0</v>
      </c>
      <c r="AQ82" s="1080">
        <f t="shared" si="307">IF(I82&lt;&gt;"",YEAR(I82),"")</f>
        <v>0</v>
      </c>
      <c r="AR82" s="1080">
        <f t="shared" si="299">IF(E82&lt;&gt;"",E82,"")</f>
        <v>0</v>
      </c>
      <c r="AS82" s="1078">
        <f t="shared" si="186">F82</f>
        <v>0</v>
      </c>
      <c r="AT82" s="1080">
        <f t="shared" si="300">IF(H82&lt;&gt;"",H82,"")</f>
        <v>0</v>
      </c>
      <c r="AU82" s="1080">
        <f t="shared" si="301">J82</f>
        <v>0</v>
      </c>
      <c r="AV82" s="1080">
        <f t="shared" si="308">K82</f>
        <v>0</v>
      </c>
      <c r="AW82" s="1081">
        <f t="shared" si="309">M82</f>
        <v>0</v>
      </c>
      <c r="AX82" s="237">
        <f t="shared" si="292">IF(AZ82&lt;&gt;"",AX81+1,"")</f>
        <v>0</v>
      </c>
      <c r="AY82" s="1087">
        <v>84</v>
      </c>
      <c r="AZ82" s="1087">
        <f t="shared" si="187">IF(ISNA(VLOOKUP(AY82,$AN$8:$AW$148,2,False))=True,"",VLOOKUP(AY82,$AN$8:$AW$148,2,False))</f>
        <v>0</v>
      </c>
      <c r="BA82" s="1087">
        <f t="shared" si="188">IF(ISNA(VLOOKUP(AZ82,$AE$8:$AF$46,2,False))=True,"",VLOOKUP(AZ82,$AE$8:$AF$46,2,False))</f>
        <v>0</v>
      </c>
      <c r="BB82" s="1087">
        <f t="shared" si="189">IF(ISNA(VLOOKUP(AY82,$AN$8:$AW$148,4,False))=True,"",VLOOKUP(AY82,$AN$8:$AW$148,4,False))</f>
        <v>0</v>
      </c>
      <c r="BC82" s="1087">
        <f t="shared" si="190">IF(ISNA(VLOOKUP(AY82,$AN$8:$AW$148,5,False))=True,"",VLOOKUP(AY82,$AN$8:$AW$148,5,False))</f>
        <v>0</v>
      </c>
      <c r="BD82" s="1087" t="str">
        <f t="shared" si="267">IF(ISNA(VLOOKUP(AY82,$AN$8:$AW$148,6,False))=True,"0",VLOOKUP(AY82,$AN$8:$AW$148,6,False))</f>
        <v>0</v>
      </c>
      <c r="BE82" s="1125">
        <f t="shared" si="191">IF(ISNA(VLOOKUP(AY82,$AN$8:$AW$148,7,False))=True,"",VLOOKUP(AY82,$AN$8:$AW$148,7,False))</f>
        <v>0</v>
      </c>
      <c r="BF82" s="1123">
        <f t="shared" si="192">IF(ISNA(VLOOKUP($AY82,$AN$8:$AW$148,8,False))=True,"",VLOOKUP($AY82,$AN$8:$AW$148,8,False))</f>
        <v>0</v>
      </c>
      <c r="BG82" s="1120">
        <f t="shared" si="193">IF(ISNA(VLOOKUP($AY82,$AN$8:$AW$148,9,False))=True,"",VLOOKUP($AY82,$AN$8:$AW$148,9,False))</f>
        <v>0</v>
      </c>
      <c r="BH82" s="1120">
        <f t="shared" si="194">IF(ISNA(VLOOKUP($AY82,$AN$8:$AW$148,10,False))=True,"",VLOOKUP($AY82,$AN$8:$AW$148,10,False))</f>
        <v>0</v>
      </c>
      <c r="BI82" s="250">
        <f t="shared" si="270">IF(AZ82&lt;&gt;"",AZ82,"")</f>
        <v>0</v>
      </c>
      <c r="BJ82" s="1098">
        <f t="shared" si="271">BI82</f>
        <v>0</v>
      </c>
      <c r="BK82" s="1115">
        <f>COUNTIFS($AZ:$AZ, AZ82,$BJ:$BJ, "&lt;"&amp;BJ82)+COUNTIFS(AZ$8:AZ82, AZ82, BJ$8:BJ82, BJ82)</f>
        <v>75</v>
      </c>
      <c r="BL82" s="1114">
        <f t="shared" si="272">BK82/100</f>
        <v>0.75</v>
      </c>
      <c r="BM82" s="1093" t="e">
        <f t="shared" si="382" ref="BM82">BJ82+BL82</f>
        <v>#VALUE!</v>
      </c>
      <c r="BN82" s="1101">
        <f t="shared" si="274">IF(BA82&lt;&gt;"",BM82,"")</f>
        <v>0</v>
      </c>
      <c r="BO82" s="1118">
        <f t="shared" si="275">IF(BN82&lt;&gt;"",BN82,0)</f>
        <v>0</v>
      </c>
      <c r="BP82" s="237" t="e">
        <f t="shared" si="312">SMALL($BN$8:$BN$152,AX82)</f>
        <v>#VALUE!</v>
      </c>
      <c r="BR82" s="1102" t="e">
        <f t="shared" si="294">IF(BP82&lt;&gt;"",BR81+1,"")</f>
        <v>#VALUE!</v>
      </c>
      <c r="BS82" s="1102">
        <f t="shared" si="276">IFERROR(BP82,"")</f>
        <v>0</v>
      </c>
      <c r="BT82" s="1102">
        <f t="shared" si="277">IFERROR(CC82,"")</f>
        <v>0</v>
      </c>
      <c r="BU82" s="1098">
        <f t="shared" si="278">IFERROR(CD82,"")</f>
        <v>0</v>
      </c>
      <c r="BV82" s="1098">
        <f t="shared" si="279">IFERROR(CE82,"")</f>
        <v>0</v>
      </c>
      <c r="BW82" s="1098">
        <f t="shared" si="280">IFERROR(CF82,"")</f>
        <v>0</v>
      </c>
      <c r="BX82" s="1146">
        <f t="shared" si="281">IFERROR(CH82,"")</f>
        <v>0</v>
      </c>
      <c r="BY82" s="1098">
        <f t="shared" si="282">IFERROR(CG82,"")</f>
        <v>0</v>
      </c>
      <c r="BZ82" s="1144" t="str">
        <f t="shared" si="283">IFERROR(CI82,"-")</f>
        <v>-</v>
      </c>
      <c r="CA82" s="1107">
        <f t="shared" si="284">IFERROR(CJ82,"")</f>
        <v>0</v>
      </c>
      <c r="CB82" s="1107">
        <f t="shared" si="285">IFERROR(CK82,"")</f>
        <v>0</v>
      </c>
      <c r="CC82" s="1110" t="e">
        <f t="shared" si="313">INDEX($AZ$8:$AZ$153,MATCH(BP82,$BO$8:$BO$153,0))</f>
        <v>#VALUE!</v>
      </c>
      <c r="CD82" s="1087" t="e">
        <f t="shared" si="314">INDEX($BA$8:$BA$153,MATCH(BP82,$BO$8:$BO$153,0))</f>
        <v>#VALUE!</v>
      </c>
      <c r="CE82" s="1106" t="e">
        <f t="shared" si="315">INDEX($BB$8:$BB$153,MATCH(BP82,$BO$8:$BO$153,0))</f>
        <v>#VALUE!</v>
      </c>
      <c r="CF82" s="1106" t="e">
        <f t="shared" si="316">INDEX(BC$8:BC$153,MATCH(BP82,$BO$8:$BO$153,0))</f>
        <v>#VALUE!</v>
      </c>
      <c r="CG82" s="1118" t="e">
        <f t="shared" si="317">INDEX(BE$8:BE$153,MATCH(BP82,$BO$8:$BO$153,0))</f>
        <v>#VALUE!</v>
      </c>
      <c r="CH82" s="1106" t="e">
        <f t="shared" si="318">INDEX($BD$8:$BD$153,MATCH($BP82,$BO$8:$BO$153,0))</f>
        <v>#VALUE!</v>
      </c>
      <c r="CI82" s="1142" t="e">
        <f t="shared" si="319">INDEX($BF$8:$BF$153,MATCH(BP82,$BO$8:$BO$153,0))</f>
        <v>#VALUE!</v>
      </c>
      <c r="CJ82" s="1106" t="e">
        <f t="shared" si="320">INDEX($BG$8:$BG$153,MATCH(BP82,$BO$8:$BO$153,0))</f>
        <v>#VALUE!</v>
      </c>
      <c r="CK82" s="1106" t="e">
        <f t="shared" si="321">INDEX($BH$8:$BH$153,MATCH(BP82,$BO$8:$BO$153,0))</f>
        <v>#VALUE!</v>
      </c>
      <c r="CM82" s="1131">
        <f t="shared" si="322">COUNTIF($CH$8:$CH$228,"&lt;="&amp;CH82)</f>
        <v>145</v>
      </c>
      <c r="CN82" s="1121">
        <f t="shared" si="286">--ISNUMBER(BX82)</f>
        <v>0</v>
      </c>
      <c r="CO82" s="1121">
        <f t="shared" si="287">IF(BX82=0,1,0)</f>
        <v>0</v>
      </c>
      <c r="CP82" s="1124">
        <f t="shared" si="197">IF(ISNUMBER(BX82),CM82,IF(ISERROR(BX82),CM82,CM82+$CN$154))+$CO$154</f>
        <v>145</v>
      </c>
      <c r="CQ82" s="237">
        <f>IFERROR(INDEX($BX$8:$BX$153,MATCH(SMALL($CP$8:$CP$153,ROWS($CQ$8:CQ82)+$CO$154),$CP$8:$CP$154,0)),"")</f>
        <v>0</v>
      </c>
      <c r="CR82" s="237">
        <v>0.1</v>
      </c>
      <c r="CS82" s="1135">
        <f t="shared" si="288">CM82+CR82</f>
        <v>145.1</v>
      </c>
      <c r="CT82" s="237">
        <f>COUNTIFS($CM:$CM, CM82,$CS:$CS, "&lt;"&amp;CL)+COUNTIFS(CM$8:CM82, CM82, CS$8:CS82, CS82)</f>
        <v>75</v>
      </c>
      <c r="CU82" s="1109">
        <f t="shared" si="289">CT82/100</f>
        <v>0.75</v>
      </c>
      <c r="CV82" s="1109">
        <f t="shared" si="290">CM82+CU82</f>
        <v>145.75</v>
      </c>
      <c r="CW82" s="237" t="e">
        <f t="shared" si="323">SMALL(CV$8:CV$153,AX82)</f>
        <v>#VALUE!</v>
      </c>
      <c r="CX82" s="1109">
        <f t="shared" si="291">IFERROR(CW82,"")</f>
        <v>0</v>
      </c>
      <c r="CY82" s="237" t="e">
        <f t="shared" si="324">INDEX(BU$8:BU$152,MATCH($CX82,CV$8:CV$152,0))</f>
        <v>#N/A</v>
      </c>
      <c r="CZ82" s="237" t="e">
        <f t="shared" si="325">INDEX(BV$8:BV$152,MATCH($CX82,$CV$8:$CV$152,0))</f>
        <v>#N/A</v>
      </c>
      <c r="DA82" s="237" t="e">
        <f t="shared" si="326">INDEX(BW$8:BW$152,MATCH($CX82,$CV$8:$CV$152,0))</f>
        <v>#N/A</v>
      </c>
      <c r="DB82" s="237" t="e">
        <f t="shared" si="327">INDEX(BX$8:BX$152,MATCH($CX82,$CV$8:$CV$152,0))</f>
        <v>#N/A</v>
      </c>
      <c r="DC82" s="237" t="e">
        <f t="shared" si="328">INDEX(BY$8:BY$152,MATCH($CX82,$CV$8:$CV$152,0))</f>
        <v>#N/A</v>
      </c>
      <c r="DD82" s="237" t="e">
        <f t="shared" si="329">INDEX(BZ$8:BZ$152,MATCH($CX82,$CV$8:$CV$152,0))</f>
        <v>#N/A</v>
      </c>
      <c r="DE82" s="237" t="e">
        <f t="shared" si="330">INDEX(CA$8:CA$152,MATCH($CX82,$CV$8:$CV$152,0))</f>
        <v>#N/A</v>
      </c>
      <c r="DF82" s="237" t="e">
        <f t="shared" si="331">INDEX(CB$8:CB$152,MATCH($CX82,$CV$8:$CV$152,0))</f>
        <v>#N/A</v>
      </c>
    </row>
    <row r="83" spans="1:110">
      <c r="A83" s="1216">
        <v>13</v>
      </c>
      <c r="B83" s="1510"/>
      <c r="C83" s="1022"/>
      <c r="D83" s="1022"/>
      <c r="E83" s="1022"/>
      <c r="F83" s="1022"/>
      <c r="G83" s="1022"/>
      <c r="H83" s="1022"/>
      <c r="I83" s="1475"/>
      <c r="J83" s="1020"/>
      <c r="K83" s="253"/>
      <c r="L83" s="254"/>
      <c r="M83" s="255">
        <f t="shared" si="303">K83*L83</f>
        <v>0</v>
      </c>
      <c r="AM83" s="1082">
        <f t="shared" si="304">IF(M83&gt;0,1,0)</f>
        <v>0</v>
      </c>
      <c r="AN83" s="1096">
        <f>IF(AM83&gt;0,COUNTIF(AM$8:AM83,"&gt;0"),0)</f>
        <v>0</v>
      </c>
      <c r="AO83" s="1083">
        <f t="shared" si="305">B83</f>
        <v>0</v>
      </c>
      <c r="AP83" s="1084">
        <f t="shared" si="306">C83</f>
        <v>0</v>
      </c>
      <c r="AQ83" s="1085">
        <f t="shared" si="307">IF(I83&lt;&gt;"",YEAR(I83),"")</f>
        <v>0</v>
      </c>
      <c r="AR83" s="1080">
        <f t="shared" si="299">IF(E83&lt;&gt;"",E83,"")</f>
        <v>0</v>
      </c>
      <c r="AS83" s="1078">
        <f t="shared" si="186">F83</f>
        <v>0</v>
      </c>
      <c r="AT83" s="1080">
        <f t="shared" si="300">IF(H83&lt;&gt;"",H83,"")</f>
        <v>0</v>
      </c>
      <c r="AU83" s="1080">
        <f t="shared" si="301">J83</f>
        <v>0</v>
      </c>
      <c r="AV83" s="1080">
        <f t="shared" si="308">K83</f>
        <v>0</v>
      </c>
      <c r="AW83" s="1086">
        <f t="shared" si="309">M83</f>
        <v>0</v>
      </c>
      <c r="AX83" s="237">
        <f t="shared" si="292">IF(AZ83&lt;&gt;"",AX82+1,"")</f>
        <v>0</v>
      </c>
      <c r="AY83" s="1087">
        <v>85</v>
      </c>
      <c r="AZ83" s="1087">
        <f t="shared" si="187">IF(ISNA(VLOOKUP(AY83,$AN$8:$AW$148,2,False))=True,"",VLOOKUP(AY83,$AN$8:$AW$148,2,False))</f>
        <v>0</v>
      </c>
      <c r="BA83" s="1087">
        <f t="shared" si="188">IF(ISNA(VLOOKUP(AZ83,$AE$8:$AF$46,2,False))=True,"",VLOOKUP(AZ83,$AE$8:$AF$46,2,False))</f>
        <v>0</v>
      </c>
      <c r="BB83" s="1087">
        <f t="shared" si="189">IF(ISNA(VLOOKUP(AY83,$AN$8:$AW$148,4,False))=True,"",VLOOKUP(AY83,$AN$8:$AW$148,4,False))</f>
        <v>0</v>
      </c>
      <c r="BC83" s="1087">
        <f t="shared" si="190">IF(ISNA(VLOOKUP(AY83,$AN$8:$AW$148,5,False))=True,"",VLOOKUP(AY83,$AN$8:$AW$148,5,False))</f>
        <v>0</v>
      </c>
      <c r="BD83" s="1087" t="str">
        <f t="shared" si="267">IF(ISNA(VLOOKUP(AY83,$AN$8:$AW$148,6,False))=True,"0",VLOOKUP(AY83,$AN$8:$AW$148,6,False))</f>
        <v>0</v>
      </c>
      <c r="BE83" s="1125">
        <f t="shared" si="191">IF(ISNA(VLOOKUP(AY83,$AN$8:$AW$148,7,False))=True,"",VLOOKUP(AY83,$AN$8:$AW$148,7,False))</f>
        <v>0</v>
      </c>
      <c r="BF83" s="1123">
        <f t="shared" si="192">IF(ISNA(VLOOKUP($AY83,$AN$8:$AW$148,8,False))=True,"",VLOOKUP($AY83,$AN$8:$AW$148,8,False))</f>
        <v>0</v>
      </c>
      <c r="BG83" s="1120">
        <f t="shared" si="193">IF(ISNA(VLOOKUP($AY83,$AN$8:$AW$148,9,False))=True,"",VLOOKUP($AY83,$AN$8:$AW$148,9,False))</f>
        <v>0</v>
      </c>
      <c r="BH83" s="1120">
        <f t="shared" si="194">IF(ISNA(VLOOKUP($AY83,$AN$8:$AW$148,10,False))=True,"",VLOOKUP($AY83,$AN$8:$AW$148,10,False))</f>
        <v>0</v>
      </c>
      <c r="BI83" s="250">
        <f t="shared" si="270">IF(AZ83&lt;&gt;"",AZ83,"")</f>
        <v>0</v>
      </c>
      <c r="BJ83" s="1098">
        <f t="shared" si="271">BI83</f>
        <v>0</v>
      </c>
      <c r="BK83" s="1115">
        <f>COUNTIFS($AZ:$AZ, AZ83,$BJ:$BJ, "&lt;"&amp;BJ83)+COUNTIFS(AZ$8:AZ83, AZ83, BJ$8:BJ83, BJ83)</f>
        <v>76</v>
      </c>
      <c r="BL83" s="1114">
        <f t="shared" si="272">BK83/100</f>
        <v>0.76</v>
      </c>
      <c r="BM83" s="1093" t="e">
        <f t="shared" si="383" ref="BM83">BI83+BL83</f>
        <v>#VALUE!</v>
      </c>
      <c r="BN83" s="1101">
        <f t="shared" si="274">IF(BA83&lt;&gt;"",BM83,"")</f>
        <v>0</v>
      </c>
      <c r="BO83" s="1118">
        <f t="shared" si="275">IF(BN83&lt;&gt;"",BN83,0)</f>
        <v>0</v>
      </c>
      <c r="BP83" s="237" t="e">
        <f t="shared" si="312">SMALL($BN$8:$BN$152,AX83)</f>
        <v>#VALUE!</v>
      </c>
      <c r="BR83" s="1102" t="e">
        <f t="shared" si="294">IF(BP83&lt;&gt;"",BR82+1,"")</f>
        <v>#VALUE!</v>
      </c>
      <c r="BS83" s="1102">
        <f t="shared" si="276">IFERROR(BP83,"")</f>
        <v>0</v>
      </c>
      <c r="BT83" s="1102">
        <f t="shared" si="277">IFERROR(CC83,"")</f>
        <v>0</v>
      </c>
      <c r="BU83" s="1098">
        <f t="shared" si="278">IFERROR(CD83,"")</f>
        <v>0</v>
      </c>
      <c r="BV83" s="1098">
        <f t="shared" si="279">IFERROR(CE83,"")</f>
        <v>0</v>
      </c>
      <c r="BW83" s="1098">
        <f t="shared" si="280">IFERROR(CF83,"")</f>
        <v>0</v>
      </c>
      <c r="BX83" s="1146">
        <f t="shared" si="281">IFERROR(CH83,"")</f>
        <v>0</v>
      </c>
      <c r="BY83" s="1098">
        <f t="shared" si="282">IFERROR(CG83,"")</f>
        <v>0</v>
      </c>
      <c r="BZ83" s="1144" t="str">
        <f t="shared" si="283">IFERROR(CI83,"-")</f>
        <v>-</v>
      </c>
      <c r="CA83" s="1107">
        <f t="shared" si="284">IFERROR(CJ83,"")</f>
        <v>0</v>
      </c>
      <c r="CB83" s="1107">
        <f t="shared" si="285">IFERROR(CK83,"")</f>
        <v>0</v>
      </c>
      <c r="CC83" s="1110" t="e">
        <f t="shared" si="313">INDEX($AZ$8:$AZ$153,MATCH(BP83,$BO$8:$BO$153,0))</f>
        <v>#VALUE!</v>
      </c>
      <c r="CD83" s="1087" t="e">
        <f t="shared" si="314">INDEX($BA$8:$BA$153,MATCH(BP83,$BO$8:$BO$153,0))</f>
        <v>#VALUE!</v>
      </c>
      <c r="CE83" s="1106" t="e">
        <f t="shared" si="315">INDEX($BB$8:$BB$153,MATCH(BP83,$BO$8:$BO$153,0))</f>
        <v>#VALUE!</v>
      </c>
      <c r="CF83" s="1106" t="e">
        <f t="shared" si="316">INDEX(BC$8:BC$153,MATCH(BP83,$BO$8:$BO$153,0))</f>
        <v>#VALUE!</v>
      </c>
      <c r="CG83" s="1118" t="e">
        <f t="shared" si="317">INDEX(BE$8:BE$153,MATCH(BP83,$BO$8:$BO$153,0))</f>
        <v>#VALUE!</v>
      </c>
      <c r="CH83" s="1106" t="e">
        <f t="shared" si="318">INDEX($BD$8:$BD$153,MATCH($BP83,$BO$8:$BO$153,0))</f>
        <v>#VALUE!</v>
      </c>
      <c r="CI83" s="1142" t="e">
        <f t="shared" si="319">INDEX($BF$8:$BF$153,MATCH(BP83,$BO$8:$BO$153,0))</f>
        <v>#VALUE!</v>
      </c>
      <c r="CJ83" s="1106" t="e">
        <f t="shared" si="320">INDEX($BG$8:$BG$153,MATCH(BP83,$BO$8:$BO$153,0))</f>
        <v>#VALUE!</v>
      </c>
      <c r="CK83" s="1106" t="e">
        <f t="shared" si="321">INDEX($BH$8:$BH$153,MATCH(BP83,$BO$8:$BO$153,0))</f>
        <v>#VALUE!</v>
      </c>
      <c r="CM83" s="1131">
        <f t="shared" si="322">COUNTIF($CH$8:$CH$228,"&lt;="&amp;CH83)</f>
        <v>145</v>
      </c>
      <c r="CN83" s="1121">
        <f t="shared" si="286">--ISNUMBER(BX83)</f>
        <v>0</v>
      </c>
      <c r="CO83" s="1121">
        <f t="shared" si="287">IF(BX83=0,1,0)</f>
        <v>0</v>
      </c>
      <c r="CP83" s="1124">
        <f t="shared" si="197">IF(ISNUMBER(BX83),CM83,IF(ISERROR(BX83),CM83,CM83+$CN$154))+$CO$154</f>
        <v>145</v>
      </c>
      <c r="CQ83" s="237">
        <f>IFERROR(INDEX($BX$8:$BX$153,MATCH(SMALL($CP$8:$CP$153,ROWS($CQ$8:CQ83)+$CO$154),$CP$8:$CP$154,0)),"")</f>
        <v>0</v>
      </c>
      <c r="CR83" s="237">
        <v>0.1</v>
      </c>
      <c r="CS83" s="1135">
        <f t="shared" si="288">CM83+CR83</f>
        <v>145.1</v>
      </c>
      <c r="CT83" s="237">
        <f>COUNTIFS($CM:$CM, CM83,$CS:$CS, "&lt;"&amp;CL)+COUNTIFS(CM$8:CM83, CM83, CS$8:CS83, CS83)</f>
        <v>76</v>
      </c>
      <c r="CU83" s="1109">
        <f t="shared" si="289">CT83/100</f>
        <v>0.76</v>
      </c>
      <c r="CV83" s="1109">
        <f t="shared" si="290">CM83+CU83</f>
        <v>145.76</v>
      </c>
      <c r="CW83" s="237" t="e">
        <f t="shared" si="323">SMALL(CV$8:CV$153,AX83)</f>
        <v>#VALUE!</v>
      </c>
      <c r="CX83" s="1109">
        <f t="shared" si="291">IFERROR(CW83,"")</f>
        <v>0</v>
      </c>
      <c r="CY83" s="237" t="e">
        <f t="shared" si="324">INDEX(BU$8:BU$152,MATCH($CX83,CV$8:CV$152,0))</f>
        <v>#N/A</v>
      </c>
      <c r="CZ83" s="237" t="e">
        <f t="shared" si="325">INDEX(BV$8:BV$152,MATCH($CX83,$CV$8:$CV$152,0))</f>
        <v>#N/A</v>
      </c>
      <c r="DA83" s="237" t="e">
        <f t="shared" si="326">INDEX(BW$8:BW$152,MATCH($CX83,$CV$8:$CV$152,0))</f>
        <v>#N/A</v>
      </c>
      <c r="DB83" s="237" t="e">
        <f t="shared" si="327">INDEX(BX$8:BX$152,MATCH($CX83,$CV$8:$CV$152,0))</f>
        <v>#N/A</v>
      </c>
      <c r="DC83" s="237" t="e">
        <f t="shared" si="328">INDEX(BY$8:BY$152,MATCH($CX83,$CV$8:$CV$152,0))</f>
        <v>#N/A</v>
      </c>
      <c r="DD83" s="237" t="e">
        <f t="shared" si="329">INDEX(BZ$8:BZ$152,MATCH($CX83,$CV$8:$CV$152,0))</f>
        <v>#N/A</v>
      </c>
      <c r="DE83" s="237" t="e">
        <f t="shared" si="330">INDEX(CA$8:CA$152,MATCH($CX83,$CV$8:$CV$152,0))</f>
        <v>#N/A</v>
      </c>
      <c r="DF83" s="237" t="e">
        <f t="shared" si="331">INDEX(CB$8:CB$152,MATCH($CX83,$CV$8:$CV$152,0))</f>
        <v>#N/A</v>
      </c>
    </row>
    <row r="84" spans="1:110">
      <c r="A84" s="1216">
        <v>14</v>
      </c>
      <c r="B84" s="1510"/>
      <c r="C84" s="1022"/>
      <c r="D84" s="1022"/>
      <c r="E84" s="1022"/>
      <c r="F84" s="1022"/>
      <c r="G84" s="1022"/>
      <c r="H84" s="1022"/>
      <c r="I84" s="1475"/>
      <c r="J84" s="1020"/>
      <c r="K84" s="253"/>
      <c r="L84" s="254"/>
      <c r="M84" s="255">
        <f t="shared" si="303">K84*L84</f>
        <v>0</v>
      </c>
      <c r="AM84" s="1077">
        <f t="shared" si="304">IF(M84&gt;0,1,0)</f>
        <v>0</v>
      </c>
      <c r="AN84" s="1096">
        <f>IF(AM84&gt;0,COUNTIF(AM$8:AM84,"&gt;0"),0)</f>
        <v>0</v>
      </c>
      <c r="AO84" s="1078">
        <f t="shared" si="305">B84</f>
        <v>0</v>
      </c>
      <c r="AP84" s="1079">
        <f t="shared" si="306">C84</f>
        <v>0</v>
      </c>
      <c r="AQ84" s="1080">
        <f t="shared" si="307">IF(I84&lt;&gt;"",YEAR(I84),"")</f>
        <v>0</v>
      </c>
      <c r="AR84" s="1080">
        <f t="shared" si="299">IF(E84&lt;&gt;"",E84,"")</f>
        <v>0</v>
      </c>
      <c r="AS84" s="1078">
        <f t="shared" si="186">F84</f>
        <v>0</v>
      </c>
      <c r="AT84" s="1080">
        <f t="shared" si="300">IF(H84&lt;&gt;"",H84,"")</f>
        <v>0</v>
      </c>
      <c r="AU84" s="1080">
        <f t="shared" si="301">J84</f>
        <v>0</v>
      </c>
      <c r="AV84" s="1080">
        <f t="shared" si="308">K84</f>
        <v>0</v>
      </c>
      <c r="AW84" s="1081">
        <f t="shared" si="309">M84</f>
        <v>0</v>
      </c>
      <c r="AX84" s="237">
        <f t="shared" si="292">IF(AZ84&lt;&gt;"",AX83+1,"")</f>
        <v>0</v>
      </c>
      <c r="AY84" s="1087">
        <v>86</v>
      </c>
      <c r="AZ84" s="1087">
        <f t="shared" si="187">IF(ISNA(VLOOKUP(AY84,$AN$8:$AW$148,2,False))=True,"",VLOOKUP(AY84,$AN$8:$AW$148,2,False))</f>
        <v>0</v>
      </c>
      <c r="BA84" s="1087">
        <f t="shared" si="188">IF(ISNA(VLOOKUP(AZ84,$AE$8:$AF$46,2,False))=True,"",VLOOKUP(AZ84,$AE$8:$AF$46,2,False))</f>
        <v>0</v>
      </c>
      <c r="BB84" s="1087">
        <f t="shared" si="189">IF(ISNA(VLOOKUP(AY84,$AN$8:$AW$148,4,False))=True,"",VLOOKUP(AY84,$AN$8:$AW$148,4,False))</f>
        <v>0</v>
      </c>
      <c r="BC84" s="1087">
        <f t="shared" si="190">IF(ISNA(VLOOKUP(AY84,$AN$8:$AW$148,5,False))=True,"",VLOOKUP(AY84,$AN$8:$AW$148,5,False))</f>
        <v>0</v>
      </c>
      <c r="BD84" s="1087" t="str">
        <f t="shared" si="267">IF(ISNA(VLOOKUP(AY84,$AN$8:$AW$148,6,False))=True,"0",VLOOKUP(AY84,$AN$8:$AW$148,6,False))</f>
        <v>0</v>
      </c>
      <c r="BE84" s="1125">
        <f t="shared" si="191">IF(ISNA(VLOOKUP(AY84,$AN$8:$AW$148,7,False))=True,"",VLOOKUP(AY84,$AN$8:$AW$148,7,False))</f>
        <v>0</v>
      </c>
      <c r="BF84" s="1123">
        <f t="shared" si="192">IF(ISNA(VLOOKUP($AY84,$AN$8:$AW$148,8,False))=True,"",VLOOKUP($AY84,$AN$8:$AW$148,8,False))</f>
        <v>0</v>
      </c>
      <c r="BG84" s="1120">
        <f t="shared" si="193">IF(ISNA(VLOOKUP($AY84,$AN$8:$AW$148,9,False))=True,"",VLOOKUP($AY84,$AN$8:$AW$148,9,False))</f>
        <v>0</v>
      </c>
      <c r="BH84" s="1120">
        <f t="shared" si="194">IF(ISNA(VLOOKUP($AY84,$AN$8:$AW$148,10,False))=True,"",VLOOKUP($AY84,$AN$8:$AW$148,10,False))</f>
        <v>0</v>
      </c>
      <c r="BI84" s="250">
        <f t="shared" si="270">IF(AZ84&lt;&gt;"",AZ84,"")</f>
        <v>0</v>
      </c>
      <c r="BJ84" s="1098">
        <f t="shared" si="271">BI84</f>
        <v>0</v>
      </c>
      <c r="BK84" s="1115">
        <f>COUNTIFS($AZ:$AZ, AZ84,$BJ:$BJ, "&lt;"&amp;BJ84)+COUNTIFS(AZ$8:AZ84, AZ84, BJ$8:BJ84, BJ84)</f>
        <v>77</v>
      </c>
      <c r="BL84" s="1114">
        <f t="shared" si="272">BK84/100</f>
        <v>0.77</v>
      </c>
      <c r="BM84" s="1093" t="e">
        <f t="shared" si="384" ref="BM84">BJ84+BL84</f>
        <v>#VALUE!</v>
      </c>
      <c r="BN84" s="1101">
        <f t="shared" si="274">IF(BA84&lt;&gt;"",BM84,"")</f>
        <v>0</v>
      </c>
      <c r="BO84" s="1118">
        <f t="shared" si="275">IF(BN84&lt;&gt;"",BN84,0)</f>
        <v>0</v>
      </c>
      <c r="BP84" s="237" t="e">
        <f t="shared" si="312">SMALL($BN$8:$BN$152,AX84)</f>
        <v>#VALUE!</v>
      </c>
      <c r="BR84" s="1102" t="e">
        <f t="shared" si="294">IF(BP84&lt;&gt;"",BR83+1,"")</f>
        <v>#VALUE!</v>
      </c>
      <c r="BS84" s="1102">
        <f t="shared" si="276">IFERROR(BP84,"")</f>
        <v>0</v>
      </c>
      <c r="BT84" s="1102">
        <f t="shared" si="277">IFERROR(CC84,"")</f>
        <v>0</v>
      </c>
      <c r="BU84" s="1098">
        <f t="shared" si="278">IFERROR(CD84,"")</f>
        <v>0</v>
      </c>
      <c r="BV84" s="1098">
        <f t="shared" si="279">IFERROR(CE84,"")</f>
        <v>0</v>
      </c>
      <c r="BW84" s="1098">
        <f t="shared" si="280">IFERROR(CF84,"")</f>
        <v>0</v>
      </c>
      <c r="BX84" s="1146">
        <f t="shared" si="281">IFERROR(CH84,"")</f>
        <v>0</v>
      </c>
      <c r="BY84" s="1098">
        <f t="shared" si="282">IFERROR(CG84,"")</f>
        <v>0</v>
      </c>
      <c r="BZ84" s="1144" t="str">
        <f t="shared" si="283">IFERROR(CI84,"-")</f>
        <v>-</v>
      </c>
      <c r="CA84" s="1107">
        <f t="shared" si="284">IFERROR(CJ84,"")</f>
        <v>0</v>
      </c>
      <c r="CB84" s="1107">
        <f t="shared" si="285">IFERROR(CK84,"")</f>
        <v>0</v>
      </c>
      <c r="CC84" s="1110" t="e">
        <f t="shared" si="313">INDEX($AZ$8:$AZ$153,MATCH(BP84,$BO$8:$BO$153,0))</f>
        <v>#VALUE!</v>
      </c>
      <c r="CD84" s="1087" t="e">
        <f t="shared" si="314">INDEX($BA$8:$BA$153,MATCH(BP84,$BO$8:$BO$153,0))</f>
        <v>#VALUE!</v>
      </c>
      <c r="CE84" s="1106" t="e">
        <f t="shared" si="315">INDEX($BB$8:$BB$153,MATCH(BP84,$BO$8:$BO$153,0))</f>
        <v>#VALUE!</v>
      </c>
      <c r="CF84" s="1106" t="e">
        <f t="shared" si="316">INDEX(BC$8:BC$153,MATCH(BP84,$BO$8:$BO$153,0))</f>
        <v>#VALUE!</v>
      </c>
      <c r="CG84" s="1118" t="e">
        <f t="shared" si="317">INDEX(BE$8:BE$153,MATCH(BP84,$BO$8:$BO$153,0))</f>
        <v>#VALUE!</v>
      </c>
      <c r="CH84" s="1106" t="e">
        <f t="shared" si="318">INDEX($BD$8:$BD$153,MATCH($BP84,$BO$8:$BO$153,0))</f>
        <v>#VALUE!</v>
      </c>
      <c r="CI84" s="1142" t="e">
        <f t="shared" si="319">INDEX($BF$8:$BF$153,MATCH(BP84,$BO$8:$BO$153,0))</f>
        <v>#VALUE!</v>
      </c>
      <c r="CJ84" s="1106" t="e">
        <f t="shared" si="320">INDEX($BG$8:$BG$153,MATCH(BP84,$BO$8:$BO$153,0))</f>
        <v>#VALUE!</v>
      </c>
      <c r="CK84" s="1106" t="e">
        <f t="shared" si="321">INDEX($BH$8:$BH$153,MATCH(BP84,$BO$8:$BO$153,0))</f>
        <v>#VALUE!</v>
      </c>
      <c r="CM84" s="1131">
        <f t="shared" si="322">COUNTIF($CH$8:$CH$228,"&lt;="&amp;CH84)</f>
        <v>145</v>
      </c>
      <c r="CN84" s="1121">
        <f t="shared" si="286">--ISNUMBER(BX84)</f>
        <v>0</v>
      </c>
      <c r="CO84" s="1121">
        <f t="shared" si="287">IF(BX84=0,1,0)</f>
        <v>0</v>
      </c>
      <c r="CP84" s="1124">
        <f t="shared" si="197">IF(ISNUMBER(BX84),CM84,IF(ISERROR(BX84),CM84,CM84+$CN$154))+$CO$154</f>
        <v>145</v>
      </c>
      <c r="CQ84" s="237">
        <f>IFERROR(INDEX($BX$8:$BX$153,MATCH(SMALL($CP$8:$CP$153,ROWS($CQ$8:CQ84)+$CO$154),$CP$8:$CP$154,0)),"")</f>
        <v>0</v>
      </c>
      <c r="CR84" s="237">
        <v>0.1</v>
      </c>
      <c r="CS84" s="1135">
        <f t="shared" si="288">CM84+CR84</f>
        <v>145.1</v>
      </c>
      <c r="CT84" s="237">
        <f>COUNTIFS($CM:$CM, CM84,$CS:$CS, "&lt;"&amp;CL)+COUNTIFS(CM$8:CM84, CM84, CS$8:CS84, CS84)</f>
        <v>77</v>
      </c>
      <c r="CU84" s="1109">
        <f t="shared" si="289">CT84/100</f>
        <v>0.77</v>
      </c>
      <c r="CV84" s="1109">
        <f t="shared" si="290">CM84+CU84</f>
        <v>145.77</v>
      </c>
      <c r="CW84" s="237" t="e">
        <f t="shared" si="323">SMALL(CV$8:CV$153,AX84)</f>
        <v>#VALUE!</v>
      </c>
      <c r="CX84" s="1109">
        <f t="shared" si="291">IFERROR(CW84,"")</f>
        <v>0</v>
      </c>
      <c r="CY84" s="237" t="e">
        <f t="shared" si="324">INDEX(BU$8:BU$152,MATCH($CX84,CV$8:CV$152,0))</f>
        <v>#N/A</v>
      </c>
      <c r="CZ84" s="237" t="e">
        <f t="shared" si="325">INDEX(BV$8:BV$152,MATCH($CX84,$CV$8:$CV$152,0))</f>
        <v>#N/A</v>
      </c>
      <c r="DA84" s="237" t="e">
        <f t="shared" si="326">INDEX(BW$8:BW$152,MATCH($CX84,$CV$8:$CV$152,0))</f>
        <v>#N/A</v>
      </c>
      <c r="DB84" s="237" t="e">
        <f t="shared" si="327">INDEX(BX$8:BX$152,MATCH($CX84,$CV$8:$CV$152,0))</f>
        <v>#N/A</v>
      </c>
      <c r="DC84" s="237" t="e">
        <f t="shared" si="328">INDEX(BY$8:BY$152,MATCH($CX84,$CV$8:$CV$152,0))</f>
        <v>#N/A</v>
      </c>
      <c r="DD84" s="237" t="e">
        <f t="shared" si="329">INDEX(BZ$8:BZ$152,MATCH($CX84,$CV$8:$CV$152,0))</f>
        <v>#N/A</v>
      </c>
      <c r="DE84" s="237" t="e">
        <f t="shared" si="330">INDEX(CA$8:CA$152,MATCH($CX84,$CV$8:$CV$152,0))</f>
        <v>#N/A</v>
      </c>
      <c r="DF84" s="237" t="e">
        <f t="shared" si="331">INDEX(CB$8:CB$152,MATCH($CX84,$CV$8:$CV$152,0))</f>
        <v>#N/A</v>
      </c>
    </row>
    <row r="85" spans="1:110" ht="13.5" customHeight="1" thickBot="1">
      <c r="A85" s="1466">
        <v>15</v>
      </c>
      <c r="B85" s="1512"/>
      <c r="C85" s="1023"/>
      <c r="D85" s="1023"/>
      <c r="E85" s="1023"/>
      <c r="F85" s="1023"/>
      <c r="G85" s="1023"/>
      <c r="H85" s="1023"/>
      <c r="I85" s="1477"/>
      <c r="J85" s="256"/>
      <c r="K85" s="257"/>
      <c r="L85" s="258"/>
      <c r="M85" s="259">
        <f t="shared" si="303">K85*L85</f>
        <v>0</v>
      </c>
      <c r="AM85" s="1077">
        <f t="shared" si="304">IF(M85&gt;0,1,0)</f>
        <v>0</v>
      </c>
      <c r="AN85" s="1096">
        <f>IF(K85&gt;0,COUNTIF(AM$8:AM85,"&gt;0"),0)</f>
        <v>0</v>
      </c>
      <c r="AO85" s="1078">
        <f t="shared" si="305">B85</f>
        <v>0</v>
      </c>
      <c r="AP85" s="1079">
        <f t="shared" si="306">C85</f>
        <v>0</v>
      </c>
      <c r="AQ85" s="1080">
        <f t="shared" si="307">IF(I85&lt;&gt;"",YEAR(I85),"")</f>
        <v>0</v>
      </c>
      <c r="AR85" s="1080">
        <f t="shared" si="299">IF(E85&lt;&gt;"",E85,"")</f>
        <v>0</v>
      </c>
      <c r="AS85" s="1078">
        <f t="shared" si="186">F85</f>
        <v>0</v>
      </c>
      <c r="AT85" s="1080">
        <f t="shared" si="300">IF(H85&lt;&gt;"",H85,"")</f>
        <v>0</v>
      </c>
      <c r="AU85" s="1080">
        <f t="shared" si="301">J85</f>
        <v>0</v>
      </c>
      <c r="AV85" s="1080">
        <f t="shared" si="308">K85</f>
        <v>0</v>
      </c>
      <c r="AW85" s="1081">
        <f t="shared" si="309">M85</f>
        <v>0</v>
      </c>
      <c r="AX85" s="237">
        <f t="shared" si="292">IF(AZ85&lt;&gt;"",AX84+1,"")</f>
        <v>0</v>
      </c>
      <c r="AY85" s="1087">
        <v>87</v>
      </c>
      <c r="AZ85" s="1087">
        <f t="shared" si="187">IF(ISNA(VLOOKUP(AY85,$AN$8:$AW$148,2,False))=True,"",VLOOKUP(AY85,$AN$8:$AW$148,2,False))</f>
        <v>0</v>
      </c>
      <c r="BA85" s="1087">
        <f t="shared" si="188">IF(ISNA(VLOOKUP(AZ85,$AE$8:$AF$46,2,False))=True,"",VLOOKUP(AZ85,$AE$8:$AF$46,2,False))</f>
        <v>0</v>
      </c>
      <c r="BB85" s="1087">
        <f t="shared" si="189">IF(ISNA(VLOOKUP(AY85,$AN$8:$AW$148,4,False))=True,"",VLOOKUP(AY85,$AN$8:$AW$148,4,False))</f>
        <v>0</v>
      </c>
      <c r="BC85" s="1087">
        <f t="shared" si="190">IF(ISNA(VLOOKUP(AY85,$AN$8:$AW$148,5,False))=True,"",VLOOKUP(AY85,$AN$8:$AW$148,5,False))</f>
        <v>0</v>
      </c>
      <c r="BD85" s="1087" t="str">
        <f t="shared" si="267">IF(ISNA(VLOOKUP(AY85,$AN$8:$AW$148,6,False))=True,"0",VLOOKUP(AY85,$AN$8:$AW$148,6,False))</f>
        <v>0</v>
      </c>
      <c r="BE85" s="1125">
        <f t="shared" si="191">IF(ISNA(VLOOKUP(AY85,$AN$8:$AW$148,7,False))=True,"",VLOOKUP(AY85,$AN$8:$AW$148,7,False))</f>
        <v>0</v>
      </c>
      <c r="BF85" s="1123">
        <f t="shared" si="192">IF(ISNA(VLOOKUP($AY85,$AN$8:$AW$148,8,False))=True,"",VLOOKUP($AY85,$AN$8:$AW$148,8,False))</f>
        <v>0</v>
      </c>
      <c r="BG85" s="1120">
        <f t="shared" si="193">IF(ISNA(VLOOKUP($AY85,$AN$8:$AW$148,9,False))=True,"",VLOOKUP($AY85,$AN$8:$AW$148,9,False))</f>
        <v>0</v>
      </c>
      <c r="BH85" s="1120">
        <f t="shared" si="194">IF(ISNA(VLOOKUP($AY85,$AN$8:$AW$148,10,False))=True,"",VLOOKUP($AY85,$AN$8:$AW$148,10,False))</f>
        <v>0</v>
      </c>
      <c r="BI85" s="250">
        <f t="shared" si="270">IF(AZ85&lt;&gt;"",AZ85,"")</f>
        <v>0</v>
      </c>
      <c r="BJ85" s="1098">
        <f t="shared" si="271">BI85</f>
        <v>0</v>
      </c>
      <c r="BK85" s="1115">
        <f>COUNTIFS($AZ:$AZ, AZ85,$BJ:$BJ, "&lt;"&amp;BJ85)+COUNTIFS(AZ$8:AZ85, AZ85, BJ$8:BJ85, BJ85)</f>
        <v>78</v>
      </c>
      <c r="BL85" s="1114">
        <f t="shared" si="272">BK85/100</f>
        <v>0.78</v>
      </c>
      <c r="BM85" s="1093" t="e">
        <f t="shared" si="385" ref="BM85">BI85+BL85</f>
        <v>#VALUE!</v>
      </c>
      <c r="BN85" s="1101">
        <f t="shared" si="274">IF(BA85&lt;&gt;"",BM85,"")</f>
        <v>0</v>
      </c>
      <c r="BO85" s="1118">
        <f t="shared" si="275">IF(BN85&lt;&gt;"",BN85,0)</f>
        <v>0</v>
      </c>
      <c r="BP85" s="237" t="e">
        <f t="shared" si="312">SMALL($BN$8:$BN$152,AX85)</f>
        <v>#VALUE!</v>
      </c>
      <c r="BR85" s="1102" t="e">
        <f t="shared" si="294">IF(BP85&lt;&gt;"",BR84+1,"")</f>
        <v>#VALUE!</v>
      </c>
      <c r="BS85" s="1102">
        <f t="shared" si="276">IFERROR(BP85,"")</f>
        <v>0</v>
      </c>
      <c r="BT85" s="1102">
        <f t="shared" si="277">IFERROR(CC85,"")</f>
        <v>0</v>
      </c>
      <c r="BU85" s="1098">
        <f t="shared" si="278">IFERROR(CD85,"")</f>
        <v>0</v>
      </c>
      <c r="BV85" s="1098">
        <f t="shared" si="279">IFERROR(CE85,"")</f>
        <v>0</v>
      </c>
      <c r="BW85" s="1098">
        <f t="shared" si="280">IFERROR(CF85,"")</f>
        <v>0</v>
      </c>
      <c r="BX85" s="1146">
        <f t="shared" si="281">IFERROR(CH85,"")</f>
        <v>0</v>
      </c>
      <c r="BY85" s="1098">
        <f t="shared" si="282">IFERROR(CG85,"")</f>
        <v>0</v>
      </c>
      <c r="BZ85" s="1144" t="str">
        <f t="shared" si="283">IFERROR(CI85,"-")</f>
        <v>-</v>
      </c>
      <c r="CA85" s="1107">
        <f t="shared" si="284">IFERROR(CJ85,"")</f>
        <v>0</v>
      </c>
      <c r="CB85" s="1107">
        <f t="shared" si="285">IFERROR(CK85,"")</f>
        <v>0</v>
      </c>
      <c r="CC85" s="1110" t="e">
        <f t="shared" si="313">INDEX($AZ$8:$AZ$153,MATCH(BP85,$BO$8:$BO$153,0))</f>
        <v>#VALUE!</v>
      </c>
      <c r="CD85" s="1087" t="e">
        <f t="shared" si="314">INDEX($BA$8:$BA$153,MATCH(BP85,$BO$8:$BO$153,0))</f>
        <v>#VALUE!</v>
      </c>
      <c r="CE85" s="1106" t="e">
        <f t="shared" si="315">INDEX($BB$8:$BB$153,MATCH(BP85,$BO$8:$BO$153,0))</f>
        <v>#VALUE!</v>
      </c>
      <c r="CF85" s="1106" t="e">
        <f t="shared" si="316">INDEX(BC$8:BC$153,MATCH(BP85,$BO$8:$BO$153,0))</f>
        <v>#VALUE!</v>
      </c>
      <c r="CG85" s="1118" t="e">
        <f t="shared" si="317">INDEX(BE$8:BE$153,MATCH(BP85,$BO$8:$BO$153,0))</f>
        <v>#VALUE!</v>
      </c>
      <c r="CH85" s="1106" t="e">
        <f t="shared" si="318">INDEX($BD$8:$BD$153,MATCH($BP85,$BO$8:$BO$153,0))</f>
        <v>#VALUE!</v>
      </c>
      <c r="CI85" s="1142" t="e">
        <f t="shared" si="319">INDEX($BF$8:$BF$153,MATCH(BP85,$BO$8:$BO$153,0))</f>
        <v>#VALUE!</v>
      </c>
      <c r="CJ85" s="1106" t="e">
        <f t="shared" si="320">INDEX($BG$8:$BG$153,MATCH(BP85,$BO$8:$BO$153,0))</f>
        <v>#VALUE!</v>
      </c>
      <c r="CK85" s="1106" t="e">
        <f t="shared" si="321">INDEX($BH$8:$BH$153,MATCH(BP85,$BO$8:$BO$153,0))</f>
        <v>#VALUE!</v>
      </c>
      <c r="CM85" s="1131">
        <f t="shared" si="322">COUNTIF($CH$8:$CH$228,"&lt;="&amp;CH85)</f>
        <v>145</v>
      </c>
      <c r="CN85" s="1121">
        <f t="shared" si="286">--ISNUMBER(BX85)</f>
        <v>0</v>
      </c>
      <c r="CO85" s="1121">
        <f t="shared" si="287">IF(BX85=0,1,0)</f>
        <v>0</v>
      </c>
      <c r="CP85" s="1124">
        <f t="shared" si="197">IF(ISNUMBER(BX85),CM85,IF(ISERROR(BX85),CM85,CM85+$CN$154))+$CO$154</f>
        <v>145</v>
      </c>
      <c r="CQ85" s="237">
        <f>IFERROR(INDEX($BX$8:$BX$153,MATCH(SMALL($CP$8:$CP$153,ROWS($CQ$8:CQ85)+$CO$154),$CP$8:$CP$154,0)),"")</f>
        <v>0</v>
      </c>
      <c r="CR85" s="237">
        <v>0.1</v>
      </c>
      <c r="CS85" s="1135">
        <f t="shared" si="288">CM85+CR85</f>
        <v>145.1</v>
      </c>
      <c r="CT85" s="237">
        <f>COUNTIFS($CM:$CM, CM85,$CS:$CS, "&lt;"&amp;CL)+COUNTIFS(CM$8:CM85, CM85, CS$8:CS85, CS85)</f>
        <v>78</v>
      </c>
      <c r="CU85" s="1109">
        <f t="shared" si="289">CT85/100</f>
        <v>0.78</v>
      </c>
      <c r="CV85" s="1109">
        <f t="shared" si="290">CM85+CU85</f>
        <v>145.78</v>
      </c>
      <c r="CW85" s="237" t="e">
        <f t="shared" si="323">SMALL(CV$8:CV$153,AX85)</f>
        <v>#VALUE!</v>
      </c>
      <c r="CX85" s="1109">
        <f t="shared" si="291">IFERROR(CW85,"")</f>
        <v>0</v>
      </c>
      <c r="CY85" s="237" t="e">
        <f t="shared" si="324">INDEX(BU$8:BU$152,MATCH($CX85,CV$8:CV$152,0))</f>
        <v>#N/A</v>
      </c>
      <c r="CZ85" s="237" t="e">
        <f t="shared" si="325">INDEX(BV$8:BV$152,MATCH($CX85,$CV$8:$CV$152,0))</f>
        <v>#N/A</v>
      </c>
      <c r="DA85" s="237" t="e">
        <f t="shared" si="326">INDEX(BW$8:BW$152,MATCH($CX85,$CV$8:$CV$152,0))</f>
        <v>#N/A</v>
      </c>
      <c r="DB85" s="237" t="e">
        <f t="shared" si="327">INDEX(BX$8:BX$152,MATCH($CX85,$CV$8:$CV$152,0))</f>
        <v>#N/A</v>
      </c>
      <c r="DC85" s="237" t="e">
        <f t="shared" si="328">INDEX(BY$8:BY$152,MATCH($CX85,$CV$8:$CV$152,0))</f>
        <v>#N/A</v>
      </c>
      <c r="DD85" s="237" t="e">
        <f t="shared" si="329">INDEX(BZ$8:BZ$152,MATCH($CX85,$CV$8:$CV$152,0))</f>
        <v>#N/A</v>
      </c>
      <c r="DE85" s="237" t="e">
        <f t="shared" si="330">INDEX(CA$8:CA$152,MATCH($CX85,$CV$8:$CV$152,0))</f>
        <v>#N/A</v>
      </c>
      <c r="DF85" s="237" t="e">
        <f t="shared" si="331">INDEX(CB$8:CB$152,MATCH($CX85,$CV$8:$CV$152,0))</f>
        <v>#N/A</v>
      </c>
    </row>
    <row r="86" spans="1:110" ht="13.5" customHeight="1" thickTop="1" thickBot="1">
      <c r="A86" s="1214"/>
      <c r="B86" s="1504"/>
      <c r="C86" s="865"/>
      <c r="D86" s="1153"/>
      <c r="E86" s="865"/>
      <c r="F86" s="865"/>
      <c r="G86" s="865"/>
      <c r="H86" s="865"/>
      <c r="I86" s="1471"/>
      <c r="J86" s="763"/>
      <c r="K86" s="763"/>
      <c r="L86" s="867"/>
      <c r="M86" s="807"/>
      <c r="AM86" s="1082"/>
      <c r="AN86" s="1096"/>
      <c r="AO86" s="1083"/>
      <c r="AP86" s="1084"/>
      <c r="AQ86" s="1085"/>
      <c r="AR86" s="1080">
        <f t="shared" si="299">IF(E86&lt;&gt;"",E86,"")</f>
        <v>0</v>
      </c>
      <c r="AS86" s="1078">
        <f t="shared" si="386" ref="AS86:AS127">F86</f>
        <v>0</v>
      </c>
      <c r="AT86" s="1080">
        <f t="shared" si="300">IF(H86&lt;&gt;"",H86,"")</f>
        <v>0</v>
      </c>
      <c r="AU86" s="1080">
        <f t="shared" si="301">J86</f>
        <v>0</v>
      </c>
      <c r="AV86" s="1080"/>
      <c r="AW86" s="1086"/>
      <c r="AX86" s="237">
        <f t="shared" si="292">IF(AZ86&lt;&gt;"",AX85+1,"")</f>
        <v>0</v>
      </c>
      <c r="AY86" s="1087">
        <v>88</v>
      </c>
      <c r="AZ86" s="1087">
        <f t="shared" si="387" ref="AZ86:AZ127">IF(ISNA(VLOOKUP(AY86,$AN$8:$AW$148,2,False))=True,"",VLOOKUP(AY86,$AN$8:$AW$148,2,False))</f>
        <v>0</v>
      </c>
      <c r="BA86" s="1087">
        <f t="shared" si="388" ref="BA86:BA127">IF(ISNA(VLOOKUP(AZ86,$AE$8:$AF$46,2,False))=True,"",VLOOKUP(AZ86,$AE$8:$AF$46,2,False))</f>
        <v>0</v>
      </c>
      <c r="BB86" s="1087">
        <f t="shared" si="389" ref="BB86:BB127">IF(ISNA(VLOOKUP(AY86,$AN$8:$AW$148,4,False))=True,"",VLOOKUP(AY86,$AN$8:$AW$148,4,False))</f>
        <v>0</v>
      </c>
      <c r="BC86" s="1087">
        <f t="shared" si="390" ref="BC86:BC127">IF(ISNA(VLOOKUP(AY86,$AN$8:$AW$148,5,False))=True,"",VLOOKUP(AY86,$AN$8:$AW$148,5,False))</f>
        <v>0</v>
      </c>
      <c r="BD86" s="1087" t="str">
        <f t="shared" si="267">IF(ISNA(VLOOKUP(AY86,$AN$8:$AW$148,6,False))=True,"0",VLOOKUP(AY86,$AN$8:$AW$148,6,False))</f>
        <v>0</v>
      </c>
      <c r="BE86" s="1125">
        <f t="shared" si="391" ref="BE86:BE127">IF(ISNA(VLOOKUP(AY86,$AN$8:$AW$148,7,False))=True,"",VLOOKUP(AY86,$AN$8:$AW$148,7,False))</f>
        <v>0</v>
      </c>
      <c r="BF86" s="1123">
        <f t="shared" si="192">IF(ISNA(VLOOKUP($AY86,$AN$8:$AW$148,8,False))=True,"",VLOOKUP($AY86,$AN$8:$AW$148,8,False))</f>
        <v>0</v>
      </c>
      <c r="BG86" s="1120">
        <f t="shared" si="193">IF(ISNA(VLOOKUP($AY86,$AN$8:$AW$148,9,False))=True,"",VLOOKUP($AY86,$AN$8:$AW$148,9,False))</f>
        <v>0</v>
      </c>
      <c r="BH86" s="1120">
        <f t="shared" si="194">IF(ISNA(VLOOKUP($AY86,$AN$8:$AW$148,10,False))=True,"",VLOOKUP($AY86,$AN$8:$AW$148,10,False))</f>
        <v>0</v>
      </c>
      <c r="BI86" s="250">
        <f t="shared" si="270">IF(AZ86&lt;&gt;"",AZ86,"")</f>
        <v>0</v>
      </c>
      <c r="BJ86" s="1098">
        <f t="shared" si="271">BI86</f>
        <v>0</v>
      </c>
      <c r="BK86" s="1115">
        <f>COUNTIFS($AZ:$AZ, AZ86,$BJ:$BJ, "&lt;"&amp;BJ86)+COUNTIFS(AZ$8:AZ86, AZ86, BJ$8:BJ86, BJ86)</f>
        <v>79</v>
      </c>
      <c r="BL86" s="1114">
        <f t="shared" si="272">BK86/100</f>
        <v>0.79</v>
      </c>
      <c r="BM86" s="1093" t="e">
        <f t="shared" si="392" ref="BM86">BJ86+BL86</f>
        <v>#VALUE!</v>
      </c>
      <c r="BN86" s="1101">
        <f t="shared" si="274">IF(BA86&lt;&gt;"",BM86,"")</f>
        <v>0</v>
      </c>
      <c r="BO86" s="1118">
        <f t="shared" si="275">IF(BN86&lt;&gt;"",BN86,0)</f>
        <v>0</v>
      </c>
      <c r="BP86" s="237" t="e">
        <f t="shared" si="312">SMALL($BN$8:$BN$152,AX86)</f>
        <v>#VALUE!</v>
      </c>
      <c r="BR86" s="1102" t="e">
        <f t="shared" si="294">IF(BP86&lt;&gt;"",BR85+1,"")</f>
        <v>#VALUE!</v>
      </c>
      <c r="BS86" s="1102">
        <f t="shared" si="276">IFERROR(BP86,"")</f>
        <v>0</v>
      </c>
      <c r="BT86" s="1102">
        <f t="shared" si="277">IFERROR(CC86,"")</f>
        <v>0</v>
      </c>
      <c r="BU86" s="1098">
        <f t="shared" si="278">IFERROR(CD86,"")</f>
        <v>0</v>
      </c>
      <c r="BV86" s="1098">
        <f t="shared" si="279">IFERROR(CE86,"")</f>
        <v>0</v>
      </c>
      <c r="BW86" s="1098">
        <f t="shared" si="280">IFERROR(CF86,"")</f>
        <v>0</v>
      </c>
      <c r="BX86" s="1146">
        <f t="shared" si="281">IFERROR(CH86,"")</f>
        <v>0</v>
      </c>
      <c r="BY86" s="1098">
        <f t="shared" si="282">IFERROR(CG86,"")</f>
        <v>0</v>
      </c>
      <c r="BZ86" s="1144" t="str">
        <f t="shared" si="283">IFERROR(CI86,"-")</f>
        <v>-</v>
      </c>
      <c r="CA86" s="1107">
        <f t="shared" si="284">IFERROR(CJ86,"")</f>
        <v>0</v>
      </c>
      <c r="CB86" s="1107">
        <f t="shared" si="285">IFERROR(CK86,"")</f>
        <v>0</v>
      </c>
      <c r="CC86" s="1110" t="e">
        <f t="shared" si="313">INDEX($AZ$8:$AZ$153,MATCH(BP86,$BO$8:$BO$153,0))</f>
        <v>#VALUE!</v>
      </c>
      <c r="CD86" s="1087" t="e">
        <f t="shared" si="314">INDEX($BA$8:$BA$153,MATCH(BP86,$BO$8:$BO$153,0))</f>
        <v>#VALUE!</v>
      </c>
      <c r="CE86" s="1106" t="e">
        <f t="shared" si="315">INDEX($BB$8:$BB$153,MATCH(BP86,$BO$8:$BO$153,0))</f>
        <v>#VALUE!</v>
      </c>
      <c r="CF86" s="1106" t="e">
        <f t="shared" si="316">INDEX(BC$8:BC$153,MATCH(BP86,$BO$8:$BO$153,0))</f>
        <v>#VALUE!</v>
      </c>
      <c r="CG86" s="1118" t="e">
        <f t="shared" si="317">INDEX(BE$8:BE$153,MATCH(BP86,$BO$8:$BO$153,0))</f>
        <v>#VALUE!</v>
      </c>
      <c r="CH86" s="1106" t="e">
        <f t="shared" si="318">INDEX($BD$8:$BD$153,MATCH($BP86,$BO$8:$BO$153,0))</f>
        <v>#VALUE!</v>
      </c>
      <c r="CI86" s="1142" t="e">
        <f t="shared" si="319">INDEX($BF$8:$BF$153,MATCH(BP86,$BO$8:$BO$153,0))</f>
        <v>#VALUE!</v>
      </c>
      <c r="CJ86" s="1106" t="e">
        <f t="shared" si="320">INDEX($BG$8:$BG$153,MATCH(BP86,$BO$8:$BO$153,0))</f>
        <v>#VALUE!</v>
      </c>
      <c r="CK86" s="1106" t="e">
        <f t="shared" si="321">INDEX($BH$8:$BH$153,MATCH(BP86,$BO$8:$BO$153,0))</f>
        <v>#VALUE!</v>
      </c>
      <c r="CM86" s="1131">
        <f t="shared" si="322">COUNTIF($CH$8:$CH$228,"&lt;="&amp;CH86)</f>
        <v>145</v>
      </c>
      <c r="CN86" s="1121">
        <f t="shared" si="286">--ISNUMBER(BX86)</f>
        <v>0</v>
      </c>
      <c r="CO86" s="1121">
        <f t="shared" si="287">IF(BX86=0,1,0)</f>
        <v>0</v>
      </c>
      <c r="CP86" s="1124">
        <f t="shared" si="393" ref="CP86:CP127">IF(ISNUMBER(BX86),CM86,IF(ISERROR(BX86),CM86,CM86+$CN$154))+$CO$154</f>
        <v>145</v>
      </c>
      <c r="CQ86" s="237">
        <f>IFERROR(INDEX($BX$8:$BX$153,MATCH(SMALL($CP$8:$CP$153,ROWS($CQ$8:CQ86)+$CO$154),$CP$8:$CP$154,0)),"")</f>
        <v>0</v>
      </c>
      <c r="CR86" s="237">
        <v>0.1</v>
      </c>
      <c r="CS86" s="1135">
        <f t="shared" si="288">CM86+CR86</f>
        <v>145.1</v>
      </c>
      <c r="CT86" s="237">
        <f>COUNTIFS($CM:$CM, CM86,$CS:$CS, "&lt;"&amp;CL)+COUNTIFS(CM$8:CM86, CM86, CS$8:CS86, CS86)</f>
        <v>79</v>
      </c>
      <c r="CU86" s="1109">
        <f t="shared" si="289">CT86/100</f>
        <v>0.79</v>
      </c>
      <c r="CV86" s="1109">
        <f t="shared" si="290">CM86+CU86</f>
        <v>145.79</v>
      </c>
      <c r="CW86" s="237" t="e">
        <f t="shared" si="323">SMALL(CV$8:CV$153,AX86)</f>
        <v>#VALUE!</v>
      </c>
      <c r="CX86" s="1109">
        <f t="shared" si="291">IFERROR(CW86,"")</f>
        <v>0</v>
      </c>
      <c r="CY86" s="237" t="e">
        <f t="shared" si="324">INDEX(BU$8:BU$152,MATCH($CX86,CV$8:CV$152,0))</f>
        <v>#N/A</v>
      </c>
      <c r="CZ86" s="237" t="e">
        <f t="shared" si="325">INDEX(BV$8:BV$152,MATCH($CX86,$CV$8:$CV$152,0))</f>
        <v>#N/A</v>
      </c>
      <c r="DA86" s="237" t="e">
        <f t="shared" si="326">INDEX(BW$8:BW$152,MATCH($CX86,$CV$8:$CV$152,0))</f>
        <v>#N/A</v>
      </c>
      <c r="DB86" s="237" t="e">
        <f t="shared" si="327">INDEX(BX$8:BX$152,MATCH($CX86,$CV$8:$CV$152,0))</f>
        <v>#N/A</v>
      </c>
      <c r="DC86" s="237" t="e">
        <f t="shared" si="328">INDEX(BY$8:BY$152,MATCH($CX86,$CV$8:$CV$152,0))</f>
        <v>#N/A</v>
      </c>
      <c r="DD86" s="237" t="e">
        <f t="shared" si="329">INDEX(BZ$8:BZ$152,MATCH($CX86,$CV$8:$CV$152,0))</f>
        <v>#N/A</v>
      </c>
      <c r="DE86" s="237" t="e">
        <f t="shared" si="330">INDEX(CA$8:CA$152,MATCH($CX86,$CV$8:$CV$152,0))</f>
        <v>#N/A</v>
      </c>
      <c r="DF86" s="237" t="e">
        <f t="shared" si="331">INDEX(CB$8:CB$152,MATCH($CX86,$CV$8:$CV$152,0))</f>
        <v>#N/A</v>
      </c>
    </row>
    <row r="87" spans="1:110" ht="14.25" customHeight="1" thickTop="1" thickBot="1">
      <c r="A87" s="1215"/>
      <c r="B87" s="1505"/>
      <c r="C87" s="773"/>
      <c r="D87" s="1154"/>
      <c r="E87" s="773"/>
      <c r="F87" s="773"/>
      <c r="G87" s="773"/>
      <c r="H87" s="773"/>
      <c r="I87" s="1474"/>
      <c r="J87" s="763"/>
      <c r="K87" s="763"/>
      <c r="L87" s="868" t="s">
        <v>347</v>
      </c>
      <c r="M87" s="260">
        <f>SUM(M71:M85)</f>
        <v>0</v>
      </c>
      <c r="AM87" s="1077"/>
      <c r="AN87" s="1096"/>
      <c r="AO87" s="1078"/>
      <c r="AP87" s="1079"/>
      <c r="AQ87" s="1080"/>
      <c r="AR87" s="1080">
        <f t="shared" si="299">IF(E87&lt;&gt;"",E87,"")</f>
        <v>0</v>
      </c>
      <c r="AS87" s="1078">
        <f t="shared" si="386">F87</f>
        <v>0</v>
      </c>
      <c r="AT87" s="1080">
        <f t="shared" si="300">IF(H87&lt;&gt;"",H87,"")</f>
        <v>0</v>
      </c>
      <c r="AU87" s="1080">
        <f t="shared" si="301">J87</f>
        <v>0</v>
      </c>
      <c r="AV87" s="1080"/>
      <c r="AW87" s="1081"/>
      <c r="AX87" s="237">
        <f t="shared" si="292">IF(AZ87&lt;&gt;"",AX86+1,"")</f>
        <v>0</v>
      </c>
      <c r="AY87" s="1087">
        <v>89</v>
      </c>
      <c r="AZ87" s="1087">
        <f t="shared" si="387">IF(ISNA(VLOOKUP(AY87,$AN$8:$AW$148,2,False))=True,"",VLOOKUP(AY87,$AN$8:$AW$148,2,False))</f>
        <v>0</v>
      </c>
      <c r="BA87" s="1087">
        <f t="shared" si="388">IF(ISNA(VLOOKUP(AZ87,$AE$8:$AF$46,2,False))=True,"",VLOOKUP(AZ87,$AE$8:$AF$46,2,False))</f>
        <v>0</v>
      </c>
      <c r="BB87" s="1087">
        <f t="shared" si="389">IF(ISNA(VLOOKUP(AY87,$AN$8:$AW$148,4,False))=True,"",VLOOKUP(AY87,$AN$8:$AW$148,4,False))</f>
        <v>0</v>
      </c>
      <c r="BC87" s="1087">
        <f t="shared" si="390">IF(ISNA(VLOOKUP(AY87,$AN$8:$AW$148,5,False))=True,"",VLOOKUP(AY87,$AN$8:$AW$148,5,False))</f>
        <v>0</v>
      </c>
      <c r="BD87" s="1087" t="str">
        <f t="shared" si="267">IF(ISNA(VLOOKUP(AY87,$AN$8:$AW$148,6,False))=True,"0",VLOOKUP(AY87,$AN$8:$AW$148,6,False))</f>
        <v>0</v>
      </c>
      <c r="BE87" s="1125">
        <f t="shared" si="391">IF(ISNA(VLOOKUP(AY87,$AN$8:$AW$148,7,False))=True,"",VLOOKUP(AY87,$AN$8:$AW$148,7,False))</f>
        <v>0</v>
      </c>
      <c r="BF87" s="1123">
        <f t="shared" si="192">IF(ISNA(VLOOKUP($AY87,$AN$8:$AW$148,8,False))=True,"",VLOOKUP($AY87,$AN$8:$AW$148,8,False))</f>
        <v>0</v>
      </c>
      <c r="BG87" s="1120">
        <f t="shared" si="193">IF(ISNA(VLOOKUP($AY87,$AN$8:$AW$148,9,False))=True,"",VLOOKUP($AY87,$AN$8:$AW$148,9,False))</f>
        <v>0</v>
      </c>
      <c r="BH87" s="1120">
        <f t="shared" si="194">IF(ISNA(VLOOKUP($AY87,$AN$8:$AW$148,10,False))=True,"",VLOOKUP($AY87,$AN$8:$AW$148,10,False))</f>
        <v>0</v>
      </c>
      <c r="BI87" s="250">
        <f t="shared" si="270">IF(AZ87&lt;&gt;"",AZ87,"")</f>
        <v>0</v>
      </c>
      <c r="BJ87" s="1098">
        <f t="shared" si="271">BI87</f>
        <v>0</v>
      </c>
      <c r="BK87" s="1115">
        <f>COUNTIFS($AZ:$AZ, AZ87,$BJ:$BJ, "&lt;"&amp;BJ87)+COUNTIFS(AZ$8:AZ87, AZ87, BJ$8:BJ87, BJ87)</f>
        <v>80</v>
      </c>
      <c r="BL87" s="1114">
        <f t="shared" si="272">BK87/100</f>
        <v>0.8</v>
      </c>
      <c r="BM87" s="1093" t="e">
        <f t="shared" si="394" ref="BM87">BI87+BL87</f>
        <v>#VALUE!</v>
      </c>
      <c r="BN87" s="1101">
        <f t="shared" si="274">IF(BA87&lt;&gt;"",BM87,"")</f>
        <v>0</v>
      </c>
      <c r="BO87" s="1118">
        <f t="shared" si="275">IF(BN87&lt;&gt;"",BN87,0)</f>
        <v>0</v>
      </c>
      <c r="BP87" s="237" t="e">
        <f t="shared" si="312">SMALL($BN$8:$BN$152,AX87)</f>
        <v>#VALUE!</v>
      </c>
      <c r="BR87" s="1102" t="e">
        <f t="shared" si="294">IF(BP87&lt;&gt;"",BR86+1,"")</f>
        <v>#VALUE!</v>
      </c>
      <c r="BS87" s="1102">
        <f t="shared" si="276">IFERROR(BP87,"")</f>
        <v>0</v>
      </c>
      <c r="BT87" s="1102">
        <f t="shared" si="277">IFERROR(CC87,"")</f>
        <v>0</v>
      </c>
      <c r="BU87" s="1098">
        <f t="shared" si="278">IFERROR(CD87,"")</f>
        <v>0</v>
      </c>
      <c r="BV87" s="1098">
        <f t="shared" si="279">IFERROR(CE87,"")</f>
        <v>0</v>
      </c>
      <c r="BW87" s="1098">
        <f t="shared" si="280">IFERROR(CF87,"")</f>
        <v>0</v>
      </c>
      <c r="BX87" s="1146">
        <f t="shared" si="281">IFERROR(CH87,"")</f>
        <v>0</v>
      </c>
      <c r="BY87" s="1098">
        <f t="shared" si="282">IFERROR(CG87,"")</f>
        <v>0</v>
      </c>
      <c r="BZ87" s="1144" t="str">
        <f t="shared" si="283">IFERROR(CI87,"-")</f>
        <v>-</v>
      </c>
      <c r="CA87" s="1107">
        <f t="shared" si="284">IFERROR(CJ87,"")</f>
        <v>0</v>
      </c>
      <c r="CB87" s="1107">
        <f t="shared" si="285">IFERROR(CK87,"")</f>
        <v>0</v>
      </c>
      <c r="CC87" s="1110" t="e">
        <f t="shared" si="313">INDEX($AZ$8:$AZ$153,MATCH(BP87,$BO$8:$BO$153,0))</f>
        <v>#VALUE!</v>
      </c>
      <c r="CD87" s="1087" t="e">
        <f t="shared" si="314">INDEX($BA$8:$BA$153,MATCH(BP87,$BO$8:$BO$153,0))</f>
        <v>#VALUE!</v>
      </c>
      <c r="CE87" s="1106" t="e">
        <f t="shared" si="315">INDEX($BB$8:$BB$153,MATCH(BP87,$BO$8:$BO$153,0))</f>
        <v>#VALUE!</v>
      </c>
      <c r="CF87" s="1106" t="e">
        <f t="shared" si="316">INDEX(BC$8:BC$153,MATCH(BP87,$BO$8:$BO$153,0))</f>
        <v>#VALUE!</v>
      </c>
      <c r="CG87" s="1118" t="e">
        <f t="shared" si="317">INDEX(BE$8:BE$153,MATCH(BP87,$BO$8:$BO$153,0))</f>
        <v>#VALUE!</v>
      </c>
      <c r="CH87" s="1106" t="e">
        <f t="shared" si="318">INDEX($BD$8:$BD$153,MATCH($BP87,$BO$8:$BO$153,0))</f>
        <v>#VALUE!</v>
      </c>
      <c r="CI87" s="1142" t="e">
        <f t="shared" si="319">INDEX($BF$8:$BF$153,MATCH(BP87,$BO$8:$BO$153,0))</f>
        <v>#VALUE!</v>
      </c>
      <c r="CJ87" s="1106" t="e">
        <f t="shared" si="320">INDEX($BG$8:$BG$153,MATCH(BP87,$BO$8:$BO$153,0))</f>
        <v>#VALUE!</v>
      </c>
      <c r="CK87" s="1106" t="e">
        <f t="shared" si="321">INDEX($BH$8:$BH$153,MATCH(BP87,$BO$8:$BO$153,0))</f>
        <v>#VALUE!</v>
      </c>
      <c r="CM87" s="1131">
        <f t="shared" si="322">COUNTIF($CH$8:$CH$228,"&lt;="&amp;CH87)</f>
        <v>145</v>
      </c>
      <c r="CN87" s="1121">
        <f t="shared" si="286">--ISNUMBER(BX87)</f>
        <v>0</v>
      </c>
      <c r="CO87" s="1121">
        <f t="shared" si="287">IF(BX87=0,1,0)</f>
        <v>0</v>
      </c>
      <c r="CP87" s="1124">
        <f t="shared" si="393">IF(ISNUMBER(BX87),CM87,IF(ISERROR(BX87),CM87,CM87+$CN$154))+$CO$154</f>
        <v>145</v>
      </c>
      <c r="CQ87" s="237">
        <f>IFERROR(INDEX($BX$8:$BX$153,MATCH(SMALL($CP$8:$CP$153,ROWS($CQ$8:CQ87)+$CO$154),$CP$8:$CP$154,0)),"")</f>
        <v>0</v>
      </c>
      <c r="CR87" s="237">
        <v>0.1</v>
      </c>
      <c r="CS87" s="1135">
        <f t="shared" si="288">CM87+CR87</f>
        <v>145.1</v>
      </c>
      <c r="CT87" s="237">
        <f>COUNTIFS($CM:$CM, CM87,$CS:$CS, "&lt;"&amp;CL)+COUNTIFS(CM$8:CM87, CM87, CS$8:CS87, CS87)</f>
        <v>80</v>
      </c>
      <c r="CU87" s="1109">
        <f t="shared" si="289">CT87/100</f>
        <v>0.8</v>
      </c>
      <c r="CV87" s="1109">
        <f t="shared" si="290">CM87+CU87</f>
        <v>145.8</v>
      </c>
      <c r="CW87" s="237" t="e">
        <f t="shared" si="323">SMALL(CV$8:CV$153,AX87)</f>
        <v>#VALUE!</v>
      </c>
      <c r="CX87" s="1109">
        <f t="shared" si="291">IFERROR(CW87,"")</f>
        <v>0</v>
      </c>
      <c r="CY87" s="237" t="e">
        <f t="shared" si="324">INDEX(BU$8:BU$152,MATCH($CX87,CV$8:CV$152,0))</f>
        <v>#N/A</v>
      </c>
      <c r="CZ87" s="237" t="e">
        <f t="shared" si="325">INDEX(BV$8:BV$152,MATCH($CX87,$CV$8:$CV$152,0))</f>
        <v>#N/A</v>
      </c>
      <c r="DA87" s="237" t="e">
        <f t="shared" si="326">INDEX(BW$8:BW$152,MATCH($CX87,$CV$8:$CV$152,0))</f>
        <v>#N/A</v>
      </c>
      <c r="DB87" s="237" t="e">
        <f t="shared" si="327">INDEX(BX$8:BX$152,MATCH($CX87,$CV$8:$CV$152,0))</f>
        <v>#N/A</v>
      </c>
      <c r="DC87" s="237" t="e">
        <f t="shared" si="328">INDEX(BY$8:BY$152,MATCH($CX87,$CV$8:$CV$152,0))</f>
        <v>#N/A</v>
      </c>
      <c r="DD87" s="237" t="e">
        <f t="shared" si="329">INDEX(BZ$8:BZ$152,MATCH($CX87,$CV$8:$CV$152,0))</f>
        <v>#N/A</v>
      </c>
      <c r="DE87" s="237" t="e">
        <f t="shared" si="330">INDEX(CA$8:CA$152,MATCH($CX87,$CV$8:$CV$152,0))</f>
        <v>#N/A</v>
      </c>
      <c r="DF87" s="237" t="e">
        <f t="shared" si="331">INDEX(CB$8:CB$152,MATCH($CX87,$CV$8:$CV$152,0))</f>
        <v>#N/A</v>
      </c>
    </row>
    <row r="88" spans="1:110" ht="13.5" customHeight="1" thickTop="1">
      <c r="A88" s="866" t="s">
        <v>842</v>
      </c>
      <c r="B88" s="1505"/>
      <c r="C88" s="773"/>
      <c r="D88" s="1154"/>
      <c r="E88" s="773"/>
      <c r="F88" s="773"/>
      <c r="G88" s="773"/>
      <c r="H88" s="773"/>
      <c r="I88" s="1474"/>
      <c r="J88" s="763"/>
      <c r="K88" s="763"/>
      <c r="L88" s="868"/>
      <c r="M88" s="807"/>
      <c r="AM88" s="1077"/>
      <c r="AN88" s="1096"/>
      <c r="AO88" s="1078"/>
      <c r="AP88" s="1079"/>
      <c r="AQ88" s="1080"/>
      <c r="AR88" s="1080">
        <f t="shared" si="299">IF(E88&lt;&gt;"",E88,"")</f>
        <v>0</v>
      </c>
      <c r="AS88" s="1078">
        <f t="shared" si="386">F88</f>
        <v>0</v>
      </c>
      <c r="AT88" s="1080">
        <f t="shared" si="300">IF(H88&lt;&gt;"",H88,"")</f>
        <v>0</v>
      </c>
      <c r="AU88" s="1080">
        <f t="shared" si="301">J88</f>
        <v>0</v>
      </c>
      <c r="AV88" s="1080"/>
      <c r="AW88" s="1081"/>
      <c r="AX88" s="237">
        <f>IF(AZ88&lt;&gt;"",AX87+1,"")</f>
        <v>0</v>
      </c>
      <c r="AY88" s="1087">
        <v>90</v>
      </c>
      <c r="AZ88" s="1087">
        <f t="shared" si="387">IF(ISNA(VLOOKUP(AY88,$AN$8:$AW$148,2,False))=True,"",VLOOKUP(AY88,$AN$8:$AW$148,2,False))</f>
        <v>0</v>
      </c>
      <c r="BA88" s="1087">
        <f t="shared" si="388">IF(ISNA(VLOOKUP(AZ88,$AE$8:$AF$46,2,False))=True,"",VLOOKUP(AZ88,$AE$8:$AF$46,2,False))</f>
        <v>0</v>
      </c>
      <c r="BB88" s="1087">
        <f t="shared" si="389">IF(ISNA(VLOOKUP(AY88,$AN$8:$AW$148,4,False))=True,"",VLOOKUP(AY88,$AN$8:$AW$148,4,False))</f>
        <v>0</v>
      </c>
      <c r="BC88" s="1087">
        <f t="shared" si="390">IF(ISNA(VLOOKUP(AY88,$AN$8:$AW$148,5,False))=True,"",VLOOKUP(AY88,$AN$8:$AW$148,5,False))</f>
        <v>0</v>
      </c>
      <c r="BD88" s="1087" t="str">
        <f t="shared" si="267">IF(ISNA(VLOOKUP(AY88,$AN$8:$AW$148,6,False))=True,"0",VLOOKUP(AY88,$AN$8:$AW$148,6,False))</f>
        <v>0</v>
      </c>
      <c r="BE88" s="1125">
        <f t="shared" si="391">IF(ISNA(VLOOKUP(AY88,$AN$8:$AW$148,7,False))=True,"",VLOOKUP(AY88,$AN$8:$AW$148,7,False))</f>
        <v>0</v>
      </c>
      <c r="BF88" s="1123">
        <f t="shared" si="395" ref="BF88:BF127">IF(ISNA(VLOOKUP($AY88,$AN$8:$AW$148,8,False))=True,"",VLOOKUP($AY88,$AN$8:$AW$148,8,False))</f>
        <v>0</v>
      </c>
      <c r="BG88" s="1120">
        <f t="shared" si="396" ref="BG88:BG127">IF(ISNA(VLOOKUP($AY88,$AN$8:$AW$148,9,False))=True,"",VLOOKUP($AY88,$AN$8:$AW$148,9,False))</f>
        <v>0</v>
      </c>
      <c r="BH88" s="1120">
        <f t="shared" si="397" ref="BH88:BH127">IF(ISNA(VLOOKUP($AY88,$AN$8:$AW$148,10,False))=True,"",VLOOKUP($AY88,$AN$8:$AW$148,10,False))</f>
        <v>0</v>
      </c>
      <c r="BI88" s="250">
        <f t="shared" si="270">IF(AZ88&lt;&gt;"",AZ88,"")</f>
        <v>0</v>
      </c>
      <c r="BJ88" s="1098">
        <f t="shared" si="271">BI88</f>
        <v>0</v>
      </c>
      <c r="BK88" s="1115">
        <f>COUNTIFS($AZ:$AZ, AZ88,$BJ:$BJ, "&lt;"&amp;BJ88)+COUNTIFS(AZ$8:AZ88, AZ88, BJ$8:BJ88, BJ88)</f>
        <v>81</v>
      </c>
      <c r="BL88" s="1114">
        <f t="shared" si="272">BK88/100</f>
        <v>0.81</v>
      </c>
      <c r="BM88" s="1093" t="e">
        <f t="shared" si="398" ref="BM88">BJ88+BL88</f>
        <v>#VALUE!</v>
      </c>
      <c r="BN88" s="1101">
        <f t="shared" si="274">IF(BA88&lt;&gt;"",BM88,"")</f>
        <v>0</v>
      </c>
      <c r="BO88" s="1118">
        <f t="shared" si="275">IF(BN88&lt;&gt;"",BN88,0)</f>
        <v>0</v>
      </c>
      <c r="BP88" s="237" t="e">
        <f t="shared" si="312">SMALL($BN$8:$BN$152,AX88)</f>
        <v>#VALUE!</v>
      </c>
      <c r="BR88" s="1102" t="e">
        <f>IF(BP88&lt;&gt;"",BR87+1,"")</f>
        <v>#VALUE!</v>
      </c>
      <c r="BS88" s="1102">
        <f t="shared" si="276">IFERROR(BP88,"")</f>
        <v>0</v>
      </c>
      <c r="BT88" s="1102">
        <f t="shared" si="277">IFERROR(CC88,"")</f>
        <v>0</v>
      </c>
      <c r="BU88" s="1098">
        <f t="shared" si="278">IFERROR(CD88,"")</f>
        <v>0</v>
      </c>
      <c r="BV88" s="1098">
        <f t="shared" si="279">IFERROR(CE88,"")</f>
        <v>0</v>
      </c>
      <c r="BW88" s="1098">
        <f t="shared" si="280">IFERROR(CF88,"")</f>
        <v>0</v>
      </c>
      <c r="BX88" s="1146">
        <f t="shared" si="281">IFERROR(CH88,"")</f>
        <v>0</v>
      </c>
      <c r="BY88" s="1098">
        <f t="shared" si="282">IFERROR(CG88,"")</f>
        <v>0</v>
      </c>
      <c r="BZ88" s="1144" t="str">
        <f t="shared" si="283">IFERROR(CI88,"-")</f>
        <v>-</v>
      </c>
      <c r="CA88" s="1107">
        <f t="shared" si="284">IFERROR(CJ88,"")</f>
        <v>0</v>
      </c>
      <c r="CB88" s="1107">
        <f t="shared" si="285">IFERROR(CK88,"")</f>
        <v>0</v>
      </c>
      <c r="CC88" s="1110" t="e">
        <f t="shared" si="313">INDEX($AZ$8:$AZ$153,MATCH(BP88,$BO$8:$BO$153,0))</f>
        <v>#VALUE!</v>
      </c>
      <c r="CD88" s="1087" t="e">
        <f t="shared" si="314">INDEX($BA$8:$BA$153,MATCH(BP88,$BO$8:$BO$153,0))</f>
        <v>#VALUE!</v>
      </c>
      <c r="CE88" s="1106" t="e">
        <f t="shared" si="315">INDEX($BB$8:$BB$153,MATCH(BP88,$BO$8:$BO$153,0))</f>
        <v>#VALUE!</v>
      </c>
      <c r="CF88" s="1106" t="e">
        <f t="shared" si="316">INDEX(BC$8:BC$153,MATCH(BP88,$BO$8:$BO$153,0))</f>
        <v>#VALUE!</v>
      </c>
      <c r="CG88" s="1118" t="e">
        <f t="shared" si="317">INDEX(BE$8:BE$153,MATCH(BP88,$BO$8:$BO$153,0))</f>
        <v>#VALUE!</v>
      </c>
      <c r="CH88" s="1106" t="e">
        <f t="shared" si="318">INDEX($BD$8:$BD$153,MATCH($BP88,$BO$8:$BO$153,0))</f>
        <v>#VALUE!</v>
      </c>
      <c r="CI88" s="1142" t="e">
        <f t="shared" si="319">INDEX($BF$8:$BF$153,MATCH(BP88,$BO$8:$BO$153,0))</f>
        <v>#VALUE!</v>
      </c>
      <c r="CJ88" s="1106" t="e">
        <f t="shared" si="320">INDEX($BG$8:$BG$153,MATCH(BP88,$BO$8:$BO$153,0))</f>
        <v>#VALUE!</v>
      </c>
      <c r="CK88" s="1106" t="e">
        <f t="shared" si="321">INDEX($BH$8:$BH$153,MATCH(BP88,$BO$8:$BO$153,0))</f>
        <v>#VALUE!</v>
      </c>
      <c r="CM88" s="1131">
        <f t="shared" si="322">COUNTIF($CH$8:$CH$228,"&lt;="&amp;CH88)</f>
        <v>145</v>
      </c>
      <c r="CN88" s="1121">
        <f t="shared" si="286">--ISNUMBER(BX88)</f>
        <v>0</v>
      </c>
      <c r="CO88" s="1121">
        <f t="shared" si="287">IF(BX88=0,1,0)</f>
        <v>0</v>
      </c>
      <c r="CP88" s="1124">
        <f t="shared" si="393">IF(ISNUMBER(BX88),CM88,IF(ISERROR(BX88),CM88,CM88+$CN$154))+$CO$154</f>
        <v>145</v>
      </c>
      <c r="CQ88" s="237">
        <f>IFERROR(INDEX($BX$8:$BX$153,MATCH(SMALL($CP$8:$CP$153,ROWS($CQ$8:CQ88)+$CO$154),$CP$8:$CP$154,0)),"")</f>
        <v>0</v>
      </c>
      <c r="CR88" s="237">
        <v>0.1</v>
      </c>
      <c r="CS88" s="1135">
        <f t="shared" si="288">CM88+CR88</f>
        <v>145.1</v>
      </c>
      <c r="CT88" s="237">
        <f>COUNTIFS($CM:$CM, CM88,$CS:$CS, "&lt;"&amp;CL)+COUNTIFS(CM$8:CM88, CM88, CS$8:CS88, CS88)</f>
        <v>81</v>
      </c>
      <c r="CU88" s="1109">
        <f t="shared" si="289">CT88/100</f>
        <v>0.81</v>
      </c>
      <c r="CV88" s="1109">
        <f t="shared" si="290">CM88+CU88</f>
        <v>145.81</v>
      </c>
      <c r="CW88" s="237" t="e">
        <f t="shared" si="323">SMALL(CV$8:CV$153,AX88)</f>
        <v>#VALUE!</v>
      </c>
      <c r="CX88" s="1109">
        <f t="shared" si="291">IFERROR(CW88,"")</f>
        <v>0</v>
      </c>
      <c r="CY88" s="237" t="e">
        <f t="shared" si="324">INDEX(BU$8:BU$152,MATCH($CX88,CV$8:CV$152,0))</f>
        <v>#N/A</v>
      </c>
      <c r="CZ88" s="237" t="e">
        <f t="shared" si="325">INDEX(BV$8:BV$152,MATCH($CX88,$CV$8:$CV$152,0))</f>
        <v>#N/A</v>
      </c>
      <c r="DA88" s="237" t="e">
        <f t="shared" si="326">INDEX(BW$8:BW$152,MATCH($CX88,$CV$8:$CV$152,0))</f>
        <v>#N/A</v>
      </c>
      <c r="DB88" s="237" t="e">
        <f t="shared" si="327">INDEX(BX$8:BX$152,MATCH($CX88,$CV$8:$CV$152,0))</f>
        <v>#N/A</v>
      </c>
      <c r="DC88" s="237" t="e">
        <f t="shared" si="328">INDEX(BY$8:BY$152,MATCH($CX88,$CV$8:$CV$152,0))</f>
        <v>#N/A</v>
      </c>
      <c r="DD88" s="237" t="e">
        <f t="shared" si="329">INDEX(BZ$8:BZ$152,MATCH($CX88,$CV$8:$CV$152,0))</f>
        <v>#N/A</v>
      </c>
      <c r="DE88" s="237" t="e">
        <f t="shared" si="330">INDEX(CA$8:CA$152,MATCH($CX88,$CV$8:$CV$152,0))</f>
        <v>#N/A</v>
      </c>
      <c r="DF88" s="237" t="e">
        <f t="shared" si="331">INDEX(CB$8:CB$152,MATCH($CX88,$CV$8:$CV$152,0))</f>
        <v>#N/A</v>
      </c>
    </row>
    <row r="89" spans="1:110" ht="13.5" customHeight="1" thickBot="1">
      <c r="A89" s="1215"/>
      <c r="B89" s="1505"/>
      <c r="C89" s="773"/>
      <c r="D89" s="1154"/>
      <c r="E89" s="773"/>
      <c r="F89" s="773"/>
      <c r="G89" s="773"/>
      <c r="H89" s="773"/>
      <c r="I89" s="1474"/>
      <c r="J89" s="763"/>
      <c r="K89" s="763"/>
      <c r="L89" s="868"/>
      <c r="M89" s="807"/>
      <c r="AM89" s="1082"/>
      <c r="AN89" s="1096"/>
      <c r="AO89" s="1083"/>
      <c r="AP89" s="1084"/>
      <c r="AQ89" s="1085"/>
      <c r="AR89" s="1080">
        <f t="shared" si="299">IF(E89&lt;&gt;"",E89,"")</f>
        <v>0</v>
      </c>
      <c r="AS89" s="1078">
        <f t="shared" si="386">F89</f>
        <v>0</v>
      </c>
      <c r="AT89" s="1080">
        <f t="shared" si="300">IF(H89&lt;&gt;"",H89,"")</f>
        <v>0</v>
      </c>
      <c r="AU89" s="1080">
        <f t="shared" si="301">J89</f>
        <v>0</v>
      </c>
      <c r="AV89" s="1080"/>
      <c r="AW89" s="1086"/>
      <c r="AX89" s="237">
        <f t="shared" si="292">IF(AZ89&lt;&gt;"",AX88+1,"")</f>
        <v>0</v>
      </c>
      <c r="AY89" s="1087">
        <v>91</v>
      </c>
      <c r="AZ89" s="1087">
        <f t="shared" si="387">IF(ISNA(VLOOKUP(AY89,$AN$8:$AW$148,2,False))=True,"",VLOOKUP(AY89,$AN$8:$AW$148,2,False))</f>
        <v>0</v>
      </c>
      <c r="BA89" s="1087">
        <f t="shared" si="388">IF(ISNA(VLOOKUP(AZ89,$AE$8:$AF$46,2,False))=True,"",VLOOKUP(AZ89,$AE$8:$AF$46,2,False))</f>
        <v>0</v>
      </c>
      <c r="BB89" s="1087">
        <f t="shared" si="389">IF(ISNA(VLOOKUP(AY89,$AN$8:$AW$148,4,False))=True,"",VLOOKUP(AY89,$AN$8:$AW$148,4,False))</f>
        <v>0</v>
      </c>
      <c r="BC89" s="1087">
        <f t="shared" si="390">IF(ISNA(VLOOKUP(AY89,$AN$8:$AW$148,5,False))=True,"",VLOOKUP(AY89,$AN$8:$AW$148,5,False))</f>
        <v>0</v>
      </c>
      <c r="BD89" s="1087" t="str">
        <f t="shared" si="267">IF(ISNA(VLOOKUP(AY89,$AN$8:$AW$148,6,False))=True,"0",VLOOKUP(AY89,$AN$8:$AW$148,6,False))</f>
        <v>0</v>
      </c>
      <c r="BE89" s="1125">
        <f t="shared" si="391">IF(ISNA(VLOOKUP(AY89,$AN$8:$AW$148,7,False))=True,"",VLOOKUP(AY89,$AN$8:$AW$148,7,False))</f>
        <v>0</v>
      </c>
      <c r="BF89" s="1123">
        <f t="shared" si="395">IF(ISNA(VLOOKUP($AY89,$AN$8:$AW$148,8,False))=True,"",VLOOKUP($AY89,$AN$8:$AW$148,8,False))</f>
        <v>0</v>
      </c>
      <c r="BG89" s="1120">
        <f t="shared" si="396">IF(ISNA(VLOOKUP($AY89,$AN$8:$AW$148,9,False))=True,"",VLOOKUP($AY89,$AN$8:$AW$148,9,False))</f>
        <v>0</v>
      </c>
      <c r="BH89" s="1120">
        <f t="shared" si="397">IF(ISNA(VLOOKUP($AY89,$AN$8:$AW$148,10,False))=True,"",VLOOKUP($AY89,$AN$8:$AW$148,10,False))</f>
        <v>0</v>
      </c>
      <c r="BI89" s="250">
        <f t="shared" si="270">IF(AZ89&lt;&gt;"",AZ89,"")</f>
        <v>0</v>
      </c>
      <c r="BJ89" s="1098">
        <f t="shared" si="271">BI89</f>
        <v>0</v>
      </c>
      <c r="BK89" s="1115">
        <f>COUNTIFS($AZ:$AZ, AZ89,$BJ:$BJ, "&lt;"&amp;BJ89)+COUNTIFS(AZ$8:AZ89, AZ89, BJ$8:BJ89, BJ89)</f>
        <v>82</v>
      </c>
      <c r="BL89" s="1114">
        <f t="shared" si="272">BK89/100</f>
        <v>0.82</v>
      </c>
      <c r="BM89" s="1093" t="e">
        <f t="shared" si="399" ref="BM89">BI89+BL89</f>
        <v>#VALUE!</v>
      </c>
      <c r="BN89" s="1101">
        <f t="shared" si="274">IF(BA89&lt;&gt;"",BM89,"")</f>
        <v>0</v>
      </c>
      <c r="BO89" s="1118">
        <f t="shared" si="275">IF(BN89&lt;&gt;"",BN89,0)</f>
        <v>0</v>
      </c>
      <c r="BP89" s="237" t="e">
        <f t="shared" si="312">SMALL($BN$8:$BN$152,AX89)</f>
        <v>#VALUE!</v>
      </c>
      <c r="BR89" s="1102" t="e">
        <f t="shared" si="294">IF(BP89&lt;&gt;"",BR88+1,"")</f>
        <v>#VALUE!</v>
      </c>
      <c r="BS89" s="1102">
        <f t="shared" si="276">IFERROR(BP89,"")</f>
        <v>0</v>
      </c>
      <c r="BT89" s="1102">
        <f t="shared" si="277">IFERROR(CC89,"")</f>
        <v>0</v>
      </c>
      <c r="BU89" s="1098">
        <f t="shared" si="278">IFERROR(CD89,"")</f>
        <v>0</v>
      </c>
      <c r="BV89" s="1098">
        <f t="shared" si="279">IFERROR(CE89,"")</f>
        <v>0</v>
      </c>
      <c r="BW89" s="1098">
        <f t="shared" si="280">IFERROR(CF89,"")</f>
        <v>0</v>
      </c>
      <c r="BX89" s="1146">
        <f t="shared" si="281">IFERROR(CH89,"")</f>
        <v>0</v>
      </c>
      <c r="BY89" s="1098">
        <f t="shared" si="282">IFERROR(CG89,"")</f>
        <v>0</v>
      </c>
      <c r="BZ89" s="1144" t="str">
        <f t="shared" si="283">IFERROR(CI89,"-")</f>
        <v>-</v>
      </c>
      <c r="CA89" s="1107">
        <f t="shared" si="284">IFERROR(CJ89,"")</f>
        <v>0</v>
      </c>
      <c r="CB89" s="1107">
        <f t="shared" si="285">IFERROR(CK89,"")</f>
        <v>0</v>
      </c>
      <c r="CC89" s="1110" t="e">
        <f t="shared" si="313">INDEX($AZ$8:$AZ$153,MATCH(BP89,$BO$8:$BO$153,0))</f>
        <v>#VALUE!</v>
      </c>
      <c r="CD89" s="1087" t="e">
        <f t="shared" si="314">INDEX($BA$8:$BA$153,MATCH(BP89,$BO$8:$BO$153,0))</f>
        <v>#VALUE!</v>
      </c>
      <c r="CE89" s="1106" t="e">
        <f t="shared" si="315">INDEX($BB$8:$BB$153,MATCH(BP89,$BO$8:$BO$153,0))</f>
        <v>#VALUE!</v>
      </c>
      <c r="CF89" s="1106" t="e">
        <f t="shared" si="316">INDEX(BC$8:BC$153,MATCH(BP89,$BO$8:$BO$153,0))</f>
        <v>#VALUE!</v>
      </c>
      <c r="CG89" s="1118" t="e">
        <f t="shared" si="317">INDEX(BE$8:BE$153,MATCH(BP89,$BO$8:$BO$153,0))</f>
        <v>#VALUE!</v>
      </c>
      <c r="CH89" s="1106" t="e">
        <f t="shared" si="318">INDEX($BD$8:$BD$153,MATCH($BP89,$BO$8:$BO$153,0))</f>
        <v>#VALUE!</v>
      </c>
      <c r="CI89" s="1142" t="e">
        <f t="shared" si="319">INDEX($BF$8:$BF$153,MATCH(BP89,$BO$8:$BO$153,0))</f>
        <v>#VALUE!</v>
      </c>
      <c r="CJ89" s="1106" t="e">
        <f t="shared" si="320">INDEX($BG$8:$BG$153,MATCH(BP89,$BO$8:$BO$153,0))</f>
        <v>#VALUE!</v>
      </c>
      <c r="CK89" s="1106" t="e">
        <f t="shared" si="321">INDEX($BH$8:$BH$153,MATCH(BP89,$BO$8:$BO$153,0))</f>
        <v>#VALUE!</v>
      </c>
      <c r="CM89" s="1131">
        <f t="shared" si="322">COUNTIF($CH$8:$CH$228,"&lt;="&amp;CH89)</f>
        <v>145</v>
      </c>
      <c r="CN89" s="1121">
        <f t="shared" si="286">--ISNUMBER(BX89)</f>
        <v>0</v>
      </c>
      <c r="CO89" s="1121">
        <f t="shared" si="287">IF(BX89=0,1,0)</f>
        <v>0</v>
      </c>
      <c r="CP89" s="1124">
        <f t="shared" si="393">IF(ISNUMBER(BX89),CM89,IF(ISERROR(BX89),CM89,CM89+$CN$154))+$CO$154</f>
        <v>145</v>
      </c>
      <c r="CQ89" s="237">
        <f>IFERROR(INDEX($BX$8:$BX$153,MATCH(SMALL($CP$8:$CP$153,ROWS($CQ$8:CQ89)+$CO$154),$CP$8:$CP$154,0)),"")</f>
        <v>0</v>
      </c>
      <c r="CR89" s="237">
        <v>0.1</v>
      </c>
      <c r="CS89" s="1135">
        <f t="shared" si="288">CM89+CR89</f>
        <v>145.1</v>
      </c>
      <c r="CT89" s="237">
        <f>COUNTIFS($CM:$CM, CM89,$CS:$CS, "&lt;"&amp;CL)+COUNTIFS(CM$8:CM89, CM89, CS$8:CS89, CS89)</f>
        <v>82</v>
      </c>
      <c r="CU89" s="1109">
        <f t="shared" si="289">CT89/100</f>
        <v>0.82</v>
      </c>
      <c r="CV89" s="1109">
        <f t="shared" si="290">CM89+CU89</f>
        <v>145.82</v>
      </c>
      <c r="CW89" s="237" t="e">
        <f t="shared" si="323">SMALL(CV$8:CV$153,AX89)</f>
        <v>#VALUE!</v>
      </c>
      <c r="CX89" s="1109">
        <f t="shared" si="291">IFERROR(CW89,"")</f>
        <v>0</v>
      </c>
      <c r="CY89" s="237" t="e">
        <f t="shared" si="324">INDEX(BU$8:BU$152,MATCH($CX89,CV$8:CV$152,0))</f>
        <v>#N/A</v>
      </c>
      <c r="CZ89" s="237" t="e">
        <f t="shared" si="325">INDEX(BV$8:BV$152,MATCH($CX89,$CV$8:$CV$152,0))</f>
        <v>#N/A</v>
      </c>
      <c r="DA89" s="237" t="e">
        <f t="shared" si="326">INDEX(BW$8:BW$152,MATCH($CX89,$CV$8:$CV$152,0))</f>
        <v>#N/A</v>
      </c>
      <c r="DB89" s="237" t="e">
        <f t="shared" si="327">INDEX(BX$8:BX$152,MATCH($CX89,$CV$8:$CV$152,0))</f>
        <v>#N/A</v>
      </c>
      <c r="DC89" s="237" t="e">
        <f t="shared" si="328">INDEX(BY$8:BY$152,MATCH($CX89,$CV$8:$CV$152,0))</f>
        <v>#N/A</v>
      </c>
      <c r="DD89" s="237" t="e">
        <f t="shared" si="329">INDEX(BZ$8:BZ$152,MATCH($CX89,$CV$8:$CV$152,0))</f>
        <v>#N/A</v>
      </c>
      <c r="DE89" s="237" t="e">
        <f t="shared" si="330">INDEX(CA$8:CA$152,MATCH($CX89,$CV$8:$CV$152,0))</f>
        <v>#N/A</v>
      </c>
      <c r="DF89" s="237" t="e">
        <f t="shared" si="331">INDEX(CB$8:CB$152,MATCH($CX89,$CV$8:$CV$152,0))</f>
        <v>#N/A</v>
      </c>
    </row>
    <row r="90" spans="1:110" s="252" customFormat="1" ht="13.5" customHeight="1" thickTop="1">
      <c r="A90" s="2037" t="s">
        <v>84</v>
      </c>
      <c r="B90" s="2039" t="s">
        <v>994</v>
      </c>
      <c r="C90" s="2040" t="s">
        <v>340</v>
      </c>
      <c r="D90" s="2036" t="s">
        <v>1090</v>
      </c>
      <c r="E90" s="2041" t="s">
        <v>606</v>
      </c>
      <c r="F90" s="2036" t="s">
        <v>1122</v>
      </c>
      <c r="G90" s="2036" t="s">
        <v>1091</v>
      </c>
      <c r="H90" s="2036" t="s">
        <v>1092</v>
      </c>
      <c r="I90" s="2012" t="s">
        <v>341</v>
      </c>
      <c r="J90" s="2041" t="s">
        <v>342</v>
      </c>
      <c r="K90" s="2041" t="s">
        <v>343</v>
      </c>
      <c r="L90" s="2041"/>
      <c r="M90" s="2042"/>
      <c r="N90" s="252"/>
      <c r="W90" s="1230"/>
      <c r="X90" s="1230"/>
      <c r="Y90" s="423"/>
      <c r="Z90" s="423"/>
      <c r="AA90" s="1231"/>
      <c r="AB90" s="1230"/>
      <c r="AC90" s="423"/>
      <c r="AM90" s="1077"/>
      <c r="AN90" s="1096"/>
      <c r="AO90" s="1078"/>
      <c r="AP90" s="1079"/>
      <c r="AQ90" s="1080"/>
      <c r="AR90" s="1080"/>
      <c r="AS90" s="1078" t="str">
        <f t="shared" si="386">F90</f>
        <v>COUNTRY</v>
      </c>
      <c r="AT90" s="1080"/>
      <c r="AU90" s="1080"/>
      <c r="AV90" s="1080"/>
      <c r="AW90" s="1081"/>
      <c r="AX90" s="237">
        <f t="shared" si="292">IF(AZ90&lt;&gt;"",AX89+1,"")</f>
        <v>0</v>
      </c>
      <c r="AY90" s="1087">
        <v>92</v>
      </c>
      <c r="AZ90" s="1087">
        <f t="shared" si="387">IF(ISNA(VLOOKUP(AY90,$AN$8:$AW$148,2,False))=True,"",VLOOKUP(AY90,$AN$8:$AW$148,2,False))</f>
        <v>0</v>
      </c>
      <c r="BA90" s="1087">
        <f t="shared" si="388">IF(ISNA(VLOOKUP(AZ90,$AE$8:$AF$46,2,False))=True,"",VLOOKUP(AZ90,$AE$8:$AF$46,2,False))</f>
        <v>0</v>
      </c>
      <c r="BB90" s="1087">
        <f t="shared" si="389">IF(ISNA(VLOOKUP(AY90,$AN$8:$AW$148,4,False))=True,"",VLOOKUP(AY90,$AN$8:$AW$148,4,False))</f>
        <v>0</v>
      </c>
      <c r="BC90" s="1087">
        <f t="shared" si="390">IF(ISNA(VLOOKUP(AY90,$AN$8:$AW$148,5,False))=True,"",VLOOKUP(AY90,$AN$8:$AW$148,5,False))</f>
        <v>0</v>
      </c>
      <c r="BD90" s="1087" t="str">
        <f t="shared" si="267">IF(ISNA(VLOOKUP(AY90,$AN$8:$AW$148,6,False))=True,"0",VLOOKUP(AY90,$AN$8:$AW$148,6,False))</f>
        <v>0</v>
      </c>
      <c r="BE90" s="1125">
        <f t="shared" si="391">IF(ISNA(VLOOKUP(AY90,$AN$8:$AW$148,7,False))=True,"",VLOOKUP(AY90,$AN$8:$AW$148,7,False))</f>
        <v>0</v>
      </c>
      <c r="BF90" s="1123">
        <f t="shared" si="395">IF(ISNA(VLOOKUP($AY90,$AN$8:$AW$148,8,False))=True,"",VLOOKUP($AY90,$AN$8:$AW$148,8,False))</f>
        <v>0</v>
      </c>
      <c r="BG90" s="1120">
        <f t="shared" si="396">IF(ISNA(VLOOKUP($AY90,$AN$8:$AW$148,9,False))=True,"",VLOOKUP($AY90,$AN$8:$AW$148,9,False))</f>
        <v>0</v>
      </c>
      <c r="BH90" s="1120">
        <f t="shared" si="397">IF(ISNA(VLOOKUP($AY90,$AN$8:$AW$148,10,False))=True,"",VLOOKUP($AY90,$AN$8:$AW$148,10,False))</f>
        <v>0</v>
      </c>
      <c r="BI90" s="250">
        <f t="shared" si="270">IF(AZ90&lt;&gt;"",AZ90,"")</f>
        <v>0</v>
      </c>
      <c r="BJ90" s="1098">
        <f t="shared" si="271">BI90</f>
        <v>0</v>
      </c>
      <c r="BK90" s="1115">
        <f>COUNTIFS($AZ:$AZ, AZ90,$BJ:$BJ, "&lt;"&amp;BJ90)+COUNTIFS(AZ$8:AZ90, AZ90, BJ$8:BJ90, BJ90)</f>
        <v>83</v>
      </c>
      <c r="BL90" s="1114">
        <f t="shared" si="272">BK90/100</f>
        <v>0.83</v>
      </c>
      <c r="BM90" s="1093" t="e">
        <f t="shared" si="400" ref="BM90">BJ90+BL90</f>
        <v>#VALUE!</v>
      </c>
      <c r="BN90" s="1101">
        <f t="shared" si="274">IF(BA90&lt;&gt;"",BM90,"")</f>
        <v>0</v>
      </c>
      <c r="BO90" s="1118">
        <f t="shared" si="275">IF(BN90&lt;&gt;"",BN90,0)</f>
        <v>0</v>
      </c>
      <c r="BP90" s="237" t="e">
        <f t="shared" si="312">SMALL($BN$8:$BN$152,AX90)</f>
        <v>#VALUE!</v>
      </c>
      <c r="BQ90" s="1109"/>
      <c r="BR90" s="1102" t="e">
        <f t="shared" si="294">IF(BP90&lt;&gt;"",BR89+1,"")</f>
        <v>#VALUE!</v>
      </c>
      <c r="BS90" s="1102">
        <f t="shared" si="276">IFERROR(BP90,"")</f>
        <v>0</v>
      </c>
      <c r="BT90" s="1102">
        <f t="shared" si="277">IFERROR(CC90,"")</f>
        <v>0</v>
      </c>
      <c r="BU90" s="1098">
        <f t="shared" si="278">IFERROR(CD90,"")</f>
        <v>0</v>
      </c>
      <c r="BV90" s="1098">
        <f t="shared" si="279">IFERROR(CE90,"")</f>
        <v>0</v>
      </c>
      <c r="BW90" s="1098">
        <f t="shared" si="280">IFERROR(CF90,"")</f>
        <v>0</v>
      </c>
      <c r="BX90" s="1146">
        <f t="shared" si="281">IFERROR(CH90,"")</f>
        <v>0</v>
      </c>
      <c r="BY90" s="1098">
        <f t="shared" si="282">IFERROR(CG90,"")</f>
        <v>0</v>
      </c>
      <c r="BZ90" s="1144" t="str">
        <f t="shared" si="283">IFERROR(CI90,"-")</f>
        <v>-</v>
      </c>
      <c r="CA90" s="1107">
        <f t="shared" si="284">IFERROR(CJ90,"")</f>
        <v>0</v>
      </c>
      <c r="CB90" s="1107">
        <f t="shared" si="285">IFERROR(CK90,"")</f>
        <v>0</v>
      </c>
      <c r="CC90" s="1110" t="e">
        <f t="shared" si="313">INDEX($AZ$8:$AZ$153,MATCH(BP90,$BO$8:$BO$153,0))</f>
        <v>#VALUE!</v>
      </c>
      <c r="CD90" s="1087" t="e">
        <f t="shared" si="314">INDEX($BA$8:$BA$153,MATCH(BP90,$BO$8:$BO$153,0))</f>
        <v>#VALUE!</v>
      </c>
      <c r="CE90" s="1106" t="e">
        <f t="shared" si="315">INDEX($BB$8:$BB$153,MATCH(BP90,$BO$8:$BO$153,0))</f>
        <v>#VALUE!</v>
      </c>
      <c r="CF90" s="1106" t="e">
        <f t="shared" si="316">INDEX(BC$8:BC$153,MATCH(BP90,$BO$8:$BO$153,0))</f>
        <v>#VALUE!</v>
      </c>
      <c r="CG90" s="1118" t="e">
        <f t="shared" si="317">INDEX(BE$8:BE$153,MATCH(BP90,$BO$8:$BO$153,0))</f>
        <v>#VALUE!</v>
      </c>
      <c r="CH90" s="1106" t="e">
        <f t="shared" si="318">INDEX($BD$8:$BD$153,MATCH($BP90,$BO$8:$BO$153,0))</f>
        <v>#VALUE!</v>
      </c>
      <c r="CI90" s="1142" t="e">
        <f t="shared" si="319">INDEX($BF$8:$BF$153,MATCH(BP90,$BO$8:$BO$153,0))</f>
        <v>#VALUE!</v>
      </c>
      <c r="CJ90" s="1106" t="e">
        <f t="shared" si="320">INDEX($BG$8:$BG$153,MATCH(BP90,$BO$8:$BO$153,0))</f>
        <v>#VALUE!</v>
      </c>
      <c r="CK90" s="1106" t="e">
        <f t="shared" si="321">INDEX($BH$8:$BH$153,MATCH(BP90,$BO$8:$BO$153,0))</f>
        <v>#VALUE!</v>
      </c>
      <c r="CM90" s="1131">
        <f t="shared" si="322">COUNTIF($CH$8:$CH$228,"&lt;="&amp;CH90)</f>
        <v>145</v>
      </c>
      <c r="CN90" s="1121">
        <f t="shared" si="286">--ISNUMBER(BX90)</f>
        <v>0</v>
      </c>
      <c r="CO90" s="1121">
        <f t="shared" si="287">IF(BX90=0,1,0)</f>
        <v>0</v>
      </c>
      <c r="CP90" s="1124">
        <f t="shared" si="393">IF(ISNUMBER(BX90),CM90,IF(ISERROR(BX90),CM90,CM90+$CN$154))+$CO$154</f>
        <v>145</v>
      </c>
      <c r="CQ90" s="237">
        <f>IFERROR(INDEX($BX$8:$BX$153,MATCH(SMALL($CP$8:$CP$153,ROWS($CQ$8:CQ90)+$CO$154),$CP$8:$CP$154,0)),"")</f>
        <v>0</v>
      </c>
      <c r="CR90" s="237">
        <v>0.1</v>
      </c>
      <c r="CS90" s="1135">
        <f t="shared" si="288">CM90+CR90</f>
        <v>145.1</v>
      </c>
      <c r="CT90" s="237">
        <f>COUNTIFS($CM:$CM, CM90,$CS:$CS, "&lt;"&amp;CL)+COUNTIFS(CM$8:CM90, CM90, CS$8:CS90, CS90)</f>
        <v>83</v>
      </c>
      <c r="CU90" s="1109">
        <f t="shared" si="289">CT90/100</f>
        <v>0.83</v>
      </c>
      <c r="CV90" s="1109">
        <f t="shared" si="290">CM90+CU90</f>
        <v>145.83</v>
      </c>
      <c r="CW90" s="237" t="e">
        <f t="shared" si="323">SMALL(CV$8:CV$153,AX90)</f>
        <v>#VALUE!</v>
      </c>
      <c r="CX90" s="1109">
        <f t="shared" si="291">IFERROR(CW90,"")</f>
        <v>0</v>
      </c>
      <c r="CY90" s="237" t="e">
        <f t="shared" si="324">INDEX(BU$8:BU$152,MATCH($CX90,CV$8:CV$152,0))</f>
        <v>#N/A</v>
      </c>
      <c r="CZ90" s="237" t="e">
        <f t="shared" si="325">INDEX(BV$8:BV$152,MATCH($CX90,$CV$8:$CV$152,0))</f>
        <v>#N/A</v>
      </c>
      <c r="DA90" s="237" t="e">
        <f t="shared" si="326">INDEX(BW$8:BW$152,MATCH($CX90,$CV$8:$CV$152,0))</f>
        <v>#N/A</v>
      </c>
      <c r="DB90" s="237" t="e">
        <f t="shared" si="327">INDEX(BX$8:BX$152,MATCH($CX90,$CV$8:$CV$152,0))</f>
        <v>#N/A</v>
      </c>
      <c r="DC90" s="237" t="e">
        <f t="shared" si="328">INDEX(BY$8:BY$152,MATCH($CX90,$CV$8:$CV$152,0))</f>
        <v>#N/A</v>
      </c>
      <c r="DD90" s="237" t="e">
        <f t="shared" si="329">INDEX(BZ$8:BZ$152,MATCH($CX90,$CV$8:$CV$152,0))</f>
        <v>#N/A</v>
      </c>
      <c r="DE90" s="237" t="e">
        <f t="shared" si="330">INDEX(CA$8:CA$152,MATCH($CX90,$CV$8:$CV$152,0))</f>
        <v>#N/A</v>
      </c>
      <c r="DF90" s="237" t="e">
        <f t="shared" si="331">INDEX(CB$8:CB$152,MATCH($CX90,$CV$8:$CV$152,0))</f>
        <v>#N/A</v>
      </c>
    </row>
    <row r="91" spans="1:110" s="252" customFormat="1" ht="13.5" customHeight="1">
      <c r="A91" s="2038"/>
      <c r="B91" s="2031"/>
      <c r="C91" s="1501"/>
      <c r="D91" s="2035"/>
      <c r="E91" s="1033"/>
      <c r="F91" s="2035"/>
      <c r="G91" s="2035"/>
      <c r="H91" s="2035"/>
      <c r="I91" s="2013"/>
      <c r="J91" s="1033"/>
      <c r="K91" s="1033" t="s">
        <v>344</v>
      </c>
      <c r="L91" s="1033" t="s">
        <v>345</v>
      </c>
      <c r="M91" s="1021" t="s">
        <v>346</v>
      </c>
      <c r="N91" s="252"/>
      <c r="W91" s="1230"/>
      <c r="X91" s="1230"/>
      <c r="Y91" s="423"/>
      <c r="Z91" s="423"/>
      <c r="AA91" s="1231"/>
      <c r="AB91" s="1230"/>
      <c r="AC91" s="423"/>
      <c r="AM91" s="1077"/>
      <c r="AN91" s="1096"/>
      <c r="AO91" s="1078"/>
      <c r="AP91" s="1079"/>
      <c r="AQ91" s="1080"/>
      <c r="AR91" s="1080">
        <f t="shared" si="401" ref="AR91:AR110">IF(E91&lt;&gt;"",E91,"")</f>
        <v>0</v>
      </c>
      <c r="AS91" s="1078">
        <f t="shared" si="386">F91</f>
        <v>0</v>
      </c>
      <c r="AT91" s="1080">
        <f t="shared" si="402" ref="AT91:AT110">IF(H91&lt;&gt;"",H91,"")</f>
        <v>0</v>
      </c>
      <c r="AU91" s="1080">
        <f t="shared" si="403" ref="AU91:AU110">J91</f>
        <v>0</v>
      </c>
      <c r="AV91" s="1080"/>
      <c r="AW91" s="1081"/>
      <c r="AX91" s="237">
        <f t="shared" si="292">IF(AZ91&lt;&gt;"",AX90+1,"")</f>
        <v>0</v>
      </c>
      <c r="AY91" s="1087">
        <v>93</v>
      </c>
      <c r="AZ91" s="1087">
        <f t="shared" si="387">IF(ISNA(VLOOKUP(AY91,$AN$8:$AW$148,2,False))=True,"",VLOOKUP(AY91,$AN$8:$AW$148,2,False))</f>
        <v>0</v>
      </c>
      <c r="BA91" s="1087">
        <f t="shared" si="388">IF(ISNA(VLOOKUP(AZ91,$AE$8:$AF$46,2,False))=True,"",VLOOKUP(AZ91,$AE$8:$AF$46,2,False))</f>
        <v>0</v>
      </c>
      <c r="BB91" s="1087">
        <f t="shared" si="389">IF(ISNA(VLOOKUP(AY91,$AN$8:$AW$148,4,False))=True,"",VLOOKUP(AY91,$AN$8:$AW$148,4,False))</f>
        <v>0</v>
      </c>
      <c r="BC91" s="1087">
        <f t="shared" si="390">IF(ISNA(VLOOKUP(AY91,$AN$8:$AW$148,5,False))=True,"",VLOOKUP(AY91,$AN$8:$AW$148,5,False))</f>
        <v>0</v>
      </c>
      <c r="BD91" s="1087" t="str">
        <f t="shared" si="267">IF(ISNA(VLOOKUP(AY91,$AN$8:$AW$148,6,False))=True,"0",VLOOKUP(AY91,$AN$8:$AW$148,6,False))</f>
        <v>0</v>
      </c>
      <c r="BE91" s="1125">
        <f t="shared" si="391">IF(ISNA(VLOOKUP(AY91,$AN$8:$AW$148,7,False))=True,"",VLOOKUP(AY91,$AN$8:$AW$148,7,False))</f>
        <v>0</v>
      </c>
      <c r="BF91" s="1123">
        <f t="shared" si="395">IF(ISNA(VLOOKUP($AY91,$AN$8:$AW$148,8,False))=True,"",VLOOKUP($AY91,$AN$8:$AW$148,8,False))</f>
        <v>0</v>
      </c>
      <c r="BG91" s="1120">
        <f t="shared" si="396">IF(ISNA(VLOOKUP($AY91,$AN$8:$AW$148,9,False))=True,"",VLOOKUP($AY91,$AN$8:$AW$148,9,False))</f>
        <v>0</v>
      </c>
      <c r="BH91" s="1120">
        <f t="shared" si="397">IF(ISNA(VLOOKUP($AY91,$AN$8:$AW$148,10,False))=True,"",VLOOKUP($AY91,$AN$8:$AW$148,10,False))</f>
        <v>0</v>
      </c>
      <c r="BI91" s="250">
        <f t="shared" si="270">IF(AZ91&lt;&gt;"",AZ91,"")</f>
        <v>0</v>
      </c>
      <c r="BJ91" s="1098">
        <f t="shared" si="271">BI91</f>
        <v>0</v>
      </c>
      <c r="BK91" s="1115">
        <f>COUNTIFS($AZ:$AZ, AZ91,$BJ:$BJ, "&lt;"&amp;BJ91)+COUNTIFS(AZ$8:AZ91, AZ91, BJ$8:BJ91, BJ91)</f>
        <v>84</v>
      </c>
      <c r="BL91" s="1114">
        <f t="shared" si="272">BK91/100</f>
        <v>0.84</v>
      </c>
      <c r="BM91" s="1093" t="e">
        <f t="shared" si="404" ref="BM91">BI91+BL91</f>
        <v>#VALUE!</v>
      </c>
      <c r="BN91" s="1101">
        <f t="shared" si="274">IF(BA91&lt;&gt;"",BM91,"")</f>
        <v>0</v>
      </c>
      <c r="BO91" s="1118">
        <f t="shared" si="275">IF(BN91&lt;&gt;"",BN91,0)</f>
        <v>0</v>
      </c>
      <c r="BP91" s="237" t="e">
        <f t="shared" si="312">SMALL($BN$8:$BN$152,AX91)</f>
        <v>#VALUE!</v>
      </c>
      <c r="BQ91" s="1109"/>
      <c r="BR91" s="1102" t="e">
        <f t="shared" si="294">IF(BP91&lt;&gt;"",BR90+1,"")</f>
        <v>#VALUE!</v>
      </c>
      <c r="BS91" s="1102">
        <f t="shared" si="276">IFERROR(BP91,"")</f>
        <v>0</v>
      </c>
      <c r="BT91" s="1102">
        <f t="shared" si="277">IFERROR(CC91,"")</f>
        <v>0</v>
      </c>
      <c r="BU91" s="1098">
        <f t="shared" si="278">IFERROR(CD91,"")</f>
        <v>0</v>
      </c>
      <c r="BV91" s="1098">
        <f t="shared" si="279">IFERROR(CE91,"")</f>
        <v>0</v>
      </c>
      <c r="BW91" s="1098">
        <f t="shared" si="280">IFERROR(CF91,"")</f>
        <v>0</v>
      </c>
      <c r="BX91" s="1146">
        <f t="shared" si="281">IFERROR(CH91,"")</f>
        <v>0</v>
      </c>
      <c r="BY91" s="1098">
        <f t="shared" si="282">IFERROR(CG91,"")</f>
        <v>0</v>
      </c>
      <c r="BZ91" s="1144" t="str">
        <f t="shared" si="283">IFERROR(CI91,"-")</f>
        <v>-</v>
      </c>
      <c r="CA91" s="1107">
        <f t="shared" si="284">IFERROR(CJ91,"")</f>
        <v>0</v>
      </c>
      <c r="CB91" s="1107">
        <f t="shared" si="285">IFERROR(CK91,"")</f>
        <v>0</v>
      </c>
      <c r="CC91" s="1110" t="e">
        <f t="shared" si="313">INDEX($AZ$8:$AZ$153,MATCH(BP91,$BO$8:$BO$153,0))</f>
        <v>#VALUE!</v>
      </c>
      <c r="CD91" s="1087" t="e">
        <f t="shared" si="314">INDEX($BA$8:$BA$153,MATCH(BP91,$BO$8:$BO$153,0))</f>
        <v>#VALUE!</v>
      </c>
      <c r="CE91" s="1106" t="e">
        <f t="shared" si="315">INDEX($BB$8:$BB$153,MATCH(BP91,$BO$8:$BO$153,0))</f>
        <v>#VALUE!</v>
      </c>
      <c r="CF91" s="1106" t="e">
        <f t="shared" si="316">INDEX(BC$8:BC$153,MATCH(BP91,$BO$8:$BO$153,0))</f>
        <v>#VALUE!</v>
      </c>
      <c r="CG91" s="1118" t="e">
        <f t="shared" si="317">INDEX(BE$8:BE$153,MATCH(BP91,$BO$8:$BO$153,0))</f>
        <v>#VALUE!</v>
      </c>
      <c r="CH91" s="1106" t="e">
        <f t="shared" si="318">INDEX($BD$8:$BD$153,MATCH($BP91,$BO$8:$BO$153,0))</f>
        <v>#VALUE!</v>
      </c>
      <c r="CI91" s="1142" t="e">
        <f t="shared" si="319">INDEX($BF$8:$BF$153,MATCH(BP91,$BO$8:$BO$153,0))</f>
        <v>#VALUE!</v>
      </c>
      <c r="CJ91" s="1106" t="e">
        <f t="shared" si="320">INDEX($BG$8:$BG$153,MATCH(BP91,$BO$8:$BO$153,0))</f>
        <v>#VALUE!</v>
      </c>
      <c r="CK91" s="1106" t="e">
        <f t="shared" si="321">INDEX($BH$8:$BH$153,MATCH(BP91,$BO$8:$BO$153,0))</f>
        <v>#VALUE!</v>
      </c>
      <c r="CM91" s="1131">
        <f t="shared" si="322">COUNTIF($CH$8:$CH$228,"&lt;="&amp;CH91)</f>
        <v>145</v>
      </c>
      <c r="CN91" s="1121">
        <f t="shared" si="286">--ISNUMBER(BX91)</f>
        <v>0</v>
      </c>
      <c r="CO91" s="1121">
        <f t="shared" si="287">IF(BX91=0,1,0)</f>
        <v>0</v>
      </c>
      <c r="CP91" s="1124">
        <f t="shared" si="393">IF(ISNUMBER(BX91),CM91,IF(ISERROR(BX91),CM91,CM91+$CN$154))+$CO$154</f>
        <v>145</v>
      </c>
      <c r="CQ91" s="237">
        <f>IFERROR(INDEX($BX$8:$BX$153,MATCH(SMALL($CP$8:$CP$153,ROWS($CQ$8:CQ91)+$CO$154),$CP$8:$CP$154,0)),"")</f>
        <v>0</v>
      </c>
      <c r="CR91" s="237">
        <v>0.1</v>
      </c>
      <c r="CS91" s="1135">
        <f t="shared" si="288">CM91+CR91</f>
        <v>145.1</v>
      </c>
      <c r="CT91" s="237">
        <f>COUNTIFS($CM:$CM, CM91,$CS:$CS, "&lt;"&amp;CL)+COUNTIFS(CM$8:CM91, CM91, CS$8:CS91, CS91)</f>
        <v>84</v>
      </c>
      <c r="CU91" s="1109">
        <f t="shared" si="289">CT91/100</f>
        <v>0.84</v>
      </c>
      <c r="CV91" s="1109">
        <f t="shared" si="290">CM91+CU91</f>
        <v>145.84</v>
      </c>
      <c r="CW91" s="237" t="e">
        <f t="shared" si="323">SMALL(CV$8:CV$153,AX91)</f>
        <v>#VALUE!</v>
      </c>
      <c r="CX91" s="1109">
        <f t="shared" si="291">IFERROR(CW91,"")</f>
        <v>0</v>
      </c>
      <c r="CY91" s="237" t="e">
        <f t="shared" si="324">INDEX(BU$8:BU$152,MATCH($CX91,CV$8:CV$152,0))</f>
        <v>#N/A</v>
      </c>
      <c r="CZ91" s="237" t="e">
        <f t="shared" si="325">INDEX(BV$8:BV$152,MATCH($CX91,$CV$8:$CV$152,0))</f>
        <v>#N/A</v>
      </c>
      <c r="DA91" s="237" t="e">
        <f t="shared" si="326">INDEX(BW$8:BW$152,MATCH($CX91,$CV$8:$CV$152,0))</f>
        <v>#N/A</v>
      </c>
      <c r="DB91" s="237" t="e">
        <f t="shared" si="327">INDEX(BX$8:BX$152,MATCH($CX91,$CV$8:$CV$152,0))</f>
        <v>#N/A</v>
      </c>
      <c r="DC91" s="237" t="e">
        <f t="shared" si="328">INDEX(BY$8:BY$152,MATCH($CX91,$CV$8:$CV$152,0))</f>
        <v>#N/A</v>
      </c>
      <c r="DD91" s="237" t="e">
        <f t="shared" si="329">INDEX(BZ$8:BZ$152,MATCH($CX91,$CV$8:$CV$152,0))</f>
        <v>#N/A</v>
      </c>
      <c r="DE91" s="237" t="e">
        <f t="shared" si="330">INDEX(CA$8:CA$152,MATCH($CX91,$CV$8:$CV$152,0))</f>
        <v>#N/A</v>
      </c>
      <c r="DF91" s="237" t="e">
        <f t="shared" si="331">INDEX(CB$8:CB$152,MATCH($CX91,$CV$8:$CV$152,0))</f>
        <v>#N/A</v>
      </c>
    </row>
    <row r="92" spans="1:110">
      <c r="A92" s="1216">
        <v>1</v>
      </c>
      <c r="B92" s="1510"/>
      <c r="C92" s="1022"/>
      <c r="D92" s="1022"/>
      <c r="E92" s="1022"/>
      <c r="F92" s="1022"/>
      <c r="G92" s="1022"/>
      <c r="H92" s="1022"/>
      <c r="I92" s="1475"/>
      <c r="J92" s="1020"/>
      <c r="K92" s="253"/>
      <c r="L92" s="254"/>
      <c r="M92" s="255">
        <f t="shared" si="405" ref="M92:M106">K92*L92</f>
        <v>0</v>
      </c>
      <c r="AM92" s="1082">
        <f t="shared" si="406" ref="AM92:AM106">IF(M92&gt;0,1,0)</f>
        <v>0</v>
      </c>
      <c r="AN92" s="1096">
        <f>IF(AM92&gt;0,COUNTIF(AM$8:AM92,"&gt;0"),0)</f>
        <v>0</v>
      </c>
      <c r="AO92" s="1083">
        <f t="shared" si="407" ref="AO92:AO106">B92</f>
        <v>0</v>
      </c>
      <c r="AP92" s="1084">
        <f t="shared" si="408" ref="AP92:AP106">C92</f>
        <v>0</v>
      </c>
      <c r="AQ92" s="1085">
        <f t="shared" si="409" ref="AQ92:AQ106">IF(I92&lt;&gt;"",YEAR(I92),"")</f>
        <v>0</v>
      </c>
      <c r="AR92" s="1080">
        <f t="shared" si="401">IF(E92&lt;&gt;"",E92,"")</f>
        <v>0</v>
      </c>
      <c r="AS92" s="1078">
        <f t="shared" si="386">F92</f>
        <v>0</v>
      </c>
      <c r="AT92" s="1080">
        <f t="shared" si="402">IF(H92&lt;&gt;"",H92,"")</f>
        <v>0</v>
      </c>
      <c r="AU92" s="1080">
        <f t="shared" si="403">J92</f>
        <v>0</v>
      </c>
      <c r="AV92" s="1080">
        <f t="shared" si="410" ref="AV92:AV106">K92</f>
        <v>0</v>
      </c>
      <c r="AW92" s="1086">
        <f t="shared" si="411" ref="AW92:AW106">M92</f>
        <v>0</v>
      </c>
      <c r="AX92" s="237">
        <f t="shared" si="292">IF(AZ92&lt;&gt;"",AX91+1,"")</f>
        <v>0</v>
      </c>
      <c r="AY92" s="1087">
        <v>94</v>
      </c>
      <c r="AZ92" s="1087">
        <f t="shared" si="387">IF(ISNA(VLOOKUP(AY92,$AN$8:$AW$148,2,False))=True,"",VLOOKUP(AY92,$AN$8:$AW$148,2,False))</f>
        <v>0</v>
      </c>
      <c r="BA92" s="1087">
        <f t="shared" si="388">IF(ISNA(VLOOKUP(AZ92,$AE$8:$AF$46,2,False))=True,"",VLOOKUP(AZ92,$AE$8:$AF$46,2,False))</f>
        <v>0</v>
      </c>
      <c r="BB92" s="1087">
        <f t="shared" si="389">IF(ISNA(VLOOKUP(AY92,$AN$8:$AW$148,4,False))=True,"",VLOOKUP(AY92,$AN$8:$AW$148,4,False))</f>
        <v>0</v>
      </c>
      <c r="BC92" s="1087">
        <f t="shared" si="390">IF(ISNA(VLOOKUP(AY92,$AN$8:$AW$148,5,False))=True,"",VLOOKUP(AY92,$AN$8:$AW$148,5,False))</f>
        <v>0</v>
      </c>
      <c r="BD92" s="1087" t="str">
        <f t="shared" si="267">IF(ISNA(VLOOKUP(AY92,$AN$8:$AW$148,6,False))=True,"0",VLOOKUP(AY92,$AN$8:$AW$148,6,False))</f>
        <v>0</v>
      </c>
      <c r="BE92" s="1125">
        <f t="shared" si="391">IF(ISNA(VLOOKUP(AY92,$AN$8:$AW$148,7,False))=True,"",VLOOKUP(AY92,$AN$8:$AW$148,7,False))</f>
        <v>0</v>
      </c>
      <c r="BF92" s="1123">
        <f t="shared" si="395">IF(ISNA(VLOOKUP($AY92,$AN$8:$AW$148,8,False))=True,"",VLOOKUP($AY92,$AN$8:$AW$148,8,False))</f>
        <v>0</v>
      </c>
      <c r="BG92" s="1120">
        <f t="shared" si="396">IF(ISNA(VLOOKUP($AY92,$AN$8:$AW$148,9,False))=True,"",VLOOKUP($AY92,$AN$8:$AW$148,9,False))</f>
        <v>0</v>
      </c>
      <c r="BH92" s="1120">
        <f t="shared" si="397">IF(ISNA(VLOOKUP($AY92,$AN$8:$AW$148,10,False))=True,"",VLOOKUP($AY92,$AN$8:$AW$148,10,False))</f>
        <v>0</v>
      </c>
      <c r="BI92" s="250">
        <f t="shared" si="270">IF(AZ92&lt;&gt;"",AZ92,"")</f>
        <v>0</v>
      </c>
      <c r="BJ92" s="1098">
        <f t="shared" si="271">BI92</f>
        <v>0</v>
      </c>
      <c r="BK92" s="1115">
        <f>COUNTIFS($AZ:$AZ, AZ92,$BJ:$BJ, "&lt;"&amp;BJ92)+COUNTIFS(AZ$8:AZ92, AZ92, BJ$8:BJ92, BJ92)</f>
        <v>85</v>
      </c>
      <c r="BL92" s="1114">
        <f t="shared" si="272">BK92/100</f>
        <v>0.85</v>
      </c>
      <c r="BM92" s="1093" t="e">
        <f t="shared" si="412" ref="BM92">BJ92+BL92</f>
        <v>#VALUE!</v>
      </c>
      <c r="BN92" s="1101">
        <f t="shared" si="274">IF(BA92&lt;&gt;"",BM92,"")</f>
        <v>0</v>
      </c>
      <c r="BO92" s="1118">
        <f t="shared" si="275">IF(BN92&lt;&gt;"",BN92,0)</f>
        <v>0</v>
      </c>
      <c r="BP92" s="237" t="e">
        <f t="shared" si="312">SMALL($BN$8:$BN$152,AX92)</f>
        <v>#VALUE!</v>
      </c>
      <c r="BR92" s="1102" t="e">
        <f t="shared" si="294">IF(BP92&lt;&gt;"",BR91+1,"")</f>
        <v>#VALUE!</v>
      </c>
      <c r="BS92" s="1102">
        <f t="shared" si="276">IFERROR(BP92,"")</f>
        <v>0</v>
      </c>
      <c r="BT92" s="1102">
        <f t="shared" si="277">IFERROR(CC92,"")</f>
        <v>0</v>
      </c>
      <c r="BU92" s="1098">
        <f t="shared" si="278">IFERROR(CD92,"")</f>
        <v>0</v>
      </c>
      <c r="BV92" s="1098">
        <f t="shared" si="279">IFERROR(CE92,"")</f>
        <v>0</v>
      </c>
      <c r="BW92" s="1098">
        <f t="shared" si="280">IFERROR(CF92,"")</f>
        <v>0</v>
      </c>
      <c r="BX92" s="1146">
        <f t="shared" si="281">IFERROR(CH92,"")</f>
        <v>0</v>
      </c>
      <c r="BY92" s="1098">
        <f t="shared" si="282">IFERROR(CG92,"")</f>
        <v>0</v>
      </c>
      <c r="BZ92" s="1144" t="str">
        <f t="shared" si="283">IFERROR(CI92,"-")</f>
        <v>-</v>
      </c>
      <c r="CA92" s="1107">
        <f t="shared" si="284">IFERROR(CJ92,"")</f>
        <v>0</v>
      </c>
      <c r="CB92" s="1107">
        <f t="shared" si="285">IFERROR(CK92,"")</f>
        <v>0</v>
      </c>
      <c r="CC92" s="1110" t="e">
        <f t="shared" si="313">INDEX($AZ$8:$AZ$153,MATCH(BP92,$BO$8:$BO$153,0))</f>
        <v>#VALUE!</v>
      </c>
      <c r="CD92" s="1087" t="e">
        <f t="shared" si="314">INDEX($BA$8:$BA$153,MATCH(BP92,$BO$8:$BO$153,0))</f>
        <v>#VALUE!</v>
      </c>
      <c r="CE92" s="1106" t="e">
        <f t="shared" si="315">INDEX($BB$8:$BB$153,MATCH(BP92,$BO$8:$BO$153,0))</f>
        <v>#VALUE!</v>
      </c>
      <c r="CF92" s="1106" t="e">
        <f t="shared" si="316">INDEX(BC$8:BC$153,MATCH(BP92,$BO$8:$BO$153,0))</f>
        <v>#VALUE!</v>
      </c>
      <c r="CG92" s="1118" t="e">
        <f t="shared" si="317">INDEX(BE$8:BE$153,MATCH(BP92,$BO$8:$BO$153,0))</f>
        <v>#VALUE!</v>
      </c>
      <c r="CH92" s="1106" t="e">
        <f t="shared" si="318">INDEX($BD$8:$BD$153,MATCH($BP92,$BO$8:$BO$153,0))</f>
        <v>#VALUE!</v>
      </c>
      <c r="CI92" s="1142" t="e">
        <f t="shared" si="319">INDEX($BF$8:$BF$153,MATCH(BP92,$BO$8:$BO$153,0))</f>
        <v>#VALUE!</v>
      </c>
      <c r="CJ92" s="1106" t="e">
        <f t="shared" si="320">INDEX($BG$8:$BG$153,MATCH(BP92,$BO$8:$BO$153,0))</f>
        <v>#VALUE!</v>
      </c>
      <c r="CK92" s="1106" t="e">
        <f t="shared" si="321">INDEX($BH$8:$BH$153,MATCH(BP92,$BO$8:$BO$153,0))</f>
        <v>#VALUE!</v>
      </c>
      <c r="CM92" s="1131">
        <f t="shared" si="322">COUNTIF($CH$8:$CH$228,"&lt;="&amp;CH92)</f>
        <v>145</v>
      </c>
      <c r="CN92" s="1121">
        <f t="shared" si="286">--ISNUMBER(BX92)</f>
        <v>0</v>
      </c>
      <c r="CO92" s="1121">
        <f t="shared" si="287">IF(BX92=0,1,0)</f>
        <v>0</v>
      </c>
      <c r="CP92" s="1124">
        <f t="shared" si="393">IF(ISNUMBER(BX92),CM92,IF(ISERROR(BX92),CM92,CM92+$CN$154))+$CO$154</f>
        <v>145</v>
      </c>
      <c r="CQ92" s="237">
        <f>IFERROR(INDEX($BX$8:$BX$153,MATCH(SMALL($CP$8:$CP$153,ROWS($CQ$8:CQ92)+$CO$154),$CP$8:$CP$154,0)),"")</f>
        <v>0</v>
      </c>
      <c r="CR92" s="237">
        <v>0.1</v>
      </c>
      <c r="CS92" s="1135">
        <f t="shared" si="288">CM92+CR92</f>
        <v>145.1</v>
      </c>
      <c r="CT92" s="237">
        <f>COUNTIFS($CM:$CM, CM92,$CS:$CS, "&lt;"&amp;CL)+COUNTIFS(CM$8:CM92, CM92, CS$8:CS92, CS92)</f>
        <v>85</v>
      </c>
      <c r="CU92" s="1109">
        <f t="shared" si="289">CT92/100</f>
        <v>0.85</v>
      </c>
      <c r="CV92" s="1109">
        <f t="shared" si="290">CM92+CU92</f>
        <v>145.85</v>
      </c>
      <c r="CW92" s="237" t="e">
        <f t="shared" si="323">SMALL(CV$8:CV$153,AX92)</f>
        <v>#VALUE!</v>
      </c>
      <c r="CX92" s="1109">
        <f t="shared" si="291">IFERROR(CW92,"")</f>
        <v>0</v>
      </c>
      <c r="CY92" s="237" t="e">
        <f t="shared" si="324">INDEX(BU$8:BU$152,MATCH($CX92,CV$8:CV$152,0))</f>
        <v>#N/A</v>
      </c>
      <c r="CZ92" s="237" t="e">
        <f t="shared" si="325">INDEX(BV$8:BV$152,MATCH($CX92,$CV$8:$CV$152,0))</f>
        <v>#N/A</v>
      </c>
      <c r="DA92" s="237" t="e">
        <f t="shared" si="326">INDEX(BW$8:BW$152,MATCH($CX92,$CV$8:$CV$152,0))</f>
        <v>#N/A</v>
      </c>
      <c r="DB92" s="237" t="e">
        <f t="shared" si="327">INDEX(BX$8:BX$152,MATCH($CX92,$CV$8:$CV$152,0))</f>
        <v>#N/A</v>
      </c>
      <c r="DC92" s="237" t="e">
        <f t="shared" si="328">INDEX(BY$8:BY$152,MATCH($CX92,$CV$8:$CV$152,0))</f>
        <v>#N/A</v>
      </c>
      <c r="DD92" s="237" t="e">
        <f t="shared" si="329">INDEX(BZ$8:BZ$152,MATCH($CX92,$CV$8:$CV$152,0))</f>
        <v>#N/A</v>
      </c>
      <c r="DE92" s="237" t="e">
        <f t="shared" si="330">INDEX(CA$8:CA$152,MATCH($CX92,$CV$8:$CV$152,0))</f>
        <v>#N/A</v>
      </c>
      <c r="DF92" s="237" t="e">
        <f t="shared" si="331">INDEX(CB$8:CB$152,MATCH($CX92,$CV$8:$CV$152,0))</f>
        <v>#N/A</v>
      </c>
    </row>
    <row r="93" spans="1:110">
      <c r="A93" s="1216">
        <v>2</v>
      </c>
      <c r="B93" s="1510"/>
      <c r="C93" s="1022"/>
      <c r="D93" s="1022"/>
      <c r="E93" s="1022"/>
      <c r="F93" s="1022"/>
      <c r="G93" s="1022"/>
      <c r="H93" s="1022"/>
      <c r="I93" s="1475"/>
      <c r="J93" s="1020"/>
      <c r="K93" s="253"/>
      <c r="L93" s="254"/>
      <c r="M93" s="255">
        <f t="shared" si="405">K93*L93</f>
        <v>0</v>
      </c>
      <c r="AC93" s="423"/>
      <c r="AM93" s="1077">
        <f t="shared" si="406">IF(M93&gt;0,1,0)</f>
        <v>0</v>
      </c>
      <c r="AN93" s="1096">
        <f>IF(AM93&gt;0,COUNTIF(AM$8:AM93,"&gt;0"),0)</f>
        <v>0</v>
      </c>
      <c r="AO93" s="1078">
        <f t="shared" si="407">B93</f>
        <v>0</v>
      </c>
      <c r="AP93" s="1079">
        <f t="shared" si="408">C93</f>
        <v>0</v>
      </c>
      <c r="AQ93" s="1080">
        <f t="shared" si="409">IF(I93&lt;&gt;"",YEAR(I93),"")</f>
        <v>0</v>
      </c>
      <c r="AR93" s="1080">
        <f t="shared" si="401">IF(E93&lt;&gt;"",E93,"")</f>
        <v>0</v>
      </c>
      <c r="AS93" s="1078">
        <f t="shared" si="386">F93</f>
        <v>0</v>
      </c>
      <c r="AT93" s="1080">
        <f t="shared" si="402">IF(H93&lt;&gt;"",H93,"")</f>
        <v>0</v>
      </c>
      <c r="AU93" s="1080">
        <f t="shared" si="403">J93</f>
        <v>0</v>
      </c>
      <c r="AV93" s="1080">
        <f t="shared" si="410">K93</f>
        <v>0</v>
      </c>
      <c r="AW93" s="1081">
        <f t="shared" si="411">M93</f>
        <v>0</v>
      </c>
      <c r="AX93" s="237">
        <f t="shared" si="292">IF(AZ93&lt;&gt;"",AX92+1,"")</f>
        <v>0</v>
      </c>
      <c r="AY93" s="1087">
        <v>95</v>
      </c>
      <c r="AZ93" s="1087">
        <f t="shared" si="387">IF(ISNA(VLOOKUP(AY93,$AN$8:$AW$148,2,False))=True,"",VLOOKUP(AY93,$AN$8:$AW$148,2,False))</f>
        <v>0</v>
      </c>
      <c r="BA93" s="1087">
        <f t="shared" si="388">IF(ISNA(VLOOKUP(AZ93,$AE$8:$AF$46,2,False))=True,"",VLOOKUP(AZ93,$AE$8:$AF$46,2,False))</f>
        <v>0</v>
      </c>
      <c r="BB93" s="1087">
        <f t="shared" si="389">IF(ISNA(VLOOKUP(AY93,$AN$8:$AW$148,4,False))=True,"",VLOOKUP(AY93,$AN$8:$AW$148,4,False))</f>
        <v>0</v>
      </c>
      <c r="BC93" s="1087">
        <f t="shared" si="390">IF(ISNA(VLOOKUP(AY93,$AN$8:$AW$148,5,False))=True,"",VLOOKUP(AY93,$AN$8:$AW$148,5,False))</f>
        <v>0</v>
      </c>
      <c r="BD93" s="1087" t="str">
        <f t="shared" si="267">IF(ISNA(VLOOKUP(AY93,$AN$8:$AW$148,6,False))=True,"0",VLOOKUP(AY93,$AN$8:$AW$148,6,False))</f>
        <v>0</v>
      </c>
      <c r="BE93" s="1125">
        <f t="shared" si="391">IF(ISNA(VLOOKUP(AY93,$AN$8:$AW$148,7,False))=True,"",VLOOKUP(AY93,$AN$8:$AW$148,7,False))</f>
        <v>0</v>
      </c>
      <c r="BF93" s="1123">
        <f t="shared" si="395">IF(ISNA(VLOOKUP($AY93,$AN$8:$AW$148,8,False))=True,"",VLOOKUP($AY93,$AN$8:$AW$148,8,False))</f>
        <v>0</v>
      </c>
      <c r="BG93" s="1120">
        <f t="shared" si="396">IF(ISNA(VLOOKUP($AY93,$AN$8:$AW$148,9,False))=True,"",VLOOKUP($AY93,$AN$8:$AW$148,9,False))</f>
        <v>0</v>
      </c>
      <c r="BH93" s="1120">
        <f t="shared" si="397">IF(ISNA(VLOOKUP($AY93,$AN$8:$AW$148,10,False))=True,"",VLOOKUP($AY93,$AN$8:$AW$148,10,False))</f>
        <v>0</v>
      </c>
      <c r="BI93" s="250">
        <f t="shared" si="270">IF(AZ93&lt;&gt;"",AZ93,"")</f>
        <v>0</v>
      </c>
      <c r="BJ93" s="1098">
        <f t="shared" si="271">BI93</f>
        <v>0</v>
      </c>
      <c r="BK93" s="1115">
        <f>COUNTIFS($AZ:$AZ, AZ93,$BJ:$BJ, "&lt;"&amp;BJ93)+COUNTIFS(AZ$8:AZ93, AZ93, BJ$8:BJ93, BJ93)</f>
        <v>86</v>
      </c>
      <c r="BL93" s="1114">
        <f t="shared" si="272">BK93/100</f>
        <v>0.86</v>
      </c>
      <c r="BM93" s="1093" t="e">
        <f t="shared" si="413" ref="BM93">BI93+BL93</f>
        <v>#VALUE!</v>
      </c>
      <c r="BN93" s="1101">
        <f t="shared" si="274">IF(BA93&lt;&gt;"",BM93,"")</f>
        <v>0</v>
      </c>
      <c r="BO93" s="1118">
        <f t="shared" si="275">IF(BN93&lt;&gt;"",BN93,0)</f>
        <v>0</v>
      </c>
      <c r="BP93" s="237" t="e">
        <f t="shared" si="312">SMALL($BN$8:$BN$152,AX93)</f>
        <v>#VALUE!</v>
      </c>
      <c r="BR93" s="1102" t="e">
        <f t="shared" si="294">IF(BP93&lt;&gt;"",BR92+1,"")</f>
        <v>#VALUE!</v>
      </c>
      <c r="BS93" s="1102">
        <f t="shared" si="276">IFERROR(BP93,"")</f>
        <v>0</v>
      </c>
      <c r="BT93" s="1102">
        <f t="shared" si="277">IFERROR(CC93,"")</f>
        <v>0</v>
      </c>
      <c r="BU93" s="1098">
        <f t="shared" si="278">IFERROR(CD93,"")</f>
        <v>0</v>
      </c>
      <c r="BV93" s="1098">
        <f t="shared" si="279">IFERROR(CE93,"")</f>
        <v>0</v>
      </c>
      <c r="BW93" s="1098">
        <f t="shared" si="280">IFERROR(CF93,"")</f>
        <v>0</v>
      </c>
      <c r="BX93" s="1146">
        <f t="shared" si="281">IFERROR(CH93,"")</f>
        <v>0</v>
      </c>
      <c r="BY93" s="1098">
        <f t="shared" si="282">IFERROR(CG93,"")</f>
        <v>0</v>
      </c>
      <c r="BZ93" s="1144" t="str">
        <f t="shared" si="283">IFERROR(CI93,"-")</f>
        <v>-</v>
      </c>
      <c r="CA93" s="1107">
        <f t="shared" si="284">IFERROR(CJ93,"")</f>
        <v>0</v>
      </c>
      <c r="CB93" s="1107">
        <f t="shared" si="285">IFERROR(CK93,"")</f>
        <v>0</v>
      </c>
      <c r="CC93" s="1110" t="e">
        <f t="shared" si="313">INDEX($AZ$8:$AZ$153,MATCH(BP93,$BO$8:$BO$153,0))</f>
        <v>#VALUE!</v>
      </c>
      <c r="CD93" s="1087" t="e">
        <f t="shared" si="314">INDEX($BA$8:$BA$153,MATCH(BP93,$BO$8:$BO$153,0))</f>
        <v>#VALUE!</v>
      </c>
      <c r="CE93" s="1106" t="e">
        <f t="shared" si="315">INDEX($BB$8:$BB$153,MATCH(BP93,$BO$8:$BO$153,0))</f>
        <v>#VALUE!</v>
      </c>
      <c r="CF93" s="1106" t="e">
        <f t="shared" si="316">INDEX(BC$8:BC$153,MATCH(BP93,$BO$8:$BO$153,0))</f>
        <v>#VALUE!</v>
      </c>
      <c r="CG93" s="1118" t="e">
        <f t="shared" si="317">INDEX(BE$8:BE$153,MATCH(BP93,$BO$8:$BO$153,0))</f>
        <v>#VALUE!</v>
      </c>
      <c r="CH93" s="1106" t="e">
        <f t="shared" si="318">INDEX($BD$8:$BD$153,MATCH($BP93,$BO$8:$BO$153,0))</f>
        <v>#VALUE!</v>
      </c>
      <c r="CI93" s="1142" t="e">
        <f t="shared" si="319">INDEX($BF$8:$BF$153,MATCH(BP93,$BO$8:$BO$153,0))</f>
        <v>#VALUE!</v>
      </c>
      <c r="CJ93" s="1106" t="e">
        <f t="shared" si="320">INDEX($BG$8:$BG$153,MATCH(BP93,$BO$8:$BO$153,0))</f>
        <v>#VALUE!</v>
      </c>
      <c r="CK93" s="1106" t="e">
        <f t="shared" si="321">INDEX($BH$8:$BH$153,MATCH(BP93,$BO$8:$BO$153,0))</f>
        <v>#VALUE!</v>
      </c>
      <c r="CM93" s="1131">
        <f t="shared" si="322">COUNTIF($CH$8:$CH$228,"&lt;="&amp;CH93)</f>
        <v>145</v>
      </c>
      <c r="CN93" s="1121">
        <f t="shared" si="286">--ISNUMBER(BX93)</f>
        <v>0</v>
      </c>
      <c r="CO93" s="1121">
        <f t="shared" si="287">IF(BX93=0,1,0)</f>
        <v>0</v>
      </c>
      <c r="CP93" s="1124">
        <f t="shared" si="393">IF(ISNUMBER(BX93),CM93,IF(ISERROR(BX93),CM93,CM93+$CN$154))+$CO$154</f>
        <v>145</v>
      </c>
      <c r="CQ93" s="237">
        <f>IFERROR(INDEX($BX$8:$BX$153,MATCH(SMALL($CP$8:$CP$153,ROWS($CQ$8:CQ93)+$CO$154),$CP$8:$CP$154,0)),"")</f>
        <v>0</v>
      </c>
      <c r="CR93" s="237">
        <v>0.1</v>
      </c>
      <c r="CS93" s="1135">
        <f t="shared" si="288">CM93+CR93</f>
        <v>145.1</v>
      </c>
      <c r="CT93" s="237">
        <f>COUNTIFS($CM:$CM, CM93,$CS:$CS, "&lt;"&amp;CL)+COUNTIFS(CM$8:CM93, CM93, CS$8:CS93, CS93)</f>
        <v>86</v>
      </c>
      <c r="CU93" s="1109">
        <f t="shared" si="289">CT93/100</f>
        <v>0.86</v>
      </c>
      <c r="CV93" s="1109">
        <f t="shared" si="290">CM93+CU93</f>
        <v>145.86</v>
      </c>
      <c r="CW93" s="237" t="e">
        <f t="shared" si="323">SMALL(CV$8:CV$153,AX93)</f>
        <v>#VALUE!</v>
      </c>
      <c r="CX93" s="1109">
        <f t="shared" si="291">IFERROR(CW93,"")</f>
        <v>0</v>
      </c>
      <c r="CY93" s="237" t="e">
        <f t="shared" si="324">INDEX(BU$8:BU$152,MATCH($CX93,CV$8:CV$152,0))</f>
        <v>#N/A</v>
      </c>
      <c r="CZ93" s="237" t="e">
        <f t="shared" si="325">INDEX(BV$8:BV$152,MATCH($CX93,$CV$8:$CV$152,0))</f>
        <v>#N/A</v>
      </c>
      <c r="DA93" s="237" t="e">
        <f t="shared" si="326">INDEX(BW$8:BW$152,MATCH($CX93,$CV$8:$CV$152,0))</f>
        <v>#N/A</v>
      </c>
      <c r="DB93" s="237" t="e">
        <f t="shared" si="327">INDEX(BX$8:BX$152,MATCH($CX93,$CV$8:$CV$152,0))</f>
        <v>#N/A</v>
      </c>
      <c r="DC93" s="237" t="e">
        <f t="shared" si="328">INDEX(BY$8:BY$152,MATCH($CX93,$CV$8:$CV$152,0))</f>
        <v>#N/A</v>
      </c>
      <c r="DD93" s="237" t="e">
        <f t="shared" si="329">INDEX(BZ$8:BZ$152,MATCH($CX93,$CV$8:$CV$152,0))</f>
        <v>#N/A</v>
      </c>
      <c r="DE93" s="237" t="e">
        <f t="shared" si="330">INDEX(CA$8:CA$152,MATCH($CX93,$CV$8:$CV$152,0))</f>
        <v>#N/A</v>
      </c>
      <c r="DF93" s="237" t="e">
        <f t="shared" si="331">INDEX(CB$8:CB$152,MATCH($CX93,$CV$8:$CV$152,0))</f>
        <v>#N/A</v>
      </c>
    </row>
    <row r="94" spans="1:110" ht="13.5" customHeight="1">
      <c r="A94" s="1216">
        <v>3</v>
      </c>
      <c r="B94" s="1510"/>
      <c r="C94" s="1022"/>
      <c r="D94" s="1022"/>
      <c r="E94" s="1022"/>
      <c r="F94" s="1022"/>
      <c r="G94" s="1022"/>
      <c r="H94" s="1022"/>
      <c r="I94" s="1475"/>
      <c r="J94" s="1020"/>
      <c r="K94" s="253"/>
      <c r="L94" s="254"/>
      <c r="M94" s="255">
        <f t="shared" si="405">K94*L94</f>
        <v>0</v>
      </c>
      <c r="W94" s="1241"/>
      <c r="X94" s="1241"/>
      <c r="Y94" s="1242"/>
      <c r="Z94" s="1242"/>
      <c r="AC94" s="423"/>
      <c r="AM94" s="1077">
        <f t="shared" si="406">IF(M94&gt;0,1,0)</f>
        <v>0</v>
      </c>
      <c r="AN94" s="1096">
        <f>IF(K94&gt;0,COUNTIF(AM$8:AM94,"&gt;0"),0)</f>
        <v>0</v>
      </c>
      <c r="AO94" s="1078">
        <f t="shared" si="407">B94</f>
        <v>0</v>
      </c>
      <c r="AP94" s="1079">
        <f t="shared" si="408">C94</f>
        <v>0</v>
      </c>
      <c r="AQ94" s="1080">
        <f t="shared" si="409">IF(I94&lt;&gt;"",YEAR(I94),"")</f>
        <v>0</v>
      </c>
      <c r="AR94" s="1080">
        <f t="shared" si="401">IF(E94&lt;&gt;"",E94,"")</f>
        <v>0</v>
      </c>
      <c r="AS94" s="1078">
        <f t="shared" si="386">F94</f>
        <v>0</v>
      </c>
      <c r="AT94" s="1080">
        <f t="shared" si="402">IF(H94&lt;&gt;"",H94,"")</f>
        <v>0</v>
      </c>
      <c r="AU94" s="1080">
        <f t="shared" si="403">J94</f>
        <v>0</v>
      </c>
      <c r="AV94" s="1080">
        <f t="shared" si="410">K94</f>
        <v>0</v>
      </c>
      <c r="AW94" s="1081">
        <f t="shared" si="411">M94</f>
        <v>0</v>
      </c>
      <c r="AX94" s="237">
        <f t="shared" si="292">IF(AZ94&lt;&gt;"",AX93+1,"")</f>
        <v>0</v>
      </c>
      <c r="AY94" s="1087">
        <v>96</v>
      </c>
      <c r="AZ94" s="1087">
        <f t="shared" si="387">IF(ISNA(VLOOKUP(AY94,$AN$8:$AW$148,2,False))=True,"",VLOOKUP(AY94,$AN$8:$AW$148,2,False))</f>
        <v>0</v>
      </c>
      <c r="BA94" s="1087">
        <f t="shared" si="388">IF(ISNA(VLOOKUP(AZ94,$AE$8:$AF$46,2,False))=True,"",VLOOKUP(AZ94,$AE$8:$AF$46,2,False))</f>
        <v>0</v>
      </c>
      <c r="BB94" s="1087">
        <f t="shared" si="389">IF(ISNA(VLOOKUP(AY94,$AN$8:$AW$148,4,False))=True,"",VLOOKUP(AY94,$AN$8:$AW$148,4,False))</f>
        <v>0</v>
      </c>
      <c r="BC94" s="1087">
        <f t="shared" si="390">IF(ISNA(VLOOKUP(AY94,$AN$8:$AW$148,5,False))=True,"",VLOOKUP(AY94,$AN$8:$AW$148,5,False))</f>
        <v>0</v>
      </c>
      <c r="BD94" s="1087" t="str">
        <f t="shared" si="267">IF(ISNA(VLOOKUP(AY94,$AN$8:$AW$148,6,False))=True,"0",VLOOKUP(AY94,$AN$8:$AW$148,6,False))</f>
        <v>0</v>
      </c>
      <c r="BE94" s="1125">
        <f t="shared" si="391">IF(ISNA(VLOOKUP(AY94,$AN$8:$AW$148,7,False))=True,"",VLOOKUP(AY94,$AN$8:$AW$148,7,False))</f>
        <v>0</v>
      </c>
      <c r="BF94" s="1123">
        <f t="shared" si="395">IF(ISNA(VLOOKUP($AY94,$AN$8:$AW$148,8,False))=True,"",VLOOKUP($AY94,$AN$8:$AW$148,8,False))</f>
        <v>0</v>
      </c>
      <c r="BG94" s="1120">
        <f t="shared" si="396">IF(ISNA(VLOOKUP($AY94,$AN$8:$AW$148,9,False))=True,"",VLOOKUP($AY94,$AN$8:$AW$148,9,False))</f>
        <v>0</v>
      </c>
      <c r="BH94" s="1120">
        <f t="shared" si="397">IF(ISNA(VLOOKUP($AY94,$AN$8:$AW$148,10,False))=True,"",VLOOKUP($AY94,$AN$8:$AW$148,10,False))</f>
        <v>0</v>
      </c>
      <c r="BI94" s="250">
        <f t="shared" si="270">IF(AZ94&lt;&gt;"",AZ94,"")</f>
        <v>0</v>
      </c>
      <c r="BJ94" s="1098">
        <f t="shared" si="271">BI94</f>
        <v>0</v>
      </c>
      <c r="BK94" s="1115">
        <f>COUNTIFS($AZ:$AZ, AZ94,$BJ:$BJ, "&lt;"&amp;BJ94)+COUNTIFS(AZ$8:AZ94, AZ94, BJ$8:BJ94, BJ94)</f>
        <v>87</v>
      </c>
      <c r="BL94" s="1114">
        <f t="shared" si="272">BK94/100</f>
        <v>0.87</v>
      </c>
      <c r="BM94" s="1093" t="e">
        <f t="shared" si="414" ref="BM94">BJ94+BL94</f>
        <v>#VALUE!</v>
      </c>
      <c r="BN94" s="1101">
        <f t="shared" si="274">IF(BA94&lt;&gt;"",BM94,"")</f>
        <v>0</v>
      </c>
      <c r="BO94" s="1118">
        <f t="shared" si="275">IF(BN94&lt;&gt;"",BN94,0)</f>
        <v>0</v>
      </c>
      <c r="BP94" s="237" t="e">
        <f t="shared" si="312">SMALL($BN$8:$BN$152,AX94)</f>
        <v>#VALUE!</v>
      </c>
      <c r="BR94" s="1102" t="e">
        <f t="shared" si="294">IF(BP94&lt;&gt;"",BR93+1,"")</f>
        <v>#VALUE!</v>
      </c>
      <c r="BS94" s="1102">
        <f t="shared" si="276">IFERROR(BP94,"")</f>
        <v>0</v>
      </c>
      <c r="BT94" s="1102">
        <f t="shared" si="277">IFERROR(CC94,"")</f>
        <v>0</v>
      </c>
      <c r="BU94" s="1098">
        <f t="shared" si="278">IFERROR(CD94,"")</f>
        <v>0</v>
      </c>
      <c r="BV94" s="1098">
        <f t="shared" si="279">IFERROR(CE94,"")</f>
        <v>0</v>
      </c>
      <c r="BW94" s="1098">
        <f t="shared" si="280">IFERROR(CF94,"")</f>
        <v>0</v>
      </c>
      <c r="BX94" s="1146">
        <f t="shared" si="281">IFERROR(CH94,"")</f>
        <v>0</v>
      </c>
      <c r="BY94" s="1098">
        <f t="shared" si="282">IFERROR(CG94,"")</f>
        <v>0</v>
      </c>
      <c r="BZ94" s="1144" t="str">
        <f t="shared" si="283">IFERROR(CI94,"-")</f>
        <v>-</v>
      </c>
      <c r="CA94" s="1107">
        <f t="shared" si="284">IFERROR(CJ94,"")</f>
        <v>0</v>
      </c>
      <c r="CB94" s="1107">
        <f t="shared" si="285">IFERROR(CK94,"")</f>
        <v>0</v>
      </c>
      <c r="CC94" s="1110" t="e">
        <f t="shared" si="313">INDEX($AZ$8:$AZ$153,MATCH(BP94,$BO$8:$BO$153,0))</f>
        <v>#VALUE!</v>
      </c>
      <c r="CD94" s="1087" t="e">
        <f t="shared" si="314">INDEX($BA$8:$BA$153,MATCH(BP94,$BO$8:$BO$153,0))</f>
        <v>#VALUE!</v>
      </c>
      <c r="CE94" s="1106" t="e">
        <f t="shared" si="315">INDEX($BB$8:$BB$153,MATCH(BP94,$BO$8:$BO$153,0))</f>
        <v>#VALUE!</v>
      </c>
      <c r="CF94" s="1106" t="e">
        <f t="shared" si="316">INDEX(BC$8:BC$153,MATCH(BP94,$BO$8:$BO$153,0))</f>
        <v>#VALUE!</v>
      </c>
      <c r="CG94" s="1118" t="e">
        <f t="shared" si="317">INDEX(BE$8:BE$153,MATCH(BP94,$BO$8:$BO$153,0))</f>
        <v>#VALUE!</v>
      </c>
      <c r="CH94" s="1106" t="e">
        <f t="shared" si="318">INDEX($BD$8:$BD$153,MATCH($BP94,$BO$8:$BO$153,0))</f>
        <v>#VALUE!</v>
      </c>
      <c r="CI94" s="1142" t="e">
        <f t="shared" si="319">INDEX($BF$8:$BF$153,MATCH(BP94,$BO$8:$BO$153,0))</f>
        <v>#VALUE!</v>
      </c>
      <c r="CJ94" s="1106" t="e">
        <f t="shared" si="320">INDEX($BG$8:$BG$153,MATCH(BP94,$BO$8:$BO$153,0))</f>
        <v>#VALUE!</v>
      </c>
      <c r="CK94" s="1106" t="e">
        <f t="shared" si="321">INDEX($BH$8:$BH$153,MATCH(BP94,$BO$8:$BO$153,0))</f>
        <v>#VALUE!</v>
      </c>
      <c r="CM94" s="1131">
        <f t="shared" si="322">COUNTIF($CH$8:$CH$228,"&lt;="&amp;CH94)</f>
        <v>145</v>
      </c>
      <c r="CN94" s="1121">
        <f t="shared" si="286">--ISNUMBER(BX94)</f>
        <v>0</v>
      </c>
      <c r="CO94" s="1121">
        <f t="shared" si="287">IF(BX94=0,1,0)</f>
        <v>0</v>
      </c>
      <c r="CP94" s="1124">
        <f t="shared" si="393">IF(ISNUMBER(BX94),CM94,IF(ISERROR(BX94),CM94,CM94+$CN$154))+$CO$154</f>
        <v>145</v>
      </c>
      <c r="CQ94" s="237">
        <f>IFERROR(INDEX($BX$8:$BX$153,MATCH(SMALL($CP$8:$CP$153,ROWS($CQ$8:CQ94)+$CO$154),$CP$8:$CP$154,0)),"")</f>
        <v>0</v>
      </c>
      <c r="CR94" s="237">
        <v>0.1</v>
      </c>
      <c r="CS94" s="1135">
        <f t="shared" si="288">CM94+CR94</f>
        <v>145.1</v>
      </c>
      <c r="CT94" s="237">
        <f>COUNTIFS($CM:$CM, CM94,$CS:$CS, "&lt;"&amp;CL)+COUNTIFS(CM$8:CM94, CM94, CS$8:CS94, CS94)</f>
        <v>87</v>
      </c>
      <c r="CU94" s="1109">
        <f t="shared" si="289">CT94/100</f>
        <v>0.87</v>
      </c>
      <c r="CV94" s="1109">
        <f t="shared" si="290">CM94+CU94</f>
        <v>145.87</v>
      </c>
      <c r="CW94" s="237" t="e">
        <f t="shared" si="323">SMALL(CV$8:CV$153,AX94)</f>
        <v>#VALUE!</v>
      </c>
      <c r="CX94" s="1109">
        <f t="shared" si="291">IFERROR(CW94,"")</f>
        <v>0</v>
      </c>
      <c r="CY94" s="237" t="e">
        <f t="shared" si="324">INDEX(BU$8:BU$152,MATCH($CX94,CV$8:CV$152,0))</f>
        <v>#N/A</v>
      </c>
      <c r="CZ94" s="237" t="e">
        <f t="shared" si="325">INDEX(BV$8:BV$152,MATCH($CX94,$CV$8:$CV$152,0))</f>
        <v>#N/A</v>
      </c>
      <c r="DA94" s="237" t="e">
        <f t="shared" si="326">INDEX(BW$8:BW$152,MATCH($CX94,$CV$8:$CV$152,0))</f>
        <v>#N/A</v>
      </c>
      <c r="DB94" s="237" t="e">
        <f t="shared" si="327">INDEX(BX$8:BX$152,MATCH($CX94,$CV$8:$CV$152,0))</f>
        <v>#N/A</v>
      </c>
      <c r="DC94" s="237" t="e">
        <f t="shared" si="328">INDEX(BY$8:BY$152,MATCH($CX94,$CV$8:$CV$152,0))</f>
        <v>#N/A</v>
      </c>
      <c r="DD94" s="237" t="e">
        <f t="shared" si="329">INDEX(BZ$8:BZ$152,MATCH($CX94,$CV$8:$CV$152,0))</f>
        <v>#N/A</v>
      </c>
      <c r="DE94" s="237" t="e">
        <f t="shared" si="330">INDEX(CA$8:CA$152,MATCH($CX94,$CV$8:$CV$152,0))</f>
        <v>#N/A</v>
      </c>
      <c r="DF94" s="237" t="e">
        <f t="shared" si="331">INDEX(CB$8:CB$152,MATCH($CX94,$CV$8:$CV$152,0))</f>
        <v>#N/A</v>
      </c>
    </row>
    <row r="95" spans="1:110" ht="13.5" customHeight="1">
      <c r="A95" s="1216">
        <v>4</v>
      </c>
      <c r="B95" s="1510"/>
      <c r="C95" s="1022"/>
      <c r="D95" s="1022"/>
      <c r="E95" s="1022"/>
      <c r="F95" s="1022"/>
      <c r="G95" s="1022"/>
      <c r="H95" s="1022"/>
      <c r="I95" s="1475"/>
      <c r="J95" s="1020"/>
      <c r="K95" s="253"/>
      <c r="L95" s="254"/>
      <c r="M95" s="255">
        <f t="shared" si="405">K95*L95</f>
        <v>0</v>
      </c>
      <c r="W95" s="1241"/>
      <c r="X95" s="1241"/>
      <c r="Y95" s="1242"/>
      <c r="Z95" s="1242"/>
      <c r="AC95" s="423"/>
      <c r="AM95" s="1082">
        <f t="shared" si="406">IF(M95&gt;0,1,0)</f>
        <v>0</v>
      </c>
      <c r="AN95" s="1096">
        <f>IF(AM95&gt;0,COUNTIF(AM$8:AM95,"&gt;0"),0)</f>
        <v>0</v>
      </c>
      <c r="AO95" s="1083">
        <f t="shared" si="407">B95</f>
        <v>0</v>
      </c>
      <c r="AP95" s="1084">
        <f t="shared" si="408">C95</f>
        <v>0</v>
      </c>
      <c r="AQ95" s="1085">
        <f t="shared" si="409">IF(I95&lt;&gt;"",YEAR(I95),"")</f>
        <v>0</v>
      </c>
      <c r="AR95" s="1080">
        <f t="shared" si="401">IF(E95&lt;&gt;"",E95,"")</f>
        <v>0</v>
      </c>
      <c r="AS95" s="1078">
        <f t="shared" si="386">F95</f>
        <v>0</v>
      </c>
      <c r="AT95" s="1080">
        <f t="shared" si="402">IF(H95&lt;&gt;"",H95,"")</f>
        <v>0</v>
      </c>
      <c r="AU95" s="1080">
        <f t="shared" si="403">J95</f>
        <v>0</v>
      </c>
      <c r="AV95" s="1080">
        <f t="shared" si="410">K95</f>
        <v>0</v>
      </c>
      <c r="AW95" s="1086">
        <f t="shared" si="411">M95</f>
        <v>0</v>
      </c>
      <c r="AX95" s="237">
        <f t="shared" si="292">IF(AZ95&lt;&gt;"",AX94+1,"")</f>
        <v>0</v>
      </c>
      <c r="AY95" s="1087">
        <v>97</v>
      </c>
      <c r="AZ95" s="1087">
        <f t="shared" si="387">IF(ISNA(VLOOKUP(AY95,$AN$8:$AW$148,2,False))=True,"",VLOOKUP(AY95,$AN$8:$AW$148,2,False))</f>
        <v>0</v>
      </c>
      <c r="BA95" s="1087">
        <f t="shared" si="388">IF(ISNA(VLOOKUP(AZ95,$AE$8:$AF$46,2,False))=True,"",VLOOKUP(AZ95,$AE$8:$AF$46,2,False))</f>
        <v>0</v>
      </c>
      <c r="BB95" s="1087">
        <f t="shared" si="389">IF(ISNA(VLOOKUP(AY95,$AN$8:$AW$148,4,False))=True,"",VLOOKUP(AY95,$AN$8:$AW$148,4,False))</f>
        <v>0</v>
      </c>
      <c r="BC95" s="1087">
        <f t="shared" si="390">IF(ISNA(VLOOKUP(AY95,$AN$8:$AW$148,5,False))=True,"",VLOOKUP(AY95,$AN$8:$AW$148,5,False))</f>
        <v>0</v>
      </c>
      <c r="BD95" s="1087" t="str">
        <f t="shared" si="267">IF(ISNA(VLOOKUP(AY95,$AN$8:$AW$148,6,False))=True,"0",VLOOKUP(AY95,$AN$8:$AW$148,6,False))</f>
        <v>0</v>
      </c>
      <c r="BE95" s="1125">
        <f t="shared" si="391">IF(ISNA(VLOOKUP(AY95,$AN$8:$AW$148,7,False))=True,"",VLOOKUP(AY95,$AN$8:$AW$148,7,False))</f>
        <v>0</v>
      </c>
      <c r="BF95" s="1123">
        <f t="shared" si="395">IF(ISNA(VLOOKUP($AY95,$AN$8:$AW$148,8,False))=True,"",VLOOKUP($AY95,$AN$8:$AW$148,8,False))</f>
        <v>0</v>
      </c>
      <c r="BG95" s="1120">
        <f t="shared" si="396">IF(ISNA(VLOOKUP($AY95,$AN$8:$AW$148,9,False))=True,"",VLOOKUP($AY95,$AN$8:$AW$148,9,False))</f>
        <v>0</v>
      </c>
      <c r="BH95" s="1120">
        <f t="shared" si="397">IF(ISNA(VLOOKUP($AY95,$AN$8:$AW$148,10,False))=True,"",VLOOKUP($AY95,$AN$8:$AW$148,10,False))</f>
        <v>0</v>
      </c>
      <c r="BI95" s="250">
        <f t="shared" si="270">IF(AZ95&lt;&gt;"",AZ95,"")</f>
        <v>0</v>
      </c>
      <c r="BJ95" s="1098">
        <f t="shared" si="271">BI95</f>
        <v>0</v>
      </c>
      <c r="BK95" s="1115">
        <f>COUNTIFS($AZ:$AZ, AZ95,$BJ:$BJ, "&lt;"&amp;BJ95)+COUNTIFS(AZ$8:AZ95, AZ95, BJ$8:BJ95, BJ95)</f>
        <v>88</v>
      </c>
      <c r="BL95" s="1114">
        <f t="shared" si="272">BK95/100</f>
        <v>0.88</v>
      </c>
      <c r="BM95" s="1093" t="e">
        <f t="shared" si="415" ref="BM95">BI95+BL95</f>
        <v>#VALUE!</v>
      </c>
      <c r="BN95" s="1101">
        <f t="shared" si="416" ref="BN95:BN136">IF(BA95&lt;&gt;"",BM95,"")</f>
        <v>0</v>
      </c>
      <c r="BO95" s="1118">
        <f t="shared" si="275">IF(BN95&lt;&gt;"",BN95,0)</f>
        <v>0</v>
      </c>
      <c r="BP95" s="237" t="e">
        <f t="shared" si="312">SMALL($BN$8:$BN$152,AX95)</f>
        <v>#VALUE!</v>
      </c>
      <c r="BR95" s="1102" t="e">
        <f t="shared" si="294">IF(BP95&lt;&gt;"",BR94+1,"")</f>
        <v>#VALUE!</v>
      </c>
      <c r="BS95" s="1102">
        <f t="shared" si="276">IFERROR(BP95,"")</f>
        <v>0</v>
      </c>
      <c r="BT95" s="1102">
        <f t="shared" si="277">IFERROR(CC95,"")</f>
        <v>0</v>
      </c>
      <c r="BU95" s="1098">
        <f t="shared" si="278">IFERROR(CD95,"")</f>
        <v>0</v>
      </c>
      <c r="BV95" s="1098">
        <f t="shared" si="279">IFERROR(CE95,"")</f>
        <v>0</v>
      </c>
      <c r="BW95" s="1098">
        <f t="shared" si="280">IFERROR(CF95,"")</f>
        <v>0</v>
      </c>
      <c r="BX95" s="1146">
        <f t="shared" si="281">IFERROR(CH95,"")</f>
        <v>0</v>
      </c>
      <c r="BY95" s="1098">
        <f t="shared" si="282">IFERROR(CG95,"")</f>
        <v>0</v>
      </c>
      <c r="BZ95" s="1144" t="str">
        <f t="shared" si="283">IFERROR(CI95,"-")</f>
        <v>-</v>
      </c>
      <c r="CA95" s="1107">
        <f t="shared" si="284">IFERROR(CJ95,"")</f>
        <v>0</v>
      </c>
      <c r="CB95" s="1107">
        <f t="shared" si="285">IFERROR(CK95,"")</f>
        <v>0</v>
      </c>
      <c r="CC95" s="1110" t="e">
        <f t="shared" si="313">INDEX($AZ$8:$AZ$153,MATCH(BP95,$BO$8:$BO$153,0))</f>
        <v>#VALUE!</v>
      </c>
      <c r="CD95" s="1087" t="e">
        <f t="shared" si="314">INDEX($BA$8:$BA$153,MATCH(BP95,$BO$8:$BO$153,0))</f>
        <v>#VALUE!</v>
      </c>
      <c r="CE95" s="1106" t="e">
        <f t="shared" si="315">INDEX($BB$8:$BB$153,MATCH(BP95,$BO$8:$BO$153,0))</f>
        <v>#VALUE!</v>
      </c>
      <c r="CF95" s="1106" t="e">
        <f t="shared" si="316">INDEX(BC$8:BC$153,MATCH(BP95,$BO$8:$BO$153,0))</f>
        <v>#VALUE!</v>
      </c>
      <c r="CG95" s="1118" t="e">
        <f t="shared" si="317">INDEX(BE$8:BE$153,MATCH(BP95,$BO$8:$BO$153,0))</f>
        <v>#VALUE!</v>
      </c>
      <c r="CH95" s="1106" t="e">
        <f t="shared" si="318">INDEX($BD$8:$BD$153,MATCH($BP95,$BO$8:$BO$153,0))</f>
        <v>#VALUE!</v>
      </c>
      <c r="CI95" s="1142" t="e">
        <f t="shared" si="319">INDEX($BF$8:$BF$153,MATCH(BP95,$BO$8:$BO$153,0))</f>
        <v>#VALUE!</v>
      </c>
      <c r="CJ95" s="1106" t="e">
        <f t="shared" si="320">INDEX($BG$8:$BG$153,MATCH(BP95,$BO$8:$BO$153,0))</f>
        <v>#VALUE!</v>
      </c>
      <c r="CK95" s="1106" t="e">
        <f t="shared" si="321">INDEX($BH$8:$BH$153,MATCH(BP95,$BO$8:$BO$153,0))</f>
        <v>#VALUE!</v>
      </c>
      <c r="CM95" s="1131">
        <f t="shared" si="322">COUNTIF($CH$8:$CH$228,"&lt;="&amp;CH95)</f>
        <v>145</v>
      </c>
      <c r="CN95" s="1121">
        <f t="shared" si="286">--ISNUMBER(BX95)</f>
        <v>0</v>
      </c>
      <c r="CO95" s="1121">
        <f t="shared" si="287">IF(BX95=0,1,0)</f>
        <v>0</v>
      </c>
      <c r="CP95" s="1124">
        <f t="shared" si="393">IF(ISNUMBER(BX95),CM95,IF(ISERROR(BX95),CM95,CM95+$CN$154))+$CO$154</f>
        <v>145</v>
      </c>
      <c r="CQ95" s="237">
        <f>IFERROR(INDEX($BX$8:$BX$153,MATCH(SMALL($CP$8:$CP$153,ROWS($CQ$8:CQ95)+$CO$154),$CP$8:$CP$154,0)),"")</f>
        <v>0</v>
      </c>
      <c r="CR95" s="237">
        <v>0.1</v>
      </c>
      <c r="CS95" s="1135">
        <f t="shared" si="288">CM95+CR95</f>
        <v>145.1</v>
      </c>
      <c r="CT95" s="237">
        <f>COUNTIFS($CM:$CM, CM95,$CS:$CS, "&lt;"&amp;CL)+COUNTIFS(CM$8:CM95, CM95, CS$8:CS95, CS95)</f>
        <v>88</v>
      </c>
      <c r="CU95" s="1109">
        <f t="shared" si="289">CT95/100</f>
        <v>0.88</v>
      </c>
      <c r="CV95" s="1109">
        <f t="shared" si="290">CM95+CU95</f>
        <v>145.88</v>
      </c>
      <c r="CW95" s="237" t="e">
        <f t="shared" si="323">SMALL(CV$8:CV$153,AX95)</f>
        <v>#VALUE!</v>
      </c>
      <c r="CX95" s="1109">
        <f t="shared" si="291">IFERROR(CW95,"")</f>
        <v>0</v>
      </c>
      <c r="CY95" s="237" t="e">
        <f t="shared" si="324">INDEX(BU$8:BU$152,MATCH($CX95,CV$8:CV$152,0))</f>
        <v>#N/A</v>
      </c>
      <c r="CZ95" s="237" t="e">
        <f t="shared" si="325">INDEX(BV$8:BV$152,MATCH($CX95,$CV$8:$CV$152,0))</f>
        <v>#N/A</v>
      </c>
      <c r="DA95" s="237" t="e">
        <f t="shared" si="326">INDEX(BW$8:BW$152,MATCH($CX95,$CV$8:$CV$152,0))</f>
        <v>#N/A</v>
      </c>
      <c r="DB95" s="237" t="e">
        <f t="shared" si="327">INDEX(BX$8:BX$152,MATCH($CX95,$CV$8:$CV$152,0))</f>
        <v>#N/A</v>
      </c>
      <c r="DC95" s="237" t="e">
        <f t="shared" si="328">INDEX(BY$8:BY$152,MATCH($CX95,$CV$8:$CV$152,0))</f>
        <v>#N/A</v>
      </c>
      <c r="DD95" s="237" t="e">
        <f t="shared" si="329">INDEX(BZ$8:BZ$152,MATCH($CX95,$CV$8:$CV$152,0))</f>
        <v>#N/A</v>
      </c>
      <c r="DE95" s="237" t="e">
        <f t="shared" si="330">INDEX(CA$8:CA$152,MATCH($CX95,$CV$8:$CV$152,0))</f>
        <v>#N/A</v>
      </c>
      <c r="DF95" s="237" t="e">
        <f t="shared" si="331">INDEX(CB$8:CB$152,MATCH($CX95,$CV$8:$CV$152,0))</f>
        <v>#N/A</v>
      </c>
    </row>
    <row r="96" spans="1:110">
      <c r="A96" s="1216">
        <v>5</v>
      </c>
      <c r="B96" s="1510"/>
      <c r="C96" s="1022"/>
      <c r="D96" s="1022"/>
      <c r="E96" s="1022"/>
      <c r="F96" s="1022"/>
      <c r="G96" s="1022"/>
      <c r="H96" s="1022"/>
      <c r="I96" s="1475"/>
      <c r="J96" s="1020"/>
      <c r="K96" s="253"/>
      <c r="L96" s="254"/>
      <c r="M96" s="255">
        <f t="shared" si="417" ref="M96:M100">K96*L96</f>
        <v>0</v>
      </c>
      <c r="AM96" s="1077">
        <f t="shared" si="418" ref="AM96:AM100">IF(M96&gt;0,1,0)</f>
        <v>0</v>
      </c>
      <c r="AN96" s="1096">
        <f>IF(AM96&gt;0,COUNTIF(AM$8:AM96,"&gt;0"),0)</f>
        <v>0</v>
      </c>
      <c r="AO96" s="1078">
        <f t="shared" si="419" ref="AO96:AO100">B96</f>
        <v>0</v>
      </c>
      <c r="AP96" s="1079">
        <f t="shared" si="420" ref="AP96:AP100">C96</f>
        <v>0</v>
      </c>
      <c r="AQ96" s="1080">
        <f t="shared" si="421" ref="AQ96:AQ100">IF(I96&lt;&gt;"",YEAR(I96),"")</f>
        <v>0</v>
      </c>
      <c r="AR96" s="1080">
        <f t="shared" si="422" ref="AR96:AR100">IF(E96&lt;&gt;"",E96,"")</f>
        <v>0</v>
      </c>
      <c r="AS96" s="1078">
        <f t="shared" si="423" ref="AS96:AS100">F96</f>
        <v>0</v>
      </c>
      <c r="AT96" s="1080">
        <f t="shared" si="424" ref="AT96:AT100">IF(H96&lt;&gt;"",H96,"")</f>
        <v>0</v>
      </c>
      <c r="AU96" s="1080">
        <f t="shared" si="425" ref="AU96:AU100">J96</f>
        <v>0</v>
      </c>
      <c r="AV96" s="1080">
        <f t="shared" si="426" ref="AV96:AV100">K96</f>
        <v>0</v>
      </c>
      <c r="AW96" s="1081">
        <f t="shared" si="427" ref="AW96:AW100">M96</f>
        <v>0</v>
      </c>
      <c r="AX96" s="237">
        <f>IF(AZ96&lt;&gt;"",AX90+1,"")</f>
        <v>0</v>
      </c>
      <c r="AY96" s="1087">
        <v>98</v>
      </c>
      <c r="AZ96" s="1087">
        <f t="shared" si="428" ref="AZ96:AZ100">IF(ISNA(VLOOKUP(AY96,$AN$8:$AW$148,2,False))=True,"",VLOOKUP(AY96,$AN$8:$AW$148,2,False))</f>
        <v>0</v>
      </c>
      <c r="BA96" s="1087">
        <f t="shared" si="429" ref="BA96:BA100">IF(ISNA(VLOOKUP(AZ96,$AE$8:$AF$46,2,False))=True,"",VLOOKUP(AZ96,$AE$8:$AF$46,2,False))</f>
        <v>0</v>
      </c>
      <c r="BB96" s="1087">
        <f t="shared" si="430" ref="BB96:BB100">IF(ISNA(VLOOKUP(AY96,$AN$8:$AW$148,4,False))=True,"",VLOOKUP(AY96,$AN$8:$AW$148,4,False))</f>
        <v>0</v>
      </c>
      <c r="BC96" s="1087">
        <f t="shared" si="431" ref="BC96:BC100">IF(ISNA(VLOOKUP(AY96,$AN$8:$AW$148,5,False))=True,"",VLOOKUP(AY96,$AN$8:$AW$148,5,False))</f>
        <v>0</v>
      </c>
      <c r="BD96" s="1087" t="str">
        <f t="shared" si="432" ref="BD96:BD100">IF(ISNA(VLOOKUP(AY96,$AN$8:$AW$148,6,False))=True,"0",VLOOKUP(AY96,$AN$8:$AW$148,6,False))</f>
        <v>0</v>
      </c>
      <c r="BE96" s="1125">
        <f t="shared" si="433" ref="BE96:BE100">IF(ISNA(VLOOKUP(AY96,$AN$8:$AW$148,7,False))=True,"",VLOOKUP(AY96,$AN$8:$AW$148,7,False))</f>
        <v>0</v>
      </c>
      <c r="BF96" s="1123">
        <f t="shared" si="395">IF(ISNA(VLOOKUP($AY96,$AN$8:$AW$148,8,False))=True,"",VLOOKUP($AY96,$AN$8:$AW$148,8,False))</f>
        <v>0</v>
      </c>
      <c r="BG96" s="1120">
        <f t="shared" si="396">IF(ISNA(VLOOKUP($AY96,$AN$8:$AW$148,9,False))=True,"",VLOOKUP($AY96,$AN$8:$AW$148,9,False))</f>
        <v>0</v>
      </c>
      <c r="BH96" s="1120">
        <f t="shared" si="397">IF(ISNA(VLOOKUP($AY96,$AN$8:$AW$148,10,False))=True,"",VLOOKUP($AY96,$AN$8:$AW$148,10,False))</f>
        <v>0</v>
      </c>
      <c r="BI96" s="250">
        <f t="shared" si="434" ref="BI96:BI100">IF(AZ96&lt;&gt;"",AZ96,"")</f>
        <v>0</v>
      </c>
      <c r="BJ96" s="1098">
        <f t="shared" si="435" ref="BJ96:BJ100">BI96</f>
        <v>0</v>
      </c>
      <c r="BK96" s="1115">
        <f>COUNTIFS($AZ:$AZ, AZ96,$BJ:$BJ, "&lt;"&amp;BJ96)+COUNTIFS(AZ$8:AZ96, AZ96, BJ$8:BJ96, BJ96)</f>
        <v>89</v>
      </c>
      <c r="BL96" s="1114">
        <f t="shared" si="436" ref="BL96:BL100">BK96/100</f>
        <v>0.89</v>
      </c>
      <c r="BM96" s="1093" t="e">
        <f t="shared" si="437" ref="BM96">BJ96+BL96</f>
        <v>#VALUE!</v>
      </c>
      <c r="BN96" s="1101">
        <f t="shared" si="438" ref="BN96:BN100">IF(BA96&lt;&gt;"",BM96,"")</f>
        <v>0</v>
      </c>
      <c r="BO96" s="1118">
        <f t="shared" si="439" ref="BO96:BO100">IF(BN96&lt;&gt;"",BN96,0)</f>
        <v>0</v>
      </c>
      <c r="BP96" s="237" t="e">
        <f t="shared" si="312">SMALL($BN$8:$BN$152,AX96)</f>
        <v>#VALUE!</v>
      </c>
      <c r="BR96" s="1102" t="e">
        <f>IF(BP96&lt;&gt;"",BR90+1,"")</f>
        <v>#VALUE!</v>
      </c>
      <c r="BS96" s="1102">
        <f t="shared" si="440" ref="BS96:BS100">IFERROR(BP96,"")</f>
        <v>0</v>
      </c>
      <c r="BT96" s="1102">
        <f t="shared" si="441" ref="BT96:BT100">IFERROR(CC96,"")</f>
        <v>0</v>
      </c>
      <c r="BU96" s="1098">
        <f t="shared" si="442" ref="BU96:BU100">IFERROR(CD96,"")</f>
        <v>0</v>
      </c>
      <c r="BV96" s="1098">
        <f t="shared" si="443" ref="BV96:BV100">IFERROR(CE96,"")</f>
        <v>0</v>
      </c>
      <c r="BW96" s="1098">
        <f t="shared" si="444" ref="BW96:BW100">IFERROR(CF96,"")</f>
        <v>0</v>
      </c>
      <c r="BX96" s="1146">
        <f t="shared" si="445" ref="BX96:BX100">IFERROR(CH96,"")</f>
        <v>0</v>
      </c>
      <c r="BY96" s="1098">
        <f t="shared" si="446" ref="BY96:BY100">IFERROR(CG96,"")</f>
        <v>0</v>
      </c>
      <c r="BZ96" s="1144" t="str">
        <f t="shared" si="447" ref="BZ96:BZ100">IFERROR(CI96,"-")</f>
        <v>-</v>
      </c>
      <c r="CA96" s="1107">
        <f t="shared" si="448" ref="CA96:CA100">IFERROR(CJ96,"")</f>
        <v>0</v>
      </c>
      <c r="CB96" s="1107">
        <f t="shared" si="449" ref="CB96:CB100">IFERROR(CK96,"")</f>
        <v>0</v>
      </c>
      <c r="CC96" s="1110" t="e">
        <f t="shared" si="313">INDEX($AZ$8:$AZ$153,MATCH(BP96,$BO$8:$BO$153,0))</f>
        <v>#VALUE!</v>
      </c>
      <c r="CD96" s="1087" t="e">
        <f t="shared" si="314">INDEX($BA$8:$BA$153,MATCH(BP96,$BO$8:$BO$153,0))</f>
        <v>#VALUE!</v>
      </c>
      <c r="CE96" s="1106" t="e">
        <f t="shared" si="315">INDEX($BB$8:$BB$153,MATCH(BP96,$BO$8:$BO$153,0))</f>
        <v>#VALUE!</v>
      </c>
      <c r="CF96" s="1106" t="e">
        <f t="shared" si="316">INDEX(BC$8:BC$153,MATCH(BP96,$BO$8:$BO$153,0))</f>
        <v>#VALUE!</v>
      </c>
      <c r="CG96" s="1118" t="e">
        <f t="shared" si="317">INDEX(BE$8:BE$153,MATCH(BP96,$BO$8:$BO$153,0))</f>
        <v>#VALUE!</v>
      </c>
      <c r="CH96" s="1106" t="e">
        <f t="shared" si="318">INDEX($BD$8:$BD$153,MATCH($BP96,$BO$8:$BO$153,0))</f>
        <v>#VALUE!</v>
      </c>
      <c r="CI96" s="1142" t="e">
        <f t="shared" si="319">INDEX($BF$8:$BF$153,MATCH(BP96,$BO$8:$BO$153,0))</f>
        <v>#VALUE!</v>
      </c>
      <c r="CJ96" s="1106" t="e">
        <f t="shared" si="320">INDEX($BG$8:$BG$153,MATCH(BP96,$BO$8:$BO$153,0))</f>
        <v>#VALUE!</v>
      </c>
      <c r="CK96" s="1106" t="e">
        <f t="shared" si="321">INDEX($BH$8:$BH$153,MATCH(BP96,$BO$8:$BO$153,0))</f>
        <v>#VALUE!</v>
      </c>
      <c r="CM96" s="1131">
        <f t="shared" si="322">COUNTIF($CH$8:$CH$228,"&lt;="&amp;CH96)</f>
        <v>145</v>
      </c>
      <c r="CN96" s="1121">
        <f t="shared" si="450" ref="CN96:CN100">--ISNUMBER(BX96)</f>
        <v>0</v>
      </c>
      <c r="CO96" s="1121">
        <f t="shared" si="451" ref="CO96:CO100">IF(BX96=0,1,0)</f>
        <v>0</v>
      </c>
      <c r="CP96" s="1124">
        <f t="shared" si="452" ref="CP96:CP100">IF(ISNUMBER(BX96),CM96,IF(ISERROR(BX96),CM96,CM96+$CN$154))+$CO$154</f>
        <v>145</v>
      </c>
      <c r="CQ96" s="237">
        <f>IFERROR(INDEX($BX$8:$BX$153,MATCH(SMALL($CP$8:$CP$153,ROWS($CQ$8:CQ96)+$CO$154),$CP$8:$CP$154,0)),"")</f>
        <v>0</v>
      </c>
      <c r="CR96" s="237">
        <v>0.1</v>
      </c>
      <c r="CS96" s="1135">
        <f t="shared" si="453" ref="CS96:CS100">CM96+CR96</f>
        <v>145.1</v>
      </c>
      <c r="CT96" s="237">
        <f>COUNTIFS($CM:$CM, CM96,$CS:$CS, "&lt;"&amp;CL)+COUNTIFS(CM$8:CM96, CM96, CS$8:CS96, CS96)</f>
        <v>89</v>
      </c>
      <c r="CU96" s="1109">
        <f t="shared" si="454" ref="CU96:CU100">CT96/100</f>
        <v>0.89</v>
      </c>
      <c r="CV96" s="1109">
        <f t="shared" si="455" ref="CV96:CV100">CM96+CU96</f>
        <v>145.89</v>
      </c>
      <c r="CW96" s="237" t="e">
        <f t="shared" si="323">SMALL(CV$8:CV$153,AX96)</f>
        <v>#VALUE!</v>
      </c>
      <c r="CX96" s="1109">
        <f t="shared" si="456" ref="CX96:CX100">IFERROR(CW96,"")</f>
        <v>0</v>
      </c>
      <c r="CY96" s="237" t="e">
        <f t="shared" si="324">INDEX(BU$8:BU$152,MATCH($CX96,CV$8:CV$152,0))</f>
        <v>#N/A</v>
      </c>
      <c r="CZ96" s="237" t="e">
        <f t="shared" si="325">INDEX(BV$8:BV$152,MATCH($CX96,$CV$8:$CV$152,0))</f>
        <v>#N/A</v>
      </c>
      <c r="DA96" s="237" t="e">
        <f t="shared" si="326">INDEX(BW$8:BW$152,MATCH($CX96,$CV$8:$CV$152,0))</f>
        <v>#N/A</v>
      </c>
      <c r="DB96" s="237" t="e">
        <f t="shared" si="327">INDEX(BX$8:BX$152,MATCH($CX96,$CV$8:$CV$152,0))</f>
        <v>#N/A</v>
      </c>
      <c r="DC96" s="237" t="e">
        <f t="shared" si="328">INDEX(BY$8:BY$152,MATCH($CX96,$CV$8:$CV$152,0))</f>
        <v>#N/A</v>
      </c>
      <c r="DD96" s="237" t="e">
        <f t="shared" si="329">INDEX(BZ$8:BZ$152,MATCH($CX96,$CV$8:$CV$152,0))</f>
        <v>#N/A</v>
      </c>
      <c r="DE96" s="237" t="e">
        <f t="shared" si="330">INDEX(CA$8:CA$152,MATCH($CX96,$CV$8:$CV$152,0))</f>
        <v>#N/A</v>
      </c>
      <c r="DF96" s="237" t="e">
        <f t="shared" si="331">INDEX(CB$8:CB$152,MATCH($CX96,$CV$8:$CV$152,0))</f>
        <v>#N/A</v>
      </c>
    </row>
    <row r="97" spans="1:110">
      <c r="A97" s="1216">
        <v>6</v>
      </c>
      <c r="B97" s="1510"/>
      <c r="C97" s="1022"/>
      <c r="D97" s="1022"/>
      <c r="E97" s="1022"/>
      <c r="F97" s="1022"/>
      <c r="G97" s="1022"/>
      <c r="H97" s="1022"/>
      <c r="I97" s="1475"/>
      <c r="J97" s="1020"/>
      <c r="K97" s="253"/>
      <c r="L97" s="254"/>
      <c r="M97" s="255">
        <f t="shared" si="417">K97*L97</f>
        <v>0</v>
      </c>
      <c r="AA97" s="1231"/>
      <c r="AB97" s="1230"/>
      <c r="AM97" s="1077">
        <f t="shared" si="418">IF(M97&gt;0,1,0)</f>
        <v>0</v>
      </c>
      <c r="AN97" s="1096">
        <f>IF(K97&gt;0,COUNTIF(AM$8:AM97,"&gt;0"),0)</f>
        <v>0</v>
      </c>
      <c r="AO97" s="1078">
        <f t="shared" si="419">B97</f>
        <v>0</v>
      </c>
      <c r="AP97" s="1079">
        <f t="shared" si="420">C97</f>
        <v>0</v>
      </c>
      <c r="AQ97" s="1080">
        <f t="shared" si="421">IF(I97&lt;&gt;"",YEAR(I97),"")</f>
        <v>0</v>
      </c>
      <c r="AR97" s="1080">
        <f t="shared" si="422">IF(E97&lt;&gt;"",E97,"")</f>
        <v>0</v>
      </c>
      <c r="AS97" s="1078">
        <f t="shared" si="423">F97</f>
        <v>0</v>
      </c>
      <c r="AT97" s="1080">
        <f t="shared" si="424">IF(H97&lt;&gt;"",H97,"")</f>
        <v>0</v>
      </c>
      <c r="AU97" s="1080">
        <f t="shared" si="425">J97</f>
        <v>0</v>
      </c>
      <c r="AV97" s="1080">
        <f t="shared" si="426">K97</f>
        <v>0</v>
      </c>
      <c r="AW97" s="1081">
        <f t="shared" si="427">M97</f>
        <v>0</v>
      </c>
      <c r="AX97" s="237">
        <f t="shared" si="457" ref="AX97:AX100">IF(AZ97&lt;&gt;"",AX96+1,"")</f>
        <v>0</v>
      </c>
      <c r="AY97" s="1087">
        <v>99</v>
      </c>
      <c r="AZ97" s="1087">
        <f t="shared" si="428">IF(ISNA(VLOOKUP(AY97,$AN$8:$AW$148,2,False))=True,"",VLOOKUP(AY97,$AN$8:$AW$148,2,False))</f>
        <v>0</v>
      </c>
      <c r="BA97" s="1087">
        <f t="shared" si="429">IF(ISNA(VLOOKUP(AZ97,$AE$8:$AF$46,2,False))=True,"",VLOOKUP(AZ97,$AE$8:$AF$46,2,False))</f>
        <v>0</v>
      </c>
      <c r="BB97" s="1087">
        <f t="shared" si="430">IF(ISNA(VLOOKUP(AY97,$AN$8:$AW$148,4,False))=True,"",VLOOKUP(AY97,$AN$8:$AW$148,4,False))</f>
        <v>0</v>
      </c>
      <c r="BC97" s="1087">
        <f t="shared" si="431">IF(ISNA(VLOOKUP(AY97,$AN$8:$AW$148,5,False))=True,"",VLOOKUP(AY97,$AN$8:$AW$148,5,False))</f>
        <v>0</v>
      </c>
      <c r="BD97" s="1087" t="str">
        <f t="shared" si="432">IF(ISNA(VLOOKUP(AY97,$AN$8:$AW$148,6,False))=True,"0",VLOOKUP(AY97,$AN$8:$AW$148,6,False))</f>
        <v>0</v>
      </c>
      <c r="BE97" s="1125">
        <f t="shared" si="433">IF(ISNA(VLOOKUP(AY97,$AN$8:$AW$148,7,False))=True,"",VLOOKUP(AY97,$AN$8:$AW$148,7,False))</f>
        <v>0</v>
      </c>
      <c r="BF97" s="1123">
        <f t="shared" si="395">IF(ISNA(VLOOKUP($AY97,$AN$8:$AW$148,8,False))=True,"",VLOOKUP($AY97,$AN$8:$AW$148,8,False))</f>
        <v>0</v>
      </c>
      <c r="BG97" s="1120">
        <f t="shared" si="396">IF(ISNA(VLOOKUP($AY97,$AN$8:$AW$148,9,False))=True,"",VLOOKUP($AY97,$AN$8:$AW$148,9,False))</f>
        <v>0</v>
      </c>
      <c r="BH97" s="1120">
        <f t="shared" si="397">IF(ISNA(VLOOKUP($AY97,$AN$8:$AW$148,10,False))=True,"",VLOOKUP($AY97,$AN$8:$AW$148,10,False))</f>
        <v>0</v>
      </c>
      <c r="BI97" s="250">
        <f t="shared" si="434">IF(AZ97&lt;&gt;"",AZ97,"")</f>
        <v>0</v>
      </c>
      <c r="BJ97" s="1098">
        <f t="shared" si="435">BI97</f>
        <v>0</v>
      </c>
      <c r="BK97" s="1115">
        <f>COUNTIFS($AZ:$AZ, AZ97,$BJ:$BJ, "&lt;"&amp;BJ97)+COUNTIFS(AZ$8:AZ97, AZ97, BJ$8:BJ97, BJ97)</f>
        <v>90</v>
      </c>
      <c r="BL97" s="1114">
        <f t="shared" si="436">BK97/100</f>
        <v>0.9</v>
      </c>
      <c r="BM97" s="1093" t="e">
        <f t="shared" si="458" ref="BM97">BI97+BL97</f>
        <v>#VALUE!</v>
      </c>
      <c r="BN97" s="1101">
        <f t="shared" si="438">IF(BA97&lt;&gt;"",BM97,"")</f>
        <v>0</v>
      </c>
      <c r="BO97" s="1118">
        <f t="shared" si="439">IF(BN97&lt;&gt;"",BN97,0)</f>
        <v>0</v>
      </c>
      <c r="BP97" s="237" t="e">
        <f t="shared" si="312">SMALL($BN$8:$BN$152,AX97)</f>
        <v>#VALUE!</v>
      </c>
      <c r="BR97" s="1102" t="e">
        <f t="shared" si="459" ref="BR97:BR100">IF(BP97&lt;&gt;"",BR96+1,"")</f>
        <v>#VALUE!</v>
      </c>
      <c r="BS97" s="1102">
        <f t="shared" si="440">IFERROR(BP97,"")</f>
        <v>0</v>
      </c>
      <c r="BT97" s="1102">
        <f t="shared" si="441">IFERROR(CC97,"")</f>
        <v>0</v>
      </c>
      <c r="BU97" s="1098">
        <f t="shared" si="442">IFERROR(CD97,"")</f>
        <v>0</v>
      </c>
      <c r="BV97" s="1098">
        <f t="shared" si="443">IFERROR(CE97,"")</f>
        <v>0</v>
      </c>
      <c r="BW97" s="1098">
        <f t="shared" si="444">IFERROR(CF97,"")</f>
        <v>0</v>
      </c>
      <c r="BX97" s="1146">
        <f t="shared" si="445">IFERROR(CH97,"")</f>
        <v>0</v>
      </c>
      <c r="BY97" s="1098">
        <f t="shared" si="446">IFERROR(CG97,"")</f>
        <v>0</v>
      </c>
      <c r="BZ97" s="1144" t="str">
        <f t="shared" si="447">IFERROR(CI97,"-")</f>
        <v>-</v>
      </c>
      <c r="CA97" s="1107">
        <f t="shared" si="448">IFERROR(CJ97,"")</f>
        <v>0</v>
      </c>
      <c r="CB97" s="1107">
        <f t="shared" si="449">IFERROR(CK97,"")</f>
        <v>0</v>
      </c>
      <c r="CC97" s="1110" t="e">
        <f t="shared" si="313">INDEX($AZ$8:$AZ$153,MATCH(BP97,$BO$8:$BO$153,0))</f>
        <v>#VALUE!</v>
      </c>
      <c r="CD97" s="1087" t="e">
        <f t="shared" si="314">INDEX($BA$8:$BA$153,MATCH(BP97,$BO$8:$BO$153,0))</f>
        <v>#VALUE!</v>
      </c>
      <c r="CE97" s="1106" t="e">
        <f t="shared" si="315">INDEX($BB$8:$BB$153,MATCH(BP97,$BO$8:$BO$153,0))</f>
        <v>#VALUE!</v>
      </c>
      <c r="CF97" s="1106" t="e">
        <f t="shared" si="316">INDEX(BC$8:BC$153,MATCH(BP97,$BO$8:$BO$153,0))</f>
        <v>#VALUE!</v>
      </c>
      <c r="CG97" s="1118" t="e">
        <f t="shared" si="317">INDEX(BE$8:BE$153,MATCH(BP97,$BO$8:$BO$153,0))</f>
        <v>#VALUE!</v>
      </c>
      <c r="CH97" s="1106" t="e">
        <f t="shared" si="318">INDEX($BD$8:$BD$153,MATCH($BP97,$BO$8:$BO$153,0))</f>
        <v>#VALUE!</v>
      </c>
      <c r="CI97" s="1142" t="e">
        <f t="shared" si="319">INDEX($BF$8:$BF$153,MATCH(BP97,$BO$8:$BO$153,0))</f>
        <v>#VALUE!</v>
      </c>
      <c r="CJ97" s="1106" t="e">
        <f t="shared" si="320">INDEX($BG$8:$BG$153,MATCH(BP97,$BO$8:$BO$153,0))</f>
        <v>#VALUE!</v>
      </c>
      <c r="CK97" s="1106" t="e">
        <f t="shared" si="321">INDEX($BH$8:$BH$153,MATCH(BP97,$BO$8:$BO$153,0))</f>
        <v>#VALUE!</v>
      </c>
      <c r="CM97" s="1131">
        <f t="shared" si="322">COUNTIF($CH$8:$CH$228,"&lt;="&amp;CH97)</f>
        <v>145</v>
      </c>
      <c r="CN97" s="1121">
        <f t="shared" si="450">--ISNUMBER(BX97)</f>
        <v>0</v>
      </c>
      <c r="CO97" s="1121">
        <f t="shared" si="451">IF(BX97=0,1,0)</f>
        <v>0</v>
      </c>
      <c r="CP97" s="1124">
        <f t="shared" si="452">IF(ISNUMBER(BX97),CM97,IF(ISERROR(BX97),CM97,CM97+$CN$154))+$CO$154</f>
        <v>145</v>
      </c>
      <c r="CQ97" s="237">
        <f>IFERROR(INDEX($BX$8:$BX$153,MATCH(SMALL($CP$8:$CP$153,ROWS($CQ$8:CQ97)+$CO$154),$CP$8:$CP$154,0)),"")</f>
        <v>0</v>
      </c>
      <c r="CR97" s="237">
        <v>0.1</v>
      </c>
      <c r="CS97" s="1135">
        <f t="shared" si="453">CM97+CR97</f>
        <v>145.1</v>
      </c>
      <c r="CT97" s="237">
        <f>COUNTIFS($CM:$CM, CM97,$CS:$CS, "&lt;"&amp;CL)+COUNTIFS(CM$8:CM97, CM97, CS$8:CS97, CS97)</f>
        <v>90</v>
      </c>
      <c r="CU97" s="1109">
        <f t="shared" si="454">CT97/100</f>
        <v>0.9</v>
      </c>
      <c r="CV97" s="1109">
        <f t="shared" si="455">CM97+CU97</f>
        <v>145.9</v>
      </c>
      <c r="CW97" s="237" t="e">
        <f t="shared" si="323">SMALL(CV$8:CV$153,AX97)</f>
        <v>#VALUE!</v>
      </c>
      <c r="CX97" s="1109">
        <f t="shared" si="456">IFERROR(CW97,"")</f>
        <v>0</v>
      </c>
      <c r="CY97" s="237" t="e">
        <f t="shared" si="324">INDEX(BU$8:BU$152,MATCH($CX97,CV$8:CV$152,0))</f>
        <v>#N/A</v>
      </c>
      <c r="CZ97" s="237" t="e">
        <f t="shared" si="325">INDEX(BV$8:BV$152,MATCH($CX97,$CV$8:$CV$152,0))</f>
        <v>#N/A</v>
      </c>
      <c r="DA97" s="237" t="e">
        <f t="shared" si="326">INDEX(BW$8:BW$152,MATCH($CX97,$CV$8:$CV$152,0))</f>
        <v>#N/A</v>
      </c>
      <c r="DB97" s="237" t="e">
        <f t="shared" si="327">INDEX(BX$8:BX$152,MATCH($CX97,$CV$8:$CV$152,0))</f>
        <v>#N/A</v>
      </c>
      <c r="DC97" s="237" t="e">
        <f t="shared" si="328">INDEX(BY$8:BY$152,MATCH($CX97,$CV$8:$CV$152,0))</f>
        <v>#N/A</v>
      </c>
      <c r="DD97" s="237" t="e">
        <f t="shared" si="329">INDEX(BZ$8:BZ$152,MATCH($CX97,$CV$8:$CV$152,0))</f>
        <v>#N/A</v>
      </c>
      <c r="DE97" s="237" t="e">
        <f t="shared" si="330">INDEX(CA$8:CA$152,MATCH($CX97,$CV$8:$CV$152,0))</f>
        <v>#N/A</v>
      </c>
      <c r="DF97" s="237" t="e">
        <f t="shared" si="331">INDEX(CB$8:CB$152,MATCH($CX97,$CV$8:$CV$152,0))</f>
        <v>#N/A</v>
      </c>
    </row>
    <row r="98" spans="1:110">
      <c r="A98" s="1216">
        <v>7</v>
      </c>
      <c r="B98" s="1510"/>
      <c r="C98" s="1022"/>
      <c r="D98" s="1022"/>
      <c r="E98" s="1022"/>
      <c r="F98" s="1022"/>
      <c r="G98" s="1022"/>
      <c r="H98" s="1022"/>
      <c r="I98" s="1475"/>
      <c r="J98" s="1020"/>
      <c r="K98" s="253"/>
      <c r="L98" s="254"/>
      <c r="M98" s="255">
        <f t="shared" si="417">K98*L98</f>
        <v>0</v>
      </c>
      <c r="AA98" s="1231"/>
      <c r="AB98" s="1230"/>
      <c r="AM98" s="1082">
        <f t="shared" si="418">IF(M98&gt;0,1,0)</f>
        <v>0</v>
      </c>
      <c r="AN98" s="1096">
        <f>IF(AM98&gt;0,COUNTIF(AM$8:AM98,"&gt;0"),0)</f>
        <v>0</v>
      </c>
      <c r="AO98" s="1083">
        <f t="shared" si="419">B98</f>
        <v>0</v>
      </c>
      <c r="AP98" s="1084">
        <f t="shared" si="420">C98</f>
        <v>0</v>
      </c>
      <c r="AQ98" s="1085">
        <f t="shared" si="421">IF(I98&lt;&gt;"",YEAR(I98),"")</f>
        <v>0</v>
      </c>
      <c r="AR98" s="1080">
        <f t="shared" si="422">IF(E98&lt;&gt;"",E98,"")</f>
        <v>0</v>
      </c>
      <c r="AS98" s="1078">
        <f t="shared" si="423">F98</f>
        <v>0</v>
      </c>
      <c r="AT98" s="1080">
        <f t="shared" si="424">IF(H98&lt;&gt;"",H98,"")</f>
        <v>0</v>
      </c>
      <c r="AU98" s="1080">
        <f t="shared" si="425">J98</f>
        <v>0</v>
      </c>
      <c r="AV98" s="1080">
        <f t="shared" si="426">K98</f>
        <v>0</v>
      </c>
      <c r="AW98" s="1086">
        <f t="shared" si="427">M98</f>
        <v>0</v>
      </c>
      <c r="AX98" s="237">
        <f t="shared" si="457">IF(AZ98&lt;&gt;"",AX97+1,"")</f>
        <v>0</v>
      </c>
      <c r="AY98" s="1087">
        <v>100</v>
      </c>
      <c r="AZ98" s="1087">
        <f t="shared" si="428">IF(ISNA(VLOOKUP(AY98,$AN$8:$AW$148,2,False))=True,"",VLOOKUP(AY98,$AN$8:$AW$148,2,False))</f>
        <v>0</v>
      </c>
      <c r="BA98" s="1087">
        <f t="shared" si="429">IF(ISNA(VLOOKUP(AZ98,$AE$8:$AF$46,2,False))=True,"",VLOOKUP(AZ98,$AE$8:$AF$46,2,False))</f>
        <v>0</v>
      </c>
      <c r="BB98" s="1087">
        <f t="shared" si="430">IF(ISNA(VLOOKUP(AY98,$AN$8:$AW$148,4,False))=True,"",VLOOKUP(AY98,$AN$8:$AW$148,4,False))</f>
        <v>0</v>
      </c>
      <c r="BC98" s="1087">
        <f t="shared" si="431">IF(ISNA(VLOOKUP(AY98,$AN$8:$AW$148,5,False))=True,"",VLOOKUP(AY98,$AN$8:$AW$148,5,False))</f>
        <v>0</v>
      </c>
      <c r="BD98" s="1087" t="str">
        <f t="shared" si="432">IF(ISNA(VLOOKUP(AY98,$AN$8:$AW$148,6,False))=True,"0",VLOOKUP(AY98,$AN$8:$AW$148,6,False))</f>
        <v>0</v>
      </c>
      <c r="BE98" s="1125">
        <f t="shared" si="433">IF(ISNA(VLOOKUP(AY98,$AN$8:$AW$148,7,False))=True,"",VLOOKUP(AY98,$AN$8:$AW$148,7,False))</f>
        <v>0</v>
      </c>
      <c r="BF98" s="1123">
        <f t="shared" si="395">IF(ISNA(VLOOKUP($AY98,$AN$8:$AW$148,8,False))=True,"",VLOOKUP($AY98,$AN$8:$AW$148,8,False))</f>
        <v>0</v>
      </c>
      <c r="BG98" s="1120">
        <f t="shared" si="396">IF(ISNA(VLOOKUP($AY98,$AN$8:$AW$148,9,False))=True,"",VLOOKUP($AY98,$AN$8:$AW$148,9,False))</f>
        <v>0</v>
      </c>
      <c r="BH98" s="1120">
        <f t="shared" si="397">IF(ISNA(VLOOKUP($AY98,$AN$8:$AW$148,10,False))=True,"",VLOOKUP($AY98,$AN$8:$AW$148,10,False))</f>
        <v>0</v>
      </c>
      <c r="BI98" s="250">
        <f t="shared" si="434">IF(AZ98&lt;&gt;"",AZ98,"")</f>
        <v>0</v>
      </c>
      <c r="BJ98" s="1098">
        <f t="shared" si="435">BI98</f>
        <v>0</v>
      </c>
      <c r="BK98" s="1115">
        <f>COUNTIFS($AZ:$AZ, AZ98,$BJ:$BJ, "&lt;"&amp;BJ98)+COUNTIFS(AZ$8:AZ98, AZ98, BJ$8:BJ98, BJ98)</f>
        <v>91</v>
      </c>
      <c r="BL98" s="1114">
        <f t="shared" si="436">BK98/100</f>
        <v>0.91</v>
      </c>
      <c r="BM98" s="1093" t="e">
        <f t="shared" si="460" ref="BM98">BJ98+BL98</f>
        <v>#VALUE!</v>
      </c>
      <c r="BN98" s="1101">
        <f t="shared" si="438">IF(BA98&lt;&gt;"",BM98,"")</f>
        <v>0</v>
      </c>
      <c r="BO98" s="1118">
        <f t="shared" si="439">IF(BN98&lt;&gt;"",BN98,0)</f>
        <v>0</v>
      </c>
      <c r="BP98" s="237" t="e">
        <f t="shared" si="312">SMALL($BN$8:$BN$152,AX98)</f>
        <v>#VALUE!</v>
      </c>
      <c r="BR98" s="1102" t="e">
        <f t="shared" si="459">IF(BP98&lt;&gt;"",BR97+1,"")</f>
        <v>#VALUE!</v>
      </c>
      <c r="BS98" s="1102">
        <f t="shared" si="440">IFERROR(BP98,"")</f>
        <v>0</v>
      </c>
      <c r="BT98" s="1102">
        <f t="shared" si="441">IFERROR(CC98,"")</f>
        <v>0</v>
      </c>
      <c r="BU98" s="1098">
        <f t="shared" si="442">IFERROR(CD98,"")</f>
        <v>0</v>
      </c>
      <c r="BV98" s="1098">
        <f t="shared" si="443">IFERROR(CE98,"")</f>
        <v>0</v>
      </c>
      <c r="BW98" s="1098">
        <f t="shared" si="444">IFERROR(CF98,"")</f>
        <v>0</v>
      </c>
      <c r="BX98" s="1146">
        <f t="shared" si="445">IFERROR(CH98,"")</f>
        <v>0</v>
      </c>
      <c r="BY98" s="1098">
        <f t="shared" si="446">IFERROR(CG98,"")</f>
        <v>0</v>
      </c>
      <c r="BZ98" s="1144" t="str">
        <f t="shared" si="447">IFERROR(CI98,"-")</f>
        <v>-</v>
      </c>
      <c r="CA98" s="1107">
        <f t="shared" si="448">IFERROR(CJ98,"")</f>
        <v>0</v>
      </c>
      <c r="CB98" s="1107">
        <f t="shared" si="449">IFERROR(CK98,"")</f>
        <v>0</v>
      </c>
      <c r="CC98" s="1110" t="e">
        <f t="shared" si="313">INDEX($AZ$8:$AZ$153,MATCH(BP98,$BO$8:$BO$153,0))</f>
        <v>#VALUE!</v>
      </c>
      <c r="CD98" s="1087" t="e">
        <f t="shared" si="314">INDEX($BA$8:$BA$153,MATCH(BP98,$BO$8:$BO$153,0))</f>
        <v>#VALUE!</v>
      </c>
      <c r="CE98" s="1106" t="e">
        <f t="shared" si="315">INDEX($BB$8:$BB$153,MATCH(BP98,$BO$8:$BO$153,0))</f>
        <v>#VALUE!</v>
      </c>
      <c r="CF98" s="1106" t="e">
        <f t="shared" si="316">INDEX(BC$8:BC$153,MATCH(BP98,$BO$8:$BO$153,0))</f>
        <v>#VALUE!</v>
      </c>
      <c r="CG98" s="1118" t="e">
        <f t="shared" si="317">INDEX(BE$8:BE$153,MATCH(BP98,$BO$8:$BO$153,0))</f>
        <v>#VALUE!</v>
      </c>
      <c r="CH98" s="1106" t="e">
        <f t="shared" si="318">INDEX($BD$8:$BD$153,MATCH($BP98,$BO$8:$BO$153,0))</f>
        <v>#VALUE!</v>
      </c>
      <c r="CI98" s="1142" t="e">
        <f t="shared" si="319">INDEX($BF$8:$BF$153,MATCH(BP98,$BO$8:$BO$153,0))</f>
        <v>#VALUE!</v>
      </c>
      <c r="CJ98" s="1106" t="e">
        <f t="shared" si="320">INDEX($BG$8:$BG$153,MATCH(BP98,$BO$8:$BO$153,0))</f>
        <v>#VALUE!</v>
      </c>
      <c r="CK98" s="1106" t="e">
        <f t="shared" si="321">INDEX($BH$8:$BH$153,MATCH(BP98,$BO$8:$BO$153,0))</f>
        <v>#VALUE!</v>
      </c>
      <c r="CM98" s="1131">
        <f t="shared" si="322">COUNTIF($CH$8:$CH$228,"&lt;="&amp;CH98)</f>
        <v>145</v>
      </c>
      <c r="CN98" s="1121">
        <f t="shared" si="450">--ISNUMBER(BX98)</f>
        <v>0</v>
      </c>
      <c r="CO98" s="1121">
        <f t="shared" si="451">IF(BX98=0,1,0)</f>
        <v>0</v>
      </c>
      <c r="CP98" s="1124">
        <f t="shared" si="452">IF(ISNUMBER(BX98),CM98,IF(ISERROR(BX98),CM98,CM98+$CN$154))+$CO$154</f>
        <v>145</v>
      </c>
      <c r="CQ98" s="237">
        <f>IFERROR(INDEX($BX$8:$BX$153,MATCH(SMALL($CP$8:$CP$153,ROWS($CQ$8:CQ98)+$CO$154),$CP$8:$CP$154,0)),"")</f>
        <v>0</v>
      </c>
      <c r="CR98" s="237">
        <v>0.1</v>
      </c>
      <c r="CS98" s="1135">
        <f t="shared" si="453">CM98+CR98</f>
        <v>145.1</v>
      </c>
      <c r="CT98" s="237">
        <f>COUNTIFS($CM:$CM, CM98,$CS:$CS, "&lt;"&amp;CL)+COUNTIFS(CM$8:CM98, CM98, CS$8:CS98, CS98)</f>
        <v>91</v>
      </c>
      <c r="CU98" s="1109">
        <f t="shared" si="454">CT98/100</f>
        <v>0.91</v>
      </c>
      <c r="CV98" s="1109">
        <f t="shared" si="455">CM98+CU98</f>
        <v>145.91</v>
      </c>
      <c r="CW98" s="237" t="e">
        <f t="shared" si="323">SMALL(CV$8:CV$153,AX98)</f>
        <v>#VALUE!</v>
      </c>
      <c r="CX98" s="1109">
        <f t="shared" si="456">IFERROR(CW98,"")</f>
        <v>0</v>
      </c>
      <c r="CY98" s="237" t="e">
        <f t="shared" si="324">INDEX(BU$8:BU$152,MATCH($CX98,CV$8:CV$152,0))</f>
        <v>#N/A</v>
      </c>
      <c r="CZ98" s="237" t="e">
        <f t="shared" si="325">INDEX(BV$8:BV$152,MATCH($CX98,$CV$8:$CV$152,0))</f>
        <v>#N/A</v>
      </c>
      <c r="DA98" s="237" t="e">
        <f t="shared" si="326">INDEX(BW$8:BW$152,MATCH($CX98,$CV$8:$CV$152,0))</f>
        <v>#N/A</v>
      </c>
      <c r="DB98" s="237" t="e">
        <f t="shared" si="327">INDEX(BX$8:BX$152,MATCH($CX98,$CV$8:$CV$152,0))</f>
        <v>#N/A</v>
      </c>
      <c r="DC98" s="237" t="e">
        <f t="shared" si="328">INDEX(BY$8:BY$152,MATCH($CX98,$CV$8:$CV$152,0))</f>
        <v>#N/A</v>
      </c>
      <c r="DD98" s="237" t="e">
        <f t="shared" si="329">INDEX(BZ$8:BZ$152,MATCH($CX98,$CV$8:$CV$152,0))</f>
        <v>#N/A</v>
      </c>
      <c r="DE98" s="237" t="e">
        <f t="shared" si="330">INDEX(CA$8:CA$152,MATCH($CX98,$CV$8:$CV$152,0))</f>
        <v>#N/A</v>
      </c>
      <c r="DF98" s="237" t="e">
        <f t="shared" si="331">INDEX(CB$8:CB$152,MATCH($CX98,$CV$8:$CV$152,0))</f>
        <v>#N/A</v>
      </c>
    </row>
    <row r="99" spans="1:110">
      <c r="A99" s="1216">
        <v>8</v>
      </c>
      <c r="B99" s="1510"/>
      <c r="C99" s="1022"/>
      <c r="D99" s="1022"/>
      <c r="E99" s="1022"/>
      <c r="F99" s="1022"/>
      <c r="G99" s="1022"/>
      <c r="H99" s="1022"/>
      <c r="I99" s="1475"/>
      <c r="J99" s="1020"/>
      <c r="K99" s="253"/>
      <c r="L99" s="254"/>
      <c r="M99" s="255">
        <f t="shared" si="417">K99*L99</f>
        <v>0</v>
      </c>
      <c r="AA99" s="1231"/>
      <c r="AB99" s="1230"/>
      <c r="AM99" s="1077">
        <f t="shared" si="418">IF(M99&gt;0,1,0)</f>
        <v>0</v>
      </c>
      <c r="AN99" s="1096">
        <f>IF(AM99&gt;0,COUNTIF(AM$8:AM99,"&gt;0"),0)</f>
        <v>0</v>
      </c>
      <c r="AO99" s="1078">
        <f t="shared" si="419">B99</f>
        <v>0</v>
      </c>
      <c r="AP99" s="1079">
        <f t="shared" si="420">C99</f>
        <v>0</v>
      </c>
      <c r="AQ99" s="1080">
        <f t="shared" si="421">IF(I99&lt;&gt;"",YEAR(I99),"")</f>
        <v>0</v>
      </c>
      <c r="AR99" s="1080">
        <f t="shared" si="422">IF(E99&lt;&gt;"",E99,"")</f>
        <v>0</v>
      </c>
      <c r="AS99" s="1078">
        <f t="shared" si="423">F99</f>
        <v>0</v>
      </c>
      <c r="AT99" s="1080">
        <f t="shared" si="424">IF(H99&lt;&gt;"",H99,"")</f>
        <v>0</v>
      </c>
      <c r="AU99" s="1080">
        <f t="shared" si="425">J99</f>
        <v>0</v>
      </c>
      <c r="AV99" s="1080">
        <f t="shared" si="426">K99</f>
        <v>0</v>
      </c>
      <c r="AW99" s="1081">
        <f t="shared" si="427">M99</f>
        <v>0</v>
      </c>
      <c r="AX99" s="237">
        <f t="shared" si="457">IF(AZ99&lt;&gt;"",AX98+1,"")</f>
        <v>0</v>
      </c>
      <c r="AY99" s="1087">
        <v>101</v>
      </c>
      <c r="AZ99" s="1087">
        <f t="shared" si="428">IF(ISNA(VLOOKUP(AY99,$AN$8:$AW$148,2,False))=True,"",VLOOKUP(AY99,$AN$8:$AW$148,2,False))</f>
        <v>0</v>
      </c>
      <c r="BA99" s="1087">
        <f t="shared" si="429">IF(ISNA(VLOOKUP(AZ99,$AE$8:$AF$46,2,False))=True,"",VLOOKUP(AZ99,$AE$8:$AF$46,2,False))</f>
        <v>0</v>
      </c>
      <c r="BB99" s="1087">
        <f t="shared" si="430">IF(ISNA(VLOOKUP(AY99,$AN$8:$AW$148,4,False))=True,"",VLOOKUP(AY99,$AN$8:$AW$148,4,False))</f>
        <v>0</v>
      </c>
      <c r="BC99" s="1087">
        <f t="shared" si="431">IF(ISNA(VLOOKUP(AY99,$AN$8:$AW$148,5,False))=True,"",VLOOKUP(AY99,$AN$8:$AW$148,5,False))</f>
        <v>0</v>
      </c>
      <c r="BD99" s="1087" t="str">
        <f t="shared" si="432">IF(ISNA(VLOOKUP(AY99,$AN$8:$AW$148,6,False))=True,"0",VLOOKUP(AY99,$AN$8:$AW$148,6,False))</f>
        <v>0</v>
      </c>
      <c r="BE99" s="1125">
        <f t="shared" si="433">IF(ISNA(VLOOKUP(AY99,$AN$8:$AW$148,7,False))=True,"",VLOOKUP(AY99,$AN$8:$AW$148,7,False))</f>
        <v>0</v>
      </c>
      <c r="BF99" s="1123">
        <f t="shared" si="395">IF(ISNA(VLOOKUP($AY99,$AN$8:$AW$148,8,False))=True,"",VLOOKUP($AY99,$AN$8:$AW$148,8,False))</f>
        <v>0</v>
      </c>
      <c r="BG99" s="1120">
        <f t="shared" si="396">IF(ISNA(VLOOKUP($AY99,$AN$8:$AW$148,9,False))=True,"",VLOOKUP($AY99,$AN$8:$AW$148,9,False))</f>
        <v>0</v>
      </c>
      <c r="BH99" s="1120">
        <f t="shared" si="397">IF(ISNA(VLOOKUP($AY99,$AN$8:$AW$148,10,False))=True,"",VLOOKUP($AY99,$AN$8:$AW$148,10,False))</f>
        <v>0</v>
      </c>
      <c r="BI99" s="250">
        <f t="shared" si="434">IF(AZ99&lt;&gt;"",AZ99,"")</f>
        <v>0</v>
      </c>
      <c r="BJ99" s="1098">
        <f t="shared" si="435">BI99</f>
        <v>0</v>
      </c>
      <c r="BK99" s="1115">
        <f>COUNTIFS($AZ:$AZ, AZ99,$BJ:$BJ, "&lt;"&amp;BJ99)+COUNTIFS(AZ$8:AZ99, AZ99, BJ$8:BJ99, BJ99)</f>
        <v>92</v>
      </c>
      <c r="BL99" s="1114">
        <f t="shared" si="436">BK99/100</f>
        <v>0.92</v>
      </c>
      <c r="BM99" s="1093" t="e">
        <f t="shared" si="461" ref="BM99">BI99+BL99</f>
        <v>#VALUE!</v>
      </c>
      <c r="BN99" s="1101">
        <f t="shared" si="438">IF(BA99&lt;&gt;"",BM99,"")</f>
        <v>0</v>
      </c>
      <c r="BO99" s="1118">
        <f t="shared" si="439">IF(BN99&lt;&gt;"",BN99,0)</f>
        <v>0</v>
      </c>
      <c r="BP99" s="237" t="e">
        <f t="shared" si="312">SMALL($BN$8:$BN$152,AX99)</f>
        <v>#VALUE!</v>
      </c>
      <c r="BR99" s="1102" t="e">
        <f t="shared" si="459">IF(BP99&lt;&gt;"",BR98+1,"")</f>
        <v>#VALUE!</v>
      </c>
      <c r="BS99" s="1102">
        <f t="shared" si="440">IFERROR(BP99,"")</f>
        <v>0</v>
      </c>
      <c r="BT99" s="1102">
        <f t="shared" si="441">IFERROR(CC99,"")</f>
        <v>0</v>
      </c>
      <c r="BU99" s="1098">
        <f t="shared" si="442">IFERROR(CD99,"")</f>
        <v>0</v>
      </c>
      <c r="BV99" s="1098">
        <f t="shared" si="443">IFERROR(CE99,"")</f>
        <v>0</v>
      </c>
      <c r="BW99" s="1098">
        <f t="shared" si="444">IFERROR(CF99,"")</f>
        <v>0</v>
      </c>
      <c r="BX99" s="1146">
        <f t="shared" si="445">IFERROR(CH99,"")</f>
        <v>0</v>
      </c>
      <c r="BY99" s="1098">
        <f t="shared" si="446">IFERROR(CG99,"")</f>
        <v>0</v>
      </c>
      <c r="BZ99" s="1144" t="str">
        <f t="shared" si="447">IFERROR(CI99,"-")</f>
        <v>-</v>
      </c>
      <c r="CA99" s="1107">
        <f t="shared" si="448">IFERROR(CJ99,"")</f>
        <v>0</v>
      </c>
      <c r="CB99" s="1107">
        <f t="shared" si="449">IFERROR(CK99,"")</f>
        <v>0</v>
      </c>
      <c r="CC99" s="1110" t="e">
        <f t="shared" si="313">INDEX($AZ$8:$AZ$153,MATCH(BP99,$BO$8:$BO$153,0))</f>
        <v>#VALUE!</v>
      </c>
      <c r="CD99" s="1087" t="e">
        <f t="shared" si="314">INDEX($BA$8:$BA$153,MATCH(BP99,$BO$8:$BO$153,0))</f>
        <v>#VALUE!</v>
      </c>
      <c r="CE99" s="1106" t="e">
        <f t="shared" si="315">INDEX($BB$8:$BB$153,MATCH(BP99,$BO$8:$BO$153,0))</f>
        <v>#VALUE!</v>
      </c>
      <c r="CF99" s="1106" t="e">
        <f t="shared" si="316">INDEX(BC$8:BC$153,MATCH(BP99,$BO$8:$BO$153,0))</f>
        <v>#VALUE!</v>
      </c>
      <c r="CG99" s="1118" t="e">
        <f t="shared" si="317">INDEX(BE$8:BE$153,MATCH(BP99,$BO$8:$BO$153,0))</f>
        <v>#VALUE!</v>
      </c>
      <c r="CH99" s="1106" t="e">
        <f t="shared" si="318">INDEX($BD$8:$BD$153,MATCH($BP99,$BO$8:$BO$153,0))</f>
        <v>#VALUE!</v>
      </c>
      <c r="CI99" s="1142" t="e">
        <f t="shared" si="319">INDEX($BF$8:$BF$153,MATCH(BP99,$BO$8:$BO$153,0))</f>
        <v>#VALUE!</v>
      </c>
      <c r="CJ99" s="1106" t="e">
        <f t="shared" si="320">INDEX($BG$8:$BG$153,MATCH(BP99,$BO$8:$BO$153,0))</f>
        <v>#VALUE!</v>
      </c>
      <c r="CK99" s="1106" t="e">
        <f t="shared" si="321">INDEX($BH$8:$BH$153,MATCH(BP99,$BO$8:$BO$153,0))</f>
        <v>#VALUE!</v>
      </c>
      <c r="CM99" s="1131">
        <f t="shared" si="322">COUNTIF($CH$8:$CH$228,"&lt;="&amp;CH99)</f>
        <v>145</v>
      </c>
      <c r="CN99" s="1121">
        <f t="shared" si="450">--ISNUMBER(BX99)</f>
        <v>0</v>
      </c>
      <c r="CO99" s="1121">
        <f t="shared" si="451">IF(BX99=0,1,0)</f>
        <v>0</v>
      </c>
      <c r="CP99" s="1124">
        <f t="shared" si="452">IF(ISNUMBER(BX99),CM99,IF(ISERROR(BX99),CM99,CM99+$CN$154))+$CO$154</f>
        <v>145</v>
      </c>
      <c r="CQ99" s="237">
        <f>IFERROR(INDEX($BX$8:$BX$153,MATCH(SMALL($CP$8:$CP$153,ROWS($CQ$8:CQ99)+$CO$154),$CP$8:$CP$154,0)),"")</f>
        <v>0</v>
      </c>
      <c r="CR99" s="237">
        <v>0.1</v>
      </c>
      <c r="CS99" s="1135">
        <f t="shared" si="453">CM99+CR99</f>
        <v>145.1</v>
      </c>
      <c r="CT99" s="237">
        <f>COUNTIFS($CM:$CM, CM99,$CS:$CS, "&lt;"&amp;CL)+COUNTIFS(CM$8:CM99, CM99, CS$8:CS99, CS99)</f>
        <v>92</v>
      </c>
      <c r="CU99" s="1109">
        <f t="shared" si="454">CT99/100</f>
        <v>0.92</v>
      </c>
      <c r="CV99" s="1109">
        <f t="shared" si="455">CM99+CU99</f>
        <v>145.92</v>
      </c>
      <c r="CW99" s="237" t="e">
        <f t="shared" si="323">SMALL(CV$8:CV$153,AX99)</f>
        <v>#VALUE!</v>
      </c>
      <c r="CX99" s="1109">
        <f t="shared" si="456">IFERROR(CW99,"")</f>
        <v>0</v>
      </c>
      <c r="CY99" s="237" t="e">
        <f t="shared" si="324">INDEX(BU$8:BU$152,MATCH($CX99,CV$8:CV$152,0))</f>
        <v>#N/A</v>
      </c>
      <c r="CZ99" s="237" t="e">
        <f t="shared" si="325">INDEX(BV$8:BV$152,MATCH($CX99,$CV$8:$CV$152,0))</f>
        <v>#N/A</v>
      </c>
      <c r="DA99" s="237" t="e">
        <f t="shared" si="326">INDEX(BW$8:BW$152,MATCH($CX99,$CV$8:$CV$152,0))</f>
        <v>#N/A</v>
      </c>
      <c r="DB99" s="237" t="e">
        <f t="shared" si="327">INDEX(BX$8:BX$152,MATCH($CX99,$CV$8:$CV$152,0))</f>
        <v>#N/A</v>
      </c>
      <c r="DC99" s="237" t="e">
        <f t="shared" si="328">INDEX(BY$8:BY$152,MATCH($CX99,$CV$8:$CV$152,0))</f>
        <v>#N/A</v>
      </c>
      <c r="DD99" s="237" t="e">
        <f t="shared" si="329">INDEX(BZ$8:BZ$152,MATCH($CX99,$CV$8:$CV$152,0))</f>
        <v>#N/A</v>
      </c>
      <c r="DE99" s="237" t="e">
        <f t="shared" si="330">INDEX(CA$8:CA$152,MATCH($CX99,$CV$8:$CV$152,0))</f>
        <v>#N/A</v>
      </c>
      <c r="DF99" s="237" t="e">
        <f t="shared" si="331">INDEX(CB$8:CB$152,MATCH($CX99,$CV$8:$CV$152,0))</f>
        <v>#N/A</v>
      </c>
    </row>
    <row r="100" spans="1:110">
      <c r="A100" s="1216">
        <v>9</v>
      </c>
      <c r="B100" s="1510"/>
      <c r="C100" s="1022"/>
      <c r="D100" s="1022"/>
      <c r="E100" s="1022"/>
      <c r="F100" s="1022"/>
      <c r="G100" s="1022"/>
      <c r="H100" s="1022"/>
      <c r="I100" s="1475"/>
      <c r="J100" s="1020"/>
      <c r="K100" s="253"/>
      <c r="L100" s="254"/>
      <c r="M100" s="255">
        <f t="shared" si="417">K100*L100</f>
        <v>0</v>
      </c>
      <c r="AM100" s="1077">
        <f t="shared" si="418">IF(M100&gt;0,1,0)</f>
        <v>0</v>
      </c>
      <c r="AN100" s="1096">
        <f>IF(K100&gt;0,COUNTIF(AM$8:AM100,"&gt;0"),0)</f>
        <v>0</v>
      </c>
      <c r="AO100" s="1078">
        <f t="shared" si="419">B100</f>
        <v>0</v>
      </c>
      <c r="AP100" s="1079">
        <f t="shared" si="420">C100</f>
        <v>0</v>
      </c>
      <c r="AQ100" s="1080">
        <f t="shared" si="421">IF(I100&lt;&gt;"",YEAR(I100),"")</f>
        <v>0</v>
      </c>
      <c r="AR100" s="1080">
        <f t="shared" si="422">IF(E100&lt;&gt;"",E100,"")</f>
        <v>0</v>
      </c>
      <c r="AS100" s="1078">
        <f t="shared" si="423">F100</f>
        <v>0</v>
      </c>
      <c r="AT100" s="1080">
        <f t="shared" si="424">IF(H100&lt;&gt;"",H100,"")</f>
        <v>0</v>
      </c>
      <c r="AU100" s="1080">
        <f t="shared" si="425">J100</f>
        <v>0</v>
      </c>
      <c r="AV100" s="1080">
        <f t="shared" si="426">K100</f>
        <v>0</v>
      </c>
      <c r="AW100" s="1081">
        <f t="shared" si="427">M100</f>
        <v>0</v>
      </c>
      <c r="AX100" s="237">
        <f t="shared" si="457">IF(AZ100&lt;&gt;"",AX99+1,"")</f>
        <v>0</v>
      </c>
      <c r="AY100" s="1087">
        <v>102</v>
      </c>
      <c r="AZ100" s="1087">
        <f t="shared" si="428">IF(ISNA(VLOOKUP(AY100,$AN$8:$AW$148,2,False))=True,"",VLOOKUP(AY100,$AN$8:$AW$148,2,False))</f>
        <v>0</v>
      </c>
      <c r="BA100" s="1087">
        <f t="shared" si="429">IF(ISNA(VLOOKUP(AZ100,$AE$8:$AF$46,2,False))=True,"",VLOOKUP(AZ100,$AE$8:$AF$46,2,False))</f>
        <v>0</v>
      </c>
      <c r="BB100" s="1087">
        <f t="shared" si="430">IF(ISNA(VLOOKUP(AY100,$AN$8:$AW$148,4,False))=True,"",VLOOKUP(AY100,$AN$8:$AW$148,4,False))</f>
        <v>0</v>
      </c>
      <c r="BC100" s="1087">
        <f t="shared" si="431">IF(ISNA(VLOOKUP(AY100,$AN$8:$AW$148,5,False))=True,"",VLOOKUP(AY100,$AN$8:$AW$148,5,False))</f>
        <v>0</v>
      </c>
      <c r="BD100" s="1087" t="str">
        <f t="shared" si="432">IF(ISNA(VLOOKUP(AY100,$AN$8:$AW$148,6,False))=True,"0",VLOOKUP(AY100,$AN$8:$AW$148,6,False))</f>
        <v>0</v>
      </c>
      <c r="BE100" s="1125">
        <f t="shared" si="433">IF(ISNA(VLOOKUP(AY100,$AN$8:$AW$148,7,False))=True,"",VLOOKUP(AY100,$AN$8:$AW$148,7,False))</f>
        <v>0</v>
      </c>
      <c r="BF100" s="1123">
        <f t="shared" si="395">IF(ISNA(VLOOKUP($AY100,$AN$8:$AW$148,8,False))=True,"",VLOOKUP($AY100,$AN$8:$AW$148,8,False))</f>
        <v>0</v>
      </c>
      <c r="BG100" s="1120">
        <f t="shared" si="396">IF(ISNA(VLOOKUP($AY100,$AN$8:$AW$148,9,False))=True,"",VLOOKUP($AY100,$AN$8:$AW$148,9,False))</f>
        <v>0</v>
      </c>
      <c r="BH100" s="1120">
        <f t="shared" si="397">IF(ISNA(VLOOKUP($AY100,$AN$8:$AW$148,10,False))=True,"",VLOOKUP($AY100,$AN$8:$AW$148,10,False))</f>
        <v>0</v>
      </c>
      <c r="BI100" s="250">
        <f t="shared" si="434">IF(AZ100&lt;&gt;"",AZ100,"")</f>
        <v>0</v>
      </c>
      <c r="BJ100" s="1098">
        <f t="shared" si="435">BI100</f>
        <v>0</v>
      </c>
      <c r="BK100" s="1115">
        <f>COUNTIFS($AZ:$AZ, AZ100,$BJ:$BJ, "&lt;"&amp;BJ100)+COUNTIFS(AZ$8:AZ100, AZ100, BJ$8:BJ100, BJ100)</f>
        <v>93</v>
      </c>
      <c r="BL100" s="1114">
        <f t="shared" si="436">BK100/100</f>
        <v>0.93</v>
      </c>
      <c r="BM100" s="1093" t="e">
        <f t="shared" si="462" ref="BM100">BJ100+BL100</f>
        <v>#VALUE!</v>
      </c>
      <c r="BN100" s="1101">
        <f t="shared" si="438">IF(BA100&lt;&gt;"",BM100,"")</f>
        <v>0</v>
      </c>
      <c r="BO100" s="1118">
        <f t="shared" si="439">IF(BN100&lt;&gt;"",BN100,0)</f>
        <v>0</v>
      </c>
      <c r="BP100" s="237" t="e">
        <f t="shared" si="312">SMALL($BN$8:$BN$152,AX100)</f>
        <v>#VALUE!</v>
      </c>
      <c r="BR100" s="1102" t="e">
        <f t="shared" si="459">IF(BP100&lt;&gt;"",BR99+1,"")</f>
        <v>#VALUE!</v>
      </c>
      <c r="BS100" s="1102">
        <f t="shared" si="440">IFERROR(BP100,"")</f>
        <v>0</v>
      </c>
      <c r="BT100" s="1102">
        <f t="shared" si="441">IFERROR(CC100,"")</f>
        <v>0</v>
      </c>
      <c r="BU100" s="1098">
        <f t="shared" si="442">IFERROR(CD100,"")</f>
        <v>0</v>
      </c>
      <c r="BV100" s="1098">
        <f t="shared" si="443">IFERROR(CE100,"")</f>
        <v>0</v>
      </c>
      <c r="BW100" s="1098">
        <f t="shared" si="444">IFERROR(CF100,"")</f>
        <v>0</v>
      </c>
      <c r="BX100" s="1146">
        <f t="shared" si="445">IFERROR(CH100,"")</f>
        <v>0</v>
      </c>
      <c r="BY100" s="1098">
        <f t="shared" si="446">IFERROR(CG100,"")</f>
        <v>0</v>
      </c>
      <c r="BZ100" s="1144" t="str">
        <f t="shared" si="447">IFERROR(CI100,"-")</f>
        <v>-</v>
      </c>
      <c r="CA100" s="1107">
        <f t="shared" si="448">IFERROR(CJ100,"")</f>
        <v>0</v>
      </c>
      <c r="CB100" s="1107">
        <f t="shared" si="449">IFERROR(CK100,"")</f>
        <v>0</v>
      </c>
      <c r="CC100" s="1110" t="e">
        <f t="shared" si="313">INDEX($AZ$8:$AZ$153,MATCH(BP100,$BO$8:$BO$153,0))</f>
        <v>#VALUE!</v>
      </c>
      <c r="CD100" s="1087" t="e">
        <f t="shared" si="314">INDEX($BA$8:$BA$153,MATCH(BP100,$BO$8:$BO$153,0))</f>
        <v>#VALUE!</v>
      </c>
      <c r="CE100" s="1106" t="e">
        <f t="shared" si="315">INDEX($BB$8:$BB$153,MATCH(BP100,$BO$8:$BO$153,0))</f>
        <v>#VALUE!</v>
      </c>
      <c r="CF100" s="1106" t="e">
        <f t="shared" si="316">INDEX(BC$8:BC$153,MATCH(BP100,$BO$8:$BO$153,0))</f>
        <v>#VALUE!</v>
      </c>
      <c r="CG100" s="1118" t="e">
        <f t="shared" si="317">INDEX(BE$8:BE$153,MATCH(BP100,$BO$8:$BO$153,0))</f>
        <v>#VALUE!</v>
      </c>
      <c r="CH100" s="1106" t="e">
        <f t="shared" si="318">INDEX($BD$8:$BD$153,MATCH($BP100,$BO$8:$BO$153,0))</f>
        <v>#VALUE!</v>
      </c>
      <c r="CI100" s="1142" t="e">
        <f t="shared" si="319">INDEX($BF$8:$BF$153,MATCH(BP100,$BO$8:$BO$153,0))</f>
        <v>#VALUE!</v>
      </c>
      <c r="CJ100" s="1106" t="e">
        <f t="shared" si="320">INDEX($BG$8:$BG$153,MATCH(BP100,$BO$8:$BO$153,0))</f>
        <v>#VALUE!</v>
      </c>
      <c r="CK100" s="1106" t="e">
        <f t="shared" si="321">INDEX($BH$8:$BH$153,MATCH(BP100,$BO$8:$BO$153,0))</f>
        <v>#VALUE!</v>
      </c>
      <c r="CM100" s="1131">
        <f t="shared" si="322">COUNTIF($CH$8:$CH$228,"&lt;="&amp;CH100)</f>
        <v>145</v>
      </c>
      <c r="CN100" s="1121">
        <f t="shared" si="450">--ISNUMBER(BX100)</f>
        <v>0</v>
      </c>
      <c r="CO100" s="1121">
        <f t="shared" si="451">IF(BX100=0,1,0)</f>
        <v>0</v>
      </c>
      <c r="CP100" s="1124">
        <f t="shared" si="452">IF(ISNUMBER(BX100),CM100,IF(ISERROR(BX100),CM100,CM100+$CN$154))+$CO$154</f>
        <v>145</v>
      </c>
      <c r="CQ100" s="237">
        <f>IFERROR(INDEX($BX$8:$BX$153,MATCH(SMALL($CP$8:$CP$153,ROWS($CQ$8:CQ100)+$CO$154),$CP$8:$CP$154,0)),"")</f>
        <v>0</v>
      </c>
      <c r="CR100" s="237">
        <v>0.1</v>
      </c>
      <c r="CS100" s="1135">
        <f t="shared" si="453">CM100+CR100</f>
        <v>145.1</v>
      </c>
      <c r="CT100" s="237">
        <f>COUNTIFS($CM:$CM, CM100,$CS:$CS, "&lt;"&amp;CL)+COUNTIFS(CM$8:CM100, CM100, CS$8:CS100, CS100)</f>
        <v>93</v>
      </c>
      <c r="CU100" s="1109">
        <f t="shared" si="454">CT100/100</f>
        <v>0.93</v>
      </c>
      <c r="CV100" s="1109">
        <f t="shared" si="455">CM100+CU100</f>
        <v>145.93</v>
      </c>
      <c r="CW100" s="237" t="e">
        <f t="shared" si="323">SMALL(CV$8:CV$153,AX100)</f>
        <v>#VALUE!</v>
      </c>
      <c r="CX100" s="1109">
        <f t="shared" si="456">IFERROR(CW100,"")</f>
        <v>0</v>
      </c>
      <c r="CY100" s="237" t="e">
        <f t="shared" si="324">INDEX(BU$8:BU$152,MATCH($CX100,CV$8:CV$152,0))</f>
        <v>#N/A</v>
      </c>
      <c r="CZ100" s="237" t="e">
        <f t="shared" si="325">INDEX(BV$8:BV$152,MATCH($CX100,$CV$8:$CV$152,0))</f>
        <v>#N/A</v>
      </c>
      <c r="DA100" s="237" t="e">
        <f t="shared" si="326">INDEX(BW$8:BW$152,MATCH($CX100,$CV$8:$CV$152,0))</f>
        <v>#N/A</v>
      </c>
      <c r="DB100" s="237" t="e">
        <f t="shared" si="327">INDEX(BX$8:BX$152,MATCH($CX100,$CV$8:$CV$152,0))</f>
        <v>#N/A</v>
      </c>
      <c r="DC100" s="237" t="e">
        <f t="shared" si="328">INDEX(BY$8:BY$152,MATCH($CX100,$CV$8:$CV$152,0))</f>
        <v>#N/A</v>
      </c>
      <c r="DD100" s="237" t="e">
        <f t="shared" si="329">INDEX(BZ$8:BZ$152,MATCH($CX100,$CV$8:$CV$152,0))</f>
        <v>#N/A</v>
      </c>
      <c r="DE100" s="237" t="e">
        <f t="shared" si="330">INDEX(CA$8:CA$152,MATCH($CX100,$CV$8:$CV$152,0))</f>
        <v>#N/A</v>
      </c>
      <c r="DF100" s="237" t="e">
        <f t="shared" si="331">INDEX(CB$8:CB$152,MATCH($CX100,$CV$8:$CV$152,0))</f>
        <v>#N/A</v>
      </c>
    </row>
    <row r="101" spans="1:110">
      <c r="A101" s="1216">
        <v>10</v>
      </c>
      <c r="B101" s="1510"/>
      <c r="C101" s="1022"/>
      <c r="D101" s="1022"/>
      <c r="E101" s="1022"/>
      <c r="F101" s="1022"/>
      <c r="G101" s="1022"/>
      <c r="H101" s="1022"/>
      <c r="I101" s="1475"/>
      <c r="J101" s="1020"/>
      <c r="K101" s="253"/>
      <c r="L101" s="254"/>
      <c r="M101" s="255">
        <f t="shared" si="405">K101*L101</f>
        <v>0</v>
      </c>
      <c r="AM101" s="1077">
        <f t="shared" si="406">IF(M101&gt;0,1,0)</f>
        <v>0</v>
      </c>
      <c r="AN101" s="1096">
        <f>IF(AM101&gt;0,COUNTIF(AM$8:AM101,"&gt;0"),0)</f>
        <v>0</v>
      </c>
      <c r="AO101" s="1078">
        <f t="shared" si="407">B101</f>
        <v>0</v>
      </c>
      <c r="AP101" s="1079">
        <f t="shared" si="408">C101</f>
        <v>0</v>
      </c>
      <c r="AQ101" s="1080">
        <f t="shared" si="409">IF(I101&lt;&gt;"",YEAR(I101),"")</f>
        <v>0</v>
      </c>
      <c r="AR101" s="1080">
        <f t="shared" si="401">IF(E101&lt;&gt;"",E101,"")</f>
        <v>0</v>
      </c>
      <c r="AS101" s="1078">
        <f t="shared" si="386">F101</f>
        <v>0</v>
      </c>
      <c r="AT101" s="1080">
        <f t="shared" si="402">IF(H101&lt;&gt;"",H101,"")</f>
        <v>0</v>
      </c>
      <c r="AU101" s="1080">
        <f t="shared" si="403">J101</f>
        <v>0</v>
      </c>
      <c r="AV101" s="1080">
        <f t="shared" si="410">K101</f>
        <v>0</v>
      </c>
      <c r="AW101" s="1081">
        <f t="shared" si="411">M101</f>
        <v>0</v>
      </c>
      <c r="AX101" s="237">
        <f>IF(AZ101&lt;&gt;"",AX95+1,"")</f>
        <v>0</v>
      </c>
      <c r="AY101" s="1087">
        <v>98</v>
      </c>
      <c r="AZ101" s="1087">
        <f t="shared" si="387">IF(ISNA(VLOOKUP(AY101,$AN$8:$AW$148,2,False))=True,"",VLOOKUP(AY101,$AN$8:$AW$148,2,False))</f>
        <v>0</v>
      </c>
      <c r="BA101" s="1087">
        <f t="shared" si="388">IF(ISNA(VLOOKUP(AZ101,$AE$8:$AF$46,2,False))=True,"",VLOOKUP(AZ101,$AE$8:$AF$46,2,False))</f>
        <v>0</v>
      </c>
      <c r="BB101" s="1087">
        <f t="shared" si="389">IF(ISNA(VLOOKUP(AY101,$AN$8:$AW$148,4,False))=True,"",VLOOKUP(AY101,$AN$8:$AW$148,4,False))</f>
        <v>0</v>
      </c>
      <c r="BC101" s="1087">
        <f t="shared" si="390">IF(ISNA(VLOOKUP(AY101,$AN$8:$AW$148,5,False))=True,"",VLOOKUP(AY101,$AN$8:$AW$148,5,False))</f>
        <v>0</v>
      </c>
      <c r="BD101" s="1087" t="str">
        <f t="shared" si="267">IF(ISNA(VLOOKUP(AY101,$AN$8:$AW$148,6,False))=True,"0",VLOOKUP(AY101,$AN$8:$AW$148,6,False))</f>
        <v>0</v>
      </c>
      <c r="BE101" s="1125">
        <f t="shared" si="391">IF(ISNA(VLOOKUP(AY101,$AN$8:$AW$148,7,False))=True,"",VLOOKUP(AY101,$AN$8:$AW$148,7,False))</f>
        <v>0</v>
      </c>
      <c r="BF101" s="1123">
        <f t="shared" si="395">IF(ISNA(VLOOKUP($AY101,$AN$8:$AW$148,8,False))=True,"",VLOOKUP($AY101,$AN$8:$AW$148,8,False))</f>
        <v>0</v>
      </c>
      <c r="BG101" s="1120">
        <f t="shared" si="396">IF(ISNA(VLOOKUP($AY101,$AN$8:$AW$148,9,False))=True,"",VLOOKUP($AY101,$AN$8:$AW$148,9,False))</f>
        <v>0</v>
      </c>
      <c r="BH101" s="1120">
        <f t="shared" si="397">IF(ISNA(VLOOKUP($AY101,$AN$8:$AW$148,10,False))=True,"",VLOOKUP($AY101,$AN$8:$AW$148,10,False))</f>
        <v>0</v>
      </c>
      <c r="BI101" s="250">
        <f t="shared" si="270">IF(AZ101&lt;&gt;"",AZ101,"")</f>
        <v>0</v>
      </c>
      <c r="BJ101" s="1098">
        <f t="shared" si="271">BI101</f>
        <v>0</v>
      </c>
      <c r="BK101" s="1115">
        <f>COUNTIFS($AZ:$AZ, AZ101,$BJ:$BJ, "&lt;"&amp;BJ101)+COUNTIFS(AZ$8:AZ101, AZ101, BJ$8:BJ101, BJ101)</f>
        <v>94</v>
      </c>
      <c r="BL101" s="1114">
        <f t="shared" si="272">BK101/100</f>
        <v>0.94</v>
      </c>
      <c r="BM101" s="1093" t="e">
        <f t="shared" si="463" ref="BM101">BJ101+BL101</f>
        <v>#VALUE!</v>
      </c>
      <c r="BN101" s="1101">
        <f t="shared" si="416">IF(BA101&lt;&gt;"",BM101,"")</f>
        <v>0</v>
      </c>
      <c r="BO101" s="1118">
        <f t="shared" si="275">IF(BN101&lt;&gt;"",BN101,0)</f>
        <v>0</v>
      </c>
      <c r="BP101" s="237" t="e">
        <f t="shared" si="312">SMALL($BN$8:$BN$152,AX101)</f>
        <v>#VALUE!</v>
      </c>
      <c r="BR101" s="1102" t="e">
        <f>IF(BP101&lt;&gt;"",BR95+1,"")</f>
        <v>#VALUE!</v>
      </c>
      <c r="BS101" s="1102">
        <f t="shared" si="276">IFERROR(BP101,"")</f>
        <v>0</v>
      </c>
      <c r="BT101" s="1102">
        <f t="shared" si="277">IFERROR(CC101,"")</f>
        <v>0</v>
      </c>
      <c r="BU101" s="1098">
        <f t="shared" si="278">IFERROR(CD101,"")</f>
        <v>0</v>
      </c>
      <c r="BV101" s="1098">
        <f t="shared" si="279">IFERROR(CE101,"")</f>
        <v>0</v>
      </c>
      <c r="BW101" s="1098">
        <f t="shared" si="280">IFERROR(CF101,"")</f>
        <v>0</v>
      </c>
      <c r="BX101" s="1146">
        <f t="shared" si="281">IFERROR(CH101,"")</f>
        <v>0</v>
      </c>
      <c r="BY101" s="1098">
        <f t="shared" si="282">IFERROR(CG101,"")</f>
        <v>0</v>
      </c>
      <c r="BZ101" s="1144" t="str">
        <f t="shared" si="283">IFERROR(CI101,"-")</f>
        <v>-</v>
      </c>
      <c r="CA101" s="1107">
        <f t="shared" si="284">IFERROR(CJ101,"")</f>
        <v>0</v>
      </c>
      <c r="CB101" s="1107">
        <f t="shared" si="285">IFERROR(CK101,"")</f>
        <v>0</v>
      </c>
      <c r="CC101" s="1110" t="e">
        <f t="shared" si="313">INDEX($AZ$8:$AZ$153,MATCH(BP101,$BO$8:$BO$153,0))</f>
        <v>#VALUE!</v>
      </c>
      <c r="CD101" s="1087" t="e">
        <f t="shared" si="314">INDEX($BA$8:$BA$153,MATCH(BP101,$BO$8:$BO$153,0))</f>
        <v>#VALUE!</v>
      </c>
      <c r="CE101" s="1106" t="e">
        <f t="shared" si="315">INDEX($BB$8:$BB$153,MATCH(BP101,$BO$8:$BO$153,0))</f>
        <v>#VALUE!</v>
      </c>
      <c r="CF101" s="1106" t="e">
        <f t="shared" si="316">INDEX(BC$8:BC$153,MATCH(BP101,$BO$8:$BO$153,0))</f>
        <v>#VALUE!</v>
      </c>
      <c r="CG101" s="1118" t="e">
        <f t="shared" si="317">INDEX(BE$8:BE$153,MATCH(BP101,$BO$8:$BO$153,0))</f>
        <v>#VALUE!</v>
      </c>
      <c r="CH101" s="1106" t="e">
        <f t="shared" si="318">INDEX($BD$8:$BD$153,MATCH($BP101,$BO$8:$BO$153,0))</f>
        <v>#VALUE!</v>
      </c>
      <c r="CI101" s="1142" t="e">
        <f t="shared" si="319">INDEX($BF$8:$BF$153,MATCH(BP101,$BO$8:$BO$153,0))</f>
        <v>#VALUE!</v>
      </c>
      <c r="CJ101" s="1106" t="e">
        <f t="shared" si="320">INDEX($BG$8:$BG$153,MATCH(BP101,$BO$8:$BO$153,0))</f>
        <v>#VALUE!</v>
      </c>
      <c r="CK101" s="1106" t="e">
        <f t="shared" si="321">INDEX($BH$8:$BH$153,MATCH(BP101,$BO$8:$BO$153,0))</f>
        <v>#VALUE!</v>
      </c>
      <c r="CM101" s="1131">
        <f t="shared" si="322">COUNTIF($CH$8:$CH$228,"&lt;="&amp;CH101)</f>
        <v>145</v>
      </c>
      <c r="CN101" s="1121">
        <f t="shared" si="286">--ISNUMBER(BX101)</f>
        <v>0</v>
      </c>
      <c r="CO101" s="1121">
        <f t="shared" si="287">IF(BX101=0,1,0)</f>
        <v>0</v>
      </c>
      <c r="CP101" s="1124">
        <f t="shared" si="393">IF(ISNUMBER(BX101),CM101,IF(ISERROR(BX101),CM101,CM101+$CN$154))+$CO$154</f>
        <v>145</v>
      </c>
      <c r="CQ101" s="237">
        <f>IFERROR(INDEX($BX$8:$BX$153,MATCH(SMALL($CP$8:$CP$153,ROWS($CQ$8:CQ101)+$CO$154),$CP$8:$CP$154,0)),"")</f>
        <v>0</v>
      </c>
      <c r="CR101" s="237">
        <v>0.1</v>
      </c>
      <c r="CS101" s="1135">
        <f t="shared" si="288">CM101+CR101</f>
        <v>145.1</v>
      </c>
      <c r="CT101" s="237">
        <f>COUNTIFS($CM:$CM, CM101,$CS:$CS, "&lt;"&amp;CL)+COUNTIFS(CM$8:CM101, CM101, CS$8:CS101, CS101)</f>
        <v>94</v>
      </c>
      <c r="CU101" s="1109">
        <f t="shared" si="289">CT101/100</f>
        <v>0.94</v>
      </c>
      <c r="CV101" s="1109">
        <f t="shared" si="290">CM101+CU101</f>
        <v>145.94</v>
      </c>
      <c r="CW101" s="237" t="e">
        <f t="shared" si="323">SMALL(CV$8:CV$153,AX101)</f>
        <v>#VALUE!</v>
      </c>
      <c r="CX101" s="1109">
        <f t="shared" si="291">IFERROR(CW101,"")</f>
        <v>0</v>
      </c>
      <c r="CY101" s="237" t="e">
        <f t="shared" si="324">INDEX(BU$8:BU$152,MATCH($CX101,CV$8:CV$152,0))</f>
        <v>#N/A</v>
      </c>
      <c r="CZ101" s="237" t="e">
        <f t="shared" si="325">INDEX(BV$8:BV$152,MATCH($CX101,$CV$8:$CV$152,0))</f>
        <v>#N/A</v>
      </c>
      <c r="DA101" s="237" t="e">
        <f t="shared" si="326">INDEX(BW$8:BW$152,MATCH($CX101,$CV$8:$CV$152,0))</f>
        <v>#N/A</v>
      </c>
      <c r="DB101" s="237" t="e">
        <f t="shared" si="327">INDEX(BX$8:BX$152,MATCH($CX101,$CV$8:$CV$152,0))</f>
        <v>#N/A</v>
      </c>
      <c r="DC101" s="237" t="e">
        <f t="shared" si="328">INDEX(BY$8:BY$152,MATCH($CX101,$CV$8:$CV$152,0))</f>
        <v>#N/A</v>
      </c>
      <c r="DD101" s="237" t="e">
        <f t="shared" si="329">INDEX(BZ$8:BZ$152,MATCH($CX101,$CV$8:$CV$152,0))</f>
        <v>#N/A</v>
      </c>
      <c r="DE101" s="237" t="e">
        <f t="shared" si="330">INDEX(CA$8:CA$152,MATCH($CX101,$CV$8:$CV$152,0))</f>
        <v>#N/A</v>
      </c>
      <c r="DF101" s="237" t="e">
        <f t="shared" si="331">INDEX(CB$8:CB$152,MATCH($CX101,$CV$8:$CV$152,0))</f>
        <v>#N/A</v>
      </c>
    </row>
    <row r="102" spans="1:110">
      <c r="A102" s="1216">
        <v>11</v>
      </c>
      <c r="B102" s="1510"/>
      <c r="C102" s="1022"/>
      <c r="D102" s="1022"/>
      <c r="E102" s="1022"/>
      <c r="F102" s="1022"/>
      <c r="G102" s="1022"/>
      <c r="H102" s="1022"/>
      <c r="I102" s="1475"/>
      <c r="J102" s="1020"/>
      <c r="K102" s="253"/>
      <c r="L102" s="254"/>
      <c r="M102" s="255">
        <f t="shared" si="405">K102*L102</f>
        <v>0</v>
      </c>
      <c r="AA102" s="1231"/>
      <c r="AB102" s="1230"/>
      <c r="AM102" s="1077">
        <f t="shared" si="406">IF(M102&gt;0,1,0)</f>
        <v>0</v>
      </c>
      <c r="AN102" s="1096">
        <f>IF(K102&gt;0,COUNTIF(AM$8:AM102,"&gt;0"),0)</f>
        <v>0</v>
      </c>
      <c r="AO102" s="1078">
        <f t="shared" si="407">B102</f>
        <v>0</v>
      </c>
      <c r="AP102" s="1079">
        <f t="shared" si="408">C102</f>
        <v>0</v>
      </c>
      <c r="AQ102" s="1080">
        <f t="shared" si="409">IF(I102&lt;&gt;"",YEAR(I102),"")</f>
        <v>0</v>
      </c>
      <c r="AR102" s="1080">
        <f t="shared" si="401">IF(E102&lt;&gt;"",E102,"")</f>
        <v>0</v>
      </c>
      <c r="AS102" s="1078">
        <f t="shared" si="386">F102</f>
        <v>0</v>
      </c>
      <c r="AT102" s="1080">
        <f t="shared" si="402">IF(H102&lt;&gt;"",H102,"")</f>
        <v>0</v>
      </c>
      <c r="AU102" s="1080">
        <f t="shared" si="403">J102</f>
        <v>0</v>
      </c>
      <c r="AV102" s="1080">
        <f t="shared" si="410">K102</f>
        <v>0</v>
      </c>
      <c r="AW102" s="1081">
        <f t="shared" si="411">M102</f>
        <v>0</v>
      </c>
      <c r="AX102" s="237">
        <f t="shared" si="292">IF(AZ102&lt;&gt;"",AX101+1,"")</f>
        <v>0</v>
      </c>
      <c r="AY102" s="1087">
        <v>99</v>
      </c>
      <c r="AZ102" s="1087">
        <f t="shared" si="387">IF(ISNA(VLOOKUP(AY102,$AN$8:$AW$148,2,False))=True,"",VLOOKUP(AY102,$AN$8:$AW$148,2,False))</f>
        <v>0</v>
      </c>
      <c r="BA102" s="1087">
        <f t="shared" si="388">IF(ISNA(VLOOKUP(AZ102,$AE$8:$AF$46,2,False))=True,"",VLOOKUP(AZ102,$AE$8:$AF$46,2,False))</f>
        <v>0</v>
      </c>
      <c r="BB102" s="1087">
        <f t="shared" si="389">IF(ISNA(VLOOKUP(AY102,$AN$8:$AW$148,4,False))=True,"",VLOOKUP(AY102,$AN$8:$AW$148,4,False))</f>
        <v>0</v>
      </c>
      <c r="BC102" s="1087">
        <f t="shared" si="390">IF(ISNA(VLOOKUP(AY102,$AN$8:$AW$148,5,False))=True,"",VLOOKUP(AY102,$AN$8:$AW$148,5,False))</f>
        <v>0</v>
      </c>
      <c r="BD102" s="1087" t="str">
        <f t="shared" si="267">IF(ISNA(VLOOKUP(AY102,$AN$8:$AW$148,6,False))=True,"0",VLOOKUP(AY102,$AN$8:$AW$148,6,False))</f>
        <v>0</v>
      </c>
      <c r="BE102" s="1125">
        <f t="shared" si="391">IF(ISNA(VLOOKUP(AY102,$AN$8:$AW$148,7,False))=True,"",VLOOKUP(AY102,$AN$8:$AW$148,7,False))</f>
        <v>0</v>
      </c>
      <c r="BF102" s="1123">
        <f t="shared" si="395">IF(ISNA(VLOOKUP($AY102,$AN$8:$AW$148,8,False))=True,"",VLOOKUP($AY102,$AN$8:$AW$148,8,False))</f>
        <v>0</v>
      </c>
      <c r="BG102" s="1120">
        <f t="shared" si="396">IF(ISNA(VLOOKUP($AY102,$AN$8:$AW$148,9,False))=True,"",VLOOKUP($AY102,$AN$8:$AW$148,9,False))</f>
        <v>0</v>
      </c>
      <c r="BH102" s="1120">
        <f t="shared" si="397">IF(ISNA(VLOOKUP($AY102,$AN$8:$AW$148,10,False))=True,"",VLOOKUP($AY102,$AN$8:$AW$148,10,False))</f>
        <v>0</v>
      </c>
      <c r="BI102" s="250">
        <f t="shared" si="270">IF(AZ102&lt;&gt;"",AZ102,"")</f>
        <v>0</v>
      </c>
      <c r="BJ102" s="1098">
        <f t="shared" si="271">BI102</f>
        <v>0</v>
      </c>
      <c r="BK102" s="1115">
        <f>COUNTIFS($AZ:$AZ, AZ102,$BJ:$BJ, "&lt;"&amp;BJ102)+COUNTIFS(AZ$8:AZ102, AZ102, BJ$8:BJ102, BJ102)</f>
        <v>95</v>
      </c>
      <c r="BL102" s="1114">
        <f t="shared" si="272">BK102/100</f>
        <v>0.95</v>
      </c>
      <c r="BM102" s="1093" t="e">
        <f t="shared" si="464" ref="BM102">BI102+BL102</f>
        <v>#VALUE!</v>
      </c>
      <c r="BN102" s="1101">
        <f t="shared" si="416">IF(BA102&lt;&gt;"",BM102,"")</f>
        <v>0</v>
      </c>
      <c r="BO102" s="1118">
        <f t="shared" si="275">IF(BN102&lt;&gt;"",BN102,0)</f>
        <v>0</v>
      </c>
      <c r="BP102" s="237" t="e">
        <f t="shared" si="312">SMALL($BN$8:$BN$152,AX102)</f>
        <v>#VALUE!</v>
      </c>
      <c r="BR102" s="1102" t="e">
        <f t="shared" si="465" ref="BR102:BR137">IF(BP102&lt;&gt;"",BR101+1,"")</f>
        <v>#VALUE!</v>
      </c>
      <c r="BS102" s="1102">
        <f t="shared" si="276">IFERROR(BP102,"")</f>
        <v>0</v>
      </c>
      <c r="BT102" s="1102">
        <f t="shared" si="277">IFERROR(CC102,"")</f>
        <v>0</v>
      </c>
      <c r="BU102" s="1098">
        <f t="shared" si="278">IFERROR(CD102,"")</f>
        <v>0</v>
      </c>
      <c r="BV102" s="1098">
        <f t="shared" si="279">IFERROR(CE102,"")</f>
        <v>0</v>
      </c>
      <c r="BW102" s="1098">
        <f t="shared" si="280">IFERROR(CF102,"")</f>
        <v>0</v>
      </c>
      <c r="BX102" s="1146">
        <f t="shared" si="281">IFERROR(CH102,"")</f>
        <v>0</v>
      </c>
      <c r="BY102" s="1098">
        <f t="shared" si="282">IFERROR(CG102,"")</f>
        <v>0</v>
      </c>
      <c r="BZ102" s="1144" t="str">
        <f t="shared" si="283">IFERROR(CI102,"-")</f>
        <v>-</v>
      </c>
      <c r="CA102" s="1107">
        <f t="shared" si="284">IFERROR(CJ102,"")</f>
        <v>0</v>
      </c>
      <c r="CB102" s="1107">
        <f t="shared" si="285">IFERROR(CK102,"")</f>
        <v>0</v>
      </c>
      <c r="CC102" s="1110" t="e">
        <f t="shared" si="313">INDEX($AZ$8:$AZ$153,MATCH(BP102,$BO$8:$BO$153,0))</f>
        <v>#VALUE!</v>
      </c>
      <c r="CD102" s="1087" t="e">
        <f t="shared" si="314">INDEX($BA$8:$BA$153,MATCH(BP102,$BO$8:$BO$153,0))</f>
        <v>#VALUE!</v>
      </c>
      <c r="CE102" s="1106" t="e">
        <f t="shared" si="315">INDEX($BB$8:$BB$153,MATCH(BP102,$BO$8:$BO$153,0))</f>
        <v>#VALUE!</v>
      </c>
      <c r="CF102" s="1106" t="e">
        <f t="shared" si="316">INDEX(BC$8:BC$153,MATCH(BP102,$BO$8:$BO$153,0))</f>
        <v>#VALUE!</v>
      </c>
      <c r="CG102" s="1118" t="e">
        <f t="shared" si="317">INDEX(BE$8:BE$153,MATCH(BP102,$BO$8:$BO$153,0))</f>
        <v>#VALUE!</v>
      </c>
      <c r="CH102" s="1106" t="e">
        <f t="shared" si="318">INDEX($BD$8:$BD$153,MATCH($BP102,$BO$8:$BO$153,0))</f>
        <v>#VALUE!</v>
      </c>
      <c r="CI102" s="1142" t="e">
        <f t="shared" si="319">INDEX($BF$8:$BF$153,MATCH(BP102,$BO$8:$BO$153,0))</f>
        <v>#VALUE!</v>
      </c>
      <c r="CJ102" s="1106" t="e">
        <f t="shared" si="320">INDEX($BG$8:$BG$153,MATCH(BP102,$BO$8:$BO$153,0))</f>
        <v>#VALUE!</v>
      </c>
      <c r="CK102" s="1106" t="e">
        <f t="shared" si="321">INDEX($BH$8:$BH$153,MATCH(BP102,$BO$8:$BO$153,0))</f>
        <v>#VALUE!</v>
      </c>
      <c r="CM102" s="1131">
        <f t="shared" si="322">COUNTIF($CH$8:$CH$228,"&lt;="&amp;CH102)</f>
        <v>145</v>
      </c>
      <c r="CN102" s="1121">
        <f t="shared" si="286">--ISNUMBER(BX102)</f>
        <v>0</v>
      </c>
      <c r="CO102" s="1121">
        <f t="shared" si="287">IF(BX102=0,1,0)</f>
        <v>0</v>
      </c>
      <c r="CP102" s="1124">
        <f t="shared" si="393">IF(ISNUMBER(BX102),CM102,IF(ISERROR(BX102),CM102,CM102+$CN$154))+$CO$154</f>
        <v>145</v>
      </c>
      <c r="CQ102" s="237">
        <f>IFERROR(INDEX($BX$8:$BX$153,MATCH(SMALL($CP$8:$CP$153,ROWS($CQ$8:CQ102)+$CO$154),$CP$8:$CP$154,0)),"")</f>
        <v>0</v>
      </c>
      <c r="CR102" s="237">
        <v>0.1</v>
      </c>
      <c r="CS102" s="1135">
        <f t="shared" si="288">CM102+CR102</f>
        <v>145.1</v>
      </c>
      <c r="CT102" s="237">
        <f>COUNTIFS($CM:$CM, CM102,$CS:$CS, "&lt;"&amp;CL)+COUNTIFS(CM$8:CM102, CM102, CS$8:CS102, CS102)</f>
        <v>95</v>
      </c>
      <c r="CU102" s="1109">
        <f t="shared" si="289">CT102/100</f>
        <v>0.95</v>
      </c>
      <c r="CV102" s="1109">
        <f t="shared" si="290">CM102+CU102</f>
        <v>145.95</v>
      </c>
      <c r="CW102" s="237" t="e">
        <f t="shared" si="323">SMALL(CV$8:CV$153,AX102)</f>
        <v>#VALUE!</v>
      </c>
      <c r="CX102" s="1109">
        <f t="shared" si="291">IFERROR(CW102,"")</f>
        <v>0</v>
      </c>
      <c r="CY102" s="237" t="e">
        <f t="shared" si="324">INDEX(BU$8:BU$152,MATCH($CX102,CV$8:CV$152,0))</f>
        <v>#N/A</v>
      </c>
      <c r="CZ102" s="237" t="e">
        <f t="shared" si="325">INDEX(BV$8:BV$152,MATCH($CX102,$CV$8:$CV$152,0))</f>
        <v>#N/A</v>
      </c>
      <c r="DA102" s="237" t="e">
        <f t="shared" si="326">INDEX(BW$8:BW$152,MATCH($CX102,$CV$8:$CV$152,0))</f>
        <v>#N/A</v>
      </c>
      <c r="DB102" s="237" t="e">
        <f t="shared" si="327">INDEX(BX$8:BX$152,MATCH($CX102,$CV$8:$CV$152,0))</f>
        <v>#N/A</v>
      </c>
      <c r="DC102" s="237" t="e">
        <f t="shared" si="328">INDEX(BY$8:BY$152,MATCH($CX102,$CV$8:$CV$152,0))</f>
        <v>#N/A</v>
      </c>
      <c r="DD102" s="237" t="e">
        <f t="shared" si="329">INDEX(BZ$8:BZ$152,MATCH($CX102,$CV$8:$CV$152,0))</f>
        <v>#N/A</v>
      </c>
      <c r="DE102" s="237" t="e">
        <f t="shared" si="330">INDEX(CA$8:CA$152,MATCH($CX102,$CV$8:$CV$152,0))</f>
        <v>#N/A</v>
      </c>
      <c r="DF102" s="237" t="e">
        <f t="shared" si="331">INDEX(CB$8:CB$152,MATCH($CX102,$CV$8:$CV$152,0))</f>
        <v>#N/A</v>
      </c>
    </row>
    <row r="103" spans="1:110">
      <c r="A103" s="1216">
        <v>12</v>
      </c>
      <c r="B103" s="1510"/>
      <c r="C103" s="1022"/>
      <c r="D103" s="1022"/>
      <c r="E103" s="1022"/>
      <c r="F103" s="1022"/>
      <c r="G103" s="1022"/>
      <c r="H103" s="1022"/>
      <c r="I103" s="1475"/>
      <c r="J103" s="1020"/>
      <c r="K103" s="253"/>
      <c r="L103" s="254"/>
      <c r="M103" s="255">
        <f t="shared" si="405">K103*L103</f>
        <v>0</v>
      </c>
      <c r="AA103" s="1231"/>
      <c r="AB103" s="1230"/>
      <c r="AM103" s="1082">
        <f t="shared" si="406">IF(M103&gt;0,1,0)</f>
        <v>0</v>
      </c>
      <c r="AN103" s="1096">
        <f>IF(AM103&gt;0,COUNTIF(AM$8:AM103,"&gt;0"),0)</f>
        <v>0</v>
      </c>
      <c r="AO103" s="1083">
        <f t="shared" si="407">B103</f>
        <v>0</v>
      </c>
      <c r="AP103" s="1084">
        <f t="shared" si="408">C103</f>
        <v>0</v>
      </c>
      <c r="AQ103" s="1085">
        <f t="shared" si="409">IF(I103&lt;&gt;"",YEAR(I103),"")</f>
        <v>0</v>
      </c>
      <c r="AR103" s="1080">
        <f t="shared" si="401">IF(E103&lt;&gt;"",E103,"")</f>
        <v>0</v>
      </c>
      <c r="AS103" s="1078">
        <f t="shared" si="386">F103</f>
        <v>0</v>
      </c>
      <c r="AT103" s="1080">
        <f t="shared" si="402">IF(H103&lt;&gt;"",H103,"")</f>
        <v>0</v>
      </c>
      <c r="AU103" s="1080">
        <f t="shared" si="403">J103</f>
        <v>0</v>
      </c>
      <c r="AV103" s="1080">
        <f t="shared" si="410">K103</f>
        <v>0</v>
      </c>
      <c r="AW103" s="1086">
        <f t="shared" si="411">M103</f>
        <v>0</v>
      </c>
      <c r="AX103" s="237">
        <f t="shared" si="292">IF(AZ103&lt;&gt;"",AX102+1,"")</f>
        <v>0</v>
      </c>
      <c r="AY103" s="1087">
        <v>100</v>
      </c>
      <c r="AZ103" s="1087">
        <f t="shared" si="387">IF(ISNA(VLOOKUP(AY103,$AN$8:$AW$148,2,False))=True,"",VLOOKUP(AY103,$AN$8:$AW$148,2,False))</f>
        <v>0</v>
      </c>
      <c r="BA103" s="1087">
        <f t="shared" si="388">IF(ISNA(VLOOKUP(AZ103,$AE$8:$AF$46,2,False))=True,"",VLOOKUP(AZ103,$AE$8:$AF$46,2,False))</f>
        <v>0</v>
      </c>
      <c r="BB103" s="1087">
        <f t="shared" si="389">IF(ISNA(VLOOKUP(AY103,$AN$8:$AW$148,4,False))=True,"",VLOOKUP(AY103,$AN$8:$AW$148,4,False))</f>
        <v>0</v>
      </c>
      <c r="BC103" s="1087">
        <f t="shared" si="390">IF(ISNA(VLOOKUP(AY103,$AN$8:$AW$148,5,False))=True,"",VLOOKUP(AY103,$AN$8:$AW$148,5,False))</f>
        <v>0</v>
      </c>
      <c r="BD103" s="1087" t="str">
        <f t="shared" si="267">IF(ISNA(VLOOKUP(AY103,$AN$8:$AW$148,6,False))=True,"0",VLOOKUP(AY103,$AN$8:$AW$148,6,False))</f>
        <v>0</v>
      </c>
      <c r="BE103" s="1125">
        <f t="shared" si="391">IF(ISNA(VLOOKUP(AY103,$AN$8:$AW$148,7,False))=True,"",VLOOKUP(AY103,$AN$8:$AW$148,7,False))</f>
        <v>0</v>
      </c>
      <c r="BF103" s="1123">
        <f t="shared" si="395">IF(ISNA(VLOOKUP($AY103,$AN$8:$AW$148,8,False))=True,"",VLOOKUP($AY103,$AN$8:$AW$148,8,False))</f>
        <v>0</v>
      </c>
      <c r="BG103" s="1120">
        <f t="shared" si="396">IF(ISNA(VLOOKUP($AY103,$AN$8:$AW$148,9,False))=True,"",VLOOKUP($AY103,$AN$8:$AW$148,9,False))</f>
        <v>0</v>
      </c>
      <c r="BH103" s="1120">
        <f t="shared" si="397">IF(ISNA(VLOOKUP($AY103,$AN$8:$AW$148,10,False))=True,"",VLOOKUP($AY103,$AN$8:$AW$148,10,False))</f>
        <v>0</v>
      </c>
      <c r="BI103" s="250">
        <f t="shared" si="270">IF(AZ103&lt;&gt;"",AZ103,"")</f>
        <v>0</v>
      </c>
      <c r="BJ103" s="1098">
        <f t="shared" si="271">BI103</f>
        <v>0</v>
      </c>
      <c r="BK103" s="1115">
        <f>COUNTIFS($AZ:$AZ, AZ103,$BJ:$BJ, "&lt;"&amp;BJ103)+COUNTIFS(AZ$8:AZ103, AZ103, BJ$8:BJ103, BJ103)</f>
        <v>96</v>
      </c>
      <c r="BL103" s="1114">
        <f t="shared" si="272">BK103/100</f>
        <v>0.96</v>
      </c>
      <c r="BM103" s="1093" t="e">
        <f t="shared" si="466" ref="BM103">BJ103+BL103</f>
        <v>#VALUE!</v>
      </c>
      <c r="BN103" s="1101">
        <f t="shared" si="416">IF(BA103&lt;&gt;"",BM103,"")</f>
        <v>0</v>
      </c>
      <c r="BO103" s="1118">
        <f t="shared" si="275">IF(BN103&lt;&gt;"",BN103,0)</f>
        <v>0</v>
      </c>
      <c r="BP103" s="237" t="e">
        <f t="shared" si="312">SMALL($BN$8:$BN$152,AX103)</f>
        <v>#VALUE!</v>
      </c>
      <c r="BR103" s="1102" t="e">
        <f t="shared" si="465">IF(BP103&lt;&gt;"",BR102+1,"")</f>
        <v>#VALUE!</v>
      </c>
      <c r="BS103" s="1102">
        <f t="shared" si="276">IFERROR(BP103,"")</f>
        <v>0</v>
      </c>
      <c r="BT103" s="1102">
        <f t="shared" si="277">IFERROR(CC103,"")</f>
        <v>0</v>
      </c>
      <c r="BU103" s="1098">
        <f t="shared" si="278">IFERROR(CD103,"")</f>
        <v>0</v>
      </c>
      <c r="BV103" s="1098">
        <f t="shared" si="279">IFERROR(CE103,"")</f>
        <v>0</v>
      </c>
      <c r="BW103" s="1098">
        <f t="shared" si="280">IFERROR(CF103,"")</f>
        <v>0</v>
      </c>
      <c r="BX103" s="1146">
        <f t="shared" si="281">IFERROR(CH103,"")</f>
        <v>0</v>
      </c>
      <c r="BY103" s="1098">
        <f t="shared" si="282">IFERROR(CG103,"")</f>
        <v>0</v>
      </c>
      <c r="BZ103" s="1144" t="str">
        <f t="shared" si="283">IFERROR(CI103,"-")</f>
        <v>-</v>
      </c>
      <c r="CA103" s="1107">
        <f t="shared" si="284">IFERROR(CJ103,"")</f>
        <v>0</v>
      </c>
      <c r="CB103" s="1107">
        <f t="shared" si="285">IFERROR(CK103,"")</f>
        <v>0</v>
      </c>
      <c r="CC103" s="1110" t="e">
        <f t="shared" si="313">INDEX($AZ$8:$AZ$153,MATCH(BP103,$BO$8:$BO$153,0))</f>
        <v>#VALUE!</v>
      </c>
      <c r="CD103" s="1087" t="e">
        <f t="shared" si="314">INDEX($BA$8:$BA$153,MATCH(BP103,$BO$8:$BO$153,0))</f>
        <v>#VALUE!</v>
      </c>
      <c r="CE103" s="1106" t="e">
        <f t="shared" si="315">INDEX($BB$8:$BB$153,MATCH(BP103,$BO$8:$BO$153,0))</f>
        <v>#VALUE!</v>
      </c>
      <c r="CF103" s="1106" t="e">
        <f t="shared" si="316">INDEX(BC$8:BC$153,MATCH(BP103,$BO$8:$BO$153,0))</f>
        <v>#VALUE!</v>
      </c>
      <c r="CG103" s="1118" t="e">
        <f t="shared" si="317">INDEX(BE$8:BE$153,MATCH(BP103,$BO$8:$BO$153,0))</f>
        <v>#VALUE!</v>
      </c>
      <c r="CH103" s="1106" t="e">
        <f t="shared" si="318">INDEX($BD$8:$BD$153,MATCH($BP103,$BO$8:$BO$153,0))</f>
        <v>#VALUE!</v>
      </c>
      <c r="CI103" s="1142" t="e">
        <f t="shared" si="319">INDEX($BF$8:$BF$153,MATCH(BP103,$BO$8:$BO$153,0))</f>
        <v>#VALUE!</v>
      </c>
      <c r="CJ103" s="1106" t="e">
        <f t="shared" si="320">INDEX($BG$8:$BG$153,MATCH(BP103,$BO$8:$BO$153,0))</f>
        <v>#VALUE!</v>
      </c>
      <c r="CK103" s="1106" t="e">
        <f t="shared" si="321">INDEX($BH$8:$BH$153,MATCH(BP103,$BO$8:$BO$153,0))</f>
        <v>#VALUE!</v>
      </c>
      <c r="CM103" s="1131">
        <f t="shared" si="322">COUNTIF($CH$8:$CH$228,"&lt;="&amp;CH103)</f>
        <v>145</v>
      </c>
      <c r="CN103" s="1121">
        <f t="shared" si="286">--ISNUMBER(BX103)</f>
        <v>0</v>
      </c>
      <c r="CO103" s="1121">
        <f t="shared" si="287">IF(BX103=0,1,0)</f>
        <v>0</v>
      </c>
      <c r="CP103" s="1124">
        <f t="shared" si="393">IF(ISNUMBER(BX103),CM103,IF(ISERROR(BX103),CM103,CM103+$CN$154))+$CO$154</f>
        <v>145</v>
      </c>
      <c r="CQ103" s="237">
        <f>IFERROR(INDEX($BX$8:$BX$153,MATCH(SMALL($CP$8:$CP$153,ROWS($CQ$8:CQ103)+$CO$154),$CP$8:$CP$154,0)),"")</f>
        <v>0</v>
      </c>
      <c r="CR103" s="237">
        <v>0.1</v>
      </c>
      <c r="CS103" s="1135">
        <f t="shared" si="288">CM103+CR103</f>
        <v>145.1</v>
      </c>
      <c r="CT103" s="237">
        <f>COUNTIFS($CM:$CM, CM103,$CS:$CS, "&lt;"&amp;CL)+COUNTIFS(CM$8:CM103, CM103, CS$8:CS103, CS103)</f>
        <v>96</v>
      </c>
      <c r="CU103" s="1109">
        <f t="shared" si="289">CT103/100</f>
        <v>0.96</v>
      </c>
      <c r="CV103" s="1109">
        <f t="shared" si="290">CM103+CU103</f>
        <v>145.96</v>
      </c>
      <c r="CW103" s="237" t="e">
        <f t="shared" si="323">SMALL(CV$8:CV$153,AX103)</f>
        <v>#VALUE!</v>
      </c>
      <c r="CX103" s="1109">
        <f t="shared" si="291">IFERROR(CW103,"")</f>
        <v>0</v>
      </c>
      <c r="CY103" s="237" t="e">
        <f t="shared" si="324">INDEX(BU$8:BU$152,MATCH($CX103,CV$8:CV$152,0))</f>
        <v>#N/A</v>
      </c>
      <c r="CZ103" s="237" t="e">
        <f t="shared" si="325">INDEX(BV$8:BV$152,MATCH($CX103,$CV$8:$CV$152,0))</f>
        <v>#N/A</v>
      </c>
      <c r="DA103" s="237" t="e">
        <f t="shared" si="326">INDEX(BW$8:BW$152,MATCH($CX103,$CV$8:$CV$152,0))</f>
        <v>#N/A</v>
      </c>
      <c r="DB103" s="237" t="e">
        <f t="shared" si="327">INDEX(BX$8:BX$152,MATCH($CX103,$CV$8:$CV$152,0))</f>
        <v>#N/A</v>
      </c>
      <c r="DC103" s="237" t="e">
        <f t="shared" si="328">INDEX(BY$8:BY$152,MATCH($CX103,$CV$8:$CV$152,0))</f>
        <v>#N/A</v>
      </c>
      <c r="DD103" s="237" t="e">
        <f t="shared" si="329">INDEX(BZ$8:BZ$152,MATCH($CX103,$CV$8:$CV$152,0))</f>
        <v>#N/A</v>
      </c>
      <c r="DE103" s="237" t="e">
        <f t="shared" si="330">INDEX(CA$8:CA$152,MATCH($CX103,$CV$8:$CV$152,0))</f>
        <v>#N/A</v>
      </c>
      <c r="DF103" s="237" t="e">
        <f t="shared" si="331">INDEX(CB$8:CB$152,MATCH($CX103,$CV$8:$CV$152,0))</f>
        <v>#N/A</v>
      </c>
    </row>
    <row r="104" spans="1:110">
      <c r="A104" s="1216">
        <v>13</v>
      </c>
      <c r="B104" s="1510"/>
      <c r="C104" s="1022"/>
      <c r="D104" s="1022"/>
      <c r="E104" s="1022"/>
      <c r="F104" s="1022"/>
      <c r="G104" s="1022"/>
      <c r="H104" s="1022"/>
      <c r="I104" s="1475"/>
      <c r="J104" s="1020"/>
      <c r="K104" s="253"/>
      <c r="L104" s="254"/>
      <c r="M104" s="255">
        <f t="shared" si="405">K104*L104</f>
        <v>0</v>
      </c>
      <c r="AA104" s="1231"/>
      <c r="AB104" s="1230"/>
      <c r="AM104" s="1077">
        <f t="shared" si="406">IF(M104&gt;0,1,0)</f>
        <v>0</v>
      </c>
      <c r="AN104" s="1096">
        <f>IF(AM104&gt;0,COUNTIF(AM$8:AM104,"&gt;0"),0)</f>
        <v>0</v>
      </c>
      <c r="AO104" s="1078">
        <f t="shared" si="407">B104</f>
        <v>0</v>
      </c>
      <c r="AP104" s="1079">
        <f t="shared" si="408">C104</f>
        <v>0</v>
      </c>
      <c r="AQ104" s="1080">
        <f t="shared" si="409">IF(I104&lt;&gt;"",YEAR(I104),"")</f>
        <v>0</v>
      </c>
      <c r="AR104" s="1080">
        <f t="shared" si="401">IF(E104&lt;&gt;"",E104,"")</f>
        <v>0</v>
      </c>
      <c r="AS104" s="1078">
        <f t="shared" si="386">F104</f>
        <v>0</v>
      </c>
      <c r="AT104" s="1080">
        <f t="shared" si="402">IF(H104&lt;&gt;"",H104,"")</f>
        <v>0</v>
      </c>
      <c r="AU104" s="1080">
        <f t="shared" si="403">J104</f>
        <v>0</v>
      </c>
      <c r="AV104" s="1080">
        <f t="shared" si="410">K104</f>
        <v>0</v>
      </c>
      <c r="AW104" s="1081">
        <f t="shared" si="411">M104</f>
        <v>0</v>
      </c>
      <c r="AX104" s="237">
        <f t="shared" si="292">IF(AZ104&lt;&gt;"",AX103+1,"")</f>
        <v>0</v>
      </c>
      <c r="AY104" s="1087">
        <v>101</v>
      </c>
      <c r="AZ104" s="1087">
        <f t="shared" si="387">IF(ISNA(VLOOKUP(AY104,$AN$8:$AW$148,2,False))=True,"",VLOOKUP(AY104,$AN$8:$AW$148,2,False))</f>
        <v>0</v>
      </c>
      <c r="BA104" s="1087">
        <f t="shared" si="388">IF(ISNA(VLOOKUP(AZ104,$AE$8:$AF$46,2,False))=True,"",VLOOKUP(AZ104,$AE$8:$AF$46,2,False))</f>
        <v>0</v>
      </c>
      <c r="BB104" s="1087">
        <f t="shared" si="389">IF(ISNA(VLOOKUP(AY104,$AN$8:$AW$148,4,False))=True,"",VLOOKUP(AY104,$AN$8:$AW$148,4,False))</f>
        <v>0</v>
      </c>
      <c r="BC104" s="1087">
        <f t="shared" si="390">IF(ISNA(VLOOKUP(AY104,$AN$8:$AW$148,5,False))=True,"",VLOOKUP(AY104,$AN$8:$AW$148,5,False))</f>
        <v>0</v>
      </c>
      <c r="BD104" s="1087" t="str">
        <f t="shared" si="467" ref="BD104:BD140">IF(ISNA(VLOOKUP(AY104,$AN$8:$AW$148,6,False))=True,"0",VLOOKUP(AY104,$AN$8:$AW$148,6,False))</f>
        <v>0</v>
      </c>
      <c r="BE104" s="1125">
        <f t="shared" si="391">IF(ISNA(VLOOKUP(AY104,$AN$8:$AW$148,7,False))=True,"",VLOOKUP(AY104,$AN$8:$AW$148,7,False))</f>
        <v>0</v>
      </c>
      <c r="BF104" s="1123">
        <f t="shared" si="395">IF(ISNA(VLOOKUP($AY104,$AN$8:$AW$148,8,False))=True,"",VLOOKUP($AY104,$AN$8:$AW$148,8,False))</f>
        <v>0</v>
      </c>
      <c r="BG104" s="1120">
        <f t="shared" si="396">IF(ISNA(VLOOKUP($AY104,$AN$8:$AW$148,9,False))=True,"",VLOOKUP($AY104,$AN$8:$AW$148,9,False))</f>
        <v>0</v>
      </c>
      <c r="BH104" s="1120">
        <f t="shared" si="397">IF(ISNA(VLOOKUP($AY104,$AN$8:$AW$148,10,False))=True,"",VLOOKUP($AY104,$AN$8:$AW$148,10,False))</f>
        <v>0</v>
      </c>
      <c r="BI104" s="250">
        <f t="shared" si="270">IF(AZ104&lt;&gt;"",AZ104,"")</f>
        <v>0</v>
      </c>
      <c r="BJ104" s="1098">
        <f t="shared" si="271">BI104</f>
        <v>0</v>
      </c>
      <c r="BK104" s="1115">
        <f>COUNTIFS($AZ:$AZ, AZ104,$BJ:$BJ, "&lt;"&amp;BJ104)+COUNTIFS(AZ$8:AZ104, AZ104, BJ$8:BJ104, BJ104)</f>
        <v>97</v>
      </c>
      <c r="BL104" s="1114">
        <f t="shared" si="272">BK104/100</f>
        <v>0.97</v>
      </c>
      <c r="BM104" s="1093" t="e">
        <f t="shared" si="468" ref="BM104">BI104+BL104</f>
        <v>#VALUE!</v>
      </c>
      <c r="BN104" s="1101">
        <f t="shared" si="416">IF(BA104&lt;&gt;"",BM104,"")</f>
        <v>0</v>
      </c>
      <c r="BO104" s="1118">
        <f t="shared" si="275">IF(BN104&lt;&gt;"",BN104,0)</f>
        <v>0</v>
      </c>
      <c r="BP104" s="237" t="e">
        <f t="shared" si="469" ref="BP104:BP135">SMALL($BN$8:$BN$152,AX104)</f>
        <v>#VALUE!</v>
      </c>
      <c r="BR104" s="1102" t="e">
        <f t="shared" si="465">IF(BP104&lt;&gt;"",BR103+1,"")</f>
        <v>#VALUE!</v>
      </c>
      <c r="BS104" s="1102">
        <f t="shared" si="276">IFERROR(BP104,"")</f>
        <v>0</v>
      </c>
      <c r="BT104" s="1102">
        <f t="shared" si="277">IFERROR(CC104,"")</f>
        <v>0</v>
      </c>
      <c r="BU104" s="1098">
        <f t="shared" si="278">IFERROR(CD104,"")</f>
        <v>0</v>
      </c>
      <c r="BV104" s="1098">
        <f t="shared" si="279">IFERROR(CE104,"")</f>
        <v>0</v>
      </c>
      <c r="BW104" s="1098">
        <f t="shared" si="280">IFERROR(CF104,"")</f>
        <v>0</v>
      </c>
      <c r="BX104" s="1146">
        <f t="shared" si="281">IFERROR(CH104,"")</f>
        <v>0</v>
      </c>
      <c r="BY104" s="1098">
        <f t="shared" si="282">IFERROR(CG104,"")</f>
        <v>0</v>
      </c>
      <c r="BZ104" s="1144" t="str">
        <f t="shared" si="283">IFERROR(CI104,"-")</f>
        <v>-</v>
      </c>
      <c r="CA104" s="1107">
        <f t="shared" si="284">IFERROR(CJ104,"")</f>
        <v>0</v>
      </c>
      <c r="CB104" s="1107">
        <f t="shared" si="285">IFERROR(CK104,"")</f>
        <v>0</v>
      </c>
      <c r="CC104" s="1110" t="e">
        <f t="shared" si="470" ref="CC104:CC135">INDEX($AZ$8:$AZ$153,MATCH(BP104,$BO$8:$BO$153,0))</f>
        <v>#VALUE!</v>
      </c>
      <c r="CD104" s="1087" t="e">
        <f t="shared" si="471" ref="CD104:CD135">INDEX($BA$8:$BA$153,MATCH(BP104,$BO$8:$BO$153,0))</f>
        <v>#VALUE!</v>
      </c>
      <c r="CE104" s="1106" t="e">
        <f t="shared" si="472" ref="CE104:CE135">INDEX($BB$8:$BB$153,MATCH(BP104,$BO$8:$BO$153,0))</f>
        <v>#VALUE!</v>
      </c>
      <c r="CF104" s="1106" t="e">
        <f t="shared" si="473" ref="CF104:CF135">INDEX(BC$8:BC$153,MATCH(BP104,$BO$8:$BO$153,0))</f>
        <v>#VALUE!</v>
      </c>
      <c r="CG104" s="1118" t="e">
        <f t="shared" si="474" ref="CG104:CG135">INDEX(BE$8:BE$153,MATCH(BP104,$BO$8:$BO$153,0))</f>
        <v>#VALUE!</v>
      </c>
      <c r="CH104" s="1106" t="e">
        <f t="shared" si="475" ref="CH104:CH135">INDEX($BD$8:$BD$153,MATCH($BP104,$BO$8:$BO$153,0))</f>
        <v>#VALUE!</v>
      </c>
      <c r="CI104" s="1142" t="e">
        <f t="shared" si="476" ref="CI104:CI135">INDEX($BF$8:$BF$153,MATCH(BP104,$BO$8:$BO$153,0))</f>
        <v>#VALUE!</v>
      </c>
      <c r="CJ104" s="1106" t="e">
        <f t="shared" si="477" ref="CJ104:CJ135">INDEX($BG$8:$BG$153,MATCH(BP104,$BO$8:$BO$153,0))</f>
        <v>#VALUE!</v>
      </c>
      <c r="CK104" s="1106" t="e">
        <f t="shared" si="478" ref="CK104:CK135">INDEX($BH$8:$BH$153,MATCH(BP104,$BO$8:$BO$153,0))</f>
        <v>#VALUE!</v>
      </c>
      <c r="CM104" s="1131">
        <f t="shared" si="479" ref="CM104:CM135">COUNTIF($CH$8:$CH$228,"&lt;="&amp;CH104)</f>
        <v>145</v>
      </c>
      <c r="CN104" s="1121">
        <f t="shared" si="286">--ISNUMBER(BX104)</f>
        <v>0</v>
      </c>
      <c r="CO104" s="1121">
        <f t="shared" si="287">IF(BX104=0,1,0)</f>
        <v>0</v>
      </c>
      <c r="CP104" s="1124">
        <f t="shared" si="393">IF(ISNUMBER(BX104),CM104,IF(ISERROR(BX104),CM104,CM104+$CN$154))+$CO$154</f>
        <v>145</v>
      </c>
      <c r="CQ104" s="237">
        <f>IFERROR(INDEX($BX$8:$BX$153,MATCH(SMALL($CP$8:$CP$153,ROWS($CQ$8:CQ104)+$CO$154),$CP$8:$CP$154,0)),"")</f>
        <v>0</v>
      </c>
      <c r="CR104" s="237">
        <v>0.1</v>
      </c>
      <c r="CS104" s="1135">
        <f t="shared" si="288">CM104+CR104</f>
        <v>145.1</v>
      </c>
      <c r="CT104" s="237">
        <f>COUNTIFS($CM:$CM, CM104,$CS:$CS, "&lt;"&amp;CL)+COUNTIFS(CM$8:CM104, CM104, CS$8:CS104, CS104)</f>
        <v>97</v>
      </c>
      <c r="CU104" s="1109">
        <f t="shared" si="289">CT104/100</f>
        <v>0.97</v>
      </c>
      <c r="CV104" s="1109">
        <f t="shared" si="290">CM104+CU104</f>
        <v>145.97</v>
      </c>
      <c r="CW104" s="237" t="e">
        <f t="shared" si="480" ref="CW104:CW135">SMALL(CV$8:CV$153,AX104)</f>
        <v>#VALUE!</v>
      </c>
      <c r="CX104" s="1109">
        <f t="shared" si="291">IFERROR(CW104,"")</f>
        <v>0</v>
      </c>
      <c r="CY104" s="237" t="e">
        <f t="shared" si="481" ref="CY104:CY135">INDEX(BU$8:BU$152,MATCH($CX104,CV$8:CV$152,0))</f>
        <v>#N/A</v>
      </c>
      <c r="CZ104" s="237" t="e">
        <f t="shared" si="482" ref="CZ104:CZ135">INDEX(BV$8:BV$152,MATCH($CX104,$CV$8:$CV$152,0))</f>
        <v>#N/A</v>
      </c>
      <c r="DA104" s="237" t="e">
        <f t="shared" si="483" ref="DA104:DA135">INDEX(BW$8:BW$152,MATCH($CX104,$CV$8:$CV$152,0))</f>
        <v>#N/A</v>
      </c>
      <c r="DB104" s="237" t="e">
        <f t="shared" si="484" ref="DB104:DB135">INDEX(BX$8:BX$152,MATCH($CX104,$CV$8:$CV$152,0))</f>
        <v>#N/A</v>
      </c>
      <c r="DC104" s="237" t="e">
        <f t="shared" si="485" ref="DC104:DC135">INDEX(BY$8:BY$152,MATCH($CX104,$CV$8:$CV$152,0))</f>
        <v>#N/A</v>
      </c>
      <c r="DD104" s="237" t="e">
        <f t="shared" si="486" ref="DD104:DD135">INDEX(BZ$8:BZ$152,MATCH($CX104,$CV$8:$CV$152,0))</f>
        <v>#N/A</v>
      </c>
      <c r="DE104" s="237" t="e">
        <f t="shared" si="487" ref="DE104:DE135">INDEX(CA$8:CA$152,MATCH($CX104,$CV$8:$CV$152,0))</f>
        <v>#N/A</v>
      </c>
      <c r="DF104" s="237" t="e">
        <f t="shared" si="488" ref="DF104:DF135">INDEX(CB$8:CB$152,MATCH($CX104,$CV$8:$CV$152,0))</f>
        <v>#N/A</v>
      </c>
    </row>
    <row r="105" spans="1:110">
      <c r="A105" s="1216">
        <v>14</v>
      </c>
      <c r="B105" s="1510"/>
      <c r="C105" s="1022"/>
      <c r="D105" s="1022"/>
      <c r="E105" s="1022"/>
      <c r="F105" s="1022"/>
      <c r="G105" s="1022"/>
      <c r="H105" s="1022"/>
      <c r="I105" s="1475"/>
      <c r="J105" s="1020"/>
      <c r="K105" s="253"/>
      <c r="L105" s="254"/>
      <c r="M105" s="255">
        <f t="shared" si="405">K105*L105</f>
        <v>0</v>
      </c>
      <c r="AM105" s="1077">
        <f t="shared" si="406">IF(M105&gt;0,1,0)</f>
        <v>0</v>
      </c>
      <c r="AN105" s="1096">
        <f>IF(K105&gt;0,COUNTIF(AM$8:AM105,"&gt;0"),0)</f>
        <v>0</v>
      </c>
      <c r="AO105" s="1078">
        <f t="shared" si="407">B105</f>
        <v>0</v>
      </c>
      <c r="AP105" s="1079">
        <f t="shared" si="408">C105</f>
        <v>0</v>
      </c>
      <c r="AQ105" s="1080">
        <f t="shared" si="409">IF(I105&lt;&gt;"",YEAR(I105),"")</f>
        <v>0</v>
      </c>
      <c r="AR105" s="1080">
        <f t="shared" si="401">IF(E105&lt;&gt;"",E105,"")</f>
        <v>0</v>
      </c>
      <c r="AS105" s="1078">
        <f t="shared" si="386">F105</f>
        <v>0</v>
      </c>
      <c r="AT105" s="1080">
        <f t="shared" si="402">IF(H105&lt;&gt;"",H105,"")</f>
        <v>0</v>
      </c>
      <c r="AU105" s="1080">
        <f t="shared" si="403">J105</f>
        <v>0</v>
      </c>
      <c r="AV105" s="1080">
        <f t="shared" si="410">K105</f>
        <v>0</v>
      </c>
      <c r="AW105" s="1081">
        <f t="shared" si="411">M105</f>
        <v>0</v>
      </c>
      <c r="AX105" s="237">
        <f t="shared" si="292">IF(AZ105&lt;&gt;"",AX104+1,"")</f>
        <v>0</v>
      </c>
      <c r="AY105" s="1087">
        <v>102</v>
      </c>
      <c r="AZ105" s="1087">
        <f t="shared" si="387">IF(ISNA(VLOOKUP(AY105,$AN$8:$AW$148,2,False))=True,"",VLOOKUP(AY105,$AN$8:$AW$148,2,False))</f>
        <v>0</v>
      </c>
      <c r="BA105" s="1087">
        <f t="shared" si="388">IF(ISNA(VLOOKUP(AZ105,$AE$8:$AF$46,2,False))=True,"",VLOOKUP(AZ105,$AE$8:$AF$46,2,False))</f>
        <v>0</v>
      </c>
      <c r="BB105" s="1087">
        <f t="shared" si="389">IF(ISNA(VLOOKUP(AY105,$AN$8:$AW$148,4,False))=True,"",VLOOKUP(AY105,$AN$8:$AW$148,4,False))</f>
        <v>0</v>
      </c>
      <c r="BC105" s="1087">
        <f t="shared" si="390">IF(ISNA(VLOOKUP(AY105,$AN$8:$AW$148,5,False))=True,"",VLOOKUP(AY105,$AN$8:$AW$148,5,False))</f>
        <v>0</v>
      </c>
      <c r="BD105" s="1087" t="str">
        <f t="shared" si="467">IF(ISNA(VLOOKUP(AY105,$AN$8:$AW$148,6,False))=True,"0",VLOOKUP(AY105,$AN$8:$AW$148,6,False))</f>
        <v>0</v>
      </c>
      <c r="BE105" s="1125">
        <f t="shared" si="391">IF(ISNA(VLOOKUP(AY105,$AN$8:$AW$148,7,False))=True,"",VLOOKUP(AY105,$AN$8:$AW$148,7,False))</f>
        <v>0</v>
      </c>
      <c r="BF105" s="1123">
        <f t="shared" si="395">IF(ISNA(VLOOKUP($AY105,$AN$8:$AW$148,8,False))=True,"",VLOOKUP($AY105,$AN$8:$AW$148,8,False))</f>
        <v>0</v>
      </c>
      <c r="BG105" s="1120">
        <f t="shared" si="396">IF(ISNA(VLOOKUP($AY105,$AN$8:$AW$148,9,False))=True,"",VLOOKUP($AY105,$AN$8:$AW$148,9,False))</f>
        <v>0</v>
      </c>
      <c r="BH105" s="1120">
        <f t="shared" si="397">IF(ISNA(VLOOKUP($AY105,$AN$8:$AW$148,10,False))=True,"",VLOOKUP($AY105,$AN$8:$AW$148,10,False))</f>
        <v>0</v>
      </c>
      <c r="BI105" s="250">
        <f t="shared" si="270">IF(AZ105&lt;&gt;"",AZ105,"")</f>
        <v>0</v>
      </c>
      <c r="BJ105" s="1098">
        <f t="shared" si="271">BI105</f>
        <v>0</v>
      </c>
      <c r="BK105" s="1115">
        <f>COUNTIFS($AZ:$AZ, AZ105,$BJ:$BJ, "&lt;"&amp;BJ105)+COUNTIFS(AZ$8:AZ105, AZ105, BJ$8:BJ105, BJ105)</f>
        <v>98</v>
      </c>
      <c r="BL105" s="1114">
        <f t="shared" si="272">BK105/100</f>
        <v>0.98</v>
      </c>
      <c r="BM105" s="1093" t="e">
        <f t="shared" si="489" ref="BM105">BJ105+BL105</f>
        <v>#VALUE!</v>
      </c>
      <c r="BN105" s="1101">
        <f t="shared" si="416">IF(BA105&lt;&gt;"",BM105,"")</f>
        <v>0</v>
      </c>
      <c r="BO105" s="1118">
        <f t="shared" si="275">IF(BN105&lt;&gt;"",BN105,0)</f>
        <v>0</v>
      </c>
      <c r="BP105" s="237" t="e">
        <f t="shared" si="469">SMALL($BN$8:$BN$152,AX105)</f>
        <v>#VALUE!</v>
      </c>
      <c r="BR105" s="1102" t="e">
        <f t="shared" si="465">IF(BP105&lt;&gt;"",BR104+1,"")</f>
        <v>#VALUE!</v>
      </c>
      <c r="BS105" s="1102">
        <f t="shared" si="276">IFERROR(BP105,"")</f>
        <v>0</v>
      </c>
      <c r="BT105" s="1102">
        <f t="shared" si="277">IFERROR(CC105,"")</f>
        <v>0</v>
      </c>
      <c r="BU105" s="1098">
        <f t="shared" si="278">IFERROR(CD105,"")</f>
        <v>0</v>
      </c>
      <c r="BV105" s="1098">
        <f t="shared" si="279">IFERROR(CE105,"")</f>
        <v>0</v>
      </c>
      <c r="BW105" s="1098">
        <f t="shared" si="280">IFERROR(CF105,"")</f>
        <v>0</v>
      </c>
      <c r="BX105" s="1146">
        <f t="shared" si="281">IFERROR(CH105,"")</f>
        <v>0</v>
      </c>
      <c r="BY105" s="1098">
        <f t="shared" si="282">IFERROR(CG105,"")</f>
        <v>0</v>
      </c>
      <c r="BZ105" s="1144" t="str">
        <f t="shared" si="283">IFERROR(CI105,"-")</f>
        <v>-</v>
      </c>
      <c r="CA105" s="1107">
        <f t="shared" si="284">IFERROR(CJ105,"")</f>
        <v>0</v>
      </c>
      <c r="CB105" s="1107">
        <f t="shared" si="285">IFERROR(CK105,"")</f>
        <v>0</v>
      </c>
      <c r="CC105" s="1110" t="e">
        <f t="shared" si="470">INDEX($AZ$8:$AZ$153,MATCH(BP105,$BO$8:$BO$153,0))</f>
        <v>#VALUE!</v>
      </c>
      <c r="CD105" s="1087" t="e">
        <f t="shared" si="471">INDEX($BA$8:$BA$153,MATCH(BP105,$BO$8:$BO$153,0))</f>
        <v>#VALUE!</v>
      </c>
      <c r="CE105" s="1106" t="e">
        <f t="shared" si="472">INDEX($BB$8:$BB$153,MATCH(BP105,$BO$8:$BO$153,0))</f>
        <v>#VALUE!</v>
      </c>
      <c r="CF105" s="1106" t="e">
        <f t="shared" si="473">INDEX(BC$8:BC$153,MATCH(BP105,$BO$8:$BO$153,0))</f>
        <v>#VALUE!</v>
      </c>
      <c r="CG105" s="1118" t="e">
        <f t="shared" si="474">INDEX(BE$8:BE$153,MATCH(BP105,$BO$8:$BO$153,0))</f>
        <v>#VALUE!</v>
      </c>
      <c r="CH105" s="1106" t="e">
        <f t="shared" si="475">INDEX($BD$8:$BD$153,MATCH($BP105,$BO$8:$BO$153,0))</f>
        <v>#VALUE!</v>
      </c>
      <c r="CI105" s="1142" t="e">
        <f t="shared" si="476">INDEX($BF$8:$BF$153,MATCH(BP105,$BO$8:$BO$153,0))</f>
        <v>#VALUE!</v>
      </c>
      <c r="CJ105" s="1106" t="e">
        <f t="shared" si="477">INDEX($BG$8:$BG$153,MATCH(BP105,$BO$8:$BO$153,0))</f>
        <v>#VALUE!</v>
      </c>
      <c r="CK105" s="1106" t="e">
        <f t="shared" si="478">INDEX($BH$8:$BH$153,MATCH(BP105,$BO$8:$BO$153,0))</f>
        <v>#VALUE!</v>
      </c>
      <c r="CM105" s="1131">
        <f t="shared" si="479">COUNTIF($CH$8:$CH$228,"&lt;="&amp;CH105)</f>
        <v>145</v>
      </c>
      <c r="CN105" s="1121">
        <f t="shared" si="286">--ISNUMBER(BX105)</f>
        <v>0</v>
      </c>
      <c r="CO105" s="1121">
        <f t="shared" si="287">IF(BX105=0,1,0)</f>
        <v>0</v>
      </c>
      <c r="CP105" s="1124">
        <f t="shared" si="393">IF(ISNUMBER(BX105),CM105,IF(ISERROR(BX105),CM105,CM105+$CN$154))+$CO$154</f>
        <v>145</v>
      </c>
      <c r="CQ105" s="237">
        <f>IFERROR(INDEX($BX$8:$BX$153,MATCH(SMALL($CP$8:$CP$153,ROWS($CQ$8:CQ105)+$CO$154),$CP$8:$CP$154,0)),"")</f>
        <v>0</v>
      </c>
      <c r="CR105" s="237">
        <v>0.1</v>
      </c>
      <c r="CS105" s="1135">
        <f t="shared" si="288">CM105+CR105</f>
        <v>145.1</v>
      </c>
      <c r="CT105" s="237">
        <f>COUNTIFS($CM:$CM, CM105,$CS:$CS, "&lt;"&amp;CL)+COUNTIFS(CM$8:CM105, CM105, CS$8:CS105, CS105)</f>
        <v>98</v>
      </c>
      <c r="CU105" s="1109">
        <f t="shared" si="289">CT105/100</f>
        <v>0.98</v>
      </c>
      <c r="CV105" s="1109">
        <f t="shared" si="290">CM105+CU105</f>
        <v>145.98</v>
      </c>
      <c r="CW105" s="237" t="e">
        <f t="shared" si="480">SMALL(CV$8:CV$153,AX105)</f>
        <v>#VALUE!</v>
      </c>
      <c r="CX105" s="1109">
        <f t="shared" si="291">IFERROR(CW105,"")</f>
        <v>0</v>
      </c>
      <c r="CY105" s="237" t="e">
        <f t="shared" si="481">INDEX(BU$8:BU$152,MATCH($CX105,CV$8:CV$152,0))</f>
        <v>#N/A</v>
      </c>
      <c r="CZ105" s="237" t="e">
        <f t="shared" si="482">INDEX(BV$8:BV$152,MATCH($CX105,$CV$8:$CV$152,0))</f>
        <v>#N/A</v>
      </c>
      <c r="DA105" s="237" t="e">
        <f t="shared" si="483">INDEX(BW$8:BW$152,MATCH($CX105,$CV$8:$CV$152,0))</f>
        <v>#N/A</v>
      </c>
      <c r="DB105" s="237" t="e">
        <f t="shared" si="484">INDEX(BX$8:BX$152,MATCH($CX105,$CV$8:$CV$152,0))</f>
        <v>#N/A</v>
      </c>
      <c r="DC105" s="237" t="e">
        <f t="shared" si="485">INDEX(BY$8:BY$152,MATCH($CX105,$CV$8:$CV$152,0))</f>
        <v>#N/A</v>
      </c>
      <c r="DD105" s="237" t="e">
        <f t="shared" si="486">INDEX(BZ$8:BZ$152,MATCH($CX105,$CV$8:$CV$152,0))</f>
        <v>#N/A</v>
      </c>
      <c r="DE105" s="237" t="e">
        <f t="shared" si="487">INDEX(CA$8:CA$152,MATCH($CX105,$CV$8:$CV$152,0))</f>
        <v>#N/A</v>
      </c>
      <c r="DF105" s="237" t="e">
        <f t="shared" si="488">INDEX(CB$8:CB$152,MATCH($CX105,$CV$8:$CV$152,0))</f>
        <v>#N/A</v>
      </c>
    </row>
    <row r="106" spans="1:110" ht="13.5" customHeight="1" thickBot="1">
      <c r="A106" s="1466">
        <v>15</v>
      </c>
      <c r="B106" s="1512"/>
      <c r="C106" s="1023"/>
      <c r="D106" s="1023"/>
      <c r="E106" s="1023"/>
      <c r="F106" s="1023"/>
      <c r="G106" s="1023"/>
      <c r="H106" s="1023"/>
      <c r="I106" s="1477"/>
      <c r="J106" s="256"/>
      <c r="K106" s="257"/>
      <c r="L106" s="258"/>
      <c r="M106" s="259">
        <f t="shared" si="405">K106*L106</f>
        <v>0</v>
      </c>
      <c r="AM106" s="1082">
        <f t="shared" si="406">IF(M106&gt;0,1,0)</f>
        <v>0</v>
      </c>
      <c r="AN106" s="1096">
        <f>IF(AM106&gt;0,COUNTIF(AM$8:AM106,"&gt;0"),0)</f>
        <v>0</v>
      </c>
      <c r="AO106" s="1083">
        <f t="shared" si="407">B106</f>
        <v>0</v>
      </c>
      <c r="AP106" s="1084">
        <f t="shared" si="408">C106</f>
        <v>0</v>
      </c>
      <c r="AQ106" s="1085">
        <f t="shared" si="409">IF(I106&lt;&gt;"",YEAR(I106),"")</f>
        <v>0</v>
      </c>
      <c r="AR106" s="1080">
        <f t="shared" si="401">IF(E106&lt;&gt;"",E106,"")</f>
        <v>0</v>
      </c>
      <c r="AS106" s="1078">
        <f t="shared" si="386">F106</f>
        <v>0</v>
      </c>
      <c r="AT106" s="1080">
        <f t="shared" si="402">IF(H106&lt;&gt;"",H106,"")</f>
        <v>0</v>
      </c>
      <c r="AU106" s="1080">
        <f t="shared" si="403">J106</f>
        <v>0</v>
      </c>
      <c r="AV106" s="1080">
        <f t="shared" si="410">K106</f>
        <v>0</v>
      </c>
      <c r="AW106" s="1086">
        <f t="shared" si="411">M106</f>
        <v>0</v>
      </c>
      <c r="AX106" s="237">
        <f t="shared" si="292">IF(AZ106&lt;&gt;"",AX105+1,"")</f>
        <v>0</v>
      </c>
      <c r="AY106" s="1087">
        <v>103</v>
      </c>
      <c r="AZ106" s="1087">
        <f t="shared" si="387">IF(ISNA(VLOOKUP(AY106,$AN$8:$AW$148,2,False))=True,"",VLOOKUP(AY106,$AN$8:$AW$148,2,False))</f>
        <v>0</v>
      </c>
      <c r="BA106" s="1087">
        <f t="shared" si="388">IF(ISNA(VLOOKUP(AZ106,$AE$8:$AF$46,2,False))=True,"",VLOOKUP(AZ106,$AE$8:$AF$46,2,False))</f>
        <v>0</v>
      </c>
      <c r="BB106" s="1087">
        <f t="shared" si="389">IF(ISNA(VLOOKUP(AY106,$AN$8:$AW$148,4,False))=True,"",VLOOKUP(AY106,$AN$8:$AW$148,4,False))</f>
        <v>0</v>
      </c>
      <c r="BC106" s="1087">
        <f t="shared" si="390">IF(ISNA(VLOOKUP(AY106,$AN$8:$AW$148,5,False))=True,"",VLOOKUP(AY106,$AN$8:$AW$148,5,False))</f>
        <v>0</v>
      </c>
      <c r="BD106" s="1087" t="str">
        <f t="shared" si="467">IF(ISNA(VLOOKUP(AY106,$AN$8:$AW$148,6,False))=True,"0",VLOOKUP(AY106,$AN$8:$AW$148,6,False))</f>
        <v>0</v>
      </c>
      <c r="BE106" s="1125">
        <f t="shared" si="391">IF(ISNA(VLOOKUP(AY106,$AN$8:$AW$148,7,False))=True,"",VLOOKUP(AY106,$AN$8:$AW$148,7,False))</f>
        <v>0</v>
      </c>
      <c r="BF106" s="1123">
        <f t="shared" si="395">IF(ISNA(VLOOKUP($AY106,$AN$8:$AW$148,8,False))=True,"",VLOOKUP($AY106,$AN$8:$AW$148,8,False))</f>
        <v>0</v>
      </c>
      <c r="BG106" s="1120">
        <f t="shared" si="396">IF(ISNA(VLOOKUP($AY106,$AN$8:$AW$148,9,False))=True,"",VLOOKUP($AY106,$AN$8:$AW$148,9,False))</f>
        <v>0</v>
      </c>
      <c r="BH106" s="1120">
        <f t="shared" si="397">IF(ISNA(VLOOKUP($AY106,$AN$8:$AW$148,10,False))=True,"",VLOOKUP($AY106,$AN$8:$AW$148,10,False))</f>
        <v>0</v>
      </c>
      <c r="BI106" s="250">
        <f t="shared" si="270">IF(AZ106&lt;&gt;"",AZ106,"")</f>
        <v>0</v>
      </c>
      <c r="BJ106" s="1098">
        <f t="shared" si="271">BI106</f>
        <v>0</v>
      </c>
      <c r="BK106" s="1115">
        <f>COUNTIFS($AZ:$AZ, AZ106,$BJ:$BJ, "&lt;"&amp;BJ106)+COUNTIFS(AZ$8:AZ106, AZ106, BJ$8:BJ106, BJ106)</f>
        <v>99</v>
      </c>
      <c r="BL106" s="1114">
        <f t="shared" si="272">BK106/100</f>
        <v>0.99</v>
      </c>
      <c r="BM106" s="1093" t="e">
        <f t="shared" si="490" ref="BM106">BI106+BL106</f>
        <v>#VALUE!</v>
      </c>
      <c r="BN106" s="1101">
        <f t="shared" si="416">IF(BA106&lt;&gt;"",BM106,"")</f>
        <v>0</v>
      </c>
      <c r="BO106" s="1118">
        <f t="shared" si="275">IF(BN106&lt;&gt;"",BN106,0)</f>
        <v>0</v>
      </c>
      <c r="BP106" s="237" t="e">
        <f t="shared" si="469">SMALL($BN$8:$BN$152,AX106)</f>
        <v>#VALUE!</v>
      </c>
      <c r="BR106" s="1102" t="e">
        <f t="shared" si="465">IF(BP106&lt;&gt;"",BR105+1,"")</f>
        <v>#VALUE!</v>
      </c>
      <c r="BS106" s="1102">
        <f t="shared" si="276">IFERROR(BP106,"")</f>
        <v>0</v>
      </c>
      <c r="BT106" s="1102">
        <f t="shared" si="277">IFERROR(CC106,"")</f>
        <v>0</v>
      </c>
      <c r="BU106" s="1098">
        <f t="shared" si="278">IFERROR(CD106,"")</f>
        <v>0</v>
      </c>
      <c r="BV106" s="1098">
        <f t="shared" si="279">IFERROR(CE106,"")</f>
        <v>0</v>
      </c>
      <c r="BW106" s="1098">
        <f t="shared" si="280">IFERROR(CF106,"")</f>
        <v>0</v>
      </c>
      <c r="BX106" s="1146">
        <f t="shared" si="281">IFERROR(CH106,"")</f>
        <v>0</v>
      </c>
      <c r="BY106" s="1098">
        <f t="shared" si="282">IFERROR(CG106,"")</f>
        <v>0</v>
      </c>
      <c r="BZ106" s="1144" t="str">
        <f t="shared" si="283">IFERROR(CI106,"-")</f>
        <v>-</v>
      </c>
      <c r="CA106" s="1107">
        <f t="shared" si="284">IFERROR(CJ106,"")</f>
        <v>0</v>
      </c>
      <c r="CB106" s="1107">
        <f t="shared" si="285">IFERROR(CK106,"")</f>
        <v>0</v>
      </c>
      <c r="CC106" s="1110" t="e">
        <f t="shared" si="470">INDEX($AZ$8:$AZ$153,MATCH(BP106,$BO$8:$BO$153,0))</f>
        <v>#VALUE!</v>
      </c>
      <c r="CD106" s="1087" t="e">
        <f t="shared" si="471">INDEX($BA$8:$BA$153,MATCH(BP106,$BO$8:$BO$153,0))</f>
        <v>#VALUE!</v>
      </c>
      <c r="CE106" s="1106" t="e">
        <f t="shared" si="472">INDEX($BB$8:$BB$153,MATCH(BP106,$BO$8:$BO$153,0))</f>
        <v>#VALUE!</v>
      </c>
      <c r="CF106" s="1106" t="e">
        <f t="shared" si="473">INDEX(BC$8:BC$153,MATCH(BP106,$BO$8:$BO$153,0))</f>
        <v>#VALUE!</v>
      </c>
      <c r="CG106" s="1118" t="e">
        <f t="shared" si="474">INDEX(BE$8:BE$153,MATCH(BP106,$BO$8:$BO$153,0))</f>
        <v>#VALUE!</v>
      </c>
      <c r="CH106" s="1106" t="e">
        <f t="shared" si="475">INDEX($BD$8:$BD$153,MATCH($BP106,$BO$8:$BO$153,0))</f>
        <v>#VALUE!</v>
      </c>
      <c r="CI106" s="1142" t="e">
        <f t="shared" si="476">INDEX($BF$8:$BF$153,MATCH(BP106,$BO$8:$BO$153,0))</f>
        <v>#VALUE!</v>
      </c>
      <c r="CJ106" s="1106" t="e">
        <f t="shared" si="477">INDEX($BG$8:$BG$153,MATCH(BP106,$BO$8:$BO$153,0))</f>
        <v>#VALUE!</v>
      </c>
      <c r="CK106" s="1106" t="e">
        <f t="shared" si="478">INDEX($BH$8:$BH$153,MATCH(BP106,$BO$8:$BO$153,0))</f>
        <v>#VALUE!</v>
      </c>
      <c r="CM106" s="1131">
        <f t="shared" si="479">COUNTIF($CH$8:$CH$228,"&lt;="&amp;CH106)</f>
        <v>145</v>
      </c>
      <c r="CN106" s="1121">
        <f t="shared" si="286">--ISNUMBER(BX106)</f>
        <v>0</v>
      </c>
      <c r="CO106" s="1121">
        <f t="shared" si="287">IF(BX106=0,1,0)</f>
        <v>0</v>
      </c>
      <c r="CP106" s="1124">
        <f t="shared" si="393">IF(ISNUMBER(BX106),CM106,IF(ISERROR(BX106),CM106,CM106+$CN$154))+$CO$154</f>
        <v>145</v>
      </c>
      <c r="CQ106" s="237">
        <f>IFERROR(INDEX($BX$8:$BX$153,MATCH(SMALL($CP$8:$CP$153,ROWS($CQ$8:CQ106)+$CO$154),$CP$8:$CP$154,0)),"")</f>
        <v>0</v>
      </c>
      <c r="CR106" s="237">
        <v>0.1</v>
      </c>
      <c r="CS106" s="1135">
        <f t="shared" si="288">CM106+CR106</f>
        <v>145.1</v>
      </c>
      <c r="CT106" s="237">
        <f>COUNTIFS($CM:$CM, CM106,$CS:$CS, "&lt;"&amp;CL)+COUNTIFS(CM$8:CM106, CM106, CS$8:CS106, CS106)</f>
        <v>99</v>
      </c>
      <c r="CU106" s="1109">
        <f t="shared" si="289">CT106/100</f>
        <v>0.99</v>
      </c>
      <c r="CV106" s="1109">
        <f t="shared" si="290">CM106+CU106</f>
        <v>145.99</v>
      </c>
      <c r="CW106" s="237" t="e">
        <f t="shared" si="480">SMALL(CV$8:CV$153,AX106)</f>
        <v>#VALUE!</v>
      </c>
      <c r="CX106" s="1109">
        <f t="shared" si="291">IFERROR(CW106,"")</f>
        <v>0</v>
      </c>
      <c r="CY106" s="237" t="e">
        <f t="shared" si="481">INDEX(BU$8:BU$152,MATCH($CX106,CV$8:CV$152,0))</f>
        <v>#N/A</v>
      </c>
      <c r="CZ106" s="237" t="e">
        <f t="shared" si="482">INDEX(BV$8:BV$152,MATCH($CX106,$CV$8:$CV$152,0))</f>
        <v>#N/A</v>
      </c>
      <c r="DA106" s="237" t="e">
        <f t="shared" si="483">INDEX(BW$8:BW$152,MATCH($CX106,$CV$8:$CV$152,0))</f>
        <v>#N/A</v>
      </c>
      <c r="DB106" s="237" t="e">
        <f t="shared" si="484">INDEX(BX$8:BX$152,MATCH($CX106,$CV$8:$CV$152,0))</f>
        <v>#N/A</v>
      </c>
      <c r="DC106" s="237" t="e">
        <f t="shared" si="485">INDEX(BY$8:BY$152,MATCH($CX106,$CV$8:$CV$152,0))</f>
        <v>#N/A</v>
      </c>
      <c r="DD106" s="237" t="e">
        <f t="shared" si="486">INDEX(BZ$8:BZ$152,MATCH($CX106,$CV$8:$CV$152,0))</f>
        <v>#N/A</v>
      </c>
      <c r="DE106" s="237" t="e">
        <f t="shared" si="487">INDEX(CA$8:CA$152,MATCH($CX106,$CV$8:$CV$152,0))</f>
        <v>#N/A</v>
      </c>
      <c r="DF106" s="237" t="e">
        <f t="shared" si="488">INDEX(CB$8:CB$152,MATCH($CX106,$CV$8:$CV$152,0))</f>
        <v>#N/A</v>
      </c>
    </row>
    <row r="107" spans="1:110" ht="13.5" customHeight="1" thickTop="1" thickBot="1">
      <c r="A107" s="1214"/>
      <c r="B107" s="1504"/>
      <c r="C107" s="865"/>
      <c r="D107" s="1153"/>
      <c r="E107" s="865"/>
      <c r="F107" s="865"/>
      <c r="G107" s="865"/>
      <c r="H107" s="865"/>
      <c r="I107" s="1471"/>
      <c r="J107" s="763"/>
      <c r="K107" s="763"/>
      <c r="L107" s="867"/>
      <c r="M107" s="807"/>
      <c r="AM107" s="1077"/>
      <c r="AN107" s="1096"/>
      <c r="AO107" s="1078"/>
      <c r="AP107" s="1079"/>
      <c r="AQ107" s="1080"/>
      <c r="AR107" s="1080">
        <f t="shared" si="401">IF(E107&lt;&gt;"",E107,"")</f>
        <v>0</v>
      </c>
      <c r="AS107" s="1078">
        <f t="shared" si="386">F107</f>
        <v>0</v>
      </c>
      <c r="AT107" s="1080">
        <f t="shared" si="402">IF(H107&lt;&gt;"",H107,"")</f>
        <v>0</v>
      </c>
      <c r="AU107" s="1080">
        <f t="shared" si="403">J107</f>
        <v>0</v>
      </c>
      <c r="AV107" s="1080"/>
      <c r="AW107" s="1081"/>
      <c r="AX107" s="237">
        <f t="shared" si="292">IF(AZ107&lt;&gt;"",AX106+1,"")</f>
        <v>0</v>
      </c>
      <c r="AY107" s="1087">
        <v>104</v>
      </c>
      <c r="AZ107" s="1087">
        <f t="shared" si="387">IF(ISNA(VLOOKUP(AY107,$AN$8:$AW$148,2,False))=True,"",VLOOKUP(AY107,$AN$8:$AW$148,2,False))</f>
        <v>0</v>
      </c>
      <c r="BA107" s="1087">
        <f t="shared" si="388">IF(ISNA(VLOOKUP(AZ107,$AE$8:$AF$46,2,False))=True,"",VLOOKUP(AZ107,$AE$8:$AF$46,2,False))</f>
        <v>0</v>
      </c>
      <c r="BB107" s="1087">
        <f t="shared" si="389">IF(ISNA(VLOOKUP(AY107,$AN$8:$AW$148,4,False))=True,"",VLOOKUP(AY107,$AN$8:$AW$148,4,False))</f>
        <v>0</v>
      </c>
      <c r="BC107" s="1087">
        <f t="shared" si="390">IF(ISNA(VLOOKUP(AY107,$AN$8:$AW$148,5,False))=True,"",VLOOKUP(AY107,$AN$8:$AW$148,5,False))</f>
        <v>0</v>
      </c>
      <c r="BD107" s="1087" t="str">
        <f t="shared" si="467">IF(ISNA(VLOOKUP(AY107,$AN$8:$AW$148,6,False))=True,"0",VLOOKUP(AY107,$AN$8:$AW$148,6,False))</f>
        <v>0</v>
      </c>
      <c r="BE107" s="1125">
        <f t="shared" si="391">IF(ISNA(VLOOKUP(AY107,$AN$8:$AW$148,7,False))=True,"",VLOOKUP(AY107,$AN$8:$AW$148,7,False))</f>
        <v>0</v>
      </c>
      <c r="BF107" s="1123">
        <f t="shared" si="395">IF(ISNA(VLOOKUP($AY107,$AN$8:$AW$148,8,False))=True,"",VLOOKUP($AY107,$AN$8:$AW$148,8,False))</f>
        <v>0</v>
      </c>
      <c r="BG107" s="1120">
        <f t="shared" si="396">IF(ISNA(VLOOKUP($AY107,$AN$8:$AW$148,9,False))=True,"",VLOOKUP($AY107,$AN$8:$AW$148,9,False))</f>
        <v>0</v>
      </c>
      <c r="BH107" s="1120">
        <f t="shared" si="397">IF(ISNA(VLOOKUP($AY107,$AN$8:$AW$148,10,False))=True,"",VLOOKUP($AY107,$AN$8:$AW$148,10,False))</f>
        <v>0</v>
      </c>
      <c r="BI107" s="250">
        <f t="shared" si="270">IF(AZ107&lt;&gt;"",AZ107,"")</f>
        <v>0</v>
      </c>
      <c r="BJ107" s="1098">
        <f t="shared" si="271">BI107</f>
        <v>0</v>
      </c>
      <c r="BK107" s="1115">
        <f>COUNTIFS($AZ:$AZ, AZ107,$BJ:$BJ, "&lt;"&amp;BJ107)+COUNTIFS(AZ$8:AZ107, AZ107, BJ$8:BJ107, BJ107)</f>
        <v>100</v>
      </c>
      <c r="BL107" s="1114">
        <f t="shared" si="272">BK107/100</f>
        <v>1</v>
      </c>
      <c r="BM107" s="1093" t="e">
        <f t="shared" si="491" ref="BM107">BJ107+BL107</f>
        <v>#VALUE!</v>
      </c>
      <c r="BN107" s="1101">
        <f t="shared" si="416">IF(BA107&lt;&gt;"",BM107,"")</f>
        <v>0</v>
      </c>
      <c r="BO107" s="1118">
        <f t="shared" si="275">IF(BN107&lt;&gt;"",BN107,0)</f>
        <v>0</v>
      </c>
      <c r="BP107" s="237" t="e">
        <f t="shared" si="469">SMALL($BN$8:$BN$152,AX107)</f>
        <v>#VALUE!</v>
      </c>
      <c r="BR107" s="1102" t="e">
        <f t="shared" si="465">IF(BP107&lt;&gt;"",BR106+1,"")</f>
        <v>#VALUE!</v>
      </c>
      <c r="BS107" s="1102">
        <f t="shared" si="276">IFERROR(BP107,"")</f>
        <v>0</v>
      </c>
      <c r="BT107" s="1102">
        <f t="shared" si="277">IFERROR(CC107,"")</f>
        <v>0</v>
      </c>
      <c r="BU107" s="1098">
        <f t="shared" si="278">IFERROR(CD107,"")</f>
        <v>0</v>
      </c>
      <c r="BV107" s="1098">
        <f t="shared" si="279">IFERROR(CE107,"")</f>
        <v>0</v>
      </c>
      <c r="BW107" s="1098">
        <f t="shared" si="280">IFERROR(CF107,"")</f>
        <v>0</v>
      </c>
      <c r="BX107" s="1146">
        <f t="shared" si="281">IFERROR(CH107,"")</f>
        <v>0</v>
      </c>
      <c r="BY107" s="1098">
        <f t="shared" si="282">IFERROR(CG107,"")</f>
        <v>0</v>
      </c>
      <c r="BZ107" s="1144" t="str">
        <f t="shared" si="283">IFERROR(CI107,"-")</f>
        <v>-</v>
      </c>
      <c r="CA107" s="1107">
        <f t="shared" si="284">IFERROR(CJ107,"")</f>
        <v>0</v>
      </c>
      <c r="CB107" s="1107">
        <f t="shared" si="285">IFERROR(CK107,"")</f>
        <v>0</v>
      </c>
      <c r="CC107" s="1110" t="e">
        <f t="shared" si="470">INDEX($AZ$8:$AZ$153,MATCH(BP107,$BO$8:$BO$153,0))</f>
        <v>#VALUE!</v>
      </c>
      <c r="CD107" s="1087" t="e">
        <f t="shared" si="471">INDEX($BA$8:$BA$153,MATCH(BP107,$BO$8:$BO$153,0))</f>
        <v>#VALUE!</v>
      </c>
      <c r="CE107" s="1106" t="e">
        <f t="shared" si="472">INDEX($BB$8:$BB$153,MATCH(BP107,$BO$8:$BO$153,0))</f>
        <v>#VALUE!</v>
      </c>
      <c r="CF107" s="1106" t="e">
        <f t="shared" si="473">INDEX(BC$8:BC$153,MATCH(BP107,$BO$8:$BO$153,0))</f>
        <v>#VALUE!</v>
      </c>
      <c r="CG107" s="1118" t="e">
        <f t="shared" si="474">INDEX(BE$8:BE$153,MATCH(BP107,$BO$8:$BO$153,0))</f>
        <v>#VALUE!</v>
      </c>
      <c r="CH107" s="1106" t="e">
        <f t="shared" si="475">INDEX($BD$8:$BD$153,MATCH($BP107,$BO$8:$BO$153,0))</f>
        <v>#VALUE!</v>
      </c>
      <c r="CI107" s="1142" t="e">
        <f t="shared" si="476">INDEX($BF$8:$BF$153,MATCH(BP107,$BO$8:$BO$153,0))</f>
        <v>#VALUE!</v>
      </c>
      <c r="CJ107" s="1106" t="e">
        <f t="shared" si="477">INDEX($BG$8:$BG$153,MATCH(BP107,$BO$8:$BO$153,0))</f>
        <v>#VALUE!</v>
      </c>
      <c r="CK107" s="1106" t="e">
        <f t="shared" si="478">INDEX($BH$8:$BH$153,MATCH(BP107,$BO$8:$BO$153,0))</f>
        <v>#VALUE!</v>
      </c>
      <c r="CM107" s="1131">
        <f t="shared" si="479">COUNTIF($CH$8:$CH$228,"&lt;="&amp;CH107)</f>
        <v>145</v>
      </c>
      <c r="CN107" s="1121">
        <f t="shared" si="286">--ISNUMBER(BX107)</f>
        <v>0</v>
      </c>
      <c r="CO107" s="1121">
        <f t="shared" si="287">IF(BX107=0,1,0)</f>
        <v>0</v>
      </c>
      <c r="CP107" s="1124">
        <f t="shared" si="393">IF(ISNUMBER(BX107),CM107,IF(ISERROR(BX107),CM107,CM107+$CN$154))+$CO$154</f>
        <v>145</v>
      </c>
      <c r="CQ107" s="237">
        <f>IFERROR(INDEX($BX$8:$BX$153,MATCH(SMALL($CP$8:$CP$153,ROWS($CQ$8:CQ107)+$CO$154),$CP$8:$CP$154,0)),"")</f>
        <v>0</v>
      </c>
      <c r="CR107" s="237">
        <v>0.1</v>
      </c>
      <c r="CS107" s="1135">
        <f t="shared" si="288">CM107+CR107</f>
        <v>145.1</v>
      </c>
      <c r="CT107" s="237">
        <f>COUNTIFS($CM:$CM, CM107,$CS:$CS, "&lt;"&amp;CL)+COUNTIFS(CM$8:CM107, CM107, CS$8:CS107, CS107)</f>
        <v>100</v>
      </c>
      <c r="CU107" s="1109">
        <f t="shared" si="289">CT107/100</f>
        <v>1</v>
      </c>
      <c r="CV107" s="1109">
        <f t="shared" si="290">CM107+CU107</f>
        <v>146</v>
      </c>
      <c r="CW107" s="237" t="e">
        <f t="shared" si="480">SMALL(CV$8:CV$153,AX107)</f>
        <v>#VALUE!</v>
      </c>
      <c r="CX107" s="1109">
        <f t="shared" si="291">IFERROR(CW107,"")</f>
        <v>0</v>
      </c>
      <c r="CY107" s="237" t="e">
        <f t="shared" si="481">INDEX(BU$8:BU$152,MATCH($CX107,CV$8:CV$152,0))</f>
        <v>#N/A</v>
      </c>
      <c r="CZ107" s="237" t="e">
        <f t="shared" si="482">INDEX(BV$8:BV$152,MATCH($CX107,$CV$8:$CV$152,0))</f>
        <v>#N/A</v>
      </c>
      <c r="DA107" s="237" t="e">
        <f t="shared" si="483">INDEX(BW$8:BW$152,MATCH($CX107,$CV$8:$CV$152,0))</f>
        <v>#N/A</v>
      </c>
      <c r="DB107" s="237" t="e">
        <f t="shared" si="484">INDEX(BX$8:BX$152,MATCH($CX107,$CV$8:$CV$152,0))</f>
        <v>#N/A</v>
      </c>
      <c r="DC107" s="237" t="e">
        <f t="shared" si="485">INDEX(BY$8:BY$152,MATCH($CX107,$CV$8:$CV$152,0))</f>
        <v>#N/A</v>
      </c>
      <c r="DD107" s="237" t="e">
        <f t="shared" si="486">INDEX(BZ$8:BZ$152,MATCH($CX107,$CV$8:$CV$152,0))</f>
        <v>#N/A</v>
      </c>
      <c r="DE107" s="237" t="e">
        <f t="shared" si="487">INDEX(CA$8:CA$152,MATCH($CX107,$CV$8:$CV$152,0))</f>
        <v>#N/A</v>
      </c>
      <c r="DF107" s="237" t="e">
        <f t="shared" si="488">INDEX(CB$8:CB$152,MATCH($CX107,$CV$8:$CV$152,0))</f>
        <v>#N/A</v>
      </c>
    </row>
    <row r="108" spans="1:110" ht="14.25" customHeight="1" thickTop="1" thickBot="1">
      <c r="A108" s="1215"/>
      <c r="B108" s="1505"/>
      <c r="C108" s="773"/>
      <c r="D108" s="1154"/>
      <c r="E108" s="773"/>
      <c r="F108" s="773"/>
      <c r="G108" s="773"/>
      <c r="H108" s="773"/>
      <c r="I108" s="1474"/>
      <c r="J108" s="763"/>
      <c r="K108" s="763"/>
      <c r="L108" s="868" t="s">
        <v>347</v>
      </c>
      <c r="M108" s="260">
        <f>SUM(M92:M106)</f>
        <v>0</v>
      </c>
      <c r="AM108" s="1077"/>
      <c r="AN108" s="1096"/>
      <c r="AO108" s="1078"/>
      <c r="AP108" s="1079"/>
      <c r="AQ108" s="1080"/>
      <c r="AR108" s="1080">
        <f t="shared" si="401">IF(E108&lt;&gt;"",E108,"")</f>
        <v>0</v>
      </c>
      <c r="AS108" s="1078">
        <f t="shared" si="386">F108</f>
        <v>0</v>
      </c>
      <c r="AT108" s="1080">
        <f t="shared" si="402">IF(H108&lt;&gt;"",H108,"")</f>
        <v>0</v>
      </c>
      <c r="AU108" s="1080">
        <f t="shared" si="403">J108</f>
        <v>0</v>
      </c>
      <c r="AV108" s="1080"/>
      <c r="AW108" s="1081"/>
      <c r="AX108" s="237">
        <f t="shared" si="292">IF(AZ108&lt;&gt;"",AX107+1,"")</f>
        <v>0</v>
      </c>
      <c r="AY108" s="1087">
        <v>105</v>
      </c>
      <c r="AZ108" s="1087">
        <f t="shared" si="387">IF(ISNA(VLOOKUP(AY108,$AN$8:$AW$148,2,False))=True,"",VLOOKUP(AY108,$AN$8:$AW$148,2,False))</f>
        <v>0</v>
      </c>
      <c r="BA108" s="1087">
        <f t="shared" si="388">IF(ISNA(VLOOKUP(AZ108,$AE$8:$AF$46,2,False))=True,"",VLOOKUP(AZ108,$AE$8:$AF$46,2,False))</f>
        <v>0</v>
      </c>
      <c r="BB108" s="1087">
        <f t="shared" si="389">IF(ISNA(VLOOKUP(AY108,$AN$8:$AW$148,4,False))=True,"",VLOOKUP(AY108,$AN$8:$AW$148,4,False))</f>
        <v>0</v>
      </c>
      <c r="BC108" s="1087">
        <f t="shared" si="390">IF(ISNA(VLOOKUP(AY108,$AN$8:$AW$148,5,False))=True,"",VLOOKUP(AY108,$AN$8:$AW$148,5,False))</f>
        <v>0</v>
      </c>
      <c r="BD108" s="1087" t="str">
        <f t="shared" si="467">IF(ISNA(VLOOKUP(AY108,$AN$8:$AW$148,6,False))=True,"0",VLOOKUP(AY108,$AN$8:$AW$148,6,False))</f>
        <v>0</v>
      </c>
      <c r="BE108" s="1125">
        <f t="shared" si="391">IF(ISNA(VLOOKUP(AY108,$AN$8:$AW$148,7,False))=True,"",VLOOKUP(AY108,$AN$8:$AW$148,7,False))</f>
        <v>0</v>
      </c>
      <c r="BF108" s="1123">
        <f t="shared" si="395">IF(ISNA(VLOOKUP($AY108,$AN$8:$AW$148,8,False))=True,"",VLOOKUP($AY108,$AN$8:$AW$148,8,False))</f>
        <v>0</v>
      </c>
      <c r="BG108" s="1120">
        <f t="shared" si="396">IF(ISNA(VLOOKUP($AY108,$AN$8:$AW$148,9,False))=True,"",VLOOKUP($AY108,$AN$8:$AW$148,9,False))</f>
        <v>0</v>
      </c>
      <c r="BH108" s="1120">
        <f t="shared" si="397">IF(ISNA(VLOOKUP($AY108,$AN$8:$AW$148,10,False))=True,"",VLOOKUP($AY108,$AN$8:$AW$148,10,False))</f>
        <v>0</v>
      </c>
      <c r="BI108" s="250">
        <f t="shared" si="270">IF(AZ108&lt;&gt;"",AZ108,"")</f>
        <v>0</v>
      </c>
      <c r="BJ108" s="1098">
        <f t="shared" si="271">BI108</f>
        <v>0</v>
      </c>
      <c r="BK108" s="1115">
        <f>COUNTIFS($AZ:$AZ, AZ108,$BJ:$BJ, "&lt;"&amp;BJ108)+COUNTIFS(AZ$8:AZ108, AZ108, BJ$8:BJ108, BJ108)</f>
        <v>101</v>
      </c>
      <c r="BL108" s="1114">
        <f t="shared" si="272">BK108/100</f>
        <v>1.01</v>
      </c>
      <c r="BM108" s="1093" t="e">
        <f t="shared" si="492" ref="BM108">BI108+BL108</f>
        <v>#VALUE!</v>
      </c>
      <c r="BN108" s="1101">
        <f t="shared" si="416">IF(BA108&lt;&gt;"",BM108,"")</f>
        <v>0</v>
      </c>
      <c r="BO108" s="1118">
        <f t="shared" si="275">IF(BN108&lt;&gt;"",BN108,0)</f>
        <v>0</v>
      </c>
      <c r="BP108" s="237" t="e">
        <f t="shared" si="469">SMALL($BN$8:$BN$152,AX108)</f>
        <v>#VALUE!</v>
      </c>
      <c r="BR108" s="1102" t="e">
        <f t="shared" si="465">IF(BP108&lt;&gt;"",BR107+1,"")</f>
        <v>#VALUE!</v>
      </c>
      <c r="BS108" s="1102">
        <f t="shared" si="276">IFERROR(BP108,"")</f>
        <v>0</v>
      </c>
      <c r="BT108" s="1102">
        <f t="shared" si="277">IFERROR(CC108,"")</f>
        <v>0</v>
      </c>
      <c r="BU108" s="1098">
        <f t="shared" si="278">IFERROR(CD108,"")</f>
        <v>0</v>
      </c>
      <c r="BV108" s="1098">
        <f t="shared" si="279">IFERROR(CE108,"")</f>
        <v>0</v>
      </c>
      <c r="BW108" s="1098">
        <f t="shared" si="280">IFERROR(CF108,"")</f>
        <v>0</v>
      </c>
      <c r="BX108" s="1146">
        <f t="shared" si="281">IFERROR(CH108,"")</f>
        <v>0</v>
      </c>
      <c r="BY108" s="1098">
        <f t="shared" si="282">IFERROR(CG108,"")</f>
        <v>0</v>
      </c>
      <c r="BZ108" s="1144" t="str">
        <f t="shared" si="283">IFERROR(CI108,"-")</f>
        <v>-</v>
      </c>
      <c r="CA108" s="1107">
        <f t="shared" si="284">IFERROR(CJ108,"")</f>
        <v>0</v>
      </c>
      <c r="CB108" s="1107">
        <f t="shared" si="285">IFERROR(CK108,"")</f>
        <v>0</v>
      </c>
      <c r="CC108" s="1110" t="e">
        <f t="shared" si="470">INDEX($AZ$8:$AZ$153,MATCH(BP108,$BO$8:$BO$153,0))</f>
        <v>#VALUE!</v>
      </c>
      <c r="CD108" s="1087" t="e">
        <f t="shared" si="471">INDEX($BA$8:$BA$153,MATCH(BP108,$BO$8:$BO$153,0))</f>
        <v>#VALUE!</v>
      </c>
      <c r="CE108" s="1106" t="e">
        <f t="shared" si="472">INDEX($BB$8:$BB$153,MATCH(BP108,$BO$8:$BO$153,0))</f>
        <v>#VALUE!</v>
      </c>
      <c r="CF108" s="1106" t="e">
        <f t="shared" si="473">INDEX(BC$8:BC$153,MATCH(BP108,$BO$8:$BO$153,0))</f>
        <v>#VALUE!</v>
      </c>
      <c r="CG108" s="1118" t="e">
        <f t="shared" si="474">INDEX(BE$8:BE$153,MATCH(BP108,$BO$8:$BO$153,0))</f>
        <v>#VALUE!</v>
      </c>
      <c r="CH108" s="1106" t="e">
        <f t="shared" si="475">INDEX($BD$8:$BD$153,MATCH($BP108,$BO$8:$BO$153,0))</f>
        <v>#VALUE!</v>
      </c>
      <c r="CI108" s="1142" t="e">
        <f t="shared" si="476">INDEX($BF$8:$BF$153,MATCH(BP108,$BO$8:$BO$153,0))</f>
        <v>#VALUE!</v>
      </c>
      <c r="CJ108" s="1106" t="e">
        <f t="shared" si="477">INDEX($BG$8:$BG$153,MATCH(BP108,$BO$8:$BO$153,0))</f>
        <v>#VALUE!</v>
      </c>
      <c r="CK108" s="1106" t="e">
        <f t="shared" si="478">INDEX($BH$8:$BH$153,MATCH(BP108,$BO$8:$BO$153,0))</f>
        <v>#VALUE!</v>
      </c>
      <c r="CM108" s="1131">
        <f t="shared" si="479">COUNTIF($CH$8:$CH$228,"&lt;="&amp;CH108)</f>
        <v>145</v>
      </c>
      <c r="CN108" s="1121">
        <f t="shared" si="286">--ISNUMBER(BX108)</f>
        <v>0</v>
      </c>
      <c r="CO108" s="1121">
        <f t="shared" si="287">IF(BX108=0,1,0)</f>
        <v>0</v>
      </c>
      <c r="CP108" s="1124">
        <f t="shared" si="393">IF(ISNUMBER(BX108),CM108,IF(ISERROR(BX108),CM108,CM108+$CN$154))+$CO$154</f>
        <v>145</v>
      </c>
      <c r="CQ108" s="237">
        <f>IFERROR(INDEX($BX$8:$BX$153,MATCH(SMALL($CP$8:$CP$153,ROWS($CQ$8:CQ108)+$CO$154),$CP$8:$CP$154,0)),"")</f>
        <v>0</v>
      </c>
      <c r="CR108" s="237">
        <v>0.1</v>
      </c>
      <c r="CS108" s="1135">
        <f t="shared" si="288">CM108+CR108</f>
        <v>145.1</v>
      </c>
      <c r="CT108" s="237">
        <f>COUNTIFS($CM:$CM, CM108,$CS:$CS, "&lt;"&amp;CL)+COUNTIFS(CM$8:CM108, CM108, CS$8:CS108, CS108)</f>
        <v>101</v>
      </c>
      <c r="CU108" s="1109">
        <f t="shared" si="289">CT108/100</f>
        <v>1.01</v>
      </c>
      <c r="CV108" s="1109">
        <f t="shared" si="290">CM108+CU108</f>
        <v>146.01</v>
      </c>
      <c r="CW108" s="237" t="e">
        <f t="shared" si="480">SMALL(CV$8:CV$153,AX108)</f>
        <v>#VALUE!</v>
      </c>
      <c r="CX108" s="1109">
        <f t="shared" si="291">IFERROR(CW108,"")</f>
        <v>0</v>
      </c>
      <c r="CY108" s="237" t="e">
        <f t="shared" si="481">INDEX(BU$8:BU$152,MATCH($CX108,CV$8:CV$152,0))</f>
        <v>#N/A</v>
      </c>
      <c r="CZ108" s="237" t="e">
        <f t="shared" si="482">INDEX(BV$8:BV$152,MATCH($CX108,$CV$8:$CV$152,0))</f>
        <v>#N/A</v>
      </c>
      <c r="DA108" s="237" t="e">
        <f t="shared" si="483">INDEX(BW$8:BW$152,MATCH($CX108,$CV$8:$CV$152,0))</f>
        <v>#N/A</v>
      </c>
      <c r="DB108" s="237" t="e">
        <f t="shared" si="484">INDEX(BX$8:BX$152,MATCH($CX108,$CV$8:$CV$152,0))</f>
        <v>#N/A</v>
      </c>
      <c r="DC108" s="237" t="e">
        <f t="shared" si="485">INDEX(BY$8:BY$152,MATCH($CX108,$CV$8:$CV$152,0))</f>
        <v>#N/A</v>
      </c>
      <c r="DD108" s="237" t="e">
        <f t="shared" si="486">INDEX(BZ$8:BZ$152,MATCH($CX108,$CV$8:$CV$152,0))</f>
        <v>#N/A</v>
      </c>
      <c r="DE108" s="237" t="e">
        <f t="shared" si="487">INDEX(CA$8:CA$152,MATCH($CX108,$CV$8:$CV$152,0))</f>
        <v>#N/A</v>
      </c>
      <c r="DF108" s="237" t="e">
        <f t="shared" si="488">INDEX(CB$8:CB$152,MATCH($CX108,$CV$8:$CV$152,0))</f>
        <v>#N/A</v>
      </c>
    </row>
    <row r="109" spans="1:110" ht="13.5" customHeight="1" thickTop="1">
      <c r="A109" s="866" t="s">
        <v>843</v>
      </c>
      <c r="B109" s="1505"/>
      <c r="C109" s="773"/>
      <c r="D109" s="1154"/>
      <c r="E109" s="773"/>
      <c r="F109" s="773"/>
      <c r="G109" s="773"/>
      <c r="H109" s="773"/>
      <c r="I109" s="1474"/>
      <c r="J109" s="763"/>
      <c r="K109" s="763"/>
      <c r="L109" s="868"/>
      <c r="M109" s="807"/>
      <c r="AM109" s="1082"/>
      <c r="AN109" s="1096"/>
      <c r="AO109" s="1083"/>
      <c r="AP109" s="1084"/>
      <c r="AQ109" s="1085"/>
      <c r="AR109" s="1080">
        <f t="shared" si="401">IF(E109&lt;&gt;"",E109,"")</f>
        <v>0</v>
      </c>
      <c r="AS109" s="1078">
        <f t="shared" si="386">F109</f>
        <v>0</v>
      </c>
      <c r="AT109" s="1080">
        <f t="shared" si="402">IF(H109&lt;&gt;"",H109,"")</f>
        <v>0</v>
      </c>
      <c r="AU109" s="1080">
        <f t="shared" si="403">J109</f>
        <v>0</v>
      </c>
      <c r="AV109" s="1080"/>
      <c r="AW109" s="1086"/>
      <c r="AX109" s="237">
        <f t="shared" si="292">IF(AZ109&lt;&gt;"",AX108+1,"")</f>
        <v>0</v>
      </c>
      <c r="AY109" s="1087">
        <v>106</v>
      </c>
      <c r="AZ109" s="1087">
        <f t="shared" si="387">IF(ISNA(VLOOKUP(AY109,$AN$8:$AW$148,2,False))=True,"",VLOOKUP(AY109,$AN$8:$AW$148,2,False))</f>
        <v>0</v>
      </c>
      <c r="BA109" s="1087">
        <f t="shared" si="388">IF(ISNA(VLOOKUP(AZ109,$AE$8:$AF$46,2,False))=True,"",VLOOKUP(AZ109,$AE$8:$AF$46,2,False))</f>
        <v>0</v>
      </c>
      <c r="BB109" s="1087">
        <f t="shared" si="389">IF(ISNA(VLOOKUP(AY109,$AN$8:$AW$148,4,False))=True,"",VLOOKUP(AY109,$AN$8:$AW$148,4,False))</f>
        <v>0</v>
      </c>
      <c r="BC109" s="1087">
        <f t="shared" si="390">IF(ISNA(VLOOKUP(AY109,$AN$8:$AW$148,5,False))=True,"",VLOOKUP(AY109,$AN$8:$AW$148,5,False))</f>
        <v>0</v>
      </c>
      <c r="BD109" s="1087" t="str">
        <f t="shared" si="467">IF(ISNA(VLOOKUP(AY109,$AN$8:$AW$148,6,False))=True,"0",VLOOKUP(AY109,$AN$8:$AW$148,6,False))</f>
        <v>0</v>
      </c>
      <c r="BE109" s="1125">
        <f t="shared" si="391">IF(ISNA(VLOOKUP(AY109,$AN$8:$AW$148,7,False))=True,"",VLOOKUP(AY109,$AN$8:$AW$148,7,False))</f>
        <v>0</v>
      </c>
      <c r="BF109" s="1123">
        <f t="shared" si="395">IF(ISNA(VLOOKUP($AY109,$AN$8:$AW$148,8,False))=True,"",VLOOKUP($AY109,$AN$8:$AW$148,8,False))</f>
        <v>0</v>
      </c>
      <c r="BG109" s="1120">
        <f t="shared" si="396">IF(ISNA(VLOOKUP($AY109,$AN$8:$AW$148,9,False))=True,"",VLOOKUP($AY109,$AN$8:$AW$148,9,False))</f>
        <v>0</v>
      </c>
      <c r="BH109" s="1120">
        <f t="shared" si="397">IF(ISNA(VLOOKUP($AY109,$AN$8:$AW$148,10,False))=True,"",VLOOKUP($AY109,$AN$8:$AW$148,10,False))</f>
        <v>0</v>
      </c>
      <c r="BI109" s="250">
        <f t="shared" si="270">IF(AZ109&lt;&gt;"",AZ109,"")</f>
        <v>0</v>
      </c>
      <c r="BJ109" s="1098">
        <f t="shared" si="271">BI109</f>
        <v>0</v>
      </c>
      <c r="BK109" s="1115">
        <f>COUNTIFS($AZ:$AZ, AZ109,$BJ:$BJ, "&lt;"&amp;BJ109)+COUNTIFS(AZ$8:AZ109, AZ109, BJ$8:BJ109, BJ109)</f>
        <v>102</v>
      </c>
      <c r="BL109" s="1114">
        <f t="shared" si="272">BK109/100</f>
        <v>1.02</v>
      </c>
      <c r="BM109" s="1093" t="e">
        <f t="shared" si="493" ref="BM109">BJ109+BL109</f>
        <v>#VALUE!</v>
      </c>
      <c r="BN109" s="1101">
        <f t="shared" si="416">IF(BA109&lt;&gt;"",BM109,"")</f>
        <v>0</v>
      </c>
      <c r="BO109" s="1118">
        <f t="shared" si="275">IF(BN109&lt;&gt;"",BN109,0)</f>
        <v>0</v>
      </c>
      <c r="BP109" s="237" t="e">
        <f t="shared" si="469">SMALL($BN$8:$BN$152,AX109)</f>
        <v>#VALUE!</v>
      </c>
      <c r="BR109" s="1102" t="e">
        <f t="shared" si="465">IF(BP109&lt;&gt;"",BR108+1,"")</f>
        <v>#VALUE!</v>
      </c>
      <c r="BS109" s="1102">
        <f t="shared" si="276">IFERROR(BP109,"")</f>
        <v>0</v>
      </c>
      <c r="BT109" s="1102">
        <f t="shared" si="277">IFERROR(CC109,"")</f>
        <v>0</v>
      </c>
      <c r="BU109" s="1098">
        <f t="shared" si="278">IFERROR(CD109,"")</f>
        <v>0</v>
      </c>
      <c r="BV109" s="1098">
        <f t="shared" si="279">IFERROR(CE109,"")</f>
        <v>0</v>
      </c>
      <c r="BW109" s="1098">
        <f t="shared" si="280">IFERROR(CF109,"")</f>
        <v>0</v>
      </c>
      <c r="BX109" s="1146">
        <f t="shared" si="281">IFERROR(CH109,"")</f>
        <v>0</v>
      </c>
      <c r="BY109" s="1098">
        <f t="shared" si="282">IFERROR(CG109,"")</f>
        <v>0</v>
      </c>
      <c r="BZ109" s="1144" t="str">
        <f t="shared" si="283">IFERROR(CI109,"-")</f>
        <v>-</v>
      </c>
      <c r="CA109" s="1107">
        <f t="shared" si="284">IFERROR(CJ109,"")</f>
        <v>0</v>
      </c>
      <c r="CB109" s="1107">
        <f t="shared" si="285">IFERROR(CK109,"")</f>
        <v>0</v>
      </c>
      <c r="CC109" s="1110" t="e">
        <f t="shared" si="470">INDEX($AZ$8:$AZ$153,MATCH(BP109,$BO$8:$BO$153,0))</f>
        <v>#VALUE!</v>
      </c>
      <c r="CD109" s="1087" t="e">
        <f t="shared" si="471">INDEX($BA$8:$BA$153,MATCH(BP109,$BO$8:$BO$153,0))</f>
        <v>#VALUE!</v>
      </c>
      <c r="CE109" s="1106" t="e">
        <f t="shared" si="472">INDEX($BB$8:$BB$153,MATCH(BP109,$BO$8:$BO$153,0))</f>
        <v>#VALUE!</v>
      </c>
      <c r="CF109" s="1106" t="e">
        <f t="shared" si="473">INDEX(BC$8:BC$153,MATCH(BP109,$BO$8:$BO$153,0))</f>
        <v>#VALUE!</v>
      </c>
      <c r="CG109" s="1118" t="e">
        <f t="shared" si="474">INDEX(BE$8:BE$153,MATCH(BP109,$BO$8:$BO$153,0))</f>
        <v>#VALUE!</v>
      </c>
      <c r="CH109" s="1106" t="e">
        <f t="shared" si="475">INDEX($BD$8:$BD$153,MATCH($BP109,$BO$8:$BO$153,0))</f>
        <v>#VALUE!</v>
      </c>
      <c r="CI109" s="1142" t="e">
        <f t="shared" si="476">INDEX($BF$8:$BF$153,MATCH(BP109,$BO$8:$BO$153,0))</f>
        <v>#VALUE!</v>
      </c>
      <c r="CJ109" s="1106" t="e">
        <f t="shared" si="477">INDEX($BG$8:$BG$153,MATCH(BP109,$BO$8:$BO$153,0))</f>
        <v>#VALUE!</v>
      </c>
      <c r="CK109" s="1106" t="e">
        <f t="shared" si="478">INDEX($BH$8:$BH$153,MATCH(BP109,$BO$8:$BO$153,0))</f>
        <v>#VALUE!</v>
      </c>
      <c r="CM109" s="1131">
        <f t="shared" si="479">COUNTIF($CH$8:$CH$228,"&lt;="&amp;CH109)</f>
        <v>145</v>
      </c>
      <c r="CN109" s="1121">
        <f t="shared" si="286">--ISNUMBER(BX109)</f>
        <v>0</v>
      </c>
      <c r="CO109" s="1121">
        <f t="shared" si="287">IF(BX109=0,1,0)</f>
        <v>0</v>
      </c>
      <c r="CP109" s="1124">
        <f t="shared" si="393">IF(ISNUMBER(BX109),CM109,IF(ISERROR(BX109),CM109,CM109+$CN$154))+$CO$154</f>
        <v>145</v>
      </c>
      <c r="CQ109" s="237">
        <f>IFERROR(INDEX($BX$8:$BX$153,MATCH(SMALL($CP$8:$CP$153,ROWS($CQ$8:CQ109)+$CO$154),$CP$8:$CP$154,0)),"")</f>
        <v>0</v>
      </c>
      <c r="CR109" s="237">
        <v>0.1</v>
      </c>
      <c r="CS109" s="1135">
        <f t="shared" si="288">CM109+CR109</f>
        <v>145.1</v>
      </c>
      <c r="CT109" s="237">
        <f>COUNTIFS($CM:$CM, CM109,$CS:$CS, "&lt;"&amp;CL)+COUNTIFS(CM$8:CM109, CM109, CS$8:CS109, CS109)</f>
        <v>102</v>
      </c>
      <c r="CU109" s="1109">
        <f t="shared" si="289">CT109/100</f>
        <v>1.02</v>
      </c>
      <c r="CV109" s="1109">
        <f t="shared" si="290">CM109+CU109</f>
        <v>146.02</v>
      </c>
      <c r="CW109" s="237" t="e">
        <f t="shared" si="480">SMALL(CV$8:CV$153,AX109)</f>
        <v>#VALUE!</v>
      </c>
      <c r="CX109" s="1109">
        <f t="shared" si="291">IFERROR(CW109,"")</f>
        <v>0</v>
      </c>
      <c r="CY109" s="237" t="e">
        <f t="shared" si="481">INDEX(BU$8:BU$152,MATCH($CX109,CV$8:CV$152,0))</f>
        <v>#N/A</v>
      </c>
      <c r="CZ109" s="237" t="e">
        <f t="shared" si="482">INDEX(BV$8:BV$152,MATCH($CX109,$CV$8:$CV$152,0))</f>
        <v>#N/A</v>
      </c>
      <c r="DA109" s="237" t="e">
        <f t="shared" si="483">INDEX(BW$8:BW$152,MATCH($CX109,$CV$8:$CV$152,0))</f>
        <v>#N/A</v>
      </c>
      <c r="DB109" s="237" t="e">
        <f t="shared" si="484">INDEX(BX$8:BX$152,MATCH($CX109,$CV$8:$CV$152,0))</f>
        <v>#N/A</v>
      </c>
      <c r="DC109" s="237" t="e">
        <f t="shared" si="485">INDEX(BY$8:BY$152,MATCH($CX109,$CV$8:$CV$152,0))</f>
        <v>#N/A</v>
      </c>
      <c r="DD109" s="237" t="e">
        <f t="shared" si="486">INDEX(BZ$8:BZ$152,MATCH($CX109,$CV$8:$CV$152,0))</f>
        <v>#N/A</v>
      </c>
      <c r="DE109" s="237" t="e">
        <f t="shared" si="487">INDEX(CA$8:CA$152,MATCH($CX109,$CV$8:$CV$152,0))</f>
        <v>#N/A</v>
      </c>
      <c r="DF109" s="237" t="e">
        <f t="shared" si="488">INDEX(CB$8:CB$152,MATCH($CX109,$CV$8:$CV$152,0))</f>
        <v>#N/A</v>
      </c>
    </row>
    <row r="110" spans="1:110" ht="13.5" customHeight="1" thickBot="1">
      <c r="A110" s="1215"/>
      <c r="B110" s="1505"/>
      <c r="C110" s="773"/>
      <c r="D110" s="1154"/>
      <c r="E110" s="773"/>
      <c r="F110" s="773"/>
      <c r="G110" s="773"/>
      <c r="H110" s="773"/>
      <c r="I110" s="1474"/>
      <c r="J110" s="763"/>
      <c r="K110" s="763"/>
      <c r="L110" s="868"/>
      <c r="M110" s="807"/>
      <c r="AM110" s="1077"/>
      <c r="AN110" s="1096"/>
      <c r="AO110" s="1078"/>
      <c r="AP110" s="1079"/>
      <c r="AQ110" s="1080"/>
      <c r="AR110" s="1080">
        <f t="shared" si="401">IF(E110&lt;&gt;"",E110,"")</f>
        <v>0</v>
      </c>
      <c r="AS110" s="1078">
        <f t="shared" si="386">F110</f>
        <v>0</v>
      </c>
      <c r="AT110" s="1080">
        <f t="shared" si="402">IF(H110&lt;&gt;"",H110,"")</f>
        <v>0</v>
      </c>
      <c r="AU110" s="1080">
        <f t="shared" si="403">J110</f>
        <v>0</v>
      </c>
      <c r="AV110" s="1080"/>
      <c r="AW110" s="1081"/>
      <c r="AX110" s="237">
        <f t="shared" si="292">IF(AZ110&lt;&gt;"",AX109+1,"")</f>
        <v>0</v>
      </c>
      <c r="AY110" s="1087">
        <v>107</v>
      </c>
      <c r="AZ110" s="1087">
        <f t="shared" si="387">IF(ISNA(VLOOKUP(AY110,$AN$8:$AW$148,2,False))=True,"",VLOOKUP(AY110,$AN$8:$AW$148,2,False))</f>
        <v>0</v>
      </c>
      <c r="BA110" s="1087">
        <f t="shared" si="388">IF(ISNA(VLOOKUP(AZ110,$AE$8:$AF$46,2,False))=True,"",VLOOKUP(AZ110,$AE$8:$AF$46,2,False))</f>
        <v>0</v>
      </c>
      <c r="BB110" s="1087">
        <f t="shared" si="389">IF(ISNA(VLOOKUP(AY110,$AN$8:$AW$148,4,False))=True,"",VLOOKUP(AY110,$AN$8:$AW$148,4,False))</f>
        <v>0</v>
      </c>
      <c r="BC110" s="1087">
        <f t="shared" si="390">IF(ISNA(VLOOKUP(AY110,$AN$8:$AW$148,5,False))=True,"",VLOOKUP(AY110,$AN$8:$AW$148,5,False))</f>
        <v>0</v>
      </c>
      <c r="BD110" s="1087" t="str">
        <f t="shared" si="467">IF(ISNA(VLOOKUP(AY110,$AN$8:$AW$148,6,False))=True,"0",VLOOKUP(AY110,$AN$8:$AW$148,6,False))</f>
        <v>0</v>
      </c>
      <c r="BE110" s="1125">
        <f t="shared" si="391">IF(ISNA(VLOOKUP(AY110,$AN$8:$AW$148,7,False))=True,"",VLOOKUP(AY110,$AN$8:$AW$148,7,False))</f>
        <v>0</v>
      </c>
      <c r="BF110" s="1123">
        <f t="shared" si="395">IF(ISNA(VLOOKUP($AY110,$AN$8:$AW$148,8,False))=True,"",VLOOKUP($AY110,$AN$8:$AW$148,8,False))</f>
        <v>0</v>
      </c>
      <c r="BG110" s="1120">
        <f t="shared" si="396">IF(ISNA(VLOOKUP($AY110,$AN$8:$AW$148,9,False))=True,"",VLOOKUP($AY110,$AN$8:$AW$148,9,False))</f>
        <v>0</v>
      </c>
      <c r="BH110" s="1120">
        <f t="shared" si="397">IF(ISNA(VLOOKUP($AY110,$AN$8:$AW$148,10,False))=True,"",VLOOKUP($AY110,$AN$8:$AW$148,10,False))</f>
        <v>0</v>
      </c>
      <c r="BI110" s="250">
        <f t="shared" si="270">IF(AZ110&lt;&gt;"",AZ110,"")</f>
        <v>0</v>
      </c>
      <c r="BJ110" s="1098">
        <f t="shared" si="271">BI110</f>
        <v>0</v>
      </c>
      <c r="BK110" s="1115">
        <f>COUNTIFS($AZ:$AZ, AZ110,$BJ:$BJ, "&lt;"&amp;BJ110)+COUNTIFS(AZ$8:AZ110, AZ110, BJ$8:BJ110, BJ110)</f>
        <v>103</v>
      </c>
      <c r="BL110" s="1114">
        <f t="shared" si="272">BK110/100</f>
        <v>1.03</v>
      </c>
      <c r="BM110" s="1093" t="e">
        <f t="shared" si="494" ref="BM110">BI110+BL110</f>
        <v>#VALUE!</v>
      </c>
      <c r="BN110" s="1101">
        <f t="shared" si="416">IF(BA110&lt;&gt;"",BM110,"")</f>
        <v>0</v>
      </c>
      <c r="BO110" s="1118">
        <f t="shared" si="275">IF(BN110&lt;&gt;"",BN110,0)</f>
        <v>0</v>
      </c>
      <c r="BP110" s="237" t="e">
        <f t="shared" si="469">SMALL($BN$8:$BN$152,AX110)</f>
        <v>#VALUE!</v>
      </c>
      <c r="BR110" s="1102" t="e">
        <f t="shared" si="465">IF(BP110&lt;&gt;"",BR109+1,"")</f>
        <v>#VALUE!</v>
      </c>
      <c r="BS110" s="1102">
        <f t="shared" si="276">IFERROR(BP110,"")</f>
        <v>0</v>
      </c>
      <c r="BT110" s="1102">
        <f t="shared" si="277">IFERROR(CC110,"")</f>
        <v>0</v>
      </c>
      <c r="BU110" s="1098">
        <f t="shared" si="278">IFERROR(CD110,"")</f>
        <v>0</v>
      </c>
      <c r="BV110" s="1098">
        <f t="shared" si="279">IFERROR(CE110,"")</f>
        <v>0</v>
      </c>
      <c r="BW110" s="1098">
        <f t="shared" si="280">IFERROR(CF110,"")</f>
        <v>0</v>
      </c>
      <c r="BX110" s="1146">
        <f t="shared" si="281">IFERROR(CH110,"")</f>
        <v>0</v>
      </c>
      <c r="BY110" s="1098">
        <f t="shared" si="282">IFERROR(CG110,"")</f>
        <v>0</v>
      </c>
      <c r="BZ110" s="1144" t="str">
        <f t="shared" si="283">IFERROR(CI110,"-")</f>
        <v>-</v>
      </c>
      <c r="CA110" s="1107">
        <f t="shared" si="284">IFERROR(CJ110,"")</f>
        <v>0</v>
      </c>
      <c r="CB110" s="1107">
        <f t="shared" si="285">IFERROR(CK110,"")</f>
        <v>0</v>
      </c>
      <c r="CC110" s="1110" t="e">
        <f t="shared" si="470">INDEX($AZ$8:$AZ$153,MATCH(BP110,$BO$8:$BO$153,0))</f>
        <v>#VALUE!</v>
      </c>
      <c r="CD110" s="1087" t="e">
        <f t="shared" si="471">INDEX($BA$8:$BA$153,MATCH(BP110,$BO$8:$BO$153,0))</f>
        <v>#VALUE!</v>
      </c>
      <c r="CE110" s="1106" t="e">
        <f t="shared" si="472">INDEX($BB$8:$BB$153,MATCH(BP110,$BO$8:$BO$153,0))</f>
        <v>#VALUE!</v>
      </c>
      <c r="CF110" s="1106" t="e">
        <f t="shared" si="473">INDEX(BC$8:BC$153,MATCH(BP110,$BO$8:$BO$153,0))</f>
        <v>#VALUE!</v>
      </c>
      <c r="CG110" s="1118" t="e">
        <f t="shared" si="474">INDEX(BE$8:BE$153,MATCH(BP110,$BO$8:$BO$153,0))</f>
        <v>#VALUE!</v>
      </c>
      <c r="CH110" s="1106" t="e">
        <f t="shared" si="475">INDEX($BD$8:$BD$153,MATCH($BP110,$BO$8:$BO$153,0))</f>
        <v>#VALUE!</v>
      </c>
      <c r="CI110" s="1142" t="e">
        <f t="shared" si="476">INDEX($BF$8:$BF$153,MATCH(BP110,$BO$8:$BO$153,0))</f>
        <v>#VALUE!</v>
      </c>
      <c r="CJ110" s="1106" t="e">
        <f t="shared" si="477">INDEX($BG$8:$BG$153,MATCH(BP110,$BO$8:$BO$153,0))</f>
        <v>#VALUE!</v>
      </c>
      <c r="CK110" s="1106" t="e">
        <f t="shared" si="478">INDEX($BH$8:$BH$153,MATCH(BP110,$BO$8:$BO$153,0))</f>
        <v>#VALUE!</v>
      </c>
      <c r="CM110" s="1131">
        <f t="shared" si="479">COUNTIF($CH$8:$CH$228,"&lt;="&amp;CH110)</f>
        <v>145</v>
      </c>
      <c r="CN110" s="1121">
        <f t="shared" si="286">--ISNUMBER(BX110)</f>
        <v>0</v>
      </c>
      <c r="CO110" s="1121">
        <f t="shared" si="287">IF(BX110=0,1,0)</f>
        <v>0</v>
      </c>
      <c r="CP110" s="1124">
        <f t="shared" si="393">IF(ISNUMBER(BX110),CM110,IF(ISERROR(BX110),CM110,CM110+$CN$154))+$CO$154</f>
        <v>145</v>
      </c>
      <c r="CQ110" s="237">
        <f>IFERROR(INDEX($BX$8:$BX$153,MATCH(SMALL($CP$8:$CP$153,ROWS($CQ$8:CQ110)+$CO$154),$CP$8:$CP$154,0)),"")</f>
        <v>0</v>
      </c>
      <c r="CR110" s="237">
        <v>0.1</v>
      </c>
      <c r="CS110" s="1135">
        <f t="shared" si="288">CM110+CR110</f>
        <v>145.1</v>
      </c>
      <c r="CT110" s="237">
        <f>COUNTIFS($CM:$CM, CM110,$CS:$CS, "&lt;"&amp;CL)+COUNTIFS(CM$8:CM110, CM110, CS$8:CS110, CS110)</f>
        <v>103</v>
      </c>
      <c r="CU110" s="1109">
        <f t="shared" si="289">CT110/100</f>
        <v>1.03</v>
      </c>
      <c r="CV110" s="1109">
        <f t="shared" si="290">CM110+CU110</f>
        <v>146.03</v>
      </c>
      <c r="CW110" s="237" t="e">
        <f t="shared" si="480">SMALL(CV$8:CV$153,AX110)</f>
        <v>#VALUE!</v>
      </c>
      <c r="CX110" s="1109">
        <f t="shared" si="291">IFERROR(CW110,"")</f>
        <v>0</v>
      </c>
      <c r="CY110" s="237" t="e">
        <f t="shared" si="481">INDEX(BU$8:BU$152,MATCH($CX110,CV$8:CV$152,0))</f>
        <v>#N/A</v>
      </c>
      <c r="CZ110" s="237" t="e">
        <f t="shared" si="482">INDEX(BV$8:BV$152,MATCH($CX110,$CV$8:$CV$152,0))</f>
        <v>#N/A</v>
      </c>
      <c r="DA110" s="237" t="e">
        <f t="shared" si="483">INDEX(BW$8:BW$152,MATCH($CX110,$CV$8:$CV$152,0))</f>
        <v>#N/A</v>
      </c>
      <c r="DB110" s="237" t="e">
        <f t="shared" si="484">INDEX(BX$8:BX$152,MATCH($CX110,$CV$8:$CV$152,0))</f>
        <v>#N/A</v>
      </c>
      <c r="DC110" s="237" t="e">
        <f t="shared" si="485">INDEX(BY$8:BY$152,MATCH($CX110,$CV$8:$CV$152,0))</f>
        <v>#N/A</v>
      </c>
      <c r="DD110" s="237" t="e">
        <f t="shared" si="486">INDEX(BZ$8:BZ$152,MATCH($CX110,$CV$8:$CV$152,0))</f>
        <v>#N/A</v>
      </c>
      <c r="DE110" s="237" t="e">
        <f t="shared" si="487">INDEX(CA$8:CA$152,MATCH($CX110,$CV$8:$CV$152,0))</f>
        <v>#N/A</v>
      </c>
      <c r="DF110" s="237" t="e">
        <f t="shared" si="488">INDEX(CB$8:CB$152,MATCH($CX110,$CV$8:$CV$152,0))</f>
        <v>#N/A</v>
      </c>
    </row>
    <row r="111" spans="1:110" s="252" customFormat="1" ht="13.5" customHeight="1" thickTop="1">
      <c r="A111" s="2037" t="s">
        <v>84</v>
      </c>
      <c r="B111" s="2039" t="s">
        <v>994</v>
      </c>
      <c r="C111" s="2040" t="s">
        <v>340</v>
      </c>
      <c r="D111" s="2036" t="s">
        <v>1090</v>
      </c>
      <c r="E111" s="2041" t="s">
        <v>606</v>
      </c>
      <c r="F111" s="2036" t="s">
        <v>1122</v>
      </c>
      <c r="G111" s="2036" t="s">
        <v>1091</v>
      </c>
      <c r="H111" s="2036" t="s">
        <v>1092</v>
      </c>
      <c r="I111" s="2012" t="s">
        <v>341</v>
      </c>
      <c r="J111" s="2041" t="s">
        <v>342</v>
      </c>
      <c r="K111" s="2041" t="s">
        <v>343</v>
      </c>
      <c r="L111" s="2041"/>
      <c r="M111" s="2042"/>
      <c r="N111" s="252"/>
      <c r="W111" s="1230"/>
      <c r="X111" s="1230"/>
      <c r="Y111" s="423"/>
      <c r="Z111" s="423"/>
      <c r="AA111" s="1231"/>
      <c r="AB111" s="1230"/>
      <c r="AC111" s="423"/>
      <c r="AM111" s="1077"/>
      <c r="AN111" s="1096"/>
      <c r="AO111" s="1078"/>
      <c r="AP111" s="1079"/>
      <c r="AQ111" s="1080"/>
      <c r="AR111" s="1080"/>
      <c r="AS111" s="1078" t="str">
        <f t="shared" si="386">F111</f>
        <v>COUNTRY</v>
      </c>
      <c r="AT111" s="1080"/>
      <c r="AU111" s="1080"/>
      <c r="AV111" s="1080"/>
      <c r="AW111" s="1081"/>
      <c r="AX111" s="237">
        <f t="shared" si="292">IF(AZ111&lt;&gt;"",AX110+1,"")</f>
        <v>0</v>
      </c>
      <c r="AY111" s="1087">
        <v>108</v>
      </c>
      <c r="AZ111" s="1087">
        <f t="shared" si="387">IF(ISNA(VLOOKUP(AY111,$AN$8:$AW$148,2,False))=True,"",VLOOKUP(AY111,$AN$8:$AW$148,2,False))</f>
        <v>0</v>
      </c>
      <c r="BA111" s="1087">
        <f t="shared" si="388">IF(ISNA(VLOOKUP(AZ111,$AE$8:$AF$46,2,False))=True,"",VLOOKUP(AZ111,$AE$8:$AF$46,2,False))</f>
        <v>0</v>
      </c>
      <c r="BB111" s="1087">
        <f t="shared" si="389">IF(ISNA(VLOOKUP(AY111,$AN$8:$AW$148,4,False))=True,"",VLOOKUP(AY111,$AN$8:$AW$148,4,False))</f>
        <v>0</v>
      </c>
      <c r="BC111" s="1087">
        <f t="shared" si="390">IF(ISNA(VLOOKUP(AY111,$AN$8:$AW$148,5,False))=True,"",VLOOKUP(AY111,$AN$8:$AW$148,5,False))</f>
        <v>0</v>
      </c>
      <c r="BD111" s="1087" t="str">
        <f t="shared" si="467">IF(ISNA(VLOOKUP(AY111,$AN$8:$AW$148,6,False))=True,"0",VLOOKUP(AY111,$AN$8:$AW$148,6,False))</f>
        <v>0</v>
      </c>
      <c r="BE111" s="1125">
        <f t="shared" si="391">IF(ISNA(VLOOKUP(AY111,$AN$8:$AW$148,7,False))=True,"",VLOOKUP(AY111,$AN$8:$AW$148,7,False))</f>
        <v>0</v>
      </c>
      <c r="BF111" s="1123">
        <f t="shared" si="395">IF(ISNA(VLOOKUP($AY111,$AN$8:$AW$148,8,False))=True,"",VLOOKUP($AY111,$AN$8:$AW$148,8,False))</f>
        <v>0</v>
      </c>
      <c r="BG111" s="1120">
        <f t="shared" si="396">IF(ISNA(VLOOKUP($AY111,$AN$8:$AW$148,9,False))=True,"",VLOOKUP($AY111,$AN$8:$AW$148,9,False))</f>
        <v>0</v>
      </c>
      <c r="BH111" s="1120">
        <f t="shared" si="397">IF(ISNA(VLOOKUP($AY111,$AN$8:$AW$148,10,False))=True,"",VLOOKUP($AY111,$AN$8:$AW$148,10,False))</f>
        <v>0</v>
      </c>
      <c r="BI111" s="250">
        <f t="shared" si="270">IF(AZ111&lt;&gt;"",AZ111,"")</f>
        <v>0</v>
      </c>
      <c r="BJ111" s="1098">
        <f t="shared" si="271">BI111</f>
        <v>0</v>
      </c>
      <c r="BK111" s="1115">
        <f>COUNTIFS($AZ:$AZ, AZ111,$BJ:$BJ, "&lt;"&amp;BJ111)+COUNTIFS(AZ$8:AZ111, AZ111, BJ$8:BJ111, BJ111)</f>
        <v>104</v>
      </c>
      <c r="BL111" s="1114">
        <f t="shared" si="272">BK111/100</f>
        <v>1.04</v>
      </c>
      <c r="BM111" s="1093" t="e">
        <f t="shared" si="495" ref="BM111">BJ111+BL111</f>
        <v>#VALUE!</v>
      </c>
      <c r="BN111" s="1101">
        <f t="shared" si="416">IF(BA111&lt;&gt;"",BM111,"")</f>
        <v>0</v>
      </c>
      <c r="BO111" s="1118">
        <f t="shared" si="275">IF(BN111&lt;&gt;"",BN111,0)</f>
        <v>0</v>
      </c>
      <c r="BP111" s="237" t="e">
        <f t="shared" si="469">SMALL($BN$8:$BN$152,AX111)</f>
        <v>#VALUE!</v>
      </c>
      <c r="BQ111" s="1109"/>
      <c r="BR111" s="1102" t="e">
        <f t="shared" si="465">IF(BP111&lt;&gt;"",BR110+1,"")</f>
        <v>#VALUE!</v>
      </c>
      <c r="BS111" s="1102">
        <f t="shared" si="276">IFERROR(BP111,"")</f>
        <v>0</v>
      </c>
      <c r="BT111" s="1102">
        <f t="shared" si="277">IFERROR(CC111,"")</f>
        <v>0</v>
      </c>
      <c r="BU111" s="1098">
        <f t="shared" si="278">IFERROR(CD111,"")</f>
        <v>0</v>
      </c>
      <c r="BV111" s="1098">
        <f t="shared" si="279">IFERROR(CE111,"")</f>
        <v>0</v>
      </c>
      <c r="BW111" s="1098">
        <f t="shared" si="280">IFERROR(CF111,"")</f>
        <v>0</v>
      </c>
      <c r="BX111" s="1146">
        <f t="shared" si="281">IFERROR(CH111,"")</f>
        <v>0</v>
      </c>
      <c r="BY111" s="1098">
        <f t="shared" si="282">IFERROR(CG111,"")</f>
        <v>0</v>
      </c>
      <c r="BZ111" s="1144" t="str">
        <f t="shared" si="283">IFERROR(CI111,"-")</f>
        <v>-</v>
      </c>
      <c r="CA111" s="1107">
        <f t="shared" si="284">IFERROR(CJ111,"")</f>
        <v>0</v>
      </c>
      <c r="CB111" s="1107">
        <f t="shared" si="285">IFERROR(CK111,"")</f>
        <v>0</v>
      </c>
      <c r="CC111" s="1110" t="e">
        <f t="shared" si="470">INDEX($AZ$8:$AZ$153,MATCH(BP111,$BO$8:$BO$153,0))</f>
        <v>#VALUE!</v>
      </c>
      <c r="CD111" s="1087" t="e">
        <f t="shared" si="471">INDEX($BA$8:$BA$153,MATCH(BP111,$BO$8:$BO$153,0))</f>
        <v>#VALUE!</v>
      </c>
      <c r="CE111" s="1106" t="e">
        <f t="shared" si="472">INDEX($BB$8:$BB$153,MATCH(BP111,$BO$8:$BO$153,0))</f>
        <v>#VALUE!</v>
      </c>
      <c r="CF111" s="1106" t="e">
        <f t="shared" si="473">INDEX(BC$8:BC$153,MATCH(BP111,$BO$8:$BO$153,0))</f>
        <v>#VALUE!</v>
      </c>
      <c r="CG111" s="1118" t="e">
        <f t="shared" si="474">INDEX(BE$8:BE$153,MATCH(BP111,$BO$8:$BO$153,0))</f>
        <v>#VALUE!</v>
      </c>
      <c r="CH111" s="1106" t="e">
        <f t="shared" si="475">INDEX($BD$8:$BD$153,MATCH($BP111,$BO$8:$BO$153,0))</f>
        <v>#VALUE!</v>
      </c>
      <c r="CI111" s="1142" t="e">
        <f t="shared" si="476">INDEX($BF$8:$BF$153,MATCH(BP111,$BO$8:$BO$153,0))</f>
        <v>#VALUE!</v>
      </c>
      <c r="CJ111" s="1106" t="e">
        <f t="shared" si="477">INDEX($BG$8:$BG$153,MATCH(BP111,$BO$8:$BO$153,0))</f>
        <v>#VALUE!</v>
      </c>
      <c r="CK111" s="1106" t="e">
        <f t="shared" si="478">INDEX($BH$8:$BH$153,MATCH(BP111,$BO$8:$BO$153,0))</f>
        <v>#VALUE!</v>
      </c>
      <c r="CM111" s="1131">
        <f t="shared" si="479">COUNTIF($CH$8:$CH$228,"&lt;="&amp;CH111)</f>
        <v>145</v>
      </c>
      <c r="CN111" s="1121">
        <f t="shared" si="286">--ISNUMBER(BX111)</f>
        <v>0</v>
      </c>
      <c r="CO111" s="1121">
        <f t="shared" si="287">IF(BX111=0,1,0)</f>
        <v>0</v>
      </c>
      <c r="CP111" s="1124">
        <f t="shared" si="393">IF(ISNUMBER(BX111),CM111,IF(ISERROR(BX111),CM111,CM111+$CN$154))+$CO$154</f>
        <v>145</v>
      </c>
      <c r="CQ111" s="237">
        <f>IFERROR(INDEX($BX$8:$BX$153,MATCH(SMALL($CP$8:$CP$153,ROWS($CQ$8:CQ111)+$CO$154),$CP$8:$CP$154,0)),"")</f>
        <v>0</v>
      </c>
      <c r="CR111" s="237">
        <v>0.1</v>
      </c>
      <c r="CS111" s="1135">
        <f t="shared" si="288">CM111+CR111</f>
        <v>145.1</v>
      </c>
      <c r="CT111" s="237">
        <f>COUNTIFS($CM:$CM, CM111,$CS:$CS, "&lt;"&amp;CL)+COUNTIFS(CM$8:CM111, CM111, CS$8:CS111, CS111)</f>
        <v>104</v>
      </c>
      <c r="CU111" s="1109">
        <f t="shared" si="289">CT111/100</f>
        <v>1.04</v>
      </c>
      <c r="CV111" s="1109">
        <f t="shared" si="290">CM111+CU111</f>
        <v>146.04</v>
      </c>
      <c r="CW111" s="237" t="e">
        <f t="shared" si="480">SMALL(CV$8:CV$153,AX111)</f>
        <v>#VALUE!</v>
      </c>
      <c r="CX111" s="1109">
        <f t="shared" si="291">IFERROR(CW111,"")</f>
        <v>0</v>
      </c>
      <c r="CY111" s="237" t="e">
        <f t="shared" si="481">INDEX(BU$8:BU$152,MATCH($CX111,CV$8:CV$152,0))</f>
        <v>#N/A</v>
      </c>
      <c r="CZ111" s="237" t="e">
        <f t="shared" si="482">INDEX(BV$8:BV$152,MATCH($CX111,$CV$8:$CV$152,0))</f>
        <v>#N/A</v>
      </c>
      <c r="DA111" s="237" t="e">
        <f t="shared" si="483">INDEX(BW$8:BW$152,MATCH($CX111,$CV$8:$CV$152,0))</f>
        <v>#N/A</v>
      </c>
      <c r="DB111" s="237" t="e">
        <f t="shared" si="484">INDEX(BX$8:BX$152,MATCH($CX111,$CV$8:$CV$152,0))</f>
        <v>#N/A</v>
      </c>
      <c r="DC111" s="237" t="e">
        <f t="shared" si="485">INDEX(BY$8:BY$152,MATCH($CX111,$CV$8:$CV$152,0))</f>
        <v>#N/A</v>
      </c>
      <c r="DD111" s="237" t="e">
        <f t="shared" si="486">INDEX(BZ$8:BZ$152,MATCH($CX111,$CV$8:$CV$152,0))</f>
        <v>#N/A</v>
      </c>
      <c r="DE111" s="237" t="e">
        <f t="shared" si="487">INDEX(CA$8:CA$152,MATCH($CX111,$CV$8:$CV$152,0))</f>
        <v>#N/A</v>
      </c>
      <c r="DF111" s="237" t="e">
        <f t="shared" si="488">INDEX(CB$8:CB$152,MATCH($CX111,$CV$8:$CV$152,0))</f>
        <v>#N/A</v>
      </c>
    </row>
    <row r="112" spans="1:110" s="252" customFormat="1" ht="13.5" customHeight="1">
      <c r="A112" s="2038"/>
      <c r="B112" s="2031"/>
      <c r="C112" s="1501"/>
      <c r="D112" s="2035"/>
      <c r="E112" s="1033"/>
      <c r="F112" s="2035"/>
      <c r="G112" s="2035"/>
      <c r="H112" s="2035"/>
      <c r="I112" s="2013"/>
      <c r="J112" s="1033"/>
      <c r="K112" s="1033" t="s">
        <v>344</v>
      </c>
      <c r="L112" s="1033" t="s">
        <v>345</v>
      </c>
      <c r="M112" s="1021" t="s">
        <v>346</v>
      </c>
      <c r="N112" s="252"/>
      <c r="W112" s="1230"/>
      <c r="X112" s="1230"/>
      <c r="Y112" s="423"/>
      <c r="Z112" s="423"/>
      <c r="AA112" s="1231"/>
      <c r="AB112" s="1230"/>
      <c r="AC112" s="423"/>
      <c r="AM112" s="1082"/>
      <c r="AN112" s="1096"/>
      <c r="AO112" s="1083"/>
      <c r="AP112" s="1084"/>
      <c r="AQ112" s="1085"/>
      <c r="AR112" s="1080">
        <f t="shared" si="496" ref="AR112:AR135">IF(E112&lt;&gt;"",E112,"")</f>
        <v>0</v>
      </c>
      <c r="AS112" s="1078">
        <f t="shared" si="386">F112</f>
        <v>0</v>
      </c>
      <c r="AT112" s="1080">
        <f t="shared" si="497" ref="AT112:AT135">IF(H112&lt;&gt;"",H112,"")</f>
        <v>0</v>
      </c>
      <c r="AU112" s="1080">
        <f t="shared" si="498" ref="AU112:AU135">J112</f>
        <v>0</v>
      </c>
      <c r="AV112" s="1080"/>
      <c r="AW112" s="1086"/>
      <c r="AX112" s="237">
        <f t="shared" si="292">IF(AZ112&lt;&gt;"",AX111+1,"")</f>
        <v>0</v>
      </c>
      <c r="AY112" s="1087">
        <v>109</v>
      </c>
      <c r="AZ112" s="1087">
        <f t="shared" si="387">IF(ISNA(VLOOKUP(AY112,$AN$8:$AW$148,2,False))=True,"",VLOOKUP(AY112,$AN$8:$AW$148,2,False))</f>
        <v>0</v>
      </c>
      <c r="BA112" s="1087">
        <f t="shared" si="388">IF(ISNA(VLOOKUP(AZ112,$AE$8:$AF$46,2,False))=True,"",VLOOKUP(AZ112,$AE$8:$AF$46,2,False))</f>
        <v>0</v>
      </c>
      <c r="BB112" s="1087">
        <f t="shared" si="389">IF(ISNA(VLOOKUP(AY112,$AN$8:$AW$148,4,False))=True,"",VLOOKUP(AY112,$AN$8:$AW$148,4,False))</f>
        <v>0</v>
      </c>
      <c r="BC112" s="1087">
        <f t="shared" si="390">IF(ISNA(VLOOKUP(AY112,$AN$8:$AW$148,5,False))=True,"",VLOOKUP(AY112,$AN$8:$AW$148,5,False))</f>
        <v>0</v>
      </c>
      <c r="BD112" s="1087" t="str">
        <f t="shared" si="467">IF(ISNA(VLOOKUP(AY112,$AN$8:$AW$148,6,False))=True,"0",VLOOKUP(AY112,$AN$8:$AW$148,6,False))</f>
        <v>0</v>
      </c>
      <c r="BE112" s="1125">
        <f t="shared" si="391">IF(ISNA(VLOOKUP(AY112,$AN$8:$AW$148,7,False))=True,"",VLOOKUP(AY112,$AN$8:$AW$148,7,False))</f>
        <v>0</v>
      </c>
      <c r="BF112" s="1123">
        <f t="shared" si="395">IF(ISNA(VLOOKUP($AY112,$AN$8:$AW$148,8,False))=True,"",VLOOKUP($AY112,$AN$8:$AW$148,8,False))</f>
        <v>0</v>
      </c>
      <c r="BG112" s="1120">
        <f t="shared" si="396">IF(ISNA(VLOOKUP($AY112,$AN$8:$AW$148,9,False))=True,"",VLOOKUP($AY112,$AN$8:$AW$148,9,False))</f>
        <v>0</v>
      </c>
      <c r="BH112" s="1120">
        <f t="shared" si="397">IF(ISNA(VLOOKUP($AY112,$AN$8:$AW$148,10,False))=True,"",VLOOKUP($AY112,$AN$8:$AW$148,10,False))</f>
        <v>0</v>
      </c>
      <c r="BI112" s="250">
        <f t="shared" si="270">IF(AZ112&lt;&gt;"",AZ112,"")</f>
        <v>0</v>
      </c>
      <c r="BJ112" s="1098">
        <f t="shared" si="271">BI112</f>
        <v>0</v>
      </c>
      <c r="BK112" s="1115">
        <f>COUNTIFS($AZ:$AZ, AZ112,$BJ:$BJ, "&lt;"&amp;BJ112)+COUNTIFS(AZ$8:AZ112, AZ112, BJ$8:BJ112, BJ112)</f>
        <v>105</v>
      </c>
      <c r="BL112" s="1114">
        <f t="shared" si="272">BK112/100</f>
        <v>1.05</v>
      </c>
      <c r="BM112" s="1093" t="e">
        <f t="shared" si="499" ref="BM112">BI112+BL112</f>
        <v>#VALUE!</v>
      </c>
      <c r="BN112" s="1101">
        <f t="shared" si="416">IF(BA112&lt;&gt;"",BM112,"")</f>
        <v>0</v>
      </c>
      <c r="BO112" s="1118">
        <f t="shared" si="275">IF(BN112&lt;&gt;"",BN112,0)</f>
        <v>0</v>
      </c>
      <c r="BP112" s="237" t="e">
        <f t="shared" si="469">SMALL($BN$8:$BN$152,AX112)</f>
        <v>#VALUE!</v>
      </c>
      <c r="BQ112" s="1109"/>
      <c r="BR112" s="1102" t="e">
        <f t="shared" si="465">IF(BP112&lt;&gt;"",BR111+1,"")</f>
        <v>#VALUE!</v>
      </c>
      <c r="BS112" s="1102">
        <f t="shared" si="276">IFERROR(BP112,"")</f>
        <v>0</v>
      </c>
      <c r="BT112" s="1102">
        <f t="shared" si="277">IFERROR(CC112,"")</f>
        <v>0</v>
      </c>
      <c r="BU112" s="1098">
        <f t="shared" si="278">IFERROR(CD112,"")</f>
        <v>0</v>
      </c>
      <c r="BV112" s="1098">
        <f t="shared" si="279">IFERROR(CE112,"")</f>
        <v>0</v>
      </c>
      <c r="BW112" s="1098">
        <f t="shared" si="280">IFERROR(CF112,"")</f>
        <v>0</v>
      </c>
      <c r="BX112" s="1146">
        <f t="shared" si="281">IFERROR(CH112,"")</f>
        <v>0</v>
      </c>
      <c r="BY112" s="1098">
        <f t="shared" si="282">IFERROR(CG112,"")</f>
        <v>0</v>
      </c>
      <c r="BZ112" s="1144" t="str">
        <f t="shared" si="283">IFERROR(CI112,"-")</f>
        <v>-</v>
      </c>
      <c r="CA112" s="1107">
        <f t="shared" si="284">IFERROR(CJ112,"")</f>
        <v>0</v>
      </c>
      <c r="CB112" s="1107">
        <f t="shared" si="285">IFERROR(CK112,"")</f>
        <v>0</v>
      </c>
      <c r="CC112" s="1110" t="e">
        <f t="shared" si="470">INDEX($AZ$8:$AZ$153,MATCH(BP112,$BO$8:$BO$153,0))</f>
        <v>#VALUE!</v>
      </c>
      <c r="CD112" s="1087" t="e">
        <f t="shared" si="471">INDEX($BA$8:$BA$153,MATCH(BP112,$BO$8:$BO$153,0))</f>
        <v>#VALUE!</v>
      </c>
      <c r="CE112" s="1106" t="e">
        <f t="shared" si="472">INDEX($BB$8:$BB$153,MATCH(BP112,$BO$8:$BO$153,0))</f>
        <v>#VALUE!</v>
      </c>
      <c r="CF112" s="1106" t="e">
        <f t="shared" si="473">INDEX(BC$8:BC$153,MATCH(BP112,$BO$8:$BO$153,0))</f>
        <v>#VALUE!</v>
      </c>
      <c r="CG112" s="1118" t="e">
        <f t="shared" si="474">INDEX(BE$8:BE$153,MATCH(BP112,$BO$8:$BO$153,0))</f>
        <v>#VALUE!</v>
      </c>
      <c r="CH112" s="1106" t="e">
        <f t="shared" si="475">INDEX($BD$8:$BD$153,MATCH($BP112,$BO$8:$BO$153,0))</f>
        <v>#VALUE!</v>
      </c>
      <c r="CI112" s="1142" t="e">
        <f t="shared" si="476">INDEX($BF$8:$BF$153,MATCH(BP112,$BO$8:$BO$153,0))</f>
        <v>#VALUE!</v>
      </c>
      <c r="CJ112" s="1106" t="e">
        <f t="shared" si="477">INDEX($BG$8:$BG$153,MATCH(BP112,$BO$8:$BO$153,0))</f>
        <v>#VALUE!</v>
      </c>
      <c r="CK112" s="1106" t="e">
        <f t="shared" si="478">INDEX($BH$8:$BH$153,MATCH(BP112,$BO$8:$BO$153,0))</f>
        <v>#VALUE!</v>
      </c>
      <c r="CM112" s="1131">
        <f t="shared" si="479">COUNTIF($CH$8:$CH$228,"&lt;="&amp;CH112)</f>
        <v>145</v>
      </c>
      <c r="CN112" s="1121">
        <f t="shared" si="286">--ISNUMBER(BX112)</f>
        <v>0</v>
      </c>
      <c r="CO112" s="1121">
        <f t="shared" si="287">IF(BX112=0,1,0)</f>
        <v>0</v>
      </c>
      <c r="CP112" s="1124">
        <f t="shared" si="393">IF(ISNUMBER(BX112),CM112,IF(ISERROR(BX112),CM112,CM112+$CN$154))+$CO$154</f>
        <v>145</v>
      </c>
      <c r="CQ112" s="237">
        <f>IFERROR(INDEX($BX$8:$BX$153,MATCH(SMALL($CP$8:$CP$153,ROWS($CQ$8:CQ112)+$CO$154),$CP$8:$CP$154,0)),"")</f>
        <v>0</v>
      </c>
      <c r="CR112" s="237">
        <v>0.1</v>
      </c>
      <c r="CS112" s="1135">
        <f t="shared" si="288">CM112+CR112</f>
        <v>145.1</v>
      </c>
      <c r="CT112" s="237">
        <f>COUNTIFS($CM:$CM, CM112,$CS:$CS, "&lt;"&amp;CL)+COUNTIFS(CM$8:CM112, CM112, CS$8:CS112, CS112)</f>
        <v>105</v>
      </c>
      <c r="CU112" s="1109">
        <f t="shared" si="289">CT112/100</f>
        <v>1.05</v>
      </c>
      <c r="CV112" s="1109">
        <f t="shared" si="290">CM112+CU112</f>
        <v>146.05</v>
      </c>
      <c r="CW112" s="237" t="e">
        <f t="shared" si="480">SMALL(CV$8:CV$153,AX112)</f>
        <v>#VALUE!</v>
      </c>
      <c r="CX112" s="1109">
        <f t="shared" si="291">IFERROR(CW112,"")</f>
        <v>0</v>
      </c>
      <c r="CY112" s="237" t="e">
        <f t="shared" si="481">INDEX(BU$8:BU$152,MATCH($CX112,CV$8:CV$152,0))</f>
        <v>#N/A</v>
      </c>
      <c r="CZ112" s="237" t="e">
        <f t="shared" si="482">INDEX(BV$8:BV$152,MATCH($CX112,$CV$8:$CV$152,0))</f>
        <v>#N/A</v>
      </c>
      <c r="DA112" s="237" t="e">
        <f t="shared" si="483">INDEX(BW$8:BW$152,MATCH($CX112,$CV$8:$CV$152,0))</f>
        <v>#N/A</v>
      </c>
      <c r="DB112" s="237" t="e">
        <f t="shared" si="484">INDEX(BX$8:BX$152,MATCH($CX112,$CV$8:$CV$152,0))</f>
        <v>#N/A</v>
      </c>
      <c r="DC112" s="237" t="e">
        <f t="shared" si="485">INDEX(BY$8:BY$152,MATCH($CX112,$CV$8:$CV$152,0))</f>
        <v>#N/A</v>
      </c>
      <c r="DD112" s="237" t="e">
        <f t="shared" si="486">INDEX(BZ$8:BZ$152,MATCH($CX112,$CV$8:$CV$152,0))</f>
        <v>#N/A</v>
      </c>
      <c r="DE112" s="237" t="e">
        <f t="shared" si="487">INDEX(CA$8:CA$152,MATCH($CX112,$CV$8:$CV$152,0))</f>
        <v>#N/A</v>
      </c>
      <c r="DF112" s="237" t="e">
        <f t="shared" si="488">INDEX(CB$8:CB$152,MATCH($CX112,$CV$8:$CV$152,0))</f>
        <v>#N/A</v>
      </c>
    </row>
    <row r="113" spans="1:110">
      <c r="A113" s="1216">
        <v>1</v>
      </c>
      <c r="B113" s="1510"/>
      <c r="C113" s="1022"/>
      <c r="D113" s="1022"/>
      <c r="E113" s="1022"/>
      <c r="F113" s="1022"/>
      <c r="G113" s="1022"/>
      <c r="H113" s="1022"/>
      <c r="I113" s="1475"/>
      <c r="J113" s="1020"/>
      <c r="K113" s="253"/>
      <c r="L113" s="254"/>
      <c r="M113" s="255">
        <f t="shared" si="500" ref="M113:M127">K113*L113</f>
        <v>0</v>
      </c>
      <c r="AM113" s="1077">
        <f t="shared" si="501" ref="AM113:AM127">IF(M113&gt;0,1,0)</f>
        <v>0</v>
      </c>
      <c r="AN113" s="1096">
        <f>IF(AM113&gt;0,COUNTIF(AM$8:AM113,"&gt;0"),0)</f>
        <v>0</v>
      </c>
      <c r="AO113" s="1078">
        <f t="shared" si="502" ref="AO113:AO127">B113</f>
        <v>0</v>
      </c>
      <c r="AP113" s="1079">
        <f t="shared" si="503" ref="AP113:AP127">C113</f>
        <v>0</v>
      </c>
      <c r="AQ113" s="1080">
        <f t="shared" si="504" ref="AQ113:AQ127">IF(I113&lt;&gt;"",YEAR(I113),"")</f>
        <v>0</v>
      </c>
      <c r="AR113" s="1080">
        <f t="shared" si="496">IF(E113&lt;&gt;"",E113,"")</f>
        <v>0</v>
      </c>
      <c r="AS113" s="1078">
        <f t="shared" si="386">F113</f>
        <v>0</v>
      </c>
      <c r="AT113" s="1080">
        <f t="shared" si="497">IF(H113&lt;&gt;"",H113,"")</f>
        <v>0</v>
      </c>
      <c r="AU113" s="1080">
        <f t="shared" si="498">J113</f>
        <v>0</v>
      </c>
      <c r="AV113" s="1080">
        <f t="shared" si="505" ref="AV113:AV127">K113</f>
        <v>0</v>
      </c>
      <c r="AW113" s="1081">
        <f t="shared" si="506" ref="AW113:AW127">M113</f>
        <v>0</v>
      </c>
      <c r="AX113" s="237">
        <f t="shared" si="292">IF(AZ113&lt;&gt;"",AX112+1,"")</f>
        <v>0</v>
      </c>
      <c r="AY113" s="1087">
        <v>110</v>
      </c>
      <c r="AZ113" s="1087">
        <f t="shared" si="387">IF(ISNA(VLOOKUP(AY113,$AN$8:$AW$148,2,False))=True,"",VLOOKUP(AY113,$AN$8:$AW$148,2,False))</f>
        <v>0</v>
      </c>
      <c r="BA113" s="1087">
        <f t="shared" si="388">IF(ISNA(VLOOKUP(AZ113,$AE$8:$AF$46,2,False))=True,"",VLOOKUP(AZ113,$AE$8:$AF$46,2,False))</f>
        <v>0</v>
      </c>
      <c r="BB113" s="1087">
        <f t="shared" si="389">IF(ISNA(VLOOKUP(AY113,$AN$8:$AW$148,4,False))=True,"",VLOOKUP(AY113,$AN$8:$AW$148,4,False))</f>
        <v>0</v>
      </c>
      <c r="BC113" s="1087">
        <f t="shared" si="390">IF(ISNA(VLOOKUP(AY113,$AN$8:$AW$148,5,False))=True,"",VLOOKUP(AY113,$AN$8:$AW$148,5,False))</f>
        <v>0</v>
      </c>
      <c r="BD113" s="1087" t="str">
        <f t="shared" si="467">IF(ISNA(VLOOKUP(AY113,$AN$8:$AW$148,6,False))=True,"0",VLOOKUP(AY113,$AN$8:$AW$148,6,False))</f>
        <v>0</v>
      </c>
      <c r="BE113" s="1125">
        <f t="shared" si="391">IF(ISNA(VLOOKUP(AY113,$AN$8:$AW$148,7,False))=True,"",VLOOKUP(AY113,$AN$8:$AW$148,7,False))</f>
        <v>0</v>
      </c>
      <c r="BF113" s="1123">
        <f t="shared" si="395">IF(ISNA(VLOOKUP($AY113,$AN$8:$AW$148,8,False))=True,"",VLOOKUP($AY113,$AN$8:$AW$148,8,False))</f>
        <v>0</v>
      </c>
      <c r="BG113" s="1120">
        <f t="shared" si="396">IF(ISNA(VLOOKUP($AY113,$AN$8:$AW$148,9,False))=True,"",VLOOKUP($AY113,$AN$8:$AW$148,9,False))</f>
        <v>0</v>
      </c>
      <c r="BH113" s="1120">
        <f t="shared" si="397">IF(ISNA(VLOOKUP($AY113,$AN$8:$AW$148,10,False))=True,"",VLOOKUP($AY113,$AN$8:$AW$148,10,False))</f>
        <v>0</v>
      </c>
      <c r="BI113" s="250">
        <f t="shared" si="270">IF(AZ113&lt;&gt;"",AZ113,"")</f>
        <v>0</v>
      </c>
      <c r="BJ113" s="1098">
        <f t="shared" si="271">BI113</f>
        <v>0</v>
      </c>
      <c r="BK113" s="1115">
        <f>COUNTIFS($AZ:$AZ, AZ113,$BJ:$BJ, "&lt;"&amp;BJ113)+COUNTIFS(AZ$8:AZ113, AZ113, BJ$8:BJ113, BJ113)</f>
        <v>106</v>
      </c>
      <c r="BL113" s="1114">
        <f t="shared" si="272">BK113/100</f>
        <v>1.06</v>
      </c>
      <c r="BM113" s="1093" t="e">
        <f t="shared" si="507" ref="BM113">BJ113+BL113</f>
        <v>#VALUE!</v>
      </c>
      <c r="BN113" s="1101">
        <f t="shared" si="416">IF(BA113&lt;&gt;"",BM113,"")</f>
        <v>0</v>
      </c>
      <c r="BO113" s="1118">
        <f t="shared" si="275">IF(BN113&lt;&gt;"",BN113,0)</f>
        <v>0</v>
      </c>
      <c r="BP113" s="237" t="e">
        <f t="shared" si="469">SMALL($BN$8:$BN$152,AX113)</f>
        <v>#VALUE!</v>
      </c>
      <c r="BR113" s="1102" t="e">
        <f t="shared" si="465">IF(BP113&lt;&gt;"",BR112+1,"")</f>
        <v>#VALUE!</v>
      </c>
      <c r="BS113" s="1102">
        <f t="shared" si="276">IFERROR(BP113,"")</f>
        <v>0</v>
      </c>
      <c r="BT113" s="1102">
        <f t="shared" si="277">IFERROR(CC113,"")</f>
        <v>0</v>
      </c>
      <c r="BU113" s="1098">
        <f t="shared" si="278">IFERROR(CD113,"")</f>
        <v>0</v>
      </c>
      <c r="BV113" s="1098">
        <f t="shared" si="279">IFERROR(CE113,"")</f>
        <v>0</v>
      </c>
      <c r="BW113" s="1098">
        <f t="shared" si="280">IFERROR(CF113,"")</f>
        <v>0</v>
      </c>
      <c r="BX113" s="1146">
        <f t="shared" si="281">IFERROR(CH113,"")</f>
        <v>0</v>
      </c>
      <c r="BY113" s="1098">
        <f t="shared" si="282">IFERROR(CG113,"")</f>
        <v>0</v>
      </c>
      <c r="BZ113" s="1144" t="str">
        <f t="shared" si="283">IFERROR(CI113,"-")</f>
        <v>-</v>
      </c>
      <c r="CA113" s="1107">
        <f t="shared" si="284">IFERROR(CJ113,"")</f>
        <v>0</v>
      </c>
      <c r="CB113" s="1107">
        <f t="shared" si="285">IFERROR(CK113,"")</f>
        <v>0</v>
      </c>
      <c r="CC113" s="1110" t="e">
        <f t="shared" si="470">INDEX($AZ$8:$AZ$153,MATCH(BP113,$BO$8:$BO$153,0))</f>
        <v>#VALUE!</v>
      </c>
      <c r="CD113" s="1087" t="e">
        <f t="shared" si="471">INDEX($BA$8:$BA$153,MATCH(BP113,$BO$8:$BO$153,0))</f>
        <v>#VALUE!</v>
      </c>
      <c r="CE113" s="1106" t="e">
        <f t="shared" si="472">INDEX($BB$8:$BB$153,MATCH(BP113,$BO$8:$BO$153,0))</f>
        <v>#VALUE!</v>
      </c>
      <c r="CF113" s="1106" t="e">
        <f t="shared" si="473">INDEX(BC$8:BC$153,MATCH(BP113,$BO$8:$BO$153,0))</f>
        <v>#VALUE!</v>
      </c>
      <c r="CG113" s="1118" t="e">
        <f t="shared" si="474">INDEX(BE$8:BE$153,MATCH(BP113,$BO$8:$BO$153,0))</f>
        <v>#VALUE!</v>
      </c>
      <c r="CH113" s="1106" t="e">
        <f t="shared" si="475">INDEX($BD$8:$BD$153,MATCH($BP113,$BO$8:$BO$153,0))</f>
        <v>#VALUE!</v>
      </c>
      <c r="CI113" s="1142" t="e">
        <f t="shared" si="476">INDEX($BF$8:$BF$153,MATCH(BP113,$BO$8:$BO$153,0))</f>
        <v>#VALUE!</v>
      </c>
      <c r="CJ113" s="1106" t="e">
        <f t="shared" si="477">INDEX($BG$8:$BG$153,MATCH(BP113,$BO$8:$BO$153,0))</f>
        <v>#VALUE!</v>
      </c>
      <c r="CK113" s="1106" t="e">
        <f t="shared" si="478">INDEX($BH$8:$BH$153,MATCH(BP113,$BO$8:$BO$153,0))</f>
        <v>#VALUE!</v>
      </c>
      <c r="CM113" s="1131">
        <f t="shared" si="479">COUNTIF($CH$8:$CH$228,"&lt;="&amp;CH113)</f>
        <v>145</v>
      </c>
      <c r="CN113" s="1121">
        <f t="shared" si="286">--ISNUMBER(BX113)</f>
        <v>0</v>
      </c>
      <c r="CO113" s="1121">
        <f t="shared" si="287">IF(BX113=0,1,0)</f>
        <v>0</v>
      </c>
      <c r="CP113" s="1124">
        <f t="shared" si="393">IF(ISNUMBER(BX113),CM113,IF(ISERROR(BX113),CM113,CM113+$CN$154))+$CO$154</f>
        <v>145</v>
      </c>
      <c r="CQ113" s="237">
        <f>IFERROR(INDEX($BX$8:$BX$153,MATCH(SMALL($CP$8:$CP$153,ROWS($CQ$8:CQ113)+$CO$154),$CP$8:$CP$154,0)),"")</f>
        <v>0</v>
      </c>
      <c r="CR113" s="237">
        <v>0.1</v>
      </c>
      <c r="CS113" s="1135">
        <f t="shared" si="288">CM113+CR113</f>
        <v>145.1</v>
      </c>
      <c r="CT113" s="237">
        <f>COUNTIFS($CM:$CM, CM113,$CS:$CS, "&lt;"&amp;CL)+COUNTIFS(CM$8:CM113, CM113, CS$8:CS113, CS113)</f>
        <v>106</v>
      </c>
      <c r="CU113" s="1109">
        <f t="shared" si="289">CT113/100</f>
        <v>1.06</v>
      </c>
      <c r="CV113" s="1109">
        <f t="shared" si="290">CM113+CU113</f>
        <v>146.06</v>
      </c>
      <c r="CW113" s="237" t="e">
        <f t="shared" si="480">SMALL(CV$8:CV$153,AX113)</f>
        <v>#VALUE!</v>
      </c>
      <c r="CX113" s="1109">
        <f t="shared" si="291">IFERROR(CW113,"")</f>
        <v>0</v>
      </c>
      <c r="CY113" s="237" t="e">
        <f t="shared" si="481">INDEX(BU$8:BU$152,MATCH($CX113,CV$8:CV$152,0))</f>
        <v>#N/A</v>
      </c>
      <c r="CZ113" s="237" t="e">
        <f t="shared" si="482">INDEX(BV$8:BV$152,MATCH($CX113,$CV$8:$CV$152,0))</f>
        <v>#N/A</v>
      </c>
      <c r="DA113" s="237" t="e">
        <f t="shared" si="483">INDEX(BW$8:BW$152,MATCH($CX113,$CV$8:$CV$152,0))</f>
        <v>#N/A</v>
      </c>
      <c r="DB113" s="237" t="e">
        <f t="shared" si="484">INDEX(BX$8:BX$152,MATCH($CX113,$CV$8:$CV$152,0))</f>
        <v>#N/A</v>
      </c>
      <c r="DC113" s="237" t="e">
        <f t="shared" si="485">INDEX(BY$8:BY$152,MATCH($CX113,$CV$8:$CV$152,0))</f>
        <v>#N/A</v>
      </c>
      <c r="DD113" s="237" t="e">
        <f t="shared" si="486">INDEX(BZ$8:BZ$152,MATCH($CX113,$CV$8:$CV$152,0))</f>
        <v>#N/A</v>
      </c>
      <c r="DE113" s="237" t="e">
        <f t="shared" si="487">INDEX(CA$8:CA$152,MATCH($CX113,$CV$8:$CV$152,0))</f>
        <v>#N/A</v>
      </c>
      <c r="DF113" s="237" t="e">
        <f t="shared" si="488">INDEX(CB$8:CB$152,MATCH($CX113,$CV$8:$CV$152,0))</f>
        <v>#N/A</v>
      </c>
    </row>
    <row r="114" spans="1:110">
      <c r="A114" s="1216">
        <v>2</v>
      </c>
      <c r="B114" s="1510"/>
      <c r="C114" s="1022"/>
      <c r="D114" s="1022"/>
      <c r="E114" s="1022"/>
      <c r="F114" s="1022"/>
      <c r="G114" s="1022"/>
      <c r="H114" s="1022"/>
      <c r="I114" s="1475"/>
      <c r="J114" s="1020"/>
      <c r="K114" s="253"/>
      <c r="L114" s="254"/>
      <c r="M114" s="255">
        <f t="shared" si="500">K114*L114</f>
        <v>0</v>
      </c>
      <c r="AM114" s="1077">
        <f t="shared" si="501">IF(M114&gt;0,1,0)</f>
        <v>0</v>
      </c>
      <c r="AN114" s="1096">
        <f>IF(K114&gt;0,COUNTIF(AM$8:AM114,"&gt;0"),0)</f>
        <v>0</v>
      </c>
      <c r="AO114" s="1078">
        <f t="shared" si="502">B114</f>
        <v>0</v>
      </c>
      <c r="AP114" s="1079">
        <f t="shared" si="503">C114</f>
        <v>0</v>
      </c>
      <c r="AQ114" s="1080">
        <f t="shared" si="504">IF(I114&lt;&gt;"",YEAR(I114),"")</f>
        <v>0</v>
      </c>
      <c r="AR114" s="1080">
        <f t="shared" si="496">IF(E114&lt;&gt;"",E114,"")</f>
        <v>0</v>
      </c>
      <c r="AS114" s="1078">
        <f t="shared" si="386">F114</f>
        <v>0</v>
      </c>
      <c r="AT114" s="1080">
        <f t="shared" si="497">IF(H114&lt;&gt;"",H114,"")</f>
        <v>0</v>
      </c>
      <c r="AU114" s="1080">
        <f t="shared" si="498">J114</f>
        <v>0</v>
      </c>
      <c r="AV114" s="1080">
        <f t="shared" si="505">K114</f>
        <v>0</v>
      </c>
      <c r="AW114" s="1081">
        <f t="shared" si="506">M114</f>
        <v>0</v>
      </c>
      <c r="AX114" s="237">
        <f t="shared" si="292">IF(AZ114&lt;&gt;"",AX113+1,"")</f>
        <v>0</v>
      </c>
      <c r="AY114" s="1087">
        <v>111</v>
      </c>
      <c r="AZ114" s="1087">
        <f t="shared" si="387">IF(ISNA(VLOOKUP(AY114,$AN$8:$AW$148,2,False))=True,"",VLOOKUP(AY114,$AN$8:$AW$148,2,False))</f>
        <v>0</v>
      </c>
      <c r="BA114" s="1087">
        <f t="shared" si="388">IF(ISNA(VLOOKUP(AZ114,$AE$8:$AF$46,2,False))=True,"",VLOOKUP(AZ114,$AE$8:$AF$46,2,False))</f>
        <v>0</v>
      </c>
      <c r="BB114" s="1087">
        <f t="shared" si="389">IF(ISNA(VLOOKUP(AY114,$AN$8:$AW$148,4,False))=True,"",VLOOKUP(AY114,$AN$8:$AW$148,4,False))</f>
        <v>0</v>
      </c>
      <c r="BC114" s="1087">
        <f t="shared" si="390">IF(ISNA(VLOOKUP(AY114,$AN$8:$AW$148,5,False))=True,"",VLOOKUP(AY114,$AN$8:$AW$148,5,False))</f>
        <v>0</v>
      </c>
      <c r="BD114" s="1087" t="str">
        <f t="shared" si="467">IF(ISNA(VLOOKUP(AY114,$AN$8:$AW$148,6,False))=True,"0",VLOOKUP(AY114,$AN$8:$AW$148,6,False))</f>
        <v>0</v>
      </c>
      <c r="BE114" s="1125">
        <f t="shared" si="391">IF(ISNA(VLOOKUP(AY114,$AN$8:$AW$148,7,False))=True,"",VLOOKUP(AY114,$AN$8:$AW$148,7,False))</f>
        <v>0</v>
      </c>
      <c r="BF114" s="1123">
        <f t="shared" si="395">IF(ISNA(VLOOKUP($AY114,$AN$8:$AW$148,8,False))=True,"",VLOOKUP($AY114,$AN$8:$AW$148,8,False))</f>
        <v>0</v>
      </c>
      <c r="BG114" s="1120">
        <f t="shared" si="396">IF(ISNA(VLOOKUP($AY114,$AN$8:$AW$148,9,False))=True,"",VLOOKUP($AY114,$AN$8:$AW$148,9,False))</f>
        <v>0</v>
      </c>
      <c r="BH114" s="1120">
        <f t="shared" si="397">IF(ISNA(VLOOKUP($AY114,$AN$8:$AW$148,10,False))=True,"",VLOOKUP($AY114,$AN$8:$AW$148,10,False))</f>
        <v>0</v>
      </c>
      <c r="BI114" s="250">
        <f t="shared" si="270">IF(AZ114&lt;&gt;"",AZ114,"")</f>
        <v>0</v>
      </c>
      <c r="BJ114" s="1098">
        <f t="shared" si="271">BI114</f>
        <v>0</v>
      </c>
      <c r="BK114" s="1115">
        <f>COUNTIFS($AZ:$AZ, AZ114,$BJ:$BJ, "&lt;"&amp;BJ114)+COUNTIFS(AZ$8:AZ114, AZ114, BJ$8:BJ114, BJ114)</f>
        <v>107</v>
      </c>
      <c r="BL114" s="1114">
        <f t="shared" si="272">BK114/100</f>
        <v>1.07</v>
      </c>
      <c r="BM114" s="1093" t="e">
        <f t="shared" si="508" ref="BM114">BI114+BL114</f>
        <v>#VALUE!</v>
      </c>
      <c r="BN114" s="1101">
        <f t="shared" si="416">IF(BA114&lt;&gt;"",BM114,"")</f>
        <v>0</v>
      </c>
      <c r="BO114" s="1118">
        <f t="shared" si="275">IF(BN114&lt;&gt;"",BN114,0)</f>
        <v>0</v>
      </c>
      <c r="BP114" s="237" t="e">
        <f t="shared" si="469">SMALL($BN$8:$BN$152,AX114)</f>
        <v>#VALUE!</v>
      </c>
      <c r="BR114" s="1102" t="e">
        <f t="shared" si="465">IF(BP114&lt;&gt;"",BR113+1,"")</f>
        <v>#VALUE!</v>
      </c>
      <c r="BS114" s="1102">
        <f t="shared" si="276">IFERROR(BP114,"")</f>
        <v>0</v>
      </c>
      <c r="BT114" s="1102">
        <f t="shared" si="277">IFERROR(CC114,"")</f>
        <v>0</v>
      </c>
      <c r="BU114" s="1098">
        <f t="shared" si="278">IFERROR(CD114,"")</f>
        <v>0</v>
      </c>
      <c r="BV114" s="1098">
        <f t="shared" si="279">IFERROR(CE114,"")</f>
        <v>0</v>
      </c>
      <c r="BW114" s="1098">
        <f t="shared" si="280">IFERROR(CF114,"")</f>
        <v>0</v>
      </c>
      <c r="BX114" s="1146">
        <f t="shared" si="281">IFERROR(CH114,"")</f>
        <v>0</v>
      </c>
      <c r="BY114" s="1098">
        <f t="shared" si="282">IFERROR(CG114,"")</f>
        <v>0</v>
      </c>
      <c r="BZ114" s="1144" t="str">
        <f t="shared" si="283">IFERROR(CI114,"-")</f>
        <v>-</v>
      </c>
      <c r="CA114" s="1107">
        <f t="shared" si="284">IFERROR(CJ114,"")</f>
        <v>0</v>
      </c>
      <c r="CB114" s="1107">
        <f t="shared" si="285">IFERROR(CK114,"")</f>
        <v>0</v>
      </c>
      <c r="CC114" s="1110" t="e">
        <f t="shared" si="470">INDEX($AZ$8:$AZ$153,MATCH(BP114,$BO$8:$BO$153,0))</f>
        <v>#VALUE!</v>
      </c>
      <c r="CD114" s="1087" t="e">
        <f t="shared" si="471">INDEX($BA$8:$BA$153,MATCH(BP114,$BO$8:$BO$153,0))</f>
        <v>#VALUE!</v>
      </c>
      <c r="CE114" s="1106" t="e">
        <f t="shared" si="472">INDEX($BB$8:$BB$153,MATCH(BP114,$BO$8:$BO$153,0))</f>
        <v>#VALUE!</v>
      </c>
      <c r="CF114" s="1106" t="e">
        <f t="shared" si="473">INDEX(BC$8:BC$153,MATCH(BP114,$BO$8:$BO$153,0))</f>
        <v>#VALUE!</v>
      </c>
      <c r="CG114" s="1118" t="e">
        <f t="shared" si="474">INDEX(BE$8:BE$153,MATCH(BP114,$BO$8:$BO$153,0))</f>
        <v>#VALUE!</v>
      </c>
      <c r="CH114" s="1106" t="e">
        <f t="shared" si="475">INDEX($BD$8:$BD$153,MATCH($BP114,$BO$8:$BO$153,0))</f>
        <v>#VALUE!</v>
      </c>
      <c r="CI114" s="1142" t="e">
        <f t="shared" si="476">INDEX($BF$8:$BF$153,MATCH(BP114,$BO$8:$BO$153,0))</f>
        <v>#VALUE!</v>
      </c>
      <c r="CJ114" s="1106" t="e">
        <f t="shared" si="477">INDEX($BG$8:$BG$153,MATCH(BP114,$BO$8:$BO$153,0))</f>
        <v>#VALUE!</v>
      </c>
      <c r="CK114" s="1106" t="e">
        <f t="shared" si="478">INDEX($BH$8:$BH$153,MATCH(BP114,$BO$8:$BO$153,0))</f>
        <v>#VALUE!</v>
      </c>
      <c r="CM114" s="1131">
        <f t="shared" si="479">COUNTIF($CH$8:$CH$228,"&lt;="&amp;CH114)</f>
        <v>145</v>
      </c>
      <c r="CN114" s="1121">
        <f t="shared" si="286">--ISNUMBER(BX114)</f>
        <v>0</v>
      </c>
      <c r="CO114" s="1121">
        <f t="shared" si="287">IF(BX114=0,1,0)</f>
        <v>0</v>
      </c>
      <c r="CP114" s="1124">
        <f t="shared" si="393">IF(ISNUMBER(BX114),CM114,IF(ISERROR(BX114),CM114,CM114+$CN$154))+$CO$154</f>
        <v>145</v>
      </c>
      <c r="CQ114" s="237">
        <f>IFERROR(INDEX($BX$8:$BX$153,MATCH(SMALL($CP$8:$CP$153,ROWS($CQ$8:CQ114)+$CO$154),$CP$8:$CP$154,0)),"")</f>
        <v>0</v>
      </c>
      <c r="CR114" s="237">
        <v>0.1</v>
      </c>
      <c r="CS114" s="1135">
        <f t="shared" si="288">CM114+CR114</f>
        <v>145.1</v>
      </c>
      <c r="CT114" s="237">
        <f>COUNTIFS($CM:$CM, CM114,$CS:$CS, "&lt;"&amp;CL)+COUNTIFS(CM$8:CM114, CM114, CS$8:CS114, CS114)</f>
        <v>107</v>
      </c>
      <c r="CU114" s="1109">
        <f t="shared" si="289">CT114/100</f>
        <v>1.07</v>
      </c>
      <c r="CV114" s="1109">
        <f t="shared" si="290">CM114+CU114</f>
        <v>146.07</v>
      </c>
      <c r="CW114" s="237" t="e">
        <f t="shared" si="480">SMALL(CV$8:CV$153,AX114)</f>
        <v>#VALUE!</v>
      </c>
      <c r="CX114" s="1109">
        <f t="shared" si="291">IFERROR(CW114,"")</f>
        <v>0</v>
      </c>
      <c r="CY114" s="237" t="e">
        <f t="shared" si="481">INDEX(BU$8:BU$152,MATCH($CX114,CV$8:CV$152,0))</f>
        <v>#N/A</v>
      </c>
      <c r="CZ114" s="237" t="e">
        <f t="shared" si="482">INDEX(BV$8:BV$152,MATCH($CX114,$CV$8:$CV$152,0))</f>
        <v>#N/A</v>
      </c>
      <c r="DA114" s="237" t="e">
        <f t="shared" si="483">INDEX(BW$8:BW$152,MATCH($CX114,$CV$8:$CV$152,0))</f>
        <v>#N/A</v>
      </c>
      <c r="DB114" s="237" t="e">
        <f t="shared" si="484">INDEX(BX$8:BX$152,MATCH($CX114,$CV$8:$CV$152,0))</f>
        <v>#N/A</v>
      </c>
      <c r="DC114" s="237" t="e">
        <f t="shared" si="485">INDEX(BY$8:BY$152,MATCH($CX114,$CV$8:$CV$152,0))</f>
        <v>#N/A</v>
      </c>
      <c r="DD114" s="237" t="e">
        <f t="shared" si="486">INDEX(BZ$8:BZ$152,MATCH($CX114,$CV$8:$CV$152,0))</f>
        <v>#N/A</v>
      </c>
      <c r="DE114" s="237" t="e">
        <f t="shared" si="487">INDEX(CA$8:CA$152,MATCH($CX114,$CV$8:$CV$152,0))</f>
        <v>#N/A</v>
      </c>
      <c r="DF114" s="237" t="e">
        <f t="shared" si="488">INDEX(CB$8:CB$152,MATCH($CX114,$CV$8:$CV$152,0))</f>
        <v>#N/A</v>
      </c>
    </row>
    <row r="115" spans="1:110" ht="13.5" customHeight="1">
      <c r="A115" s="1216">
        <v>3</v>
      </c>
      <c r="B115" s="1510"/>
      <c r="C115" s="1022"/>
      <c r="D115" s="1022"/>
      <c r="E115" s="1022"/>
      <c r="F115" s="1022"/>
      <c r="G115" s="1022"/>
      <c r="H115" s="1022"/>
      <c r="I115" s="1475"/>
      <c r="J115" s="1020"/>
      <c r="K115" s="253"/>
      <c r="L115" s="254"/>
      <c r="M115" s="255">
        <f t="shared" si="500">K115*L115</f>
        <v>0</v>
      </c>
      <c r="W115" s="1241"/>
      <c r="X115" s="1241"/>
      <c r="Y115" s="1242"/>
      <c r="Z115" s="1242"/>
      <c r="AM115" s="1082">
        <f t="shared" si="501">IF(M115&gt;0,1,0)</f>
        <v>0</v>
      </c>
      <c r="AN115" s="1096">
        <f>IF(AM115&gt;0,COUNTIF(AM$8:AM115,"&gt;0"),0)</f>
        <v>0</v>
      </c>
      <c r="AO115" s="1083">
        <f t="shared" si="502">B115</f>
        <v>0</v>
      </c>
      <c r="AP115" s="1084">
        <f t="shared" si="503">C115</f>
        <v>0</v>
      </c>
      <c r="AQ115" s="1085">
        <f t="shared" si="504">IF(I115&lt;&gt;"",YEAR(I115),"")</f>
        <v>0</v>
      </c>
      <c r="AR115" s="1080">
        <f t="shared" si="496">IF(E115&lt;&gt;"",E115,"")</f>
        <v>0</v>
      </c>
      <c r="AS115" s="1078">
        <f t="shared" si="386">F115</f>
        <v>0</v>
      </c>
      <c r="AT115" s="1080">
        <f t="shared" si="497">IF(H115&lt;&gt;"",H115,"")</f>
        <v>0</v>
      </c>
      <c r="AU115" s="1080">
        <f t="shared" si="498">J115</f>
        <v>0</v>
      </c>
      <c r="AV115" s="1080">
        <f t="shared" si="505">K115</f>
        <v>0</v>
      </c>
      <c r="AW115" s="1086">
        <f t="shared" si="506">M115</f>
        <v>0</v>
      </c>
      <c r="AX115" s="237">
        <f t="shared" si="292">IF(AZ115&lt;&gt;"",AX114+1,"")</f>
        <v>0</v>
      </c>
      <c r="AY115" s="1087">
        <v>112</v>
      </c>
      <c r="AZ115" s="1087">
        <f t="shared" si="387">IF(ISNA(VLOOKUP(AY115,$AN$8:$AW$148,2,False))=True,"",VLOOKUP(AY115,$AN$8:$AW$148,2,False))</f>
        <v>0</v>
      </c>
      <c r="BA115" s="1087">
        <f t="shared" si="388">IF(ISNA(VLOOKUP(AZ115,$AE$8:$AF$46,2,False))=True,"",VLOOKUP(AZ115,$AE$8:$AF$46,2,False))</f>
        <v>0</v>
      </c>
      <c r="BB115" s="1087">
        <f t="shared" si="389">IF(ISNA(VLOOKUP(AY115,$AN$8:$AW$148,4,False))=True,"",VLOOKUP(AY115,$AN$8:$AW$148,4,False))</f>
        <v>0</v>
      </c>
      <c r="BC115" s="1087">
        <f t="shared" si="390">IF(ISNA(VLOOKUP(AY115,$AN$8:$AW$148,5,False))=True,"",VLOOKUP(AY115,$AN$8:$AW$148,5,False))</f>
        <v>0</v>
      </c>
      <c r="BD115" s="1087" t="str">
        <f t="shared" si="467">IF(ISNA(VLOOKUP(AY115,$AN$8:$AW$148,6,False))=True,"0",VLOOKUP(AY115,$AN$8:$AW$148,6,False))</f>
        <v>0</v>
      </c>
      <c r="BE115" s="1125">
        <f t="shared" si="391">IF(ISNA(VLOOKUP(AY115,$AN$8:$AW$148,7,False))=True,"",VLOOKUP(AY115,$AN$8:$AW$148,7,False))</f>
        <v>0</v>
      </c>
      <c r="BF115" s="1123">
        <f t="shared" si="395">IF(ISNA(VLOOKUP($AY115,$AN$8:$AW$148,8,False))=True,"",VLOOKUP($AY115,$AN$8:$AW$148,8,False))</f>
        <v>0</v>
      </c>
      <c r="BG115" s="1120">
        <f t="shared" si="396">IF(ISNA(VLOOKUP($AY115,$AN$8:$AW$148,9,False))=True,"",VLOOKUP($AY115,$AN$8:$AW$148,9,False))</f>
        <v>0</v>
      </c>
      <c r="BH115" s="1120">
        <f t="shared" si="397">IF(ISNA(VLOOKUP($AY115,$AN$8:$AW$148,10,False))=True,"",VLOOKUP($AY115,$AN$8:$AW$148,10,False))</f>
        <v>0</v>
      </c>
      <c r="BI115" s="250">
        <f t="shared" si="270">IF(AZ115&lt;&gt;"",AZ115,"")</f>
        <v>0</v>
      </c>
      <c r="BJ115" s="1098">
        <f t="shared" si="271">BI115</f>
        <v>0</v>
      </c>
      <c r="BK115" s="1115">
        <f>COUNTIFS($AZ:$AZ, AZ115,$BJ:$BJ, "&lt;"&amp;BJ115)+COUNTIFS(AZ$8:AZ115, AZ115, BJ$8:BJ115, BJ115)</f>
        <v>108</v>
      </c>
      <c r="BL115" s="1114">
        <f t="shared" si="272">BK115/100</f>
        <v>1.08</v>
      </c>
      <c r="BM115" s="1093" t="e">
        <f t="shared" si="509" ref="BM115">BJ115+BL115</f>
        <v>#VALUE!</v>
      </c>
      <c r="BN115" s="1101">
        <f t="shared" si="416">IF(BA115&lt;&gt;"",BM115,"")</f>
        <v>0</v>
      </c>
      <c r="BO115" s="1118">
        <f t="shared" si="275">IF(BN115&lt;&gt;"",BN115,0)</f>
        <v>0</v>
      </c>
      <c r="BP115" s="237" t="e">
        <f t="shared" si="469">SMALL($BN$8:$BN$152,AX115)</f>
        <v>#VALUE!</v>
      </c>
      <c r="BR115" s="1102" t="e">
        <f t="shared" si="465">IF(BP115&lt;&gt;"",BR114+1,"")</f>
        <v>#VALUE!</v>
      </c>
      <c r="BS115" s="1102">
        <f t="shared" si="276">IFERROR(BP115,"")</f>
        <v>0</v>
      </c>
      <c r="BT115" s="1102">
        <f t="shared" si="277">IFERROR(CC115,"")</f>
        <v>0</v>
      </c>
      <c r="BU115" s="1098">
        <f t="shared" si="278">IFERROR(CD115,"")</f>
        <v>0</v>
      </c>
      <c r="BV115" s="1098">
        <f t="shared" si="279">IFERROR(CE115,"")</f>
        <v>0</v>
      </c>
      <c r="BW115" s="1098">
        <f t="shared" si="280">IFERROR(CF115,"")</f>
        <v>0</v>
      </c>
      <c r="BX115" s="1146">
        <f t="shared" si="281">IFERROR(CH115,"")</f>
        <v>0</v>
      </c>
      <c r="BY115" s="1098">
        <f t="shared" si="282">IFERROR(CG115,"")</f>
        <v>0</v>
      </c>
      <c r="BZ115" s="1144" t="str">
        <f t="shared" si="283">IFERROR(CI115,"-")</f>
        <v>-</v>
      </c>
      <c r="CA115" s="1107">
        <f t="shared" si="284">IFERROR(CJ115,"")</f>
        <v>0</v>
      </c>
      <c r="CB115" s="1107">
        <f t="shared" si="285">IFERROR(CK115,"")</f>
        <v>0</v>
      </c>
      <c r="CC115" s="1110" t="e">
        <f t="shared" si="470">INDEX($AZ$8:$AZ$153,MATCH(BP115,$BO$8:$BO$153,0))</f>
        <v>#VALUE!</v>
      </c>
      <c r="CD115" s="1087" t="e">
        <f t="shared" si="471">INDEX($BA$8:$BA$153,MATCH(BP115,$BO$8:$BO$153,0))</f>
        <v>#VALUE!</v>
      </c>
      <c r="CE115" s="1106" t="e">
        <f t="shared" si="472">INDEX($BB$8:$BB$153,MATCH(BP115,$BO$8:$BO$153,0))</f>
        <v>#VALUE!</v>
      </c>
      <c r="CF115" s="1106" t="e">
        <f t="shared" si="473">INDEX(BC$8:BC$153,MATCH(BP115,$BO$8:$BO$153,0))</f>
        <v>#VALUE!</v>
      </c>
      <c r="CG115" s="1118" t="e">
        <f t="shared" si="474">INDEX(BE$8:BE$153,MATCH(BP115,$BO$8:$BO$153,0))</f>
        <v>#VALUE!</v>
      </c>
      <c r="CH115" s="1106" t="e">
        <f t="shared" si="475">INDEX($BD$8:$BD$153,MATCH($BP115,$BO$8:$BO$153,0))</f>
        <v>#VALUE!</v>
      </c>
      <c r="CI115" s="1142" t="e">
        <f t="shared" si="476">INDEX($BF$8:$BF$153,MATCH(BP115,$BO$8:$BO$153,0))</f>
        <v>#VALUE!</v>
      </c>
      <c r="CJ115" s="1106" t="e">
        <f t="shared" si="477">INDEX($BG$8:$BG$153,MATCH(BP115,$BO$8:$BO$153,0))</f>
        <v>#VALUE!</v>
      </c>
      <c r="CK115" s="1106" t="e">
        <f t="shared" si="478">INDEX($BH$8:$BH$153,MATCH(BP115,$BO$8:$BO$153,0))</f>
        <v>#VALUE!</v>
      </c>
      <c r="CM115" s="1131">
        <f t="shared" si="479">COUNTIF($CH$8:$CH$228,"&lt;="&amp;CH115)</f>
        <v>145</v>
      </c>
      <c r="CN115" s="1121">
        <f t="shared" si="286">--ISNUMBER(BX115)</f>
        <v>0</v>
      </c>
      <c r="CO115" s="1121">
        <f t="shared" si="287">IF(BX115=0,1,0)</f>
        <v>0</v>
      </c>
      <c r="CP115" s="1124">
        <f t="shared" si="393">IF(ISNUMBER(BX115),CM115,IF(ISERROR(BX115),CM115,CM115+$CN$154))+$CO$154</f>
        <v>145</v>
      </c>
      <c r="CQ115" s="237">
        <f>IFERROR(INDEX($BX$8:$BX$153,MATCH(SMALL($CP$8:$CP$153,ROWS($CQ$8:CQ115)+$CO$154),$CP$8:$CP$154,0)),"")</f>
        <v>0</v>
      </c>
      <c r="CR115" s="237">
        <v>0.1</v>
      </c>
      <c r="CS115" s="1135">
        <f t="shared" si="288">CM115+CR115</f>
        <v>145.1</v>
      </c>
      <c r="CT115" s="237">
        <f>COUNTIFS($CM:$CM, CM115,$CS:$CS, "&lt;"&amp;CL)+COUNTIFS(CM$8:CM115, CM115, CS$8:CS115, CS115)</f>
        <v>108</v>
      </c>
      <c r="CU115" s="1109">
        <f t="shared" si="289">CT115/100</f>
        <v>1.08</v>
      </c>
      <c r="CV115" s="1109">
        <f t="shared" si="290">CM115+CU115</f>
        <v>146.08</v>
      </c>
      <c r="CW115" s="237" t="e">
        <f t="shared" si="480">SMALL(CV$8:CV$153,AX115)</f>
        <v>#VALUE!</v>
      </c>
      <c r="CX115" s="1109">
        <f t="shared" si="291">IFERROR(CW115,"")</f>
        <v>0</v>
      </c>
      <c r="CY115" s="237" t="e">
        <f t="shared" si="481">INDEX(BU$8:BU$152,MATCH($CX115,CV$8:CV$152,0))</f>
        <v>#N/A</v>
      </c>
      <c r="CZ115" s="237" t="e">
        <f t="shared" si="482">INDEX(BV$8:BV$152,MATCH($CX115,$CV$8:$CV$152,0))</f>
        <v>#N/A</v>
      </c>
      <c r="DA115" s="237" t="e">
        <f t="shared" si="483">INDEX(BW$8:BW$152,MATCH($CX115,$CV$8:$CV$152,0))</f>
        <v>#N/A</v>
      </c>
      <c r="DB115" s="237" t="e">
        <f t="shared" si="484">INDEX(BX$8:BX$152,MATCH($CX115,$CV$8:$CV$152,0))</f>
        <v>#N/A</v>
      </c>
      <c r="DC115" s="237" t="e">
        <f t="shared" si="485">INDEX(BY$8:BY$152,MATCH($CX115,$CV$8:$CV$152,0))</f>
        <v>#N/A</v>
      </c>
      <c r="DD115" s="237" t="e">
        <f t="shared" si="486">INDEX(BZ$8:BZ$152,MATCH($CX115,$CV$8:$CV$152,0))</f>
        <v>#N/A</v>
      </c>
      <c r="DE115" s="237" t="e">
        <f t="shared" si="487">INDEX(CA$8:CA$152,MATCH($CX115,$CV$8:$CV$152,0))</f>
        <v>#N/A</v>
      </c>
      <c r="DF115" s="237" t="e">
        <f t="shared" si="488">INDEX(CB$8:CB$152,MATCH($CX115,$CV$8:$CV$152,0))</f>
        <v>#N/A</v>
      </c>
    </row>
    <row r="116" spans="1:110" ht="13.5" customHeight="1">
      <c r="A116" s="1216">
        <v>4</v>
      </c>
      <c r="B116" s="1510"/>
      <c r="C116" s="1022"/>
      <c r="D116" s="1022"/>
      <c r="E116" s="1022"/>
      <c r="F116" s="1022"/>
      <c r="G116" s="1022"/>
      <c r="H116" s="1022"/>
      <c r="I116" s="1475"/>
      <c r="J116" s="1020"/>
      <c r="K116" s="253"/>
      <c r="L116" s="254"/>
      <c r="M116" s="255">
        <f t="shared" si="500">K116*L116</f>
        <v>0</v>
      </c>
      <c r="W116" s="1241"/>
      <c r="X116" s="1241"/>
      <c r="Y116" s="1242"/>
      <c r="Z116" s="1242"/>
      <c r="AM116" s="1077">
        <f t="shared" si="501">IF(M116&gt;0,1,0)</f>
        <v>0</v>
      </c>
      <c r="AN116" s="1096">
        <f>IF(AM116&gt;0,COUNTIF(AM$8:AM116,"&gt;0"),0)</f>
        <v>0</v>
      </c>
      <c r="AO116" s="1078">
        <f t="shared" si="502">B116</f>
        <v>0</v>
      </c>
      <c r="AP116" s="1079">
        <f t="shared" si="503">C116</f>
        <v>0</v>
      </c>
      <c r="AQ116" s="1080">
        <f t="shared" si="504">IF(I116&lt;&gt;"",YEAR(I116),"")</f>
        <v>0</v>
      </c>
      <c r="AR116" s="1080">
        <f t="shared" si="496">IF(E116&lt;&gt;"",E116,"")</f>
        <v>0</v>
      </c>
      <c r="AS116" s="1078">
        <f t="shared" si="386">F116</f>
        <v>0</v>
      </c>
      <c r="AT116" s="1080">
        <f t="shared" si="497">IF(H116&lt;&gt;"",H116,"")</f>
        <v>0</v>
      </c>
      <c r="AU116" s="1080">
        <f t="shared" si="498">J116</f>
        <v>0</v>
      </c>
      <c r="AV116" s="1080">
        <f t="shared" si="505">K116</f>
        <v>0</v>
      </c>
      <c r="AW116" s="1081">
        <f t="shared" si="506">M116</f>
        <v>0</v>
      </c>
      <c r="AX116" s="237">
        <f t="shared" si="292">IF(AZ116&lt;&gt;"",AX115+1,"")</f>
        <v>0</v>
      </c>
      <c r="AY116" s="1087">
        <v>113</v>
      </c>
      <c r="AZ116" s="1087">
        <f t="shared" si="387">IF(ISNA(VLOOKUP(AY116,$AN$8:$AW$148,2,False))=True,"",VLOOKUP(AY116,$AN$8:$AW$148,2,False))</f>
        <v>0</v>
      </c>
      <c r="BA116" s="1087">
        <f t="shared" si="388">IF(ISNA(VLOOKUP(AZ116,$AE$8:$AF$46,2,False))=True,"",VLOOKUP(AZ116,$AE$8:$AF$46,2,False))</f>
        <v>0</v>
      </c>
      <c r="BB116" s="1087">
        <f t="shared" si="389">IF(ISNA(VLOOKUP(AY116,$AN$8:$AW$148,4,False))=True,"",VLOOKUP(AY116,$AN$8:$AW$148,4,False))</f>
        <v>0</v>
      </c>
      <c r="BC116" s="1087">
        <f t="shared" si="390">IF(ISNA(VLOOKUP(AY116,$AN$8:$AW$148,5,False))=True,"",VLOOKUP(AY116,$AN$8:$AW$148,5,False))</f>
        <v>0</v>
      </c>
      <c r="BD116" s="1087" t="str">
        <f t="shared" si="467">IF(ISNA(VLOOKUP(AY116,$AN$8:$AW$148,6,False))=True,"0",VLOOKUP(AY116,$AN$8:$AW$148,6,False))</f>
        <v>0</v>
      </c>
      <c r="BE116" s="1125">
        <f t="shared" si="391">IF(ISNA(VLOOKUP(AY116,$AN$8:$AW$148,7,False))=True,"",VLOOKUP(AY116,$AN$8:$AW$148,7,False))</f>
        <v>0</v>
      </c>
      <c r="BF116" s="1123">
        <f t="shared" si="395">IF(ISNA(VLOOKUP($AY116,$AN$8:$AW$148,8,False))=True,"",VLOOKUP($AY116,$AN$8:$AW$148,8,False))</f>
        <v>0</v>
      </c>
      <c r="BG116" s="1120">
        <f t="shared" si="396">IF(ISNA(VLOOKUP($AY116,$AN$8:$AW$148,9,False))=True,"",VLOOKUP($AY116,$AN$8:$AW$148,9,False))</f>
        <v>0</v>
      </c>
      <c r="BH116" s="1120">
        <f t="shared" si="397">IF(ISNA(VLOOKUP($AY116,$AN$8:$AW$148,10,False))=True,"",VLOOKUP($AY116,$AN$8:$AW$148,10,False))</f>
        <v>0</v>
      </c>
      <c r="BI116" s="250">
        <f t="shared" si="270">IF(AZ116&lt;&gt;"",AZ116,"")</f>
        <v>0</v>
      </c>
      <c r="BJ116" s="1098">
        <f t="shared" si="271">BI116</f>
        <v>0</v>
      </c>
      <c r="BK116" s="1115">
        <f>COUNTIFS($AZ:$AZ, AZ116,$BJ:$BJ, "&lt;"&amp;BJ116)+COUNTIFS(AZ$8:AZ116, AZ116, BJ$8:BJ116, BJ116)</f>
        <v>109</v>
      </c>
      <c r="BL116" s="1114">
        <f t="shared" si="272">BK116/100</f>
        <v>1.09</v>
      </c>
      <c r="BM116" s="1093" t="e">
        <f t="shared" si="510" ref="BM116">BI116+BL116</f>
        <v>#VALUE!</v>
      </c>
      <c r="BN116" s="1101">
        <f t="shared" si="416">IF(BA116&lt;&gt;"",BM116,"")</f>
        <v>0</v>
      </c>
      <c r="BO116" s="1118">
        <f t="shared" si="275">IF(BN116&lt;&gt;"",BN116,0)</f>
        <v>0</v>
      </c>
      <c r="BP116" s="237" t="e">
        <f t="shared" si="469">SMALL($BN$8:$BN$152,AX116)</f>
        <v>#VALUE!</v>
      </c>
      <c r="BR116" s="1102" t="e">
        <f t="shared" si="465">IF(BP116&lt;&gt;"",BR115+1,"")</f>
        <v>#VALUE!</v>
      </c>
      <c r="BS116" s="1102">
        <f t="shared" si="276">IFERROR(BP116,"")</f>
        <v>0</v>
      </c>
      <c r="BT116" s="1102">
        <f t="shared" si="277">IFERROR(CC116,"")</f>
        <v>0</v>
      </c>
      <c r="BU116" s="1098">
        <f t="shared" si="278">IFERROR(CD116,"")</f>
        <v>0</v>
      </c>
      <c r="BV116" s="1098">
        <f t="shared" si="279">IFERROR(CE116,"")</f>
        <v>0</v>
      </c>
      <c r="BW116" s="1098">
        <f t="shared" si="280">IFERROR(CF116,"")</f>
        <v>0</v>
      </c>
      <c r="BX116" s="1146">
        <f t="shared" si="281">IFERROR(CH116,"")</f>
        <v>0</v>
      </c>
      <c r="BY116" s="1098">
        <f t="shared" si="282">IFERROR(CG116,"")</f>
        <v>0</v>
      </c>
      <c r="BZ116" s="1144" t="str">
        <f t="shared" si="283">IFERROR(CI116,"-")</f>
        <v>-</v>
      </c>
      <c r="CA116" s="1107">
        <f t="shared" si="284">IFERROR(CJ116,"")</f>
        <v>0</v>
      </c>
      <c r="CB116" s="1107">
        <f t="shared" si="285">IFERROR(CK116,"")</f>
        <v>0</v>
      </c>
      <c r="CC116" s="1110" t="e">
        <f t="shared" si="470">INDEX($AZ$8:$AZ$153,MATCH(BP116,$BO$8:$BO$153,0))</f>
        <v>#VALUE!</v>
      </c>
      <c r="CD116" s="1087" t="e">
        <f t="shared" si="471">INDEX($BA$8:$BA$153,MATCH(BP116,$BO$8:$BO$153,0))</f>
        <v>#VALUE!</v>
      </c>
      <c r="CE116" s="1106" t="e">
        <f t="shared" si="472">INDEX($BB$8:$BB$153,MATCH(BP116,$BO$8:$BO$153,0))</f>
        <v>#VALUE!</v>
      </c>
      <c r="CF116" s="1106" t="e">
        <f t="shared" si="473">INDEX(BC$8:BC$153,MATCH(BP116,$BO$8:$BO$153,0))</f>
        <v>#VALUE!</v>
      </c>
      <c r="CG116" s="1118" t="e">
        <f t="shared" si="474">INDEX(BE$8:BE$153,MATCH(BP116,$BO$8:$BO$153,0))</f>
        <v>#VALUE!</v>
      </c>
      <c r="CH116" s="1106" t="e">
        <f t="shared" si="475">INDEX($BD$8:$BD$153,MATCH($BP116,$BO$8:$BO$153,0))</f>
        <v>#VALUE!</v>
      </c>
      <c r="CI116" s="1142" t="e">
        <f t="shared" si="476">INDEX($BF$8:$BF$153,MATCH(BP116,$BO$8:$BO$153,0))</f>
        <v>#VALUE!</v>
      </c>
      <c r="CJ116" s="1106" t="e">
        <f t="shared" si="477">INDEX($BG$8:$BG$153,MATCH(BP116,$BO$8:$BO$153,0))</f>
        <v>#VALUE!</v>
      </c>
      <c r="CK116" s="1106" t="e">
        <f t="shared" si="478">INDEX($BH$8:$BH$153,MATCH(BP116,$BO$8:$BO$153,0))</f>
        <v>#VALUE!</v>
      </c>
      <c r="CM116" s="1131">
        <f t="shared" si="479">COUNTIF($CH$8:$CH$228,"&lt;="&amp;CH116)</f>
        <v>145</v>
      </c>
      <c r="CN116" s="1121">
        <f t="shared" si="286">--ISNUMBER(BX116)</f>
        <v>0</v>
      </c>
      <c r="CO116" s="1121">
        <f t="shared" si="287">IF(BX116=0,1,0)</f>
        <v>0</v>
      </c>
      <c r="CP116" s="1124">
        <f t="shared" si="393">IF(ISNUMBER(BX116),CM116,IF(ISERROR(BX116),CM116,CM116+$CN$154))+$CO$154</f>
        <v>145</v>
      </c>
      <c r="CQ116" s="237">
        <f>IFERROR(INDEX($BX$8:$BX$153,MATCH(SMALL($CP$8:$CP$153,ROWS($CQ$8:CQ116)+$CO$154),$CP$8:$CP$154,0)),"")</f>
        <v>0</v>
      </c>
      <c r="CR116" s="237">
        <v>0.1</v>
      </c>
      <c r="CS116" s="1135">
        <f t="shared" si="288">CM116+CR116</f>
        <v>145.1</v>
      </c>
      <c r="CT116" s="237">
        <f>COUNTIFS($CM:$CM, CM116,$CS:$CS, "&lt;"&amp;CL)+COUNTIFS(CM$8:CM116, CM116, CS$8:CS116, CS116)</f>
        <v>109</v>
      </c>
      <c r="CU116" s="1109">
        <f t="shared" si="289">CT116/100</f>
        <v>1.09</v>
      </c>
      <c r="CV116" s="1109">
        <f t="shared" si="290">CM116+CU116</f>
        <v>146.09</v>
      </c>
      <c r="CW116" s="237" t="e">
        <f t="shared" si="480">SMALL(CV$8:CV$153,AX116)</f>
        <v>#VALUE!</v>
      </c>
      <c r="CX116" s="1109">
        <f t="shared" si="291">IFERROR(CW116,"")</f>
        <v>0</v>
      </c>
      <c r="CY116" s="237" t="e">
        <f t="shared" si="481">INDEX(BU$8:BU$152,MATCH($CX116,CV$8:CV$152,0))</f>
        <v>#N/A</v>
      </c>
      <c r="CZ116" s="237" t="e">
        <f t="shared" si="482">INDEX(BV$8:BV$152,MATCH($CX116,$CV$8:$CV$152,0))</f>
        <v>#N/A</v>
      </c>
      <c r="DA116" s="237" t="e">
        <f t="shared" si="483">INDEX(BW$8:BW$152,MATCH($CX116,$CV$8:$CV$152,0))</f>
        <v>#N/A</v>
      </c>
      <c r="DB116" s="237" t="e">
        <f t="shared" si="484">INDEX(BX$8:BX$152,MATCH($CX116,$CV$8:$CV$152,0))</f>
        <v>#N/A</v>
      </c>
      <c r="DC116" s="237" t="e">
        <f t="shared" si="485">INDEX(BY$8:BY$152,MATCH($CX116,$CV$8:$CV$152,0))</f>
        <v>#N/A</v>
      </c>
      <c r="DD116" s="237" t="e">
        <f t="shared" si="486">INDEX(BZ$8:BZ$152,MATCH($CX116,$CV$8:$CV$152,0))</f>
        <v>#N/A</v>
      </c>
      <c r="DE116" s="237" t="e">
        <f t="shared" si="487">INDEX(CA$8:CA$152,MATCH($CX116,$CV$8:$CV$152,0))</f>
        <v>#N/A</v>
      </c>
      <c r="DF116" s="237" t="e">
        <f t="shared" si="488">INDEX(CB$8:CB$152,MATCH($CX116,$CV$8:$CV$152,0))</f>
        <v>#N/A</v>
      </c>
    </row>
    <row r="117" spans="1:110">
      <c r="A117" s="1216">
        <v>5</v>
      </c>
      <c r="B117" s="1510"/>
      <c r="C117" s="1022"/>
      <c r="D117" s="1022"/>
      <c r="E117" s="1022"/>
      <c r="F117" s="1022"/>
      <c r="G117" s="1022"/>
      <c r="H117" s="1022"/>
      <c r="I117" s="1475"/>
      <c r="J117" s="1020"/>
      <c r="K117" s="253"/>
      <c r="L117" s="254"/>
      <c r="M117" s="255">
        <f t="shared" si="511" ref="M117:M121">K117*L117</f>
        <v>0</v>
      </c>
      <c r="AM117" s="1077">
        <f t="shared" si="512" ref="AM117:AM121">IF(M117&gt;0,1,0)</f>
        <v>0</v>
      </c>
      <c r="AN117" s="1096">
        <f>IF(K117&gt;0,COUNTIF(AM$8:AM117,"&gt;0"),0)</f>
        <v>0</v>
      </c>
      <c r="AO117" s="1078">
        <f t="shared" si="513" ref="AO117:AO121">B117</f>
        <v>0</v>
      </c>
      <c r="AP117" s="1079">
        <f t="shared" si="514" ref="AP117:AP121">C117</f>
        <v>0</v>
      </c>
      <c r="AQ117" s="1080">
        <f t="shared" si="515" ref="AQ117:AQ121">IF(I117&lt;&gt;"",YEAR(I117),"")</f>
        <v>0</v>
      </c>
      <c r="AR117" s="1080">
        <f t="shared" si="516" ref="AR117:AR121">IF(E117&lt;&gt;"",E117,"")</f>
        <v>0</v>
      </c>
      <c r="AS117" s="1078">
        <f t="shared" si="517" ref="AS117:AS121">F117</f>
        <v>0</v>
      </c>
      <c r="AT117" s="1080">
        <f t="shared" si="518" ref="AT117:AT121">IF(H117&lt;&gt;"",H117,"")</f>
        <v>0</v>
      </c>
      <c r="AU117" s="1080">
        <f t="shared" si="519" ref="AU117:AU121">J117</f>
        <v>0</v>
      </c>
      <c r="AV117" s="1080">
        <f t="shared" si="520" ref="AV117:AV121">K117</f>
        <v>0</v>
      </c>
      <c r="AW117" s="1081">
        <f t="shared" si="521" ref="AW117:AW121">M117</f>
        <v>0</v>
      </c>
      <c r="AX117" s="237">
        <f>IF(AZ117&lt;&gt;"",AX111+1,"")</f>
        <v>0</v>
      </c>
      <c r="AY117" s="1087">
        <v>114</v>
      </c>
      <c r="AZ117" s="1087">
        <f t="shared" si="522" ref="AZ117:AZ121">IF(ISNA(VLOOKUP(AY117,$AN$8:$AW$148,2,False))=True,"",VLOOKUP(AY117,$AN$8:$AW$148,2,False))</f>
        <v>0</v>
      </c>
      <c r="BA117" s="1087">
        <f t="shared" si="523" ref="BA117:BA121">IF(ISNA(VLOOKUP(AZ117,$AE$8:$AF$46,2,False))=True,"",VLOOKUP(AZ117,$AE$8:$AF$46,2,False))</f>
        <v>0</v>
      </c>
      <c r="BB117" s="1087">
        <f t="shared" si="524" ref="BB117:BB121">IF(ISNA(VLOOKUP(AY117,$AN$8:$AW$148,4,False))=True,"",VLOOKUP(AY117,$AN$8:$AW$148,4,False))</f>
        <v>0</v>
      </c>
      <c r="BC117" s="1087">
        <f t="shared" si="525" ref="BC117:BC121">IF(ISNA(VLOOKUP(AY117,$AN$8:$AW$148,5,False))=True,"",VLOOKUP(AY117,$AN$8:$AW$148,5,False))</f>
        <v>0</v>
      </c>
      <c r="BD117" s="1087" t="str">
        <f t="shared" si="526" ref="BD117:BD121">IF(ISNA(VLOOKUP(AY117,$AN$8:$AW$148,6,False))=True,"0",VLOOKUP(AY117,$AN$8:$AW$148,6,False))</f>
        <v>0</v>
      </c>
      <c r="BE117" s="1125">
        <f t="shared" si="527" ref="BE117:BE121">IF(ISNA(VLOOKUP(AY117,$AN$8:$AW$148,7,False))=True,"",VLOOKUP(AY117,$AN$8:$AW$148,7,False))</f>
        <v>0</v>
      </c>
      <c r="BF117" s="1123">
        <f t="shared" si="395">IF(ISNA(VLOOKUP($AY117,$AN$8:$AW$148,8,False))=True,"",VLOOKUP($AY117,$AN$8:$AW$148,8,False))</f>
        <v>0</v>
      </c>
      <c r="BG117" s="1120">
        <f t="shared" si="396">IF(ISNA(VLOOKUP($AY117,$AN$8:$AW$148,9,False))=True,"",VLOOKUP($AY117,$AN$8:$AW$148,9,False))</f>
        <v>0</v>
      </c>
      <c r="BH117" s="1120">
        <f t="shared" si="397">IF(ISNA(VLOOKUP($AY117,$AN$8:$AW$148,10,False))=True,"",VLOOKUP($AY117,$AN$8:$AW$148,10,False))</f>
        <v>0</v>
      </c>
      <c r="BI117" s="250">
        <f t="shared" si="528" ref="BI117:BI121">IF(AZ117&lt;&gt;"",AZ117,"")</f>
        <v>0</v>
      </c>
      <c r="BJ117" s="1098">
        <f t="shared" si="529" ref="BJ117:BJ121">BI117</f>
        <v>0</v>
      </c>
      <c r="BK117" s="1115">
        <f>COUNTIFS($AZ:$AZ, AZ117,$BJ:$BJ, "&lt;"&amp;BJ117)+COUNTIFS(AZ$8:AZ117, AZ117, BJ$8:BJ117, BJ117)</f>
        <v>110</v>
      </c>
      <c r="BL117" s="1114">
        <f t="shared" si="530" ref="BL117:BL121">BK117/100</f>
        <v>1.1</v>
      </c>
      <c r="BM117" s="1093" t="e">
        <f t="shared" si="531" ref="BM117">BJ117+BL117</f>
        <v>#VALUE!</v>
      </c>
      <c r="BN117" s="1101">
        <f t="shared" si="532" ref="BN117:BN121">IF(BA117&lt;&gt;"",BM117,"")</f>
        <v>0</v>
      </c>
      <c r="BO117" s="1118">
        <f t="shared" si="533" ref="BO117:BO121">IF(BN117&lt;&gt;"",BN117,0)</f>
        <v>0</v>
      </c>
      <c r="BP117" s="237" t="e">
        <f t="shared" si="469">SMALL($BN$8:$BN$152,AX117)</f>
        <v>#VALUE!</v>
      </c>
      <c r="BR117" s="1102" t="e">
        <f>IF(BP117&lt;&gt;"",BR111+1,"")</f>
        <v>#VALUE!</v>
      </c>
      <c r="BS117" s="1102">
        <f t="shared" si="534" ref="BS117:BS121">IFERROR(BP117,"")</f>
        <v>0</v>
      </c>
      <c r="BT117" s="1102">
        <f t="shared" si="535" ref="BT117:BT121">IFERROR(CC117,"")</f>
        <v>0</v>
      </c>
      <c r="BU117" s="1098">
        <f t="shared" si="536" ref="BU117:BU121">IFERROR(CD117,"")</f>
        <v>0</v>
      </c>
      <c r="BV117" s="1098">
        <f t="shared" si="537" ref="BV117:BV121">IFERROR(CE117,"")</f>
        <v>0</v>
      </c>
      <c r="BW117" s="1098">
        <f t="shared" si="538" ref="BW117:BW121">IFERROR(CF117,"")</f>
        <v>0</v>
      </c>
      <c r="BX117" s="1146">
        <f t="shared" si="539" ref="BX117:BX121">IFERROR(CH117,"")</f>
        <v>0</v>
      </c>
      <c r="BY117" s="1098">
        <f t="shared" si="540" ref="BY117:BY121">IFERROR(CG117,"")</f>
        <v>0</v>
      </c>
      <c r="BZ117" s="1144" t="str">
        <f t="shared" si="541" ref="BZ117:BZ121">IFERROR(CI117,"-")</f>
        <v>-</v>
      </c>
      <c r="CA117" s="1107">
        <f t="shared" si="542" ref="CA117:CA121">IFERROR(CJ117,"")</f>
        <v>0</v>
      </c>
      <c r="CB117" s="1107">
        <f t="shared" si="543" ref="CB117:CB121">IFERROR(CK117,"")</f>
        <v>0</v>
      </c>
      <c r="CC117" s="1110" t="e">
        <f t="shared" si="470">INDEX($AZ$8:$AZ$153,MATCH(BP117,$BO$8:$BO$153,0))</f>
        <v>#VALUE!</v>
      </c>
      <c r="CD117" s="1087" t="e">
        <f t="shared" si="471">INDEX($BA$8:$BA$153,MATCH(BP117,$BO$8:$BO$153,0))</f>
        <v>#VALUE!</v>
      </c>
      <c r="CE117" s="1106" t="e">
        <f t="shared" si="472">INDEX($BB$8:$BB$153,MATCH(BP117,$BO$8:$BO$153,0))</f>
        <v>#VALUE!</v>
      </c>
      <c r="CF117" s="1106" t="e">
        <f t="shared" si="473">INDEX(BC$8:BC$153,MATCH(BP117,$BO$8:$BO$153,0))</f>
        <v>#VALUE!</v>
      </c>
      <c r="CG117" s="1118" t="e">
        <f t="shared" si="474">INDEX(BE$8:BE$153,MATCH(BP117,$BO$8:$BO$153,0))</f>
        <v>#VALUE!</v>
      </c>
      <c r="CH117" s="1106" t="e">
        <f t="shared" si="475">INDEX($BD$8:$BD$153,MATCH($BP117,$BO$8:$BO$153,0))</f>
        <v>#VALUE!</v>
      </c>
      <c r="CI117" s="1142" t="e">
        <f t="shared" si="476">INDEX($BF$8:$BF$153,MATCH(BP117,$BO$8:$BO$153,0))</f>
        <v>#VALUE!</v>
      </c>
      <c r="CJ117" s="1106" t="e">
        <f t="shared" si="477">INDEX($BG$8:$BG$153,MATCH(BP117,$BO$8:$BO$153,0))</f>
        <v>#VALUE!</v>
      </c>
      <c r="CK117" s="1106" t="e">
        <f t="shared" si="478">INDEX($BH$8:$BH$153,MATCH(BP117,$BO$8:$BO$153,0))</f>
        <v>#VALUE!</v>
      </c>
      <c r="CM117" s="1131">
        <f t="shared" si="479">COUNTIF($CH$8:$CH$228,"&lt;="&amp;CH117)</f>
        <v>145</v>
      </c>
      <c r="CN117" s="1121">
        <f t="shared" si="544" ref="CN117:CN121">--ISNUMBER(BX117)</f>
        <v>0</v>
      </c>
      <c r="CO117" s="1121">
        <f t="shared" si="545" ref="CO117:CO121">IF(BX117=0,1,0)</f>
        <v>0</v>
      </c>
      <c r="CP117" s="1124">
        <f t="shared" si="546" ref="CP117:CP121">IF(ISNUMBER(BX117),CM117,IF(ISERROR(BX117),CM117,CM117+$CN$154))+$CO$154</f>
        <v>145</v>
      </c>
      <c r="CQ117" s="237">
        <f>IFERROR(INDEX($BX$8:$BX$153,MATCH(SMALL($CP$8:$CP$153,ROWS($CQ$8:CQ117)+$CO$154),$CP$8:$CP$154,0)),"")</f>
        <v>0</v>
      </c>
      <c r="CR117" s="237">
        <v>0.1</v>
      </c>
      <c r="CS117" s="1135">
        <f t="shared" si="547" ref="CS117:CS121">CM117+CR117</f>
        <v>145.1</v>
      </c>
      <c r="CT117" s="237">
        <f>COUNTIFS($CM:$CM, CM117,$CS:$CS, "&lt;"&amp;CL)+COUNTIFS(CM$8:CM117, CM117, CS$8:CS117, CS117)</f>
        <v>110</v>
      </c>
      <c r="CU117" s="1109">
        <f t="shared" si="548" ref="CU117:CU121">CT117/100</f>
        <v>1.1</v>
      </c>
      <c r="CV117" s="1109">
        <f t="shared" si="549" ref="CV117:CV121">CM117+CU117</f>
        <v>146.1</v>
      </c>
      <c r="CW117" s="237" t="e">
        <f t="shared" si="480">SMALL(CV$8:CV$153,AX117)</f>
        <v>#VALUE!</v>
      </c>
      <c r="CX117" s="1109">
        <f t="shared" si="550" ref="CX117:CX121">IFERROR(CW117,"")</f>
        <v>0</v>
      </c>
      <c r="CY117" s="237" t="e">
        <f t="shared" si="481">INDEX(BU$8:BU$152,MATCH($CX117,CV$8:CV$152,0))</f>
        <v>#N/A</v>
      </c>
      <c r="CZ117" s="237" t="e">
        <f t="shared" si="482">INDEX(BV$8:BV$152,MATCH($CX117,$CV$8:$CV$152,0))</f>
        <v>#N/A</v>
      </c>
      <c r="DA117" s="237" t="e">
        <f t="shared" si="483">INDEX(BW$8:BW$152,MATCH($CX117,$CV$8:$CV$152,0))</f>
        <v>#N/A</v>
      </c>
      <c r="DB117" s="237" t="e">
        <f t="shared" si="484">INDEX(BX$8:BX$152,MATCH($CX117,$CV$8:$CV$152,0))</f>
        <v>#N/A</v>
      </c>
      <c r="DC117" s="237" t="e">
        <f t="shared" si="485">INDEX(BY$8:BY$152,MATCH($CX117,$CV$8:$CV$152,0))</f>
        <v>#N/A</v>
      </c>
      <c r="DD117" s="237" t="e">
        <f t="shared" si="486">INDEX(BZ$8:BZ$152,MATCH($CX117,$CV$8:$CV$152,0))</f>
        <v>#N/A</v>
      </c>
      <c r="DE117" s="237" t="e">
        <f t="shared" si="487">INDEX(CA$8:CA$152,MATCH($CX117,$CV$8:$CV$152,0))</f>
        <v>#N/A</v>
      </c>
      <c r="DF117" s="237" t="e">
        <f t="shared" si="488">INDEX(CB$8:CB$152,MATCH($CX117,$CV$8:$CV$152,0))</f>
        <v>#N/A</v>
      </c>
    </row>
    <row r="118" spans="1:110">
      <c r="A118" s="1216">
        <v>6</v>
      </c>
      <c r="B118" s="1510"/>
      <c r="C118" s="1022"/>
      <c r="D118" s="1022"/>
      <c r="E118" s="1022"/>
      <c r="F118" s="1022"/>
      <c r="G118" s="1022"/>
      <c r="H118" s="1022"/>
      <c r="I118" s="1475"/>
      <c r="J118" s="1020"/>
      <c r="K118" s="253"/>
      <c r="L118" s="254"/>
      <c r="M118" s="255">
        <f t="shared" si="511">K118*L118</f>
        <v>0</v>
      </c>
      <c r="AM118" s="1082">
        <f t="shared" si="512">IF(M118&gt;0,1,0)</f>
        <v>0</v>
      </c>
      <c r="AN118" s="1096">
        <f>IF(AM118&gt;0,COUNTIF(AM$8:AM118,"&gt;0"),0)</f>
        <v>0</v>
      </c>
      <c r="AO118" s="1083">
        <f t="shared" si="513">B118</f>
        <v>0</v>
      </c>
      <c r="AP118" s="1084">
        <f t="shared" si="514">C118</f>
        <v>0</v>
      </c>
      <c r="AQ118" s="1085">
        <f t="shared" si="515">IF(I118&lt;&gt;"",YEAR(I118),"")</f>
        <v>0</v>
      </c>
      <c r="AR118" s="1080">
        <f t="shared" si="516">IF(E118&lt;&gt;"",E118,"")</f>
        <v>0</v>
      </c>
      <c r="AS118" s="1078">
        <f t="shared" si="517">F118</f>
        <v>0</v>
      </c>
      <c r="AT118" s="1080">
        <f t="shared" si="518">IF(H118&lt;&gt;"",H118,"")</f>
        <v>0</v>
      </c>
      <c r="AU118" s="1080">
        <f t="shared" si="519">J118</f>
        <v>0</v>
      </c>
      <c r="AV118" s="1080">
        <f t="shared" si="520">K118</f>
        <v>0</v>
      </c>
      <c r="AW118" s="1086">
        <f t="shared" si="521">M118</f>
        <v>0</v>
      </c>
      <c r="AX118" s="237">
        <f t="shared" si="551" ref="AX118:AX121">IF(AZ118&lt;&gt;"",AX117+1,"")</f>
        <v>0</v>
      </c>
      <c r="AY118" s="1087">
        <v>115</v>
      </c>
      <c r="AZ118" s="1087">
        <f t="shared" si="522">IF(ISNA(VLOOKUP(AY118,$AN$8:$AW$148,2,False))=True,"",VLOOKUP(AY118,$AN$8:$AW$148,2,False))</f>
        <v>0</v>
      </c>
      <c r="BA118" s="1087">
        <f t="shared" si="523">IF(ISNA(VLOOKUP(AZ118,$AE$8:$AF$46,2,False))=True,"",VLOOKUP(AZ118,$AE$8:$AF$46,2,False))</f>
        <v>0</v>
      </c>
      <c r="BB118" s="1087">
        <f t="shared" si="524">IF(ISNA(VLOOKUP(AY118,$AN$8:$AW$148,4,False))=True,"",VLOOKUP(AY118,$AN$8:$AW$148,4,False))</f>
        <v>0</v>
      </c>
      <c r="BC118" s="1087">
        <f t="shared" si="525">IF(ISNA(VLOOKUP(AY118,$AN$8:$AW$148,5,False))=True,"",VLOOKUP(AY118,$AN$8:$AW$148,5,False))</f>
        <v>0</v>
      </c>
      <c r="BD118" s="1087" t="str">
        <f t="shared" si="526">IF(ISNA(VLOOKUP(AY118,$AN$8:$AW$148,6,False))=True,"0",VLOOKUP(AY118,$AN$8:$AW$148,6,False))</f>
        <v>0</v>
      </c>
      <c r="BE118" s="1125">
        <f t="shared" si="527">IF(ISNA(VLOOKUP(AY118,$AN$8:$AW$148,7,False))=True,"",VLOOKUP(AY118,$AN$8:$AW$148,7,False))</f>
        <v>0</v>
      </c>
      <c r="BF118" s="1123">
        <f t="shared" si="395">IF(ISNA(VLOOKUP($AY118,$AN$8:$AW$148,8,False))=True,"",VLOOKUP($AY118,$AN$8:$AW$148,8,False))</f>
        <v>0</v>
      </c>
      <c r="BG118" s="1120">
        <f t="shared" si="396">IF(ISNA(VLOOKUP($AY118,$AN$8:$AW$148,9,False))=True,"",VLOOKUP($AY118,$AN$8:$AW$148,9,False))</f>
        <v>0</v>
      </c>
      <c r="BH118" s="1120">
        <f t="shared" si="397">IF(ISNA(VLOOKUP($AY118,$AN$8:$AW$148,10,False))=True,"",VLOOKUP($AY118,$AN$8:$AW$148,10,False))</f>
        <v>0</v>
      </c>
      <c r="BI118" s="250">
        <f t="shared" si="528">IF(AZ118&lt;&gt;"",AZ118,"")</f>
        <v>0</v>
      </c>
      <c r="BJ118" s="1098">
        <f t="shared" si="529">BI118</f>
        <v>0</v>
      </c>
      <c r="BK118" s="1115">
        <f>COUNTIFS($AZ:$AZ, AZ118,$BJ:$BJ, "&lt;"&amp;BJ118)+COUNTIFS(AZ$8:AZ118, AZ118, BJ$8:BJ118, BJ118)</f>
        <v>111</v>
      </c>
      <c r="BL118" s="1114">
        <f t="shared" si="530">BK118/100</f>
        <v>1.11</v>
      </c>
      <c r="BM118" s="1093" t="e">
        <f t="shared" si="552" ref="BM118">BI118+BL118</f>
        <v>#VALUE!</v>
      </c>
      <c r="BN118" s="1101">
        <f t="shared" si="532">IF(BA118&lt;&gt;"",BM118,"")</f>
        <v>0</v>
      </c>
      <c r="BO118" s="1118">
        <f t="shared" si="533">IF(BN118&lt;&gt;"",BN118,0)</f>
        <v>0</v>
      </c>
      <c r="BP118" s="237" t="e">
        <f t="shared" si="469">SMALL($BN$8:$BN$152,AX118)</f>
        <v>#VALUE!</v>
      </c>
      <c r="BR118" s="1102" t="e">
        <f t="shared" si="553" ref="BR118:BR121">IF(BP118&lt;&gt;"",BR117+1,"")</f>
        <v>#VALUE!</v>
      </c>
      <c r="BS118" s="1102">
        <f t="shared" si="534">IFERROR(BP118,"")</f>
        <v>0</v>
      </c>
      <c r="BT118" s="1102">
        <f t="shared" si="535">IFERROR(CC118,"")</f>
        <v>0</v>
      </c>
      <c r="BU118" s="1098">
        <f t="shared" si="536">IFERROR(CD118,"")</f>
        <v>0</v>
      </c>
      <c r="BV118" s="1098">
        <f t="shared" si="537">IFERROR(CE118,"")</f>
        <v>0</v>
      </c>
      <c r="BW118" s="1098">
        <f t="shared" si="538">IFERROR(CF118,"")</f>
        <v>0</v>
      </c>
      <c r="BX118" s="1146">
        <f t="shared" si="539">IFERROR(CH118,"")</f>
        <v>0</v>
      </c>
      <c r="BY118" s="1098">
        <f t="shared" si="540">IFERROR(CG118,"")</f>
        <v>0</v>
      </c>
      <c r="BZ118" s="1144" t="str">
        <f t="shared" si="541">IFERROR(CI118,"-")</f>
        <v>-</v>
      </c>
      <c r="CA118" s="1107">
        <f t="shared" si="542">IFERROR(CJ118,"")</f>
        <v>0</v>
      </c>
      <c r="CB118" s="1107">
        <f t="shared" si="543">IFERROR(CK118,"")</f>
        <v>0</v>
      </c>
      <c r="CC118" s="1110" t="e">
        <f t="shared" si="470">INDEX($AZ$8:$AZ$153,MATCH(BP118,$BO$8:$BO$153,0))</f>
        <v>#VALUE!</v>
      </c>
      <c r="CD118" s="1087" t="e">
        <f t="shared" si="471">INDEX($BA$8:$BA$153,MATCH(BP118,$BO$8:$BO$153,0))</f>
        <v>#VALUE!</v>
      </c>
      <c r="CE118" s="1106" t="e">
        <f t="shared" si="472">INDEX($BB$8:$BB$153,MATCH(BP118,$BO$8:$BO$153,0))</f>
        <v>#VALUE!</v>
      </c>
      <c r="CF118" s="1106" t="e">
        <f t="shared" si="473">INDEX(BC$8:BC$153,MATCH(BP118,$BO$8:$BO$153,0))</f>
        <v>#VALUE!</v>
      </c>
      <c r="CG118" s="1118" t="e">
        <f t="shared" si="474">INDEX(BE$8:BE$153,MATCH(BP118,$BO$8:$BO$153,0))</f>
        <v>#VALUE!</v>
      </c>
      <c r="CH118" s="1106" t="e">
        <f t="shared" si="475">INDEX($BD$8:$BD$153,MATCH($BP118,$BO$8:$BO$153,0))</f>
        <v>#VALUE!</v>
      </c>
      <c r="CI118" s="1142" t="e">
        <f t="shared" si="476">INDEX($BF$8:$BF$153,MATCH(BP118,$BO$8:$BO$153,0))</f>
        <v>#VALUE!</v>
      </c>
      <c r="CJ118" s="1106" t="e">
        <f t="shared" si="477">INDEX($BG$8:$BG$153,MATCH(BP118,$BO$8:$BO$153,0))</f>
        <v>#VALUE!</v>
      </c>
      <c r="CK118" s="1106" t="e">
        <f t="shared" si="478">INDEX($BH$8:$BH$153,MATCH(BP118,$BO$8:$BO$153,0))</f>
        <v>#VALUE!</v>
      </c>
      <c r="CM118" s="1131">
        <f t="shared" si="479">COUNTIF($CH$8:$CH$228,"&lt;="&amp;CH118)</f>
        <v>145</v>
      </c>
      <c r="CN118" s="1121">
        <f t="shared" si="544">--ISNUMBER(BX118)</f>
        <v>0</v>
      </c>
      <c r="CO118" s="1121">
        <f t="shared" si="545">IF(BX118=0,1,0)</f>
        <v>0</v>
      </c>
      <c r="CP118" s="1124">
        <f t="shared" si="546">IF(ISNUMBER(BX118),CM118,IF(ISERROR(BX118),CM118,CM118+$CN$154))+$CO$154</f>
        <v>145</v>
      </c>
      <c r="CQ118" s="237">
        <f>IFERROR(INDEX($BX$8:$BX$153,MATCH(SMALL($CP$8:$CP$153,ROWS($CQ$8:CQ118)+$CO$154),$CP$8:$CP$154,0)),"")</f>
        <v>0</v>
      </c>
      <c r="CR118" s="237">
        <v>0.1</v>
      </c>
      <c r="CS118" s="1135">
        <f t="shared" si="547">CM118+CR118</f>
        <v>145.1</v>
      </c>
      <c r="CT118" s="237">
        <f>COUNTIFS($CM:$CM, CM118,$CS:$CS, "&lt;"&amp;CL)+COUNTIFS(CM$8:CM118, CM118, CS$8:CS118, CS118)</f>
        <v>111</v>
      </c>
      <c r="CU118" s="1109">
        <f t="shared" si="548">CT118/100</f>
        <v>1.11</v>
      </c>
      <c r="CV118" s="1109">
        <f t="shared" si="549">CM118+CU118</f>
        <v>146.11</v>
      </c>
      <c r="CW118" s="237" t="e">
        <f t="shared" si="480">SMALL(CV$8:CV$153,AX118)</f>
        <v>#VALUE!</v>
      </c>
      <c r="CX118" s="1109">
        <f t="shared" si="550">IFERROR(CW118,"")</f>
        <v>0</v>
      </c>
      <c r="CY118" s="237" t="e">
        <f t="shared" si="481">INDEX(BU$8:BU$152,MATCH($CX118,CV$8:CV$152,0))</f>
        <v>#N/A</v>
      </c>
      <c r="CZ118" s="237" t="e">
        <f t="shared" si="482">INDEX(BV$8:BV$152,MATCH($CX118,$CV$8:$CV$152,0))</f>
        <v>#N/A</v>
      </c>
      <c r="DA118" s="237" t="e">
        <f t="shared" si="483">INDEX(BW$8:BW$152,MATCH($CX118,$CV$8:$CV$152,0))</f>
        <v>#N/A</v>
      </c>
      <c r="DB118" s="237" t="e">
        <f t="shared" si="484">INDEX(BX$8:BX$152,MATCH($CX118,$CV$8:$CV$152,0))</f>
        <v>#N/A</v>
      </c>
      <c r="DC118" s="237" t="e">
        <f t="shared" si="485">INDEX(BY$8:BY$152,MATCH($CX118,$CV$8:$CV$152,0))</f>
        <v>#N/A</v>
      </c>
      <c r="DD118" s="237" t="e">
        <f t="shared" si="486">INDEX(BZ$8:BZ$152,MATCH($CX118,$CV$8:$CV$152,0))</f>
        <v>#N/A</v>
      </c>
      <c r="DE118" s="237" t="e">
        <f t="shared" si="487">INDEX(CA$8:CA$152,MATCH($CX118,$CV$8:$CV$152,0))</f>
        <v>#N/A</v>
      </c>
      <c r="DF118" s="237" t="e">
        <f t="shared" si="488">INDEX(CB$8:CB$152,MATCH($CX118,$CV$8:$CV$152,0))</f>
        <v>#N/A</v>
      </c>
    </row>
    <row r="119" spans="1:110">
      <c r="A119" s="1216">
        <v>7</v>
      </c>
      <c r="B119" s="1510"/>
      <c r="C119" s="1022"/>
      <c r="D119" s="1022"/>
      <c r="E119" s="1022"/>
      <c r="F119" s="1022"/>
      <c r="G119" s="1022"/>
      <c r="H119" s="1022"/>
      <c r="I119" s="1475"/>
      <c r="J119" s="1020"/>
      <c r="K119" s="253"/>
      <c r="L119" s="254"/>
      <c r="M119" s="255">
        <f t="shared" si="511">K119*L119</f>
        <v>0</v>
      </c>
      <c r="AM119" s="1077">
        <f t="shared" si="512">IF(M119&gt;0,1,0)</f>
        <v>0</v>
      </c>
      <c r="AN119" s="1096">
        <f>IF(AM119&gt;0,COUNTIF(AM$8:AM119,"&gt;0"),0)</f>
        <v>0</v>
      </c>
      <c r="AO119" s="1078">
        <f t="shared" si="513">B119</f>
        <v>0</v>
      </c>
      <c r="AP119" s="1079">
        <f t="shared" si="514">C119</f>
        <v>0</v>
      </c>
      <c r="AQ119" s="1080">
        <f t="shared" si="515">IF(I119&lt;&gt;"",YEAR(I119),"")</f>
        <v>0</v>
      </c>
      <c r="AR119" s="1080">
        <f t="shared" si="516">IF(E119&lt;&gt;"",E119,"")</f>
        <v>0</v>
      </c>
      <c r="AS119" s="1078">
        <f t="shared" si="517">F119</f>
        <v>0</v>
      </c>
      <c r="AT119" s="1080">
        <f t="shared" si="518">IF(H119&lt;&gt;"",H119,"")</f>
        <v>0</v>
      </c>
      <c r="AU119" s="1080">
        <f t="shared" si="519">J119</f>
        <v>0</v>
      </c>
      <c r="AV119" s="1080">
        <f t="shared" si="520">K119</f>
        <v>0</v>
      </c>
      <c r="AW119" s="1081">
        <f t="shared" si="521">M119</f>
        <v>0</v>
      </c>
      <c r="AX119" s="237">
        <f t="shared" si="551">IF(AZ119&lt;&gt;"",AX118+1,"")</f>
        <v>0</v>
      </c>
      <c r="AY119" s="1087">
        <v>116</v>
      </c>
      <c r="AZ119" s="1087">
        <f t="shared" si="522">IF(ISNA(VLOOKUP(AY119,$AN$8:$AW$148,2,False))=True,"",VLOOKUP(AY119,$AN$8:$AW$148,2,False))</f>
        <v>0</v>
      </c>
      <c r="BA119" s="1087">
        <f t="shared" si="523">IF(ISNA(VLOOKUP(AZ119,$AE$8:$AF$46,2,False))=True,"",VLOOKUP(AZ119,$AE$8:$AF$46,2,False))</f>
        <v>0</v>
      </c>
      <c r="BB119" s="1087">
        <f t="shared" si="524">IF(ISNA(VLOOKUP(AY119,$AN$8:$AW$148,4,False))=True,"",VLOOKUP(AY119,$AN$8:$AW$148,4,False))</f>
        <v>0</v>
      </c>
      <c r="BC119" s="1087">
        <f t="shared" si="525">IF(ISNA(VLOOKUP(AY119,$AN$8:$AW$148,5,False))=True,"",VLOOKUP(AY119,$AN$8:$AW$148,5,False))</f>
        <v>0</v>
      </c>
      <c r="BD119" s="1087" t="str">
        <f t="shared" si="526">IF(ISNA(VLOOKUP(AY119,$AN$8:$AW$148,6,False))=True,"0",VLOOKUP(AY119,$AN$8:$AW$148,6,False))</f>
        <v>0</v>
      </c>
      <c r="BE119" s="1125">
        <f t="shared" si="527">IF(ISNA(VLOOKUP(AY119,$AN$8:$AW$148,7,False))=True,"",VLOOKUP(AY119,$AN$8:$AW$148,7,False))</f>
        <v>0</v>
      </c>
      <c r="BF119" s="1123">
        <f t="shared" si="395">IF(ISNA(VLOOKUP($AY119,$AN$8:$AW$148,8,False))=True,"",VLOOKUP($AY119,$AN$8:$AW$148,8,False))</f>
        <v>0</v>
      </c>
      <c r="BG119" s="1120">
        <f t="shared" si="396">IF(ISNA(VLOOKUP($AY119,$AN$8:$AW$148,9,False))=True,"",VLOOKUP($AY119,$AN$8:$AW$148,9,False))</f>
        <v>0</v>
      </c>
      <c r="BH119" s="1120">
        <f t="shared" si="397">IF(ISNA(VLOOKUP($AY119,$AN$8:$AW$148,10,False))=True,"",VLOOKUP($AY119,$AN$8:$AW$148,10,False))</f>
        <v>0</v>
      </c>
      <c r="BI119" s="250">
        <f t="shared" si="528">IF(AZ119&lt;&gt;"",AZ119,"")</f>
        <v>0</v>
      </c>
      <c r="BJ119" s="1098">
        <f t="shared" si="529">BI119</f>
        <v>0</v>
      </c>
      <c r="BK119" s="1115">
        <f>COUNTIFS($AZ:$AZ, AZ119,$BJ:$BJ, "&lt;"&amp;BJ119)+COUNTIFS(AZ$8:AZ119, AZ119, BJ$8:BJ119, BJ119)</f>
        <v>112</v>
      </c>
      <c r="BL119" s="1114">
        <f t="shared" si="530">BK119/100</f>
        <v>1.12</v>
      </c>
      <c r="BM119" s="1093" t="e">
        <f t="shared" si="554" ref="BM119">BJ119+BL119</f>
        <v>#VALUE!</v>
      </c>
      <c r="BN119" s="1101">
        <f t="shared" si="532">IF(BA119&lt;&gt;"",BM119,"")</f>
        <v>0</v>
      </c>
      <c r="BO119" s="1118">
        <f t="shared" si="533">IF(BN119&lt;&gt;"",BN119,0)</f>
        <v>0</v>
      </c>
      <c r="BP119" s="237" t="e">
        <f t="shared" si="469">SMALL($BN$8:$BN$152,AX119)</f>
        <v>#VALUE!</v>
      </c>
      <c r="BR119" s="1102" t="e">
        <f t="shared" si="553">IF(BP119&lt;&gt;"",BR118+1,"")</f>
        <v>#VALUE!</v>
      </c>
      <c r="BS119" s="1102">
        <f t="shared" si="534">IFERROR(BP119,"")</f>
        <v>0</v>
      </c>
      <c r="BT119" s="1102">
        <f t="shared" si="535">IFERROR(CC119,"")</f>
        <v>0</v>
      </c>
      <c r="BU119" s="1098">
        <f t="shared" si="536">IFERROR(CD119,"")</f>
        <v>0</v>
      </c>
      <c r="BV119" s="1098">
        <f t="shared" si="537">IFERROR(CE119,"")</f>
        <v>0</v>
      </c>
      <c r="BW119" s="1098">
        <f t="shared" si="538">IFERROR(CF119,"")</f>
        <v>0</v>
      </c>
      <c r="BX119" s="1146">
        <f t="shared" si="539">IFERROR(CH119,"")</f>
        <v>0</v>
      </c>
      <c r="BY119" s="1098">
        <f t="shared" si="540">IFERROR(CG119,"")</f>
        <v>0</v>
      </c>
      <c r="BZ119" s="1144" t="str">
        <f t="shared" si="541">IFERROR(CI119,"-")</f>
        <v>-</v>
      </c>
      <c r="CA119" s="1107">
        <f t="shared" si="542">IFERROR(CJ119,"")</f>
        <v>0</v>
      </c>
      <c r="CB119" s="1107">
        <f t="shared" si="543">IFERROR(CK119,"")</f>
        <v>0</v>
      </c>
      <c r="CC119" s="1110" t="e">
        <f t="shared" si="470">INDEX($AZ$8:$AZ$153,MATCH(BP119,$BO$8:$BO$153,0))</f>
        <v>#VALUE!</v>
      </c>
      <c r="CD119" s="1087" t="e">
        <f t="shared" si="471">INDEX($BA$8:$BA$153,MATCH(BP119,$BO$8:$BO$153,0))</f>
        <v>#VALUE!</v>
      </c>
      <c r="CE119" s="1106" t="e">
        <f t="shared" si="472">INDEX($BB$8:$BB$153,MATCH(BP119,$BO$8:$BO$153,0))</f>
        <v>#VALUE!</v>
      </c>
      <c r="CF119" s="1106" t="e">
        <f t="shared" si="473">INDEX(BC$8:BC$153,MATCH(BP119,$BO$8:$BO$153,0))</f>
        <v>#VALUE!</v>
      </c>
      <c r="CG119" s="1118" t="e">
        <f t="shared" si="474">INDEX(BE$8:BE$153,MATCH(BP119,$BO$8:$BO$153,0))</f>
        <v>#VALUE!</v>
      </c>
      <c r="CH119" s="1106" t="e">
        <f t="shared" si="475">INDEX($BD$8:$BD$153,MATCH($BP119,$BO$8:$BO$153,0))</f>
        <v>#VALUE!</v>
      </c>
      <c r="CI119" s="1142" t="e">
        <f t="shared" si="476">INDEX($BF$8:$BF$153,MATCH(BP119,$BO$8:$BO$153,0))</f>
        <v>#VALUE!</v>
      </c>
      <c r="CJ119" s="1106" t="e">
        <f t="shared" si="477">INDEX($BG$8:$BG$153,MATCH(BP119,$BO$8:$BO$153,0))</f>
        <v>#VALUE!</v>
      </c>
      <c r="CK119" s="1106" t="e">
        <f t="shared" si="478">INDEX($BH$8:$BH$153,MATCH(BP119,$BO$8:$BO$153,0))</f>
        <v>#VALUE!</v>
      </c>
      <c r="CM119" s="1131">
        <f t="shared" si="479">COUNTIF($CH$8:$CH$228,"&lt;="&amp;CH119)</f>
        <v>145</v>
      </c>
      <c r="CN119" s="1121">
        <f t="shared" si="544">--ISNUMBER(BX119)</f>
        <v>0</v>
      </c>
      <c r="CO119" s="1121">
        <f t="shared" si="545">IF(BX119=0,1,0)</f>
        <v>0</v>
      </c>
      <c r="CP119" s="1124">
        <f t="shared" si="546">IF(ISNUMBER(BX119),CM119,IF(ISERROR(BX119),CM119,CM119+$CN$154))+$CO$154</f>
        <v>145</v>
      </c>
      <c r="CQ119" s="237">
        <f>IFERROR(INDEX($BX$8:$BX$153,MATCH(SMALL($CP$8:$CP$153,ROWS($CQ$8:CQ119)+$CO$154),$CP$8:$CP$154,0)),"")</f>
        <v>0</v>
      </c>
      <c r="CR119" s="237">
        <v>0.1</v>
      </c>
      <c r="CS119" s="1135">
        <f t="shared" si="547">CM119+CR119</f>
        <v>145.1</v>
      </c>
      <c r="CT119" s="237">
        <f>COUNTIFS($CM:$CM, CM119,$CS:$CS, "&lt;"&amp;CL)+COUNTIFS(CM$8:CM119, CM119, CS$8:CS119, CS119)</f>
        <v>112</v>
      </c>
      <c r="CU119" s="1109">
        <f t="shared" si="548">CT119/100</f>
        <v>1.12</v>
      </c>
      <c r="CV119" s="1109">
        <f t="shared" si="549">CM119+CU119</f>
        <v>146.12</v>
      </c>
      <c r="CW119" s="237" t="e">
        <f t="shared" si="480">SMALL(CV$8:CV$153,AX119)</f>
        <v>#VALUE!</v>
      </c>
      <c r="CX119" s="1109">
        <f t="shared" si="550">IFERROR(CW119,"")</f>
        <v>0</v>
      </c>
      <c r="CY119" s="237" t="e">
        <f t="shared" si="481">INDEX(BU$8:BU$152,MATCH($CX119,CV$8:CV$152,0))</f>
        <v>#N/A</v>
      </c>
      <c r="CZ119" s="237" t="e">
        <f t="shared" si="482">INDEX(BV$8:BV$152,MATCH($CX119,$CV$8:$CV$152,0))</f>
        <v>#N/A</v>
      </c>
      <c r="DA119" s="237" t="e">
        <f t="shared" si="483">INDEX(BW$8:BW$152,MATCH($CX119,$CV$8:$CV$152,0))</f>
        <v>#N/A</v>
      </c>
      <c r="DB119" s="237" t="e">
        <f t="shared" si="484">INDEX(BX$8:BX$152,MATCH($CX119,$CV$8:$CV$152,0))</f>
        <v>#N/A</v>
      </c>
      <c r="DC119" s="237" t="e">
        <f t="shared" si="485">INDEX(BY$8:BY$152,MATCH($CX119,$CV$8:$CV$152,0))</f>
        <v>#N/A</v>
      </c>
      <c r="DD119" s="237" t="e">
        <f t="shared" si="486">INDEX(BZ$8:BZ$152,MATCH($CX119,$CV$8:$CV$152,0))</f>
        <v>#N/A</v>
      </c>
      <c r="DE119" s="237" t="e">
        <f t="shared" si="487">INDEX(CA$8:CA$152,MATCH($CX119,$CV$8:$CV$152,0))</f>
        <v>#N/A</v>
      </c>
      <c r="DF119" s="237" t="e">
        <f t="shared" si="488">INDEX(CB$8:CB$152,MATCH($CX119,$CV$8:$CV$152,0))</f>
        <v>#N/A</v>
      </c>
    </row>
    <row r="120" spans="1:110">
      <c r="A120" s="1216">
        <v>8</v>
      </c>
      <c r="B120" s="1510"/>
      <c r="C120" s="1022"/>
      <c r="D120" s="1022"/>
      <c r="E120" s="1022"/>
      <c r="F120" s="1022"/>
      <c r="G120" s="1022"/>
      <c r="H120" s="1022"/>
      <c r="I120" s="1475"/>
      <c r="J120" s="1020"/>
      <c r="K120" s="253"/>
      <c r="L120" s="254"/>
      <c r="M120" s="255">
        <f t="shared" si="511">K120*L120</f>
        <v>0</v>
      </c>
      <c r="AM120" s="1077">
        <f t="shared" si="512">IF(M120&gt;0,1,0)</f>
        <v>0</v>
      </c>
      <c r="AN120" s="1096">
        <f>IF(K120&gt;0,COUNTIF(AM$8:AM120,"&gt;0"),0)</f>
        <v>0</v>
      </c>
      <c r="AO120" s="1078">
        <f t="shared" si="513">B120</f>
        <v>0</v>
      </c>
      <c r="AP120" s="1079">
        <f t="shared" si="514">C120</f>
        <v>0</v>
      </c>
      <c r="AQ120" s="1080">
        <f t="shared" si="515">IF(I120&lt;&gt;"",YEAR(I120),"")</f>
        <v>0</v>
      </c>
      <c r="AR120" s="1080">
        <f t="shared" si="516">IF(E120&lt;&gt;"",E120,"")</f>
        <v>0</v>
      </c>
      <c r="AS120" s="1078">
        <f t="shared" si="517">F120</f>
        <v>0</v>
      </c>
      <c r="AT120" s="1080">
        <f t="shared" si="518">IF(H120&lt;&gt;"",H120,"")</f>
        <v>0</v>
      </c>
      <c r="AU120" s="1080">
        <f t="shared" si="519">J120</f>
        <v>0</v>
      </c>
      <c r="AV120" s="1080">
        <f t="shared" si="520">K120</f>
        <v>0</v>
      </c>
      <c r="AW120" s="1081">
        <f t="shared" si="521">M120</f>
        <v>0</v>
      </c>
      <c r="AX120" s="237">
        <f t="shared" si="551">IF(AZ120&lt;&gt;"",AX119+1,"")</f>
        <v>0</v>
      </c>
      <c r="AY120" s="1087">
        <v>117</v>
      </c>
      <c r="AZ120" s="1087">
        <f t="shared" si="522">IF(ISNA(VLOOKUP(AY120,$AN$8:$AW$148,2,False))=True,"",VLOOKUP(AY120,$AN$8:$AW$148,2,False))</f>
        <v>0</v>
      </c>
      <c r="BA120" s="1087">
        <f t="shared" si="523">IF(ISNA(VLOOKUP(AZ120,$AE$8:$AF$46,2,False))=True,"",VLOOKUP(AZ120,$AE$8:$AF$46,2,False))</f>
        <v>0</v>
      </c>
      <c r="BB120" s="1087">
        <f t="shared" si="524">IF(ISNA(VLOOKUP(AY120,$AN$8:$AW$148,4,False))=True,"",VLOOKUP(AY120,$AN$8:$AW$148,4,False))</f>
        <v>0</v>
      </c>
      <c r="BC120" s="1087">
        <f t="shared" si="525">IF(ISNA(VLOOKUP(AY120,$AN$8:$AW$148,5,False))=True,"",VLOOKUP(AY120,$AN$8:$AW$148,5,False))</f>
        <v>0</v>
      </c>
      <c r="BD120" s="1087" t="str">
        <f t="shared" si="526">IF(ISNA(VLOOKUP(AY120,$AN$8:$AW$148,6,False))=True,"0",VLOOKUP(AY120,$AN$8:$AW$148,6,False))</f>
        <v>0</v>
      </c>
      <c r="BE120" s="1125">
        <f t="shared" si="527">IF(ISNA(VLOOKUP(AY120,$AN$8:$AW$148,7,False))=True,"",VLOOKUP(AY120,$AN$8:$AW$148,7,False))</f>
        <v>0</v>
      </c>
      <c r="BF120" s="1123">
        <f t="shared" si="395">IF(ISNA(VLOOKUP($AY120,$AN$8:$AW$148,8,False))=True,"",VLOOKUP($AY120,$AN$8:$AW$148,8,False))</f>
        <v>0</v>
      </c>
      <c r="BG120" s="1120">
        <f t="shared" si="396">IF(ISNA(VLOOKUP($AY120,$AN$8:$AW$148,9,False))=True,"",VLOOKUP($AY120,$AN$8:$AW$148,9,False))</f>
        <v>0</v>
      </c>
      <c r="BH120" s="1120">
        <f t="shared" si="397">IF(ISNA(VLOOKUP($AY120,$AN$8:$AW$148,10,False))=True,"",VLOOKUP($AY120,$AN$8:$AW$148,10,False))</f>
        <v>0</v>
      </c>
      <c r="BI120" s="250">
        <f t="shared" si="528">IF(AZ120&lt;&gt;"",AZ120,"")</f>
        <v>0</v>
      </c>
      <c r="BJ120" s="1098">
        <f t="shared" si="529">BI120</f>
        <v>0</v>
      </c>
      <c r="BK120" s="1115">
        <f>COUNTIFS($AZ:$AZ, AZ120,$BJ:$BJ, "&lt;"&amp;BJ120)+COUNTIFS(AZ$8:AZ120, AZ120, BJ$8:BJ120, BJ120)</f>
        <v>113</v>
      </c>
      <c r="BL120" s="1114">
        <f t="shared" si="530">BK120/100</f>
        <v>1.13</v>
      </c>
      <c r="BM120" s="1093" t="e">
        <f t="shared" si="555" ref="BM120">BI120+BL120</f>
        <v>#VALUE!</v>
      </c>
      <c r="BN120" s="1101">
        <f t="shared" si="532">IF(BA120&lt;&gt;"",BM120,"")</f>
        <v>0</v>
      </c>
      <c r="BO120" s="1118">
        <f t="shared" si="533">IF(BN120&lt;&gt;"",BN120,0)</f>
        <v>0</v>
      </c>
      <c r="BP120" s="237" t="e">
        <f t="shared" si="469">SMALL($BN$8:$BN$152,AX120)</f>
        <v>#VALUE!</v>
      </c>
      <c r="BR120" s="1102" t="e">
        <f t="shared" si="553">IF(BP120&lt;&gt;"",BR119+1,"")</f>
        <v>#VALUE!</v>
      </c>
      <c r="BS120" s="1102">
        <f t="shared" si="534">IFERROR(BP120,"")</f>
        <v>0</v>
      </c>
      <c r="BT120" s="1102">
        <f t="shared" si="535">IFERROR(CC120,"")</f>
        <v>0</v>
      </c>
      <c r="BU120" s="1098">
        <f t="shared" si="536">IFERROR(CD120,"")</f>
        <v>0</v>
      </c>
      <c r="BV120" s="1098">
        <f t="shared" si="537">IFERROR(CE120,"")</f>
        <v>0</v>
      </c>
      <c r="BW120" s="1098">
        <f t="shared" si="538">IFERROR(CF120,"")</f>
        <v>0</v>
      </c>
      <c r="BX120" s="1146">
        <f t="shared" si="539">IFERROR(CH120,"")</f>
        <v>0</v>
      </c>
      <c r="BY120" s="1098">
        <f t="shared" si="540">IFERROR(CG120,"")</f>
        <v>0</v>
      </c>
      <c r="BZ120" s="1144" t="str">
        <f t="shared" si="541">IFERROR(CI120,"-")</f>
        <v>-</v>
      </c>
      <c r="CA120" s="1107">
        <f t="shared" si="542">IFERROR(CJ120,"")</f>
        <v>0</v>
      </c>
      <c r="CB120" s="1107">
        <f t="shared" si="543">IFERROR(CK120,"")</f>
        <v>0</v>
      </c>
      <c r="CC120" s="1110" t="e">
        <f t="shared" si="470">INDEX($AZ$8:$AZ$153,MATCH(BP120,$BO$8:$BO$153,0))</f>
        <v>#VALUE!</v>
      </c>
      <c r="CD120" s="1087" t="e">
        <f t="shared" si="471">INDEX($BA$8:$BA$153,MATCH(BP120,$BO$8:$BO$153,0))</f>
        <v>#VALUE!</v>
      </c>
      <c r="CE120" s="1106" t="e">
        <f t="shared" si="472">INDEX($BB$8:$BB$153,MATCH(BP120,$BO$8:$BO$153,0))</f>
        <v>#VALUE!</v>
      </c>
      <c r="CF120" s="1106" t="e">
        <f t="shared" si="473">INDEX(BC$8:BC$153,MATCH(BP120,$BO$8:$BO$153,0))</f>
        <v>#VALUE!</v>
      </c>
      <c r="CG120" s="1118" t="e">
        <f t="shared" si="474">INDEX(BE$8:BE$153,MATCH(BP120,$BO$8:$BO$153,0))</f>
        <v>#VALUE!</v>
      </c>
      <c r="CH120" s="1106" t="e">
        <f t="shared" si="475">INDEX($BD$8:$BD$153,MATCH($BP120,$BO$8:$BO$153,0))</f>
        <v>#VALUE!</v>
      </c>
      <c r="CI120" s="1142" t="e">
        <f t="shared" si="476">INDEX($BF$8:$BF$153,MATCH(BP120,$BO$8:$BO$153,0))</f>
        <v>#VALUE!</v>
      </c>
      <c r="CJ120" s="1106" t="e">
        <f t="shared" si="477">INDEX($BG$8:$BG$153,MATCH(BP120,$BO$8:$BO$153,0))</f>
        <v>#VALUE!</v>
      </c>
      <c r="CK120" s="1106" t="e">
        <f t="shared" si="478">INDEX($BH$8:$BH$153,MATCH(BP120,$BO$8:$BO$153,0))</f>
        <v>#VALUE!</v>
      </c>
      <c r="CM120" s="1131">
        <f t="shared" si="479">COUNTIF($CH$8:$CH$228,"&lt;="&amp;CH120)</f>
        <v>145</v>
      </c>
      <c r="CN120" s="1121">
        <f t="shared" si="544">--ISNUMBER(BX120)</f>
        <v>0</v>
      </c>
      <c r="CO120" s="1121">
        <f t="shared" si="545">IF(BX120=0,1,0)</f>
        <v>0</v>
      </c>
      <c r="CP120" s="1124">
        <f t="shared" si="546">IF(ISNUMBER(BX120),CM120,IF(ISERROR(BX120),CM120,CM120+$CN$154))+$CO$154</f>
        <v>145</v>
      </c>
      <c r="CQ120" s="237">
        <f>IFERROR(INDEX($BX$8:$BX$153,MATCH(SMALL($CP$8:$CP$153,ROWS($CQ$8:CQ120)+$CO$154),$CP$8:$CP$154,0)),"")</f>
        <v>0</v>
      </c>
      <c r="CR120" s="237">
        <v>0.1</v>
      </c>
      <c r="CS120" s="1135">
        <f t="shared" si="547">CM120+CR120</f>
        <v>145.1</v>
      </c>
      <c r="CT120" s="237">
        <f>COUNTIFS($CM:$CM, CM120,$CS:$CS, "&lt;"&amp;CL)+COUNTIFS(CM$8:CM120, CM120, CS$8:CS120, CS120)</f>
        <v>113</v>
      </c>
      <c r="CU120" s="1109">
        <f t="shared" si="548">CT120/100</f>
        <v>1.13</v>
      </c>
      <c r="CV120" s="1109">
        <f t="shared" si="549">CM120+CU120</f>
        <v>146.13</v>
      </c>
      <c r="CW120" s="237" t="e">
        <f t="shared" si="480">SMALL(CV$8:CV$153,AX120)</f>
        <v>#VALUE!</v>
      </c>
      <c r="CX120" s="1109">
        <f t="shared" si="550">IFERROR(CW120,"")</f>
        <v>0</v>
      </c>
      <c r="CY120" s="237" t="e">
        <f t="shared" si="481">INDEX(BU$8:BU$152,MATCH($CX120,CV$8:CV$152,0))</f>
        <v>#N/A</v>
      </c>
      <c r="CZ120" s="237" t="e">
        <f t="shared" si="482">INDEX(BV$8:BV$152,MATCH($CX120,$CV$8:$CV$152,0))</f>
        <v>#N/A</v>
      </c>
      <c r="DA120" s="237" t="e">
        <f t="shared" si="483">INDEX(BW$8:BW$152,MATCH($CX120,$CV$8:$CV$152,0))</f>
        <v>#N/A</v>
      </c>
      <c r="DB120" s="237" t="e">
        <f t="shared" si="484">INDEX(BX$8:BX$152,MATCH($CX120,$CV$8:$CV$152,0))</f>
        <v>#N/A</v>
      </c>
      <c r="DC120" s="237" t="e">
        <f t="shared" si="485">INDEX(BY$8:BY$152,MATCH($CX120,$CV$8:$CV$152,0))</f>
        <v>#N/A</v>
      </c>
      <c r="DD120" s="237" t="e">
        <f t="shared" si="486">INDEX(BZ$8:BZ$152,MATCH($CX120,$CV$8:$CV$152,0))</f>
        <v>#N/A</v>
      </c>
      <c r="DE120" s="237" t="e">
        <f t="shared" si="487">INDEX(CA$8:CA$152,MATCH($CX120,$CV$8:$CV$152,0))</f>
        <v>#N/A</v>
      </c>
      <c r="DF120" s="237" t="e">
        <f t="shared" si="488">INDEX(CB$8:CB$152,MATCH($CX120,$CV$8:$CV$152,0))</f>
        <v>#N/A</v>
      </c>
    </row>
    <row r="121" spans="1:110">
      <c r="A121" s="1216">
        <v>9</v>
      </c>
      <c r="B121" s="1510"/>
      <c r="C121" s="1022"/>
      <c r="D121" s="1022"/>
      <c r="E121" s="1022"/>
      <c r="F121" s="1022"/>
      <c r="G121" s="1022"/>
      <c r="H121" s="1022"/>
      <c r="I121" s="1475"/>
      <c r="J121" s="1020"/>
      <c r="K121" s="253"/>
      <c r="L121" s="254"/>
      <c r="M121" s="255">
        <f t="shared" si="511">K121*L121</f>
        <v>0</v>
      </c>
      <c r="AM121" s="1082">
        <f t="shared" si="512">IF(M121&gt;0,1,0)</f>
        <v>0</v>
      </c>
      <c r="AN121" s="1096">
        <f>IF(AM121&gt;0,COUNTIF(AM$8:AM121,"&gt;0"),0)</f>
        <v>0</v>
      </c>
      <c r="AO121" s="1083">
        <f t="shared" si="513">B121</f>
        <v>0</v>
      </c>
      <c r="AP121" s="1084">
        <f t="shared" si="514">C121</f>
        <v>0</v>
      </c>
      <c r="AQ121" s="1085">
        <f t="shared" si="515">IF(I121&lt;&gt;"",YEAR(I121),"")</f>
        <v>0</v>
      </c>
      <c r="AR121" s="1080">
        <f t="shared" si="516">IF(E121&lt;&gt;"",E121,"")</f>
        <v>0</v>
      </c>
      <c r="AS121" s="1078">
        <f t="shared" si="517">F121</f>
        <v>0</v>
      </c>
      <c r="AT121" s="1080">
        <f t="shared" si="518">IF(H121&lt;&gt;"",H121,"")</f>
        <v>0</v>
      </c>
      <c r="AU121" s="1080">
        <f t="shared" si="519">J121</f>
        <v>0</v>
      </c>
      <c r="AV121" s="1080">
        <f t="shared" si="520">K121</f>
        <v>0</v>
      </c>
      <c r="AW121" s="1086">
        <f t="shared" si="521">M121</f>
        <v>0</v>
      </c>
      <c r="AX121" s="237">
        <f t="shared" si="551">IF(AZ121&lt;&gt;"",AX120+1,"")</f>
        <v>0</v>
      </c>
      <c r="AY121" s="1087">
        <v>118</v>
      </c>
      <c r="AZ121" s="1087">
        <f t="shared" si="522">IF(ISNA(VLOOKUP(AY121,$AN$8:$AW$148,2,False))=True,"",VLOOKUP(AY121,$AN$8:$AW$148,2,False))</f>
        <v>0</v>
      </c>
      <c r="BA121" s="1087">
        <f t="shared" si="523">IF(ISNA(VLOOKUP(AZ121,$AE$8:$AF$46,2,False))=True,"",VLOOKUP(AZ121,$AE$8:$AF$46,2,False))</f>
        <v>0</v>
      </c>
      <c r="BB121" s="1087">
        <f t="shared" si="524">IF(ISNA(VLOOKUP(AY121,$AN$8:$AW$148,4,False))=True,"",VLOOKUP(AY121,$AN$8:$AW$148,4,False))</f>
        <v>0</v>
      </c>
      <c r="BC121" s="1087">
        <f t="shared" si="525">IF(ISNA(VLOOKUP(AY121,$AN$8:$AW$148,5,False))=True,"",VLOOKUP(AY121,$AN$8:$AW$148,5,False))</f>
        <v>0</v>
      </c>
      <c r="BD121" s="1087" t="str">
        <f t="shared" si="526">IF(ISNA(VLOOKUP(AY121,$AN$8:$AW$148,6,False))=True,"0",VLOOKUP(AY121,$AN$8:$AW$148,6,False))</f>
        <v>0</v>
      </c>
      <c r="BE121" s="1125">
        <f t="shared" si="527">IF(ISNA(VLOOKUP(AY121,$AN$8:$AW$148,7,False))=True,"",VLOOKUP(AY121,$AN$8:$AW$148,7,False))</f>
        <v>0</v>
      </c>
      <c r="BF121" s="1123">
        <f t="shared" si="395">IF(ISNA(VLOOKUP($AY121,$AN$8:$AW$148,8,False))=True,"",VLOOKUP($AY121,$AN$8:$AW$148,8,False))</f>
        <v>0</v>
      </c>
      <c r="BG121" s="1120">
        <f t="shared" si="396">IF(ISNA(VLOOKUP($AY121,$AN$8:$AW$148,9,False))=True,"",VLOOKUP($AY121,$AN$8:$AW$148,9,False))</f>
        <v>0</v>
      </c>
      <c r="BH121" s="1120">
        <f t="shared" si="397">IF(ISNA(VLOOKUP($AY121,$AN$8:$AW$148,10,False))=True,"",VLOOKUP($AY121,$AN$8:$AW$148,10,False))</f>
        <v>0</v>
      </c>
      <c r="BI121" s="250">
        <f t="shared" si="528">IF(AZ121&lt;&gt;"",AZ121,"")</f>
        <v>0</v>
      </c>
      <c r="BJ121" s="1098">
        <f t="shared" si="529">BI121</f>
        <v>0</v>
      </c>
      <c r="BK121" s="1115">
        <f>COUNTIFS($AZ:$AZ, AZ121,$BJ:$BJ, "&lt;"&amp;BJ121)+COUNTIFS(AZ$8:AZ121, AZ121, BJ$8:BJ121, BJ121)</f>
        <v>114</v>
      </c>
      <c r="BL121" s="1114">
        <f t="shared" si="530">BK121/100</f>
        <v>1.14</v>
      </c>
      <c r="BM121" s="1093" t="e">
        <f t="shared" si="556" ref="BM121">BJ121+BL121</f>
        <v>#VALUE!</v>
      </c>
      <c r="BN121" s="1101">
        <f t="shared" si="532">IF(BA121&lt;&gt;"",BM121,"")</f>
        <v>0</v>
      </c>
      <c r="BO121" s="1118">
        <f t="shared" si="533">IF(BN121&lt;&gt;"",BN121,0)</f>
        <v>0</v>
      </c>
      <c r="BP121" s="237" t="e">
        <f t="shared" si="469">SMALL($BN$8:$BN$152,AX121)</f>
        <v>#VALUE!</v>
      </c>
      <c r="BR121" s="1102" t="e">
        <f t="shared" si="553">IF(BP121&lt;&gt;"",BR120+1,"")</f>
        <v>#VALUE!</v>
      </c>
      <c r="BS121" s="1102">
        <f t="shared" si="534">IFERROR(BP121,"")</f>
        <v>0</v>
      </c>
      <c r="BT121" s="1102">
        <f t="shared" si="535">IFERROR(CC121,"")</f>
        <v>0</v>
      </c>
      <c r="BU121" s="1098">
        <f t="shared" si="536">IFERROR(CD121,"")</f>
        <v>0</v>
      </c>
      <c r="BV121" s="1098">
        <f t="shared" si="537">IFERROR(CE121,"")</f>
        <v>0</v>
      </c>
      <c r="BW121" s="1098">
        <f t="shared" si="538">IFERROR(CF121,"")</f>
        <v>0</v>
      </c>
      <c r="BX121" s="1146">
        <f t="shared" si="539">IFERROR(CH121,"")</f>
        <v>0</v>
      </c>
      <c r="BY121" s="1098">
        <f t="shared" si="540">IFERROR(CG121,"")</f>
        <v>0</v>
      </c>
      <c r="BZ121" s="1144" t="str">
        <f t="shared" si="541">IFERROR(CI121,"-")</f>
        <v>-</v>
      </c>
      <c r="CA121" s="1107">
        <f t="shared" si="542">IFERROR(CJ121,"")</f>
        <v>0</v>
      </c>
      <c r="CB121" s="1107">
        <f t="shared" si="543">IFERROR(CK121,"")</f>
        <v>0</v>
      </c>
      <c r="CC121" s="1110" t="e">
        <f t="shared" si="470">INDEX($AZ$8:$AZ$153,MATCH(BP121,$BO$8:$BO$153,0))</f>
        <v>#VALUE!</v>
      </c>
      <c r="CD121" s="1087" t="e">
        <f t="shared" si="471">INDEX($BA$8:$BA$153,MATCH(BP121,$BO$8:$BO$153,0))</f>
        <v>#VALUE!</v>
      </c>
      <c r="CE121" s="1106" t="e">
        <f t="shared" si="472">INDEX($BB$8:$BB$153,MATCH(BP121,$BO$8:$BO$153,0))</f>
        <v>#VALUE!</v>
      </c>
      <c r="CF121" s="1106" t="e">
        <f t="shared" si="473">INDEX(BC$8:BC$153,MATCH(BP121,$BO$8:$BO$153,0))</f>
        <v>#VALUE!</v>
      </c>
      <c r="CG121" s="1118" t="e">
        <f t="shared" si="474">INDEX(BE$8:BE$153,MATCH(BP121,$BO$8:$BO$153,0))</f>
        <v>#VALUE!</v>
      </c>
      <c r="CH121" s="1106" t="e">
        <f t="shared" si="475">INDEX($BD$8:$BD$153,MATCH($BP121,$BO$8:$BO$153,0))</f>
        <v>#VALUE!</v>
      </c>
      <c r="CI121" s="1142" t="e">
        <f t="shared" si="476">INDEX($BF$8:$BF$153,MATCH(BP121,$BO$8:$BO$153,0))</f>
        <v>#VALUE!</v>
      </c>
      <c r="CJ121" s="1106" t="e">
        <f t="shared" si="477">INDEX($BG$8:$BG$153,MATCH(BP121,$BO$8:$BO$153,0))</f>
        <v>#VALUE!</v>
      </c>
      <c r="CK121" s="1106" t="e">
        <f t="shared" si="478">INDEX($BH$8:$BH$153,MATCH(BP121,$BO$8:$BO$153,0))</f>
        <v>#VALUE!</v>
      </c>
      <c r="CM121" s="1131">
        <f t="shared" si="479">COUNTIF($CH$8:$CH$228,"&lt;="&amp;CH121)</f>
        <v>145</v>
      </c>
      <c r="CN121" s="1121">
        <f t="shared" si="544">--ISNUMBER(BX121)</f>
        <v>0</v>
      </c>
      <c r="CO121" s="1121">
        <f t="shared" si="545">IF(BX121=0,1,0)</f>
        <v>0</v>
      </c>
      <c r="CP121" s="1124">
        <f t="shared" si="546">IF(ISNUMBER(BX121),CM121,IF(ISERROR(BX121),CM121,CM121+$CN$154))+$CO$154</f>
        <v>145</v>
      </c>
      <c r="CQ121" s="237">
        <f>IFERROR(INDEX($BX$8:$BX$153,MATCH(SMALL($CP$8:$CP$153,ROWS($CQ$8:CQ121)+$CO$154),$CP$8:$CP$154,0)),"")</f>
        <v>0</v>
      </c>
      <c r="CR121" s="237">
        <v>0.1</v>
      </c>
      <c r="CS121" s="1135">
        <f t="shared" si="547">CM121+CR121</f>
        <v>145.1</v>
      </c>
      <c r="CT121" s="237">
        <f>COUNTIFS($CM:$CM, CM121,$CS:$CS, "&lt;"&amp;CL)+COUNTIFS(CM$8:CM121, CM121, CS$8:CS121, CS121)</f>
        <v>114</v>
      </c>
      <c r="CU121" s="1109">
        <f t="shared" si="548">CT121/100</f>
        <v>1.14</v>
      </c>
      <c r="CV121" s="1109">
        <f t="shared" si="549">CM121+CU121</f>
        <v>146.14</v>
      </c>
      <c r="CW121" s="237" t="e">
        <f t="shared" si="480">SMALL(CV$8:CV$153,AX121)</f>
        <v>#VALUE!</v>
      </c>
      <c r="CX121" s="1109">
        <f t="shared" si="550">IFERROR(CW121,"")</f>
        <v>0</v>
      </c>
      <c r="CY121" s="237" t="e">
        <f t="shared" si="481">INDEX(BU$8:BU$152,MATCH($CX121,CV$8:CV$152,0))</f>
        <v>#N/A</v>
      </c>
      <c r="CZ121" s="237" t="e">
        <f t="shared" si="482">INDEX(BV$8:BV$152,MATCH($CX121,$CV$8:$CV$152,0))</f>
        <v>#N/A</v>
      </c>
      <c r="DA121" s="237" t="e">
        <f t="shared" si="483">INDEX(BW$8:BW$152,MATCH($CX121,$CV$8:$CV$152,0))</f>
        <v>#N/A</v>
      </c>
      <c r="DB121" s="237" t="e">
        <f t="shared" si="484">INDEX(BX$8:BX$152,MATCH($CX121,$CV$8:$CV$152,0))</f>
        <v>#N/A</v>
      </c>
      <c r="DC121" s="237" t="e">
        <f t="shared" si="485">INDEX(BY$8:BY$152,MATCH($CX121,$CV$8:$CV$152,0))</f>
        <v>#N/A</v>
      </c>
      <c r="DD121" s="237" t="e">
        <f t="shared" si="486">INDEX(BZ$8:BZ$152,MATCH($CX121,$CV$8:$CV$152,0))</f>
        <v>#N/A</v>
      </c>
      <c r="DE121" s="237" t="e">
        <f t="shared" si="487">INDEX(CA$8:CA$152,MATCH($CX121,$CV$8:$CV$152,0))</f>
        <v>#N/A</v>
      </c>
      <c r="DF121" s="237" t="e">
        <f t="shared" si="488">INDEX(CB$8:CB$152,MATCH($CX121,$CV$8:$CV$152,0))</f>
        <v>#N/A</v>
      </c>
    </row>
    <row r="122" spans="1:110">
      <c r="A122" s="1216">
        <v>10</v>
      </c>
      <c r="B122" s="1510"/>
      <c r="C122" s="1022"/>
      <c r="D122" s="1022"/>
      <c r="E122" s="1022"/>
      <c r="F122" s="1022"/>
      <c r="G122" s="1022"/>
      <c r="H122" s="1022"/>
      <c r="I122" s="1475"/>
      <c r="J122" s="1020"/>
      <c r="K122" s="253"/>
      <c r="L122" s="254"/>
      <c r="M122" s="255">
        <f t="shared" si="500">K122*L122</f>
        <v>0</v>
      </c>
      <c r="AM122" s="1077">
        <f t="shared" si="501">IF(M122&gt;0,1,0)</f>
        <v>0</v>
      </c>
      <c r="AN122" s="1096">
        <f>IF(K122&gt;0,COUNTIF(AM$8:AM122,"&gt;0"),0)</f>
        <v>0</v>
      </c>
      <c r="AO122" s="1078">
        <f t="shared" si="502">B122</f>
        <v>0</v>
      </c>
      <c r="AP122" s="1079">
        <f t="shared" si="503">C122</f>
        <v>0</v>
      </c>
      <c r="AQ122" s="1080">
        <f t="shared" si="504">IF(I122&lt;&gt;"",YEAR(I122),"")</f>
        <v>0</v>
      </c>
      <c r="AR122" s="1080">
        <f t="shared" si="496">IF(E122&lt;&gt;"",E122,"")</f>
        <v>0</v>
      </c>
      <c r="AS122" s="1078">
        <f t="shared" si="386">F122</f>
        <v>0</v>
      </c>
      <c r="AT122" s="1080">
        <f t="shared" si="497">IF(H122&lt;&gt;"",H122,"")</f>
        <v>0</v>
      </c>
      <c r="AU122" s="1080">
        <f t="shared" si="498">J122</f>
        <v>0</v>
      </c>
      <c r="AV122" s="1080">
        <f t="shared" si="505">K122</f>
        <v>0</v>
      </c>
      <c r="AW122" s="1081">
        <f t="shared" si="506">M122</f>
        <v>0</v>
      </c>
      <c r="AX122" s="237">
        <f>IF(AZ122&lt;&gt;"",AX116+1,"")</f>
        <v>0</v>
      </c>
      <c r="AY122" s="1087">
        <v>114</v>
      </c>
      <c r="AZ122" s="1087">
        <f t="shared" si="387">IF(ISNA(VLOOKUP(AY122,$AN$8:$AW$148,2,False))=True,"",VLOOKUP(AY122,$AN$8:$AW$148,2,False))</f>
        <v>0</v>
      </c>
      <c r="BA122" s="1087">
        <f t="shared" si="388">IF(ISNA(VLOOKUP(AZ122,$AE$8:$AF$46,2,False))=True,"",VLOOKUP(AZ122,$AE$8:$AF$46,2,False))</f>
        <v>0</v>
      </c>
      <c r="BB122" s="1087">
        <f t="shared" si="389">IF(ISNA(VLOOKUP(AY122,$AN$8:$AW$148,4,False))=True,"",VLOOKUP(AY122,$AN$8:$AW$148,4,False))</f>
        <v>0</v>
      </c>
      <c r="BC122" s="1087">
        <f t="shared" si="390">IF(ISNA(VLOOKUP(AY122,$AN$8:$AW$148,5,False))=True,"",VLOOKUP(AY122,$AN$8:$AW$148,5,False))</f>
        <v>0</v>
      </c>
      <c r="BD122" s="1087" t="str">
        <f t="shared" si="467">IF(ISNA(VLOOKUP(AY122,$AN$8:$AW$148,6,False))=True,"0",VLOOKUP(AY122,$AN$8:$AW$148,6,False))</f>
        <v>0</v>
      </c>
      <c r="BE122" s="1125">
        <f t="shared" si="391">IF(ISNA(VLOOKUP(AY122,$AN$8:$AW$148,7,False))=True,"",VLOOKUP(AY122,$AN$8:$AW$148,7,False))</f>
        <v>0</v>
      </c>
      <c r="BF122" s="1123">
        <f t="shared" si="395">IF(ISNA(VLOOKUP($AY122,$AN$8:$AW$148,8,False))=True,"",VLOOKUP($AY122,$AN$8:$AW$148,8,False))</f>
        <v>0</v>
      </c>
      <c r="BG122" s="1120">
        <f t="shared" si="396">IF(ISNA(VLOOKUP($AY122,$AN$8:$AW$148,9,False))=True,"",VLOOKUP($AY122,$AN$8:$AW$148,9,False))</f>
        <v>0</v>
      </c>
      <c r="BH122" s="1120">
        <f t="shared" si="397">IF(ISNA(VLOOKUP($AY122,$AN$8:$AW$148,10,False))=True,"",VLOOKUP($AY122,$AN$8:$AW$148,10,False))</f>
        <v>0</v>
      </c>
      <c r="BI122" s="250">
        <f t="shared" si="270">IF(AZ122&lt;&gt;"",AZ122,"")</f>
        <v>0</v>
      </c>
      <c r="BJ122" s="1098">
        <f t="shared" si="271">BI122</f>
        <v>0</v>
      </c>
      <c r="BK122" s="1115">
        <f>COUNTIFS($AZ:$AZ, AZ122,$BJ:$BJ, "&lt;"&amp;BJ122)+COUNTIFS(AZ$8:AZ122, AZ122, BJ$8:BJ122, BJ122)</f>
        <v>115</v>
      </c>
      <c r="BL122" s="1114">
        <f t="shared" si="272">BK122/100</f>
        <v>1.15</v>
      </c>
      <c r="BM122" s="1093" t="e">
        <f t="shared" si="557" ref="BM122">BJ122+BL122</f>
        <v>#VALUE!</v>
      </c>
      <c r="BN122" s="1101">
        <f t="shared" si="416">IF(BA122&lt;&gt;"",BM122,"")</f>
        <v>0</v>
      </c>
      <c r="BO122" s="1118">
        <f t="shared" si="275">IF(BN122&lt;&gt;"",BN122,0)</f>
        <v>0</v>
      </c>
      <c r="BP122" s="237" t="e">
        <f t="shared" si="469">SMALL($BN$8:$BN$152,AX122)</f>
        <v>#VALUE!</v>
      </c>
      <c r="BR122" s="1102" t="e">
        <f>IF(BP122&lt;&gt;"",BR116+1,"")</f>
        <v>#VALUE!</v>
      </c>
      <c r="BS122" s="1102">
        <f t="shared" si="276">IFERROR(BP122,"")</f>
        <v>0</v>
      </c>
      <c r="BT122" s="1102">
        <f t="shared" si="277">IFERROR(CC122,"")</f>
        <v>0</v>
      </c>
      <c r="BU122" s="1098">
        <f t="shared" si="278">IFERROR(CD122,"")</f>
        <v>0</v>
      </c>
      <c r="BV122" s="1098">
        <f t="shared" si="279">IFERROR(CE122,"")</f>
        <v>0</v>
      </c>
      <c r="BW122" s="1098">
        <f t="shared" si="280">IFERROR(CF122,"")</f>
        <v>0</v>
      </c>
      <c r="BX122" s="1146">
        <f t="shared" si="281">IFERROR(CH122,"")</f>
        <v>0</v>
      </c>
      <c r="BY122" s="1098">
        <f t="shared" si="282">IFERROR(CG122,"")</f>
        <v>0</v>
      </c>
      <c r="BZ122" s="1144" t="str">
        <f t="shared" si="283">IFERROR(CI122,"-")</f>
        <v>-</v>
      </c>
      <c r="CA122" s="1107">
        <f t="shared" si="284">IFERROR(CJ122,"")</f>
        <v>0</v>
      </c>
      <c r="CB122" s="1107">
        <f t="shared" si="285">IFERROR(CK122,"")</f>
        <v>0</v>
      </c>
      <c r="CC122" s="1110" t="e">
        <f t="shared" si="470">INDEX($AZ$8:$AZ$153,MATCH(BP122,$BO$8:$BO$153,0))</f>
        <v>#VALUE!</v>
      </c>
      <c r="CD122" s="1087" t="e">
        <f t="shared" si="471">INDEX($BA$8:$BA$153,MATCH(BP122,$BO$8:$BO$153,0))</f>
        <v>#VALUE!</v>
      </c>
      <c r="CE122" s="1106" t="e">
        <f t="shared" si="472">INDEX($BB$8:$BB$153,MATCH(BP122,$BO$8:$BO$153,0))</f>
        <v>#VALUE!</v>
      </c>
      <c r="CF122" s="1106" t="e">
        <f t="shared" si="473">INDEX(BC$8:BC$153,MATCH(BP122,$BO$8:$BO$153,0))</f>
        <v>#VALUE!</v>
      </c>
      <c r="CG122" s="1118" t="e">
        <f t="shared" si="474">INDEX(BE$8:BE$153,MATCH(BP122,$BO$8:$BO$153,0))</f>
        <v>#VALUE!</v>
      </c>
      <c r="CH122" s="1106" t="e">
        <f t="shared" si="475">INDEX($BD$8:$BD$153,MATCH($BP122,$BO$8:$BO$153,0))</f>
        <v>#VALUE!</v>
      </c>
      <c r="CI122" s="1142" t="e">
        <f t="shared" si="476">INDEX($BF$8:$BF$153,MATCH(BP122,$BO$8:$BO$153,0))</f>
        <v>#VALUE!</v>
      </c>
      <c r="CJ122" s="1106" t="e">
        <f t="shared" si="477">INDEX($BG$8:$BG$153,MATCH(BP122,$BO$8:$BO$153,0))</f>
        <v>#VALUE!</v>
      </c>
      <c r="CK122" s="1106" t="e">
        <f t="shared" si="478">INDEX($BH$8:$BH$153,MATCH(BP122,$BO$8:$BO$153,0))</f>
        <v>#VALUE!</v>
      </c>
      <c r="CM122" s="1131">
        <f t="shared" si="479">COUNTIF($CH$8:$CH$228,"&lt;="&amp;CH122)</f>
        <v>145</v>
      </c>
      <c r="CN122" s="1121">
        <f t="shared" si="286">--ISNUMBER(BX122)</f>
        <v>0</v>
      </c>
      <c r="CO122" s="1121">
        <f t="shared" si="287">IF(BX122=0,1,0)</f>
        <v>0</v>
      </c>
      <c r="CP122" s="1124">
        <f t="shared" si="393">IF(ISNUMBER(BX122),CM122,IF(ISERROR(BX122),CM122,CM122+$CN$154))+$CO$154</f>
        <v>145</v>
      </c>
      <c r="CQ122" s="237">
        <f>IFERROR(INDEX($BX$8:$BX$153,MATCH(SMALL($CP$8:$CP$153,ROWS($CQ$8:CQ122)+$CO$154),$CP$8:$CP$154,0)),"")</f>
        <v>0</v>
      </c>
      <c r="CR122" s="237">
        <v>0.1</v>
      </c>
      <c r="CS122" s="1135">
        <f t="shared" si="288">CM122+CR122</f>
        <v>145.1</v>
      </c>
      <c r="CT122" s="237">
        <f>COUNTIFS($CM:$CM, CM122,$CS:$CS, "&lt;"&amp;CL)+COUNTIFS(CM$8:CM122, CM122, CS$8:CS122, CS122)</f>
        <v>115</v>
      </c>
      <c r="CU122" s="1109">
        <f t="shared" si="289">CT122/100</f>
        <v>1.15</v>
      </c>
      <c r="CV122" s="1109">
        <f t="shared" si="290">CM122+CU122</f>
        <v>146.15</v>
      </c>
      <c r="CW122" s="237" t="e">
        <f t="shared" si="480">SMALL(CV$8:CV$153,AX122)</f>
        <v>#VALUE!</v>
      </c>
      <c r="CX122" s="1109">
        <f t="shared" si="291">IFERROR(CW122,"")</f>
        <v>0</v>
      </c>
      <c r="CY122" s="237" t="e">
        <f t="shared" si="481">INDEX(BU$8:BU$152,MATCH($CX122,CV$8:CV$152,0))</f>
        <v>#N/A</v>
      </c>
      <c r="CZ122" s="237" t="e">
        <f t="shared" si="482">INDEX(BV$8:BV$152,MATCH($CX122,$CV$8:$CV$152,0))</f>
        <v>#N/A</v>
      </c>
      <c r="DA122" s="237" t="e">
        <f t="shared" si="483">INDEX(BW$8:BW$152,MATCH($CX122,$CV$8:$CV$152,0))</f>
        <v>#N/A</v>
      </c>
      <c r="DB122" s="237" t="e">
        <f t="shared" si="484">INDEX(BX$8:BX$152,MATCH($CX122,$CV$8:$CV$152,0))</f>
        <v>#N/A</v>
      </c>
      <c r="DC122" s="237" t="e">
        <f t="shared" si="485">INDEX(BY$8:BY$152,MATCH($CX122,$CV$8:$CV$152,0))</f>
        <v>#N/A</v>
      </c>
      <c r="DD122" s="237" t="e">
        <f t="shared" si="486">INDEX(BZ$8:BZ$152,MATCH($CX122,$CV$8:$CV$152,0))</f>
        <v>#N/A</v>
      </c>
      <c r="DE122" s="237" t="e">
        <f t="shared" si="487">INDEX(CA$8:CA$152,MATCH($CX122,$CV$8:$CV$152,0))</f>
        <v>#N/A</v>
      </c>
      <c r="DF122" s="237" t="e">
        <f t="shared" si="488">INDEX(CB$8:CB$152,MATCH($CX122,$CV$8:$CV$152,0))</f>
        <v>#N/A</v>
      </c>
    </row>
    <row r="123" spans="1:110">
      <c r="A123" s="1216">
        <v>11</v>
      </c>
      <c r="B123" s="1510"/>
      <c r="C123" s="1022"/>
      <c r="D123" s="1022"/>
      <c r="E123" s="1022"/>
      <c r="F123" s="1022"/>
      <c r="G123" s="1022"/>
      <c r="H123" s="1022"/>
      <c r="I123" s="1475"/>
      <c r="J123" s="1020"/>
      <c r="K123" s="253"/>
      <c r="L123" s="254"/>
      <c r="M123" s="255">
        <f t="shared" si="500">K123*L123</f>
        <v>0</v>
      </c>
      <c r="AM123" s="1082">
        <f t="shared" si="501">IF(M123&gt;0,1,0)</f>
        <v>0</v>
      </c>
      <c r="AN123" s="1096">
        <f>IF(AM123&gt;0,COUNTIF(AM$8:AM123,"&gt;0"),0)</f>
        <v>0</v>
      </c>
      <c r="AO123" s="1083">
        <f t="shared" si="502">B123</f>
        <v>0</v>
      </c>
      <c r="AP123" s="1084">
        <f t="shared" si="503">C123</f>
        <v>0</v>
      </c>
      <c r="AQ123" s="1085">
        <f t="shared" si="504">IF(I123&lt;&gt;"",YEAR(I123),"")</f>
        <v>0</v>
      </c>
      <c r="AR123" s="1080">
        <f t="shared" si="496">IF(E123&lt;&gt;"",E123,"")</f>
        <v>0</v>
      </c>
      <c r="AS123" s="1078">
        <f t="shared" si="386">F123</f>
        <v>0</v>
      </c>
      <c r="AT123" s="1080">
        <f t="shared" si="497">IF(H123&lt;&gt;"",H123,"")</f>
        <v>0</v>
      </c>
      <c r="AU123" s="1080">
        <f t="shared" si="498">J123</f>
        <v>0</v>
      </c>
      <c r="AV123" s="1080">
        <f t="shared" si="505">K123</f>
        <v>0</v>
      </c>
      <c r="AW123" s="1086">
        <f t="shared" si="506">M123</f>
        <v>0</v>
      </c>
      <c r="AX123" s="237">
        <f t="shared" si="292">IF(AZ123&lt;&gt;"",AX122+1,"")</f>
        <v>0</v>
      </c>
      <c r="AY123" s="1087">
        <v>115</v>
      </c>
      <c r="AZ123" s="1087">
        <f t="shared" si="387">IF(ISNA(VLOOKUP(AY123,$AN$8:$AW$148,2,False))=True,"",VLOOKUP(AY123,$AN$8:$AW$148,2,False))</f>
        <v>0</v>
      </c>
      <c r="BA123" s="1087">
        <f t="shared" si="388">IF(ISNA(VLOOKUP(AZ123,$AE$8:$AF$46,2,False))=True,"",VLOOKUP(AZ123,$AE$8:$AF$46,2,False))</f>
        <v>0</v>
      </c>
      <c r="BB123" s="1087">
        <f t="shared" si="389">IF(ISNA(VLOOKUP(AY123,$AN$8:$AW$148,4,False))=True,"",VLOOKUP(AY123,$AN$8:$AW$148,4,False))</f>
        <v>0</v>
      </c>
      <c r="BC123" s="1087">
        <f t="shared" si="390">IF(ISNA(VLOOKUP(AY123,$AN$8:$AW$148,5,False))=True,"",VLOOKUP(AY123,$AN$8:$AW$148,5,False))</f>
        <v>0</v>
      </c>
      <c r="BD123" s="1087" t="str">
        <f t="shared" si="467">IF(ISNA(VLOOKUP(AY123,$AN$8:$AW$148,6,False))=True,"0",VLOOKUP(AY123,$AN$8:$AW$148,6,False))</f>
        <v>0</v>
      </c>
      <c r="BE123" s="1125">
        <f t="shared" si="391">IF(ISNA(VLOOKUP(AY123,$AN$8:$AW$148,7,False))=True,"",VLOOKUP(AY123,$AN$8:$AW$148,7,False))</f>
        <v>0</v>
      </c>
      <c r="BF123" s="1123">
        <f t="shared" si="395">IF(ISNA(VLOOKUP($AY123,$AN$8:$AW$148,8,False))=True,"",VLOOKUP($AY123,$AN$8:$AW$148,8,False))</f>
        <v>0</v>
      </c>
      <c r="BG123" s="1120">
        <f t="shared" si="396">IF(ISNA(VLOOKUP($AY123,$AN$8:$AW$148,9,False))=True,"",VLOOKUP($AY123,$AN$8:$AW$148,9,False))</f>
        <v>0</v>
      </c>
      <c r="BH123" s="1120">
        <f t="shared" si="397">IF(ISNA(VLOOKUP($AY123,$AN$8:$AW$148,10,False))=True,"",VLOOKUP($AY123,$AN$8:$AW$148,10,False))</f>
        <v>0</v>
      </c>
      <c r="BI123" s="250">
        <f t="shared" si="270">IF(AZ123&lt;&gt;"",AZ123,"")</f>
        <v>0</v>
      </c>
      <c r="BJ123" s="1098">
        <f t="shared" si="271">BI123</f>
        <v>0</v>
      </c>
      <c r="BK123" s="1115">
        <f>COUNTIFS($AZ:$AZ, AZ123,$BJ:$BJ, "&lt;"&amp;BJ123)+COUNTIFS(AZ$8:AZ123, AZ123, BJ$8:BJ123, BJ123)</f>
        <v>116</v>
      </c>
      <c r="BL123" s="1114">
        <f t="shared" si="272">BK123/100</f>
        <v>1.16</v>
      </c>
      <c r="BM123" s="1093" t="e">
        <f t="shared" si="558" ref="BM123">BI123+BL123</f>
        <v>#VALUE!</v>
      </c>
      <c r="BN123" s="1101">
        <f t="shared" si="416">IF(BA123&lt;&gt;"",BM123,"")</f>
        <v>0</v>
      </c>
      <c r="BO123" s="1118">
        <f t="shared" si="275">IF(BN123&lt;&gt;"",BN123,0)</f>
        <v>0</v>
      </c>
      <c r="BP123" s="237" t="e">
        <f t="shared" si="469">SMALL($BN$8:$BN$152,AX123)</f>
        <v>#VALUE!</v>
      </c>
      <c r="BR123" s="1102" t="e">
        <f t="shared" si="465">IF(BP123&lt;&gt;"",BR122+1,"")</f>
        <v>#VALUE!</v>
      </c>
      <c r="BS123" s="1102">
        <f t="shared" si="276">IFERROR(BP123,"")</f>
        <v>0</v>
      </c>
      <c r="BT123" s="1102">
        <f t="shared" si="277">IFERROR(CC123,"")</f>
        <v>0</v>
      </c>
      <c r="BU123" s="1098">
        <f t="shared" si="278">IFERROR(CD123,"")</f>
        <v>0</v>
      </c>
      <c r="BV123" s="1098">
        <f t="shared" si="279">IFERROR(CE123,"")</f>
        <v>0</v>
      </c>
      <c r="BW123" s="1098">
        <f t="shared" si="280">IFERROR(CF123,"")</f>
        <v>0</v>
      </c>
      <c r="BX123" s="1146">
        <f t="shared" si="281">IFERROR(CH123,"")</f>
        <v>0</v>
      </c>
      <c r="BY123" s="1098">
        <f t="shared" si="282">IFERROR(CG123,"")</f>
        <v>0</v>
      </c>
      <c r="BZ123" s="1144" t="str">
        <f t="shared" si="283">IFERROR(CI123,"-")</f>
        <v>-</v>
      </c>
      <c r="CA123" s="1107">
        <f t="shared" si="284">IFERROR(CJ123,"")</f>
        <v>0</v>
      </c>
      <c r="CB123" s="1107">
        <f t="shared" si="285">IFERROR(CK123,"")</f>
        <v>0</v>
      </c>
      <c r="CC123" s="1110" t="e">
        <f t="shared" si="470">INDEX($AZ$8:$AZ$153,MATCH(BP123,$BO$8:$BO$153,0))</f>
        <v>#VALUE!</v>
      </c>
      <c r="CD123" s="1087" t="e">
        <f t="shared" si="471">INDEX($BA$8:$BA$153,MATCH(BP123,$BO$8:$BO$153,0))</f>
        <v>#VALUE!</v>
      </c>
      <c r="CE123" s="1106" t="e">
        <f t="shared" si="472">INDEX($BB$8:$BB$153,MATCH(BP123,$BO$8:$BO$153,0))</f>
        <v>#VALUE!</v>
      </c>
      <c r="CF123" s="1106" t="e">
        <f t="shared" si="473">INDEX(BC$8:BC$153,MATCH(BP123,$BO$8:$BO$153,0))</f>
        <v>#VALUE!</v>
      </c>
      <c r="CG123" s="1118" t="e">
        <f t="shared" si="474">INDEX(BE$8:BE$153,MATCH(BP123,$BO$8:$BO$153,0))</f>
        <v>#VALUE!</v>
      </c>
      <c r="CH123" s="1106" t="e">
        <f t="shared" si="475">INDEX($BD$8:$BD$153,MATCH($BP123,$BO$8:$BO$153,0))</f>
        <v>#VALUE!</v>
      </c>
      <c r="CI123" s="1142" t="e">
        <f t="shared" si="476">INDEX($BF$8:$BF$153,MATCH(BP123,$BO$8:$BO$153,0))</f>
        <v>#VALUE!</v>
      </c>
      <c r="CJ123" s="1106" t="e">
        <f t="shared" si="477">INDEX($BG$8:$BG$153,MATCH(BP123,$BO$8:$BO$153,0))</f>
        <v>#VALUE!</v>
      </c>
      <c r="CK123" s="1106" t="e">
        <f t="shared" si="478">INDEX($BH$8:$BH$153,MATCH(BP123,$BO$8:$BO$153,0))</f>
        <v>#VALUE!</v>
      </c>
      <c r="CM123" s="1131">
        <f t="shared" si="479">COUNTIF($CH$8:$CH$228,"&lt;="&amp;CH123)</f>
        <v>145</v>
      </c>
      <c r="CN123" s="1121">
        <f t="shared" si="286">--ISNUMBER(BX123)</f>
        <v>0</v>
      </c>
      <c r="CO123" s="1121">
        <f t="shared" si="287">IF(BX123=0,1,0)</f>
        <v>0</v>
      </c>
      <c r="CP123" s="1124">
        <f t="shared" si="393">IF(ISNUMBER(BX123),CM123,IF(ISERROR(BX123),CM123,CM123+$CN$154))+$CO$154</f>
        <v>145</v>
      </c>
      <c r="CQ123" s="237">
        <f>IFERROR(INDEX($BX$8:$BX$153,MATCH(SMALL($CP$8:$CP$153,ROWS($CQ$8:CQ123)+$CO$154),$CP$8:$CP$154,0)),"")</f>
        <v>0</v>
      </c>
      <c r="CR123" s="237">
        <v>0.1</v>
      </c>
      <c r="CS123" s="1135">
        <f t="shared" si="288">CM123+CR123</f>
        <v>145.1</v>
      </c>
      <c r="CT123" s="237">
        <f>COUNTIFS($CM:$CM, CM123,$CS:$CS, "&lt;"&amp;CL)+COUNTIFS(CM$8:CM123, CM123, CS$8:CS123, CS123)</f>
        <v>116</v>
      </c>
      <c r="CU123" s="1109">
        <f t="shared" si="289">CT123/100</f>
        <v>1.16</v>
      </c>
      <c r="CV123" s="1109">
        <f t="shared" si="290">CM123+CU123</f>
        <v>146.16</v>
      </c>
      <c r="CW123" s="237" t="e">
        <f t="shared" si="480">SMALL(CV$8:CV$153,AX123)</f>
        <v>#VALUE!</v>
      </c>
      <c r="CX123" s="1109">
        <f t="shared" si="291">IFERROR(CW123,"")</f>
        <v>0</v>
      </c>
      <c r="CY123" s="237" t="e">
        <f t="shared" si="481">INDEX(BU$8:BU$152,MATCH($CX123,CV$8:CV$152,0))</f>
        <v>#N/A</v>
      </c>
      <c r="CZ123" s="237" t="e">
        <f t="shared" si="482">INDEX(BV$8:BV$152,MATCH($CX123,$CV$8:$CV$152,0))</f>
        <v>#N/A</v>
      </c>
      <c r="DA123" s="237" t="e">
        <f t="shared" si="483">INDEX(BW$8:BW$152,MATCH($CX123,$CV$8:$CV$152,0))</f>
        <v>#N/A</v>
      </c>
      <c r="DB123" s="237" t="e">
        <f t="shared" si="484">INDEX(BX$8:BX$152,MATCH($CX123,$CV$8:$CV$152,0))</f>
        <v>#N/A</v>
      </c>
      <c r="DC123" s="237" t="e">
        <f t="shared" si="485">INDEX(BY$8:BY$152,MATCH($CX123,$CV$8:$CV$152,0))</f>
        <v>#N/A</v>
      </c>
      <c r="DD123" s="237" t="e">
        <f t="shared" si="486">INDEX(BZ$8:BZ$152,MATCH($CX123,$CV$8:$CV$152,0))</f>
        <v>#N/A</v>
      </c>
      <c r="DE123" s="237" t="e">
        <f t="shared" si="487">INDEX(CA$8:CA$152,MATCH($CX123,$CV$8:$CV$152,0))</f>
        <v>#N/A</v>
      </c>
      <c r="DF123" s="237" t="e">
        <f t="shared" si="488">INDEX(CB$8:CB$152,MATCH($CX123,$CV$8:$CV$152,0))</f>
        <v>#N/A</v>
      </c>
    </row>
    <row r="124" spans="1:110">
      <c r="A124" s="1216">
        <v>12</v>
      </c>
      <c r="B124" s="1510"/>
      <c r="C124" s="1022"/>
      <c r="D124" s="1022"/>
      <c r="E124" s="1022"/>
      <c r="F124" s="1022"/>
      <c r="G124" s="1022"/>
      <c r="H124" s="1022"/>
      <c r="I124" s="1475"/>
      <c r="J124" s="1020"/>
      <c r="K124" s="253"/>
      <c r="L124" s="254"/>
      <c r="M124" s="255">
        <f t="shared" si="500">K124*L124</f>
        <v>0</v>
      </c>
      <c r="AM124" s="1077">
        <f t="shared" si="501">IF(M124&gt;0,1,0)</f>
        <v>0</v>
      </c>
      <c r="AN124" s="1096">
        <f>IF(AM124&gt;0,COUNTIF(AM$8:AM124,"&gt;0"),0)</f>
        <v>0</v>
      </c>
      <c r="AO124" s="1078">
        <f t="shared" si="502">B124</f>
        <v>0</v>
      </c>
      <c r="AP124" s="1079">
        <f t="shared" si="503">C124</f>
        <v>0</v>
      </c>
      <c r="AQ124" s="1080">
        <f t="shared" si="504">IF(I124&lt;&gt;"",YEAR(I124),"")</f>
        <v>0</v>
      </c>
      <c r="AR124" s="1080">
        <f t="shared" si="496">IF(E124&lt;&gt;"",E124,"")</f>
        <v>0</v>
      </c>
      <c r="AS124" s="1078">
        <f t="shared" si="386">F124</f>
        <v>0</v>
      </c>
      <c r="AT124" s="1080">
        <f t="shared" si="497">IF(H124&lt;&gt;"",H124,"")</f>
        <v>0</v>
      </c>
      <c r="AU124" s="1080">
        <f t="shared" si="498">J124</f>
        <v>0</v>
      </c>
      <c r="AV124" s="1080">
        <f t="shared" si="505">K124</f>
        <v>0</v>
      </c>
      <c r="AW124" s="1081">
        <f t="shared" si="506">M124</f>
        <v>0</v>
      </c>
      <c r="AX124" s="237">
        <f t="shared" si="292">IF(AZ124&lt;&gt;"",AX123+1,"")</f>
        <v>0</v>
      </c>
      <c r="AY124" s="1087">
        <v>116</v>
      </c>
      <c r="AZ124" s="1087">
        <f t="shared" si="387">IF(ISNA(VLOOKUP(AY124,$AN$8:$AW$148,2,False))=True,"",VLOOKUP(AY124,$AN$8:$AW$148,2,False))</f>
        <v>0</v>
      </c>
      <c r="BA124" s="1087">
        <f t="shared" si="388">IF(ISNA(VLOOKUP(AZ124,$AE$8:$AF$46,2,False))=True,"",VLOOKUP(AZ124,$AE$8:$AF$46,2,False))</f>
        <v>0</v>
      </c>
      <c r="BB124" s="1087">
        <f t="shared" si="389">IF(ISNA(VLOOKUP(AY124,$AN$8:$AW$148,4,False))=True,"",VLOOKUP(AY124,$AN$8:$AW$148,4,False))</f>
        <v>0</v>
      </c>
      <c r="BC124" s="1087">
        <f t="shared" si="390">IF(ISNA(VLOOKUP(AY124,$AN$8:$AW$148,5,False))=True,"",VLOOKUP(AY124,$AN$8:$AW$148,5,False))</f>
        <v>0</v>
      </c>
      <c r="BD124" s="1087" t="str">
        <f t="shared" si="467">IF(ISNA(VLOOKUP(AY124,$AN$8:$AW$148,6,False))=True,"0",VLOOKUP(AY124,$AN$8:$AW$148,6,False))</f>
        <v>0</v>
      </c>
      <c r="BE124" s="1125">
        <f t="shared" si="391">IF(ISNA(VLOOKUP(AY124,$AN$8:$AW$148,7,False))=True,"",VLOOKUP(AY124,$AN$8:$AW$148,7,False))</f>
        <v>0</v>
      </c>
      <c r="BF124" s="1123">
        <f t="shared" si="395">IF(ISNA(VLOOKUP($AY124,$AN$8:$AW$148,8,False))=True,"",VLOOKUP($AY124,$AN$8:$AW$148,8,False))</f>
        <v>0</v>
      </c>
      <c r="BG124" s="1120">
        <f t="shared" si="396">IF(ISNA(VLOOKUP($AY124,$AN$8:$AW$148,9,False))=True,"",VLOOKUP($AY124,$AN$8:$AW$148,9,False))</f>
        <v>0</v>
      </c>
      <c r="BH124" s="1120">
        <f t="shared" si="397">IF(ISNA(VLOOKUP($AY124,$AN$8:$AW$148,10,False))=True,"",VLOOKUP($AY124,$AN$8:$AW$148,10,False))</f>
        <v>0</v>
      </c>
      <c r="BI124" s="250">
        <f t="shared" si="270">IF(AZ124&lt;&gt;"",AZ124,"")</f>
        <v>0</v>
      </c>
      <c r="BJ124" s="1098">
        <f t="shared" si="271">BI124</f>
        <v>0</v>
      </c>
      <c r="BK124" s="1115">
        <f>COUNTIFS($AZ:$AZ, AZ124,$BJ:$BJ, "&lt;"&amp;BJ124)+COUNTIFS(AZ$8:AZ124, AZ124, BJ$8:BJ124, BJ124)</f>
        <v>117</v>
      </c>
      <c r="BL124" s="1114">
        <f t="shared" si="272">BK124/100</f>
        <v>1.17</v>
      </c>
      <c r="BM124" s="1093" t="e">
        <f t="shared" si="559" ref="BM124">BJ124+BL124</f>
        <v>#VALUE!</v>
      </c>
      <c r="BN124" s="1101">
        <f t="shared" si="416">IF(BA124&lt;&gt;"",BM124,"")</f>
        <v>0</v>
      </c>
      <c r="BO124" s="1118">
        <f t="shared" si="275">IF(BN124&lt;&gt;"",BN124,0)</f>
        <v>0</v>
      </c>
      <c r="BP124" s="237" t="e">
        <f t="shared" si="469">SMALL($BN$8:$BN$152,AX124)</f>
        <v>#VALUE!</v>
      </c>
      <c r="BR124" s="1102" t="e">
        <f t="shared" si="465">IF(BP124&lt;&gt;"",BR123+1,"")</f>
        <v>#VALUE!</v>
      </c>
      <c r="BS124" s="1102">
        <f t="shared" si="276">IFERROR(BP124,"")</f>
        <v>0</v>
      </c>
      <c r="BT124" s="1102">
        <f t="shared" si="277">IFERROR(CC124,"")</f>
        <v>0</v>
      </c>
      <c r="BU124" s="1098">
        <f t="shared" si="278">IFERROR(CD124,"")</f>
        <v>0</v>
      </c>
      <c r="BV124" s="1098">
        <f t="shared" si="279">IFERROR(CE124,"")</f>
        <v>0</v>
      </c>
      <c r="BW124" s="1098">
        <f t="shared" si="280">IFERROR(CF124,"")</f>
        <v>0</v>
      </c>
      <c r="BX124" s="1146">
        <f t="shared" si="281">IFERROR(CH124,"")</f>
        <v>0</v>
      </c>
      <c r="BY124" s="1098">
        <f t="shared" si="282">IFERROR(CG124,"")</f>
        <v>0</v>
      </c>
      <c r="BZ124" s="1144" t="str">
        <f t="shared" si="283">IFERROR(CI124,"-")</f>
        <v>-</v>
      </c>
      <c r="CA124" s="1107">
        <f t="shared" si="284">IFERROR(CJ124,"")</f>
        <v>0</v>
      </c>
      <c r="CB124" s="1107">
        <f t="shared" si="285">IFERROR(CK124,"")</f>
        <v>0</v>
      </c>
      <c r="CC124" s="1110" t="e">
        <f t="shared" si="470">INDEX($AZ$8:$AZ$153,MATCH(BP124,$BO$8:$BO$153,0))</f>
        <v>#VALUE!</v>
      </c>
      <c r="CD124" s="1087" t="e">
        <f t="shared" si="471">INDEX($BA$8:$BA$153,MATCH(BP124,$BO$8:$BO$153,0))</f>
        <v>#VALUE!</v>
      </c>
      <c r="CE124" s="1106" t="e">
        <f t="shared" si="472">INDEX($BB$8:$BB$153,MATCH(BP124,$BO$8:$BO$153,0))</f>
        <v>#VALUE!</v>
      </c>
      <c r="CF124" s="1106" t="e">
        <f t="shared" si="473">INDEX(BC$8:BC$153,MATCH(BP124,$BO$8:$BO$153,0))</f>
        <v>#VALUE!</v>
      </c>
      <c r="CG124" s="1118" t="e">
        <f t="shared" si="474">INDEX(BE$8:BE$153,MATCH(BP124,$BO$8:$BO$153,0))</f>
        <v>#VALUE!</v>
      </c>
      <c r="CH124" s="1106" t="e">
        <f t="shared" si="475">INDEX($BD$8:$BD$153,MATCH($BP124,$BO$8:$BO$153,0))</f>
        <v>#VALUE!</v>
      </c>
      <c r="CI124" s="1142" t="e">
        <f t="shared" si="476">INDEX($BF$8:$BF$153,MATCH(BP124,$BO$8:$BO$153,0))</f>
        <v>#VALUE!</v>
      </c>
      <c r="CJ124" s="1106" t="e">
        <f t="shared" si="477">INDEX($BG$8:$BG$153,MATCH(BP124,$BO$8:$BO$153,0))</f>
        <v>#VALUE!</v>
      </c>
      <c r="CK124" s="1106" t="e">
        <f t="shared" si="478">INDEX($BH$8:$BH$153,MATCH(BP124,$BO$8:$BO$153,0))</f>
        <v>#VALUE!</v>
      </c>
      <c r="CM124" s="1131">
        <f t="shared" si="479">COUNTIF($CH$8:$CH$228,"&lt;="&amp;CH124)</f>
        <v>145</v>
      </c>
      <c r="CN124" s="1121">
        <f t="shared" si="286">--ISNUMBER(BX124)</f>
        <v>0</v>
      </c>
      <c r="CO124" s="1121">
        <f t="shared" si="287">IF(BX124=0,1,0)</f>
        <v>0</v>
      </c>
      <c r="CP124" s="1124">
        <f t="shared" si="393">IF(ISNUMBER(BX124),CM124,IF(ISERROR(BX124),CM124,CM124+$CN$154))+$CO$154</f>
        <v>145</v>
      </c>
      <c r="CQ124" s="237">
        <f>IFERROR(INDEX($BX$8:$BX$153,MATCH(SMALL($CP$8:$CP$153,ROWS($CQ$8:CQ124)+$CO$154),$CP$8:$CP$154,0)),"")</f>
        <v>0</v>
      </c>
      <c r="CR124" s="237">
        <v>0.1</v>
      </c>
      <c r="CS124" s="1135">
        <f t="shared" si="288">CM124+CR124</f>
        <v>145.1</v>
      </c>
      <c r="CT124" s="237">
        <f>COUNTIFS($CM:$CM, CM124,$CS:$CS, "&lt;"&amp;CL)+COUNTIFS(CM$8:CM124, CM124, CS$8:CS124, CS124)</f>
        <v>117</v>
      </c>
      <c r="CU124" s="1109">
        <f t="shared" si="289">CT124/100</f>
        <v>1.17</v>
      </c>
      <c r="CV124" s="1109">
        <f t="shared" si="290">CM124+CU124</f>
        <v>146.17</v>
      </c>
      <c r="CW124" s="237" t="e">
        <f t="shared" si="480">SMALL(CV$8:CV$153,AX124)</f>
        <v>#VALUE!</v>
      </c>
      <c r="CX124" s="1109">
        <f t="shared" si="291">IFERROR(CW124,"")</f>
        <v>0</v>
      </c>
      <c r="CY124" s="237" t="e">
        <f t="shared" si="481">INDEX(BU$8:BU$152,MATCH($CX124,CV$8:CV$152,0))</f>
        <v>#N/A</v>
      </c>
      <c r="CZ124" s="237" t="e">
        <f t="shared" si="482">INDEX(BV$8:BV$152,MATCH($CX124,$CV$8:$CV$152,0))</f>
        <v>#N/A</v>
      </c>
      <c r="DA124" s="237" t="e">
        <f t="shared" si="483">INDEX(BW$8:BW$152,MATCH($CX124,$CV$8:$CV$152,0))</f>
        <v>#N/A</v>
      </c>
      <c r="DB124" s="237" t="e">
        <f t="shared" si="484">INDEX(BX$8:BX$152,MATCH($CX124,$CV$8:$CV$152,0))</f>
        <v>#N/A</v>
      </c>
      <c r="DC124" s="237" t="e">
        <f t="shared" si="485">INDEX(BY$8:BY$152,MATCH($CX124,$CV$8:$CV$152,0))</f>
        <v>#N/A</v>
      </c>
      <c r="DD124" s="237" t="e">
        <f t="shared" si="486">INDEX(BZ$8:BZ$152,MATCH($CX124,$CV$8:$CV$152,0))</f>
        <v>#N/A</v>
      </c>
      <c r="DE124" s="237" t="e">
        <f t="shared" si="487">INDEX(CA$8:CA$152,MATCH($CX124,$CV$8:$CV$152,0))</f>
        <v>#N/A</v>
      </c>
      <c r="DF124" s="237" t="e">
        <f t="shared" si="488">INDEX(CB$8:CB$152,MATCH($CX124,$CV$8:$CV$152,0))</f>
        <v>#N/A</v>
      </c>
    </row>
    <row r="125" spans="1:110">
      <c r="A125" s="1216">
        <v>13</v>
      </c>
      <c r="B125" s="1510"/>
      <c r="C125" s="1022"/>
      <c r="D125" s="1022"/>
      <c r="E125" s="1022"/>
      <c r="F125" s="1022"/>
      <c r="G125" s="1022"/>
      <c r="H125" s="1022"/>
      <c r="I125" s="1475"/>
      <c r="J125" s="1020"/>
      <c r="K125" s="253"/>
      <c r="L125" s="254"/>
      <c r="M125" s="255">
        <f t="shared" si="500">K125*L125</f>
        <v>0</v>
      </c>
      <c r="AM125" s="1077">
        <f t="shared" si="501">IF(M125&gt;0,1,0)</f>
        <v>0</v>
      </c>
      <c r="AN125" s="1096">
        <f>IF(K125&gt;0,COUNTIF(AM$8:AM125,"&gt;0"),0)</f>
        <v>0</v>
      </c>
      <c r="AO125" s="1078">
        <f t="shared" si="502">B125</f>
        <v>0</v>
      </c>
      <c r="AP125" s="1079">
        <f t="shared" si="503">C125</f>
        <v>0</v>
      </c>
      <c r="AQ125" s="1080">
        <f t="shared" si="504">IF(I125&lt;&gt;"",YEAR(I125),"")</f>
        <v>0</v>
      </c>
      <c r="AR125" s="1080">
        <f t="shared" si="496">IF(E125&lt;&gt;"",E125,"")</f>
        <v>0</v>
      </c>
      <c r="AS125" s="1078">
        <f t="shared" si="386">F125</f>
        <v>0</v>
      </c>
      <c r="AT125" s="1080">
        <f t="shared" si="497">IF(H125&lt;&gt;"",H125,"")</f>
        <v>0</v>
      </c>
      <c r="AU125" s="1080">
        <f t="shared" si="498">J125</f>
        <v>0</v>
      </c>
      <c r="AV125" s="1080">
        <f t="shared" si="505">K125</f>
        <v>0</v>
      </c>
      <c r="AW125" s="1081">
        <f t="shared" si="506">M125</f>
        <v>0</v>
      </c>
      <c r="AX125" s="237">
        <f t="shared" si="292">IF(AZ125&lt;&gt;"",AX124+1,"")</f>
        <v>0</v>
      </c>
      <c r="AY125" s="1087">
        <v>117</v>
      </c>
      <c r="AZ125" s="1087">
        <f t="shared" si="387">IF(ISNA(VLOOKUP(AY125,$AN$8:$AW$148,2,False))=True,"",VLOOKUP(AY125,$AN$8:$AW$148,2,False))</f>
        <v>0</v>
      </c>
      <c r="BA125" s="1087">
        <f t="shared" si="388">IF(ISNA(VLOOKUP(AZ125,$AE$8:$AF$46,2,False))=True,"",VLOOKUP(AZ125,$AE$8:$AF$46,2,False))</f>
        <v>0</v>
      </c>
      <c r="BB125" s="1087">
        <f t="shared" si="389">IF(ISNA(VLOOKUP(AY125,$AN$8:$AW$148,4,False))=True,"",VLOOKUP(AY125,$AN$8:$AW$148,4,False))</f>
        <v>0</v>
      </c>
      <c r="BC125" s="1087">
        <f t="shared" si="390">IF(ISNA(VLOOKUP(AY125,$AN$8:$AW$148,5,False))=True,"",VLOOKUP(AY125,$AN$8:$AW$148,5,False))</f>
        <v>0</v>
      </c>
      <c r="BD125" s="1087" t="str">
        <f t="shared" si="467">IF(ISNA(VLOOKUP(AY125,$AN$8:$AW$148,6,False))=True,"0",VLOOKUP(AY125,$AN$8:$AW$148,6,False))</f>
        <v>0</v>
      </c>
      <c r="BE125" s="1125">
        <f t="shared" si="391">IF(ISNA(VLOOKUP(AY125,$AN$8:$AW$148,7,False))=True,"",VLOOKUP(AY125,$AN$8:$AW$148,7,False))</f>
        <v>0</v>
      </c>
      <c r="BF125" s="1123">
        <f t="shared" si="395">IF(ISNA(VLOOKUP($AY125,$AN$8:$AW$148,8,False))=True,"",VLOOKUP($AY125,$AN$8:$AW$148,8,False))</f>
        <v>0</v>
      </c>
      <c r="BG125" s="1120">
        <f t="shared" si="396">IF(ISNA(VLOOKUP($AY125,$AN$8:$AW$148,9,False))=True,"",VLOOKUP($AY125,$AN$8:$AW$148,9,False))</f>
        <v>0</v>
      </c>
      <c r="BH125" s="1120">
        <f t="shared" si="397">IF(ISNA(VLOOKUP($AY125,$AN$8:$AW$148,10,False))=True,"",VLOOKUP($AY125,$AN$8:$AW$148,10,False))</f>
        <v>0</v>
      </c>
      <c r="BI125" s="250">
        <f t="shared" si="270">IF(AZ125&lt;&gt;"",AZ125,"")</f>
        <v>0</v>
      </c>
      <c r="BJ125" s="1098">
        <f t="shared" si="271">BI125</f>
        <v>0</v>
      </c>
      <c r="BK125" s="1115">
        <f>COUNTIFS($AZ:$AZ, AZ125,$BJ:$BJ, "&lt;"&amp;BJ125)+COUNTIFS(AZ$8:AZ125, AZ125, BJ$8:BJ125, BJ125)</f>
        <v>118</v>
      </c>
      <c r="BL125" s="1114">
        <f t="shared" si="272">BK125/100</f>
        <v>1.18</v>
      </c>
      <c r="BM125" s="1093" t="e">
        <f t="shared" si="560" ref="BM125">BI125+BL125</f>
        <v>#VALUE!</v>
      </c>
      <c r="BN125" s="1101">
        <f t="shared" si="416">IF(BA125&lt;&gt;"",BM125,"")</f>
        <v>0</v>
      </c>
      <c r="BO125" s="1118">
        <f t="shared" si="275">IF(BN125&lt;&gt;"",BN125,0)</f>
        <v>0</v>
      </c>
      <c r="BP125" s="237" t="e">
        <f t="shared" si="469">SMALL($BN$8:$BN$152,AX125)</f>
        <v>#VALUE!</v>
      </c>
      <c r="BR125" s="1102" t="e">
        <f t="shared" si="465">IF(BP125&lt;&gt;"",BR124+1,"")</f>
        <v>#VALUE!</v>
      </c>
      <c r="BS125" s="1102">
        <f t="shared" si="276">IFERROR(BP125,"")</f>
        <v>0</v>
      </c>
      <c r="BT125" s="1102">
        <f t="shared" si="277">IFERROR(CC125,"")</f>
        <v>0</v>
      </c>
      <c r="BU125" s="1098">
        <f t="shared" si="278">IFERROR(CD125,"")</f>
        <v>0</v>
      </c>
      <c r="BV125" s="1098">
        <f t="shared" si="279">IFERROR(CE125,"")</f>
        <v>0</v>
      </c>
      <c r="BW125" s="1098">
        <f t="shared" si="280">IFERROR(CF125,"")</f>
        <v>0</v>
      </c>
      <c r="BX125" s="1146">
        <f t="shared" si="281">IFERROR(CH125,"")</f>
        <v>0</v>
      </c>
      <c r="BY125" s="1098">
        <f t="shared" si="282">IFERROR(CG125,"")</f>
        <v>0</v>
      </c>
      <c r="BZ125" s="1144" t="str">
        <f t="shared" si="283">IFERROR(CI125,"-")</f>
        <v>-</v>
      </c>
      <c r="CA125" s="1107">
        <f t="shared" si="284">IFERROR(CJ125,"")</f>
        <v>0</v>
      </c>
      <c r="CB125" s="1107">
        <f t="shared" si="285">IFERROR(CK125,"")</f>
        <v>0</v>
      </c>
      <c r="CC125" s="1110" t="e">
        <f t="shared" si="470">INDEX($AZ$8:$AZ$153,MATCH(BP125,$BO$8:$BO$153,0))</f>
        <v>#VALUE!</v>
      </c>
      <c r="CD125" s="1087" t="e">
        <f t="shared" si="471">INDEX($BA$8:$BA$153,MATCH(BP125,$BO$8:$BO$153,0))</f>
        <v>#VALUE!</v>
      </c>
      <c r="CE125" s="1106" t="e">
        <f t="shared" si="472">INDEX($BB$8:$BB$153,MATCH(BP125,$BO$8:$BO$153,0))</f>
        <v>#VALUE!</v>
      </c>
      <c r="CF125" s="1106" t="e">
        <f t="shared" si="473">INDEX(BC$8:BC$153,MATCH(BP125,$BO$8:$BO$153,0))</f>
        <v>#VALUE!</v>
      </c>
      <c r="CG125" s="1118" t="e">
        <f t="shared" si="474">INDEX(BE$8:BE$153,MATCH(BP125,$BO$8:$BO$153,0))</f>
        <v>#VALUE!</v>
      </c>
      <c r="CH125" s="1106" t="e">
        <f t="shared" si="475">INDEX($BD$8:$BD$153,MATCH($BP125,$BO$8:$BO$153,0))</f>
        <v>#VALUE!</v>
      </c>
      <c r="CI125" s="1142" t="e">
        <f t="shared" si="476">INDEX($BF$8:$BF$153,MATCH(BP125,$BO$8:$BO$153,0))</f>
        <v>#VALUE!</v>
      </c>
      <c r="CJ125" s="1106" t="e">
        <f t="shared" si="477">INDEX($BG$8:$BG$153,MATCH(BP125,$BO$8:$BO$153,0))</f>
        <v>#VALUE!</v>
      </c>
      <c r="CK125" s="1106" t="e">
        <f t="shared" si="478">INDEX($BH$8:$BH$153,MATCH(BP125,$BO$8:$BO$153,0))</f>
        <v>#VALUE!</v>
      </c>
      <c r="CM125" s="1131">
        <f t="shared" si="479">COUNTIF($CH$8:$CH$228,"&lt;="&amp;CH125)</f>
        <v>145</v>
      </c>
      <c r="CN125" s="1121">
        <f t="shared" si="286">--ISNUMBER(BX125)</f>
        <v>0</v>
      </c>
      <c r="CO125" s="1121">
        <f t="shared" si="287">IF(BX125=0,1,0)</f>
        <v>0</v>
      </c>
      <c r="CP125" s="1124">
        <f t="shared" si="393">IF(ISNUMBER(BX125),CM125,IF(ISERROR(BX125),CM125,CM125+$CN$154))+$CO$154</f>
        <v>145</v>
      </c>
      <c r="CQ125" s="237">
        <f>IFERROR(INDEX($BX$8:$BX$153,MATCH(SMALL($CP$8:$CP$153,ROWS($CQ$8:CQ125)+$CO$154),$CP$8:$CP$154,0)),"")</f>
        <v>0</v>
      </c>
      <c r="CR125" s="237">
        <v>0.1</v>
      </c>
      <c r="CS125" s="1135">
        <f t="shared" si="288">CM125+CR125</f>
        <v>145.1</v>
      </c>
      <c r="CT125" s="237">
        <f>COUNTIFS($CM:$CM, CM125,$CS:$CS, "&lt;"&amp;CL)+COUNTIFS(CM$8:CM125, CM125, CS$8:CS125, CS125)</f>
        <v>118</v>
      </c>
      <c r="CU125" s="1109">
        <f t="shared" si="289">CT125/100</f>
        <v>1.18</v>
      </c>
      <c r="CV125" s="1109">
        <f t="shared" si="290">CM125+CU125</f>
        <v>146.18</v>
      </c>
      <c r="CW125" s="237" t="e">
        <f t="shared" si="480">SMALL(CV$8:CV$153,AX125)</f>
        <v>#VALUE!</v>
      </c>
      <c r="CX125" s="1109">
        <f t="shared" si="291">IFERROR(CW125,"")</f>
        <v>0</v>
      </c>
      <c r="CY125" s="237" t="e">
        <f t="shared" si="481">INDEX(BU$8:BU$152,MATCH($CX125,CV$8:CV$152,0))</f>
        <v>#N/A</v>
      </c>
      <c r="CZ125" s="237" t="e">
        <f t="shared" si="482">INDEX(BV$8:BV$152,MATCH($CX125,$CV$8:$CV$152,0))</f>
        <v>#N/A</v>
      </c>
      <c r="DA125" s="237" t="e">
        <f t="shared" si="483">INDEX(BW$8:BW$152,MATCH($CX125,$CV$8:$CV$152,0))</f>
        <v>#N/A</v>
      </c>
      <c r="DB125" s="237" t="e">
        <f t="shared" si="484">INDEX(BX$8:BX$152,MATCH($CX125,$CV$8:$CV$152,0))</f>
        <v>#N/A</v>
      </c>
      <c r="DC125" s="237" t="e">
        <f t="shared" si="485">INDEX(BY$8:BY$152,MATCH($CX125,$CV$8:$CV$152,0))</f>
        <v>#N/A</v>
      </c>
      <c r="DD125" s="237" t="e">
        <f t="shared" si="486">INDEX(BZ$8:BZ$152,MATCH($CX125,$CV$8:$CV$152,0))</f>
        <v>#N/A</v>
      </c>
      <c r="DE125" s="237" t="e">
        <f t="shared" si="487">INDEX(CA$8:CA$152,MATCH($CX125,$CV$8:$CV$152,0))</f>
        <v>#N/A</v>
      </c>
      <c r="DF125" s="237" t="e">
        <f t="shared" si="488">INDEX(CB$8:CB$152,MATCH($CX125,$CV$8:$CV$152,0))</f>
        <v>#N/A</v>
      </c>
    </row>
    <row r="126" spans="1:110">
      <c r="A126" s="1216">
        <v>14</v>
      </c>
      <c r="B126" s="1510"/>
      <c r="C126" s="1022"/>
      <c r="D126" s="1022"/>
      <c r="E126" s="1022"/>
      <c r="F126" s="1022"/>
      <c r="G126" s="1022"/>
      <c r="H126" s="1022"/>
      <c r="I126" s="1475"/>
      <c r="J126" s="1020"/>
      <c r="K126" s="253"/>
      <c r="L126" s="254"/>
      <c r="M126" s="255">
        <f t="shared" si="500">K126*L126</f>
        <v>0</v>
      </c>
      <c r="AM126" s="1082">
        <f t="shared" si="501">IF(M126&gt;0,1,0)</f>
        <v>0</v>
      </c>
      <c r="AN126" s="1096">
        <f>IF(AM126&gt;0,COUNTIF(AM$8:AM126,"&gt;0"),0)</f>
        <v>0</v>
      </c>
      <c r="AO126" s="1083">
        <f t="shared" si="502">B126</f>
        <v>0</v>
      </c>
      <c r="AP126" s="1084">
        <f t="shared" si="503">C126</f>
        <v>0</v>
      </c>
      <c r="AQ126" s="1085">
        <f t="shared" si="504">IF(I126&lt;&gt;"",YEAR(I126),"")</f>
        <v>0</v>
      </c>
      <c r="AR126" s="1080">
        <f t="shared" si="496">IF(E126&lt;&gt;"",E126,"")</f>
        <v>0</v>
      </c>
      <c r="AS126" s="1078">
        <f t="shared" si="386">F126</f>
        <v>0</v>
      </c>
      <c r="AT126" s="1080">
        <f t="shared" si="497">IF(H126&lt;&gt;"",H126,"")</f>
        <v>0</v>
      </c>
      <c r="AU126" s="1080">
        <f t="shared" si="498">J126</f>
        <v>0</v>
      </c>
      <c r="AV126" s="1080">
        <f t="shared" si="505">K126</f>
        <v>0</v>
      </c>
      <c r="AW126" s="1086">
        <f t="shared" si="506">M126</f>
        <v>0</v>
      </c>
      <c r="AX126" s="237">
        <f t="shared" si="292">IF(AZ126&lt;&gt;"",AX125+1,"")</f>
        <v>0</v>
      </c>
      <c r="AY126" s="1087">
        <v>118</v>
      </c>
      <c r="AZ126" s="1087">
        <f t="shared" si="387">IF(ISNA(VLOOKUP(AY126,$AN$8:$AW$148,2,False))=True,"",VLOOKUP(AY126,$AN$8:$AW$148,2,False))</f>
        <v>0</v>
      </c>
      <c r="BA126" s="1087">
        <f t="shared" si="388">IF(ISNA(VLOOKUP(AZ126,$AE$8:$AF$46,2,False))=True,"",VLOOKUP(AZ126,$AE$8:$AF$46,2,False))</f>
        <v>0</v>
      </c>
      <c r="BB126" s="1087">
        <f t="shared" si="389">IF(ISNA(VLOOKUP(AY126,$AN$8:$AW$148,4,False))=True,"",VLOOKUP(AY126,$AN$8:$AW$148,4,False))</f>
        <v>0</v>
      </c>
      <c r="BC126" s="1087">
        <f t="shared" si="390">IF(ISNA(VLOOKUP(AY126,$AN$8:$AW$148,5,False))=True,"",VLOOKUP(AY126,$AN$8:$AW$148,5,False))</f>
        <v>0</v>
      </c>
      <c r="BD126" s="1087" t="str">
        <f t="shared" si="467">IF(ISNA(VLOOKUP(AY126,$AN$8:$AW$148,6,False))=True,"0",VLOOKUP(AY126,$AN$8:$AW$148,6,False))</f>
        <v>0</v>
      </c>
      <c r="BE126" s="1125">
        <f t="shared" si="391">IF(ISNA(VLOOKUP(AY126,$AN$8:$AW$148,7,False))=True,"",VLOOKUP(AY126,$AN$8:$AW$148,7,False))</f>
        <v>0</v>
      </c>
      <c r="BF126" s="1123">
        <f t="shared" si="395">IF(ISNA(VLOOKUP($AY126,$AN$8:$AW$148,8,False))=True,"",VLOOKUP($AY126,$AN$8:$AW$148,8,False))</f>
        <v>0</v>
      </c>
      <c r="BG126" s="1120">
        <f t="shared" si="396">IF(ISNA(VLOOKUP($AY126,$AN$8:$AW$148,9,False))=True,"",VLOOKUP($AY126,$AN$8:$AW$148,9,False))</f>
        <v>0</v>
      </c>
      <c r="BH126" s="1120">
        <f t="shared" si="397">IF(ISNA(VLOOKUP($AY126,$AN$8:$AW$148,10,False))=True,"",VLOOKUP($AY126,$AN$8:$AW$148,10,False))</f>
        <v>0</v>
      </c>
      <c r="BI126" s="250">
        <f t="shared" si="270">IF(AZ126&lt;&gt;"",AZ126,"")</f>
        <v>0</v>
      </c>
      <c r="BJ126" s="1098">
        <f t="shared" si="271">BI126</f>
        <v>0</v>
      </c>
      <c r="BK126" s="1115">
        <f>COUNTIFS($AZ:$AZ, AZ126,$BJ:$BJ, "&lt;"&amp;BJ126)+COUNTIFS(AZ$8:AZ126, AZ126, BJ$8:BJ126, BJ126)</f>
        <v>119</v>
      </c>
      <c r="BL126" s="1114">
        <f t="shared" si="272">BK126/100</f>
        <v>1.19</v>
      </c>
      <c r="BM126" s="1093" t="e">
        <f t="shared" si="561" ref="BM126">BJ126+BL126</f>
        <v>#VALUE!</v>
      </c>
      <c r="BN126" s="1101">
        <f t="shared" si="416">IF(BA126&lt;&gt;"",BM126,"")</f>
        <v>0</v>
      </c>
      <c r="BO126" s="1118">
        <f t="shared" si="275">IF(BN126&lt;&gt;"",BN126,0)</f>
        <v>0</v>
      </c>
      <c r="BP126" s="237" t="e">
        <f t="shared" si="469">SMALL($BN$8:$BN$152,AX126)</f>
        <v>#VALUE!</v>
      </c>
      <c r="BR126" s="1102" t="e">
        <f t="shared" si="465">IF(BP126&lt;&gt;"",BR125+1,"")</f>
        <v>#VALUE!</v>
      </c>
      <c r="BS126" s="1102">
        <f t="shared" si="276">IFERROR(BP126,"")</f>
        <v>0</v>
      </c>
      <c r="BT126" s="1102">
        <f t="shared" si="277">IFERROR(CC126,"")</f>
        <v>0</v>
      </c>
      <c r="BU126" s="1098">
        <f t="shared" si="278">IFERROR(CD126,"")</f>
        <v>0</v>
      </c>
      <c r="BV126" s="1098">
        <f t="shared" si="279">IFERROR(CE126,"")</f>
        <v>0</v>
      </c>
      <c r="BW126" s="1098">
        <f t="shared" si="280">IFERROR(CF126,"")</f>
        <v>0</v>
      </c>
      <c r="BX126" s="1146">
        <f t="shared" si="281">IFERROR(CH126,"")</f>
        <v>0</v>
      </c>
      <c r="BY126" s="1098">
        <f t="shared" si="282">IFERROR(CG126,"")</f>
        <v>0</v>
      </c>
      <c r="BZ126" s="1144" t="str">
        <f t="shared" si="283">IFERROR(CI126,"-")</f>
        <v>-</v>
      </c>
      <c r="CA126" s="1107">
        <f t="shared" si="284">IFERROR(CJ126,"")</f>
        <v>0</v>
      </c>
      <c r="CB126" s="1107">
        <f t="shared" si="285">IFERROR(CK126,"")</f>
        <v>0</v>
      </c>
      <c r="CC126" s="1110" t="e">
        <f t="shared" si="470">INDEX($AZ$8:$AZ$153,MATCH(BP126,$BO$8:$BO$153,0))</f>
        <v>#VALUE!</v>
      </c>
      <c r="CD126" s="1087" t="e">
        <f t="shared" si="471">INDEX($BA$8:$BA$153,MATCH(BP126,$BO$8:$BO$153,0))</f>
        <v>#VALUE!</v>
      </c>
      <c r="CE126" s="1106" t="e">
        <f t="shared" si="472">INDEX($BB$8:$BB$153,MATCH(BP126,$BO$8:$BO$153,0))</f>
        <v>#VALUE!</v>
      </c>
      <c r="CF126" s="1106" t="e">
        <f t="shared" si="473">INDEX(BC$8:BC$153,MATCH(BP126,$BO$8:$BO$153,0))</f>
        <v>#VALUE!</v>
      </c>
      <c r="CG126" s="1118" t="e">
        <f t="shared" si="474">INDEX(BE$8:BE$153,MATCH(BP126,$BO$8:$BO$153,0))</f>
        <v>#VALUE!</v>
      </c>
      <c r="CH126" s="1106" t="e">
        <f t="shared" si="475">INDEX($BD$8:$BD$153,MATCH($BP126,$BO$8:$BO$153,0))</f>
        <v>#VALUE!</v>
      </c>
      <c r="CI126" s="1142" t="e">
        <f t="shared" si="476">INDEX($BF$8:$BF$153,MATCH(BP126,$BO$8:$BO$153,0))</f>
        <v>#VALUE!</v>
      </c>
      <c r="CJ126" s="1106" t="e">
        <f t="shared" si="477">INDEX($BG$8:$BG$153,MATCH(BP126,$BO$8:$BO$153,0))</f>
        <v>#VALUE!</v>
      </c>
      <c r="CK126" s="1106" t="e">
        <f t="shared" si="478">INDEX($BH$8:$BH$153,MATCH(BP126,$BO$8:$BO$153,0))</f>
        <v>#VALUE!</v>
      </c>
      <c r="CM126" s="1131">
        <f t="shared" si="479">COUNTIF($CH$8:$CH$228,"&lt;="&amp;CH126)</f>
        <v>145</v>
      </c>
      <c r="CN126" s="1121">
        <f t="shared" si="286">--ISNUMBER(BX126)</f>
        <v>0</v>
      </c>
      <c r="CO126" s="1121">
        <f t="shared" si="287">IF(BX126=0,1,0)</f>
        <v>0</v>
      </c>
      <c r="CP126" s="1124">
        <f t="shared" si="393">IF(ISNUMBER(BX126),CM126,IF(ISERROR(BX126),CM126,CM126+$CN$154))+$CO$154</f>
        <v>145</v>
      </c>
      <c r="CQ126" s="237">
        <f>IFERROR(INDEX($BX$8:$BX$153,MATCH(SMALL($CP$8:$CP$153,ROWS($CQ$8:CQ126)+$CO$154),$CP$8:$CP$154,0)),"")</f>
        <v>0</v>
      </c>
      <c r="CR126" s="237">
        <v>0.1</v>
      </c>
      <c r="CS126" s="1135">
        <f t="shared" si="288">CM126+CR126</f>
        <v>145.1</v>
      </c>
      <c r="CT126" s="237">
        <f>COUNTIFS($CM:$CM, CM126,$CS:$CS, "&lt;"&amp;CL)+COUNTIFS(CM$8:CM126, CM126, CS$8:CS126, CS126)</f>
        <v>119</v>
      </c>
      <c r="CU126" s="1109">
        <f t="shared" si="289">CT126/100</f>
        <v>1.19</v>
      </c>
      <c r="CV126" s="1109">
        <f t="shared" si="290">CM126+CU126</f>
        <v>146.19</v>
      </c>
      <c r="CW126" s="237" t="e">
        <f t="shared" si="480">SMALL(CV$8:CV$153,AX126)</f>
        <v>#VALUE!</v>
      </c>
      <c r="CX126" s="1109">
        <f t="shared" si="291">IFERROR(CW126,"")</f>
        <v>0</v>
      </c>
      <c r="CY126" s="237" t="e">
        <f t="shared" si="481">INDEX(BU$8:BU$152,MATCH($CX126,CV$8:CV$152,0))</f>
        <v>#N/A</v>
      </c>
      <c r="CZ126" s="237" t="e">
        <f t="shared" si="482">INDEX(BV$8:BV$152,MATCH($CX126,$CV$8:$CV$152,0))</f>
        <v>#N/A</v>
      </c>
      <c r="DA126" s="237" t="e">
        <f t="shared" si="483">INDEX(BW$8:BW$152,MATCH($CX126,$CV$8:$CV$152,0))</f>
        <v>#N/A</v>
      </c>
      <c r="DB126" s="237" t="e">
        <f t="shared" si="484">INDEX(BX$8:BX$152,MATCH($CX126,$CV$8:$CV$152,0))</f>
        <v>#N/A</v>
      </c>
      <c r="DC126" s="237" t="e">
        <f t="shared" si="485">INDEX(BY$8:BY$152,MATCH($CX126,$CV$8:$CV$152,0))</f>
        <v>#N/A</v>
      </c>
      <c r="DD126" s="237" t="e">
        <f t="shared" si="486">INDEX(BZ$8:BZ$152,MATCH($CX126,$CV$8:$CV$152,0))</f>
        <v>#N/A</v>
      </c>
      <c r="DE126" s="237" t="e">
        <f t="shared" si="487">INDEX(CA$8:CA$152,MATCH($CX126,$CV$8:$CV$152,0))</f>
        <v>#N/A</v>
      </c>
      <c r="DF126" s="237" t="e">
        <f t="shared" si="488">INDEX(CB$8:CB$152,MATCH($CX126,$CV$8:$CV$152,0))</f>
        <v>#N/A</v>
      </c>
    </row>
    <row r="127" spans="1:110" ht="13.5" customHeight="1" thickBot="1">
      <c r="A127" s="1466">
        <v>15</v>
      </c>
      <c r="B127" s="1512"/>
      <c r="C127" s="1023"/>
      <c r="D127" s="1023"/>
      <c r="E127" s="1023"/>
      <c r="F127" s="1023"/>
      <c r="G127" s="1023"/>
      <c r="H127" s="1023"/>
      <c r="I127" s="1477"/>
      <c r="J127" s="256"/>
      <c r="K127" s="257"/>
      <c r="L127" s="258"/>
      <c r="M127" s="259">
        <f t="shared" si="500">K127*L127</f>
        <v>0</v>
      </c>
      <c r="AM127" s="1077">
        <f t="shared" si="501">IF(M127&gt;0,1,0)</f>
        <v>0</v>
      </c>
      <c r="AN127" s="1096">
        <f>IF(AM127&gt;0,COUNTIF(AM$8:AM127,"&gt;0"),0)</f>
        <v>0</v>
      </c>
      <c r="AO127" s="1078">
        <f t="shared" si="502">B127</f>
        <v>0</v>
      </c>
      <c r="AP127" s="1079">
        <f t="shared" si="503">C127</f>
        <v>0</v>
      </c>
      <c r="AQ127" s="1080">
        <f t="shared" si="504">IF(I127&lt;&gt;"",YEAR(I127),"")</f>
        <v>0</v>
      </c>
      <c r="AR127" s="1080">
        <f t="shared" si="496">IF(E127&lt;&gt;"",E127,"")</f>
        <v>0</v>
      </c>
      <c r="AS127" s="1078">
        <f t="shared" si="386">F127</f>
        <v>0</v>
      </c>
      <c r="AT127" s="1080">
        <f t="shared" si="497">IF(H127&lt;&gt;"",H127,"")</f>
        <v>0</v>
      </c>
      <c r="AU127" s="1080">
        <f t="shared" si="498">J127</f>
        <v>0</v>
      </c>
      <c r="AV127" s="1080">
        <f t="shared" si="505">K127</f>
        <v>0</v>
      </c>
      <c r="AW127" s="1081">
        <f t="shared" si="506">M127</f>
        <v>0</v>
      </c>
      <c r="AX127" s="237">
        <f t="shared" si="292">IF(AZ127&lt;&gt;"",AX126+1,"")</f>
        <v>0</v>
      </c>
      <c r="AY127" s="1087">
        <v>119</v>
      </c>
      <c r="AZ127" s="1087">
        <f t="shared" si="387">IF(ISNA(VLOOKUP(AY127,$AN$8:$AW$148,2,False))=True,"",VLOOKUP(AY127,$AN$8:$AW$148,2,False))</f>
        <v>0</v>
      </c>
      <c r="BA127" s="1087">
        <f t="shared" si="388">IF(ISNA(VLOOKUP(AZ127,$AE$8:$AF$46,2,False))=True,"",VLOOKUP(AZ127,$AE$8:$AF$46,2,False))</f>
        <v>0</v>
      </c>
      <c r="BB127" s="1087">
        <f t="shared" si="389">IF(ISNA(VLOOKUP(AY127,$AN$8:$AW$148,4,False))=True,"",VLOOKUP(AY127,$AN$8:$AW$148,4,False))</f>
        <v>0</v>
      </c>
      <c r="BC127" s="1087">
        <f t="shared" si="390">IF(ISNA(VLOOKUP(AY127,$AN$8:$AW$148,5,False))=True,"",VLOOKUP(AY127,$AN$8:$AW$148,5,False))</f>
        <v>0</v>
      </c>
      <c r="BD127" s="1087" t="str">
        <f t="shared" si="467">IF(ISNA(VLOOKUP(AY127,$AN$8:$AW$148,6,False))=True,"0",VLOOKUP(AY127,$AN$8:$AW$148,6,False))</f>
        <v>0</v>
      </c>
      <c r="BE127" s="1125">
        <f t="shared" si="391">IF(ISNA(VLOOKUP(AY127,$AN$8:$AW$148,7,False))=True,"",VLOOKUP(AY127,$AN$8:$AW$148,7,False))</f>
        <v>0</v>
      </c>
      <c r="BF127" s="1123">
        <f t="shared" si="395">IF(ISNA(VLOOKUP($AY127,$AN$8:$AW$148,8,False))=True,"",VLOOKUP($AY127,$AN$8:$AW$148,8,False))</f>
        <v>0</v>
      </c>
      <c r="BG127" s="1120">
        <f t="shared" si="396">IF(ISNA(VLOOKUP($AY127,$AN$8:$AW$148,9,False))=True,"",VLOOKUP($AY127,$AN$8:$AW$148,9,False))</f>
        <v>0</v>
      </c>
      <c r="BH127" s="1120">
        <f t="shared" si="397">IF(ISNA(VLOOKUP($AY127,$AN$8:$AW$148,10,False))=True,"",VLOOKUP($AY127,$AN$8:$AW$148,10,False))</f>
        <v>0</v>
      </c>
      <c r="BI127" s="250">
        <f t="shared" si="270">IF(AZ127&lt;&gt;"",AZ127,"")</f>
        <v>0</v>
      </c>
      <c r="BJ127" s="1098">
        <f t="shared" si="271">BI127</f>
        <v>0</v>
      </c>
      <c r="BK127" s="1115">
        <f>COUNTIFS($AZ:$AZ, AZ127,$BJ:$BJ, "&lt;"&amp;BJ127)+COUNTIFS(AZ$8:AZ127, AZ127, BJ$8:BJ127, BJ127)</f>
        <v>120</v>
      </c>
      <c r="BL127" s="1114">
        <f t="shared" si="272">BK127/100</f>
        <v>1.2</v>
      </c>
      <c r="BM127" s="1093" t="e">
        <f t="shared" si="562" ref="BM127">BI127+BL127</f>
        <v>#VALUE!</v>
      </c>
      <c r="BN127" s="1101">
        <f t="shared" si="416">IF(BA127&lt;&gt;"",BM127,"")</f>
        <v>0</v>
      </c>
      <c r="BO127" s="1118">
        <f t="shared" si="275">IF(BN127&lt;&gt;"",BN127,0)</f>
        <v>0</v>
      </c>
      <c r="BP127" s="237" t="e">
        <f t="shared" si="469">SMALL($BN$8:$BN$152,AX127)</f>
        <v>#VALUE!</v>
      </c>
      <c r="BR127" s="1102" t="e">
        <f t="shared" si="465">IF(BP127&lt;&gt;"",BR126+1,"")</f>
        <v>#VALUE!</v>
      </c>
      <c r="BS127" s="1102">
        <f t="shared" si="276">IFERROR(BP127,"")</f>
        <v>0</v>
      </c>
      <c r="BT127" s="1102">
        <f t="shared" si="277">IFERROR(CC127,"")</f>
        <v>0</v>
      </c>
      <c r="BU127" s="1098">
        <f t="shared" si="278">IFERROR(CD127,"")</f>
        <v>0</v>
      </c>
      <c r="BV127" s="1098">
        <f t="shared" si="279">IFERROR(CE127,"")</f>
        <v>0</v>
      </c>
      <c r="BW127" s="1098">
        <f t="shared" si="280">IFERROR(CF127,"")</f>
        <v>0</v>
      </c>
      <c r="BX127" s="1146">
        <f t="shared" si="281">IFERROR(CH127,"")</f>
        <v>0</v>
      </c>
      <c r="BY127" s="1098">
        <f t="shared" si="282">IFERROR(CG127,"")</f>
        <v>0</v>
      </c>
      <c r="BZ127" s="1144" t="str">
        <f t="shared" si="283">IFERROR(CI127,"-")</f>
        <v>-</v>
      </c>
      <c r="CA127" s="1107">
        <f t="shared" si="284">IFERROR(CJ127,"")</f>
        <v>0</v>
      </c>
      <c r="CB127" s="1107">
        <f t="shared" si="285">IFERROR(CK127,"")</f>
        <v>0</v>
      </c>
      <c r="CC127" s="1110" t="e">
        <f t="shared" si="470">INDEX($AZ$8:$AZ$153,MATCH(BP127,$BO$8:$BO$153,0))</f>
        <v>#VALUE!</v>
      </c>
      <c r="CD127" s="1087" t="e">
        <f t="shared" si="471">INDEX($BA$8:$BA$153,MATCH(BP127,$BO$8:$BO$153,0))</f>
        <v>#VALUE!</v>
      </c>
      <c r="CE127" s="1106" t="e">
        <f t="shared" si="472">INDEX($BB$8:$BB$153,MATCH(BP127,$BO$8:$BO$153,0))</f>
        <v>#VALUE!</v>
      </c>
      <c r="CF127" s="1106" t="e">
        <f t="shared" si="473">INDEX(BC$8:BC$153,MATCH(BP127,$BO$8:$BO$153,0))</f>
        <v>#VALUE!</v>
      </c>
      <c r="CG127" s="1118" t="e">
        <f t="shared" si="474">INDEX(BE$8:BE$153,MATCH(BP127,$BO$8:$BO$153,0))</f>
        <v>#VALUE!</v>
      </c>
      <c r="CH127" s="1106" t="e">
        <f t="shared" si="475">INDEX($BD$8:$BD$153,MATCH($BP127,$BO$8:$BO$153,0))</f>
        <v>#VALUE!</v>
      </c>
      <c r="CI127" s="1142" t="e">
        <f t="shared" si="476">INDEX($BF$8:$BF$153,MATCH(BP127,$BO$8:$BO$153,0))</f>
        <v>#VALUE!</v>
      </c>
      <c r="CJ127" s="1106" t="e">
        <f t="shared" si="477">INDEX($BG$8:$BG$153,MATCH(BP127,$BO$8:$BO$153,0))</f>
        <v>#VALUE!</v>
      </c>
      <c r="CK127" s="1106" t="e">
        <f t="shared" si="478">INDEX($BH$8:$BH$153,MATCH(BP127,$BO$8:$BO$153,0))</f>
        <v>#VALUE!</v>
      </c>
      <c r="CM127" s="1131">
        <f t="shared" si="479">COUNTIF($CH$8:$CH$228,"&lt;="&amp;CH127)</f>
        <v>145</v>
      </c>
      <c r="CN127" s="1121">
        <f t="shared" si="286">--ISNUMBER(BX127)</f>
        <v>0</v>
      </c>
      <c r="CO127" s="1121">
        <f t="shared" si="287">IF(BX127=0,1,0)</f>
        <v>0</v>
      </c>
      <c r="CP127" s="1124">
        <f t="shared" si="393">IF(ISNUMBER(BX127),CM127,IF(ISERROR(BX127),CM127,CM127+$CN$154))+$CO$154</f>
        <v>145</v>
      </c>
      <c r="CQ127" s="237">
        <f>IFERROR(INDEX($BX$8:$BX$153,MATCH(SMALL($CP$8:$CP$153,ROWS($CQ$8:CQ127)+$CO$154),$CP$8:$CP$154,0)),"")</f>
        <v>0</v>
      </c>
      <c r="CR127" s="237">
        <v>0.1</v>
      </c>
      <c r="CS127" s="1135">
        <f t="shared" si="288">CM127+CR127</f>
        <v>145.1</v>
      </c>
      <c r="CT127" s="237">
        <f>COUNTIFS($CM:$CM, CM127,$CS:$CS, "&lt;"&amp;CL)+COUNTIFS(CM$8:CM127, CM127, CS$8:CS127, CS127)</f>
        <v>120</v>
      </c>
      <c r="CU127" s="1109">
        <f t="shared" si="289">CT127/100</f>
        <v>1.2</v>
      </c>
      <c r="CV127" s="1109">
        <f t="shared" si="290">CM127+CU127</f>
        <v>146.2</v>
      </c>
      <c r="CW127" s="237" t="e">
        <f t="shared" si="480">SMALL(CV$8:CV$153,AX127)</f>
        <v>#VALUE!</v>
      </c>
      <c r="CX127" s="1109">
        <f t="shared" si="291">IFERROR(CW127,"")</f>
        <v>0</v>
      </c>
      <c r="CY127" s="237" t="e">
        <f t="shared" si="481">INDEX(BU$8:BU$152,MATCH($CX127,CV$8:CV$152,0))</f>
        <v>#N/A</v>
      </c>
      <c r="CZ127" s="237" t="e">
        <f t="shared" si="482">INDEX(BV$8:BV$152,MATCH($CX127,$CV$8:$CV$152,0))</f>
        <v>#N/A</v>
      </c>
      <c r="DA127" s="237" t="e">
        <f t="shared" si="483">INDEX(BW$8:BW$152,MATCH($CX127,$CV$8:$CV$152,0))</f>
        <v>#N/A</v>
      </c>
      <c r="DB127" s="237" t="e">
        <f t="shared" si="484">INDEX(BX$8:BX$152,MATCH($CX127,$CV$8:$CV$152,0))</f>
        <v>#N/A</v>
      </c>
      <c r="DC127" s="237" t="e">
        <f t="shared" si="485">INDEX(BY$8:BY$152,MATCH($CX127,$CV$8:$CV$152,0))</f>
        <v>#N/A</v>
      </c>
      <c r="DD127" s="237" t="e">
        <f t="shared" si="486">INDEX(BZ$8:BZ$152,MATCH($CX127,$CV$8:$CV$152,0))</f>
        <v>#N/A</v>
      </c>
      <c r="DE127" s="237" t="e">
        <f t="shared" si="487">INDEX(CA$8:CA$152,MATCH($CX127,$CV$8:$CV$152,0))</f>
        <v>#N/A</v>
      </c>
      <c r="DF127" s="237" t="e">
        <f t="shared" si="488">INDEX(CB$8:CB$152,MATCH($CX127,$CV$8:$CV$152,0))</f>
        <v>#N/A</v>
      </c>
    </row>
    <row r="128" spans="1:110" ht="13.5" customHeight="1" thickTop="1" thickBot="1">
      <c r="A128" s="1214"/>
      <c r="B128" s="1504"/>
      <c r="C128" s="865"/>
      <c r="D128" s="1153"/>
      <c r="E128" s="865"/>
      <c r="F128" s="865"/>
      <c r="G128" s="865"/>
      <c r="H128" s="865"/>
      <c r="I128" s="1471"/>
      <c r="J128" s="763"/>
      <c r="K128" s="763"/>
      <c r="L128" s="867"/>
      <c r="M128" s="807"/>
      <c r="AM128" s="1077"/>
      <c r="AN128" s="1096"/>
      <c r="AO128" s="1078"/>
      <c r="AP128" s="1079"/>
      <c r="AQ128" s="1080"/>
      <c r="AR128" s="1080">
        <f t="shared" si="496">IF(E128&lt;&gt;"",E128,"")</f>
        <v>0</v>
      </c>
      <c r="AS128" s="1078">
        <f t="shared" si="563" ref="AS128:AS135">F128</f>
        <v>0</v>
      </c>
      <c r="AT128" s="1080">
        <f t="shared" si="497">IF(H128&lt;&gt;"",H128,"")</f>
        <v>0</v>
      </c>
      <c r="AU128" s="1080">
        <f t="shared" si="498">J128</f>
        <v>0</v>
      </c>
      <c r="AV128" s="1080"/>
      <c r="AW128" s="1081"/>
      <c r="AX128" s="237">
        <f t="shared" si="292">IF(AZ128&lt;&gt;"",AX127+1,"")</f>
        <v>0</v>
      </c>
      <c r="AY128" s="1087">
        <v>120</v>
      </c>
      <c r="AZ128" s="1087">
        <f t="shared" si="564" ref="AZ128:AZ152">IF(ISNA(VLOOKUP(AY128,$AN$8:$AW$148,2,False))=True,"",VLOOKUP(AY128,$AN$8:$AW$148,2,False))</f>
        <v>0</v>
      </c>
      <c r="BA128" s="1087">
        <f t="shared" si="565" ref="BA128:BA152">IF(ISNA(VLOOKUP(AZ128,$AE$8:$AF$46,2,False))=True,"",VLOOKUP(AZ128,$AE$8:$AF$46,2,False))</f>
        <v>0</v>
      </c>
      <c r="BB128" s="1087">
        <f t="shared" si="566" ref="BB128:BB152">IF(ISNA(VLOOKUP(AY128,$AN$8:$AW$148,4,False))=True,"",VLOOKUP(AY128,$AN$8:$AW$148,4,False))</f>
        <v>0</v>
      </c>
      <c r="BC128" s="1087">
        <f t="shared" si="567" ref="BC128:BC152">IF(ISNA(VLOOKUP(AY128,$AN$8:$AW$148,5,False))=True,"",VLOOKUP(AY128,$AN$8:$AW$148,5,False))</f>
        <v>0</v>
      </c>
      <c r="BD128" s="1087" t="str">
        <f t="shared" si="467">IF(ISNA(VLOOKUP(AY128,$AN$8:$AW$148,6,False))=True,"0",VLOOKUP(AY128,$AN$8:$AW$148,6,False))</f>
        <v>0</v>
      </c>
      <c r="BE128" s="1125">
        <f t="shared" si="568" ref="BE128:BE152">IF(ISNA(VLOOKUP(AY128,$AN$8:$AW$148,7,False))=True,"",VLOOKUP(AY128,$AN$8:$AW$148,7,False))</f>
        <v>0</v>
      </c>
      <c r="BF128" s="1123">
        <f t="shared" si="569" ref="BF128:BF152">IF(ISNA(VLOOKUP($AY128,$AN$8:$AW$148,8,False))=True,"",VLOOKUP($AY128,$AN$8:$AW$148,8,False))</f>
        <v>0</v>
      </c>
      <c r="BG128" s="1120">
        <f t="shared" si="570" ref="BG128:BG152">IF(ISNA(VLOOKUP($AY128,$AN$8:$AW$148,9,False))=True,"",VLOOKUP($AY128,$AN$8:$AW$148,9,False))</f>
        <v>0</v>
      </c>
      <c r="BH128" s="1120">
        <f t="shared" si="571" ref="BH128:BH152">IF(ISNA(VLOOKUP($AY128,$AN$8:$AW$148,10,False))=True,"",VLOOKUP($AY128,$AN$8:$AW$148,10,False))</f>
        <v>0</v>
      </c>
      <c r="BI128" s="250">
        <f t="shared" si="270">IF(AZ128&lt;&gt;"",AZ128,"")</f>
        <v>0</v>
      </c>
      <c r="BJ128" s="1098">
        <f t="shared" si="271">BI128</f>
        <v>0</v>
      </c>
      <c r="BK128" s="1115">
        <f>COUNTIFS($AZ:$AZ, AZ128,$BJ:$BJ, "&lt;"&amp;BJ128)+COUNTIFS(AZ$8:AZ128, AZ128, BJ$8:BJ128, BJ128)</f>
        <v>121</v>
      </c>
      <c r="BL128" s="1114">
        <f t="shared" si="272">BK128/100</f>
        <v>1.21</v>
      </c>
      <c r="BM128" s="1093" t="e">
        <f t="shared" si="572" ref="BM128">BJ128+BL128</f>
        <v>#VALUE!</v>
      </c>
      <c r="BN128" s="1101">
        <f t="shared" si="416">IF(BA128&lt;&gt;"",BM128,"")</f>
        <v>0</v>
      </c>
      <c r="BO128" s="1118">
        <f t="shared" si="275">IF(BN128&lt;&gt;"",BN128,0)</f>
        <v>0</v>
      </c>
      <c r="BP128" s="237" t="e">
        <f t="shared" si="469">SMALL($BN$8:$BN$152,AX128)</f>
        <v>#VALUE!</v>
      </c>
      <c r="BR128" s="1102" t="e">
        <f t="shared" si="465">IF(BP128&lt;&gt;"",BR127+1,"")</f>
        <v>#VALUE!</v>
      </c>
      <c r="BS128" s="1102">
        <f t="shared" si="276">IFERROR(BP128,"")</f>
        <v>0</v>
      </c>
      <c r="BT128" s="1102">
        <f t="shared" si="277">IFERROR(CC128,"")</f>
        <v>0</v>
      </c>
      <c r="BU128" s="1098">
        <f t="shared" si="278">IFERROR(CD128,"")</f>
        <v>0</v>
      </c>
      <c r="BV128" s="1098">
        <f t="shared" si="279">IFERROR(CE128,"")</f>
        <v>0</v>
      </c>
      <c r="BW128" s="1098">
        <f t="shared" si="280">IFERROR(CF128,"")</f>
        <v>0</v>
      </c>
      <c r="BX128" s="1146">
        <f t="shared" si="281">IFERROR(CH128,"")</f>
        <v>0</v>
      </c>
      <c r="BY128" s="1098">
        <f t="shared" si="282">IFERROR(CG128,"")</f>
        <v>0</v>
      </c>
      <c r="BZ128" s="1144" t="str">
        <f t="shared" si="283">IFERROR(CI128,"-")</f>
        <v>-</v>
      </c>
      <c r="CA128" s="1107">
        <f t="shared" si="284">IFERROR(CJ128,"")</f>
        <v>0</v>
      </c>
      <c r="CB128" s="1107">
        <f t="shared" si="285">IFERROR(CK128,"")</f>
        <v>0</v>
      </c>
      <c r="CC128" s="1110" t="e">
        <f t="shared" si="470">INDEX($AZ$8:$AZ$153,MATCH(BP128,$BO$8:$BO$153,0))</f>
        <v>#VALUE!</v>
      </c>
      <c r="CD128" s="1087" t="e">
        <f t="shared" si="471">INDEX($BA$8:$BA$153,MATCH(BP128,$BO$8:$BO$153,0))</f>
        <v>#VALUE!</v>
      </c>
      <c r="CE128" s="1106" t="e">
        <f t="shared" si="472">INDEX($BB$8:$BB$153,MATCH(BP128,$BO$8:$BO$153,0))</f>
        <v>#VALUE!</v>
      </c>
      <c r="CF128" s="1106" t="e">
        <f t="shared" si="473">INDEX(BC$8:BC$153,MATCH(BP128,$BO$8:$BO$153,0))</f>
        <v>#VALUE!</v>
      </c>
      <c r="CG128" s="1118" t="e">
        <f t="shared" si="474">INDEX(BE$8:BE$153,MATCH(BP128,$BO$8:$BO$153,0))</f>
        <v>#VALUE!</v>
      </c>
      <c r="CH128" s="1106" t="e">
        <f t="shared" si="475">INDEX($BD$8:$BD$153,MATCH($BP128,$BO$8:$BO$153,0))</f>
        <v>#VALUE!</v>
      </c>
      <c r="CI128" s="1142" t="e">
        <f t="shared" si="476">INDEX($BF$8:$BF$153,MATCH(BP128,$BO$8:$BO$153,0))</f>
        <v>#VALUE!</v>
      </c>
      <c r="CJ128" s="1106" t="e">
        <f t="shared" si="477">INDEX($BG$8:$BG$153,MATCH(BP128,$BO$8:$BO$153,0))</f>
        <v>#VALUE!</v>
      </c>
      <c r="CK128" s="1106" t="e">
        <f t="shared" si="478">INDEX($BH$8:$BH$153,MATCH(BP128,$BO$8:$BO$153,0))</f>
        <v>#VALUE!</v>
      </c>
      <c r="CM128" s="1131">
        <f t="shared" si="479">COUNTIF($CH$8:$CH$228,"&lt;="&amp;CH128)</f>
        <v>145</v>
      </c>
      <c r="CN128" s="1121">
        <f t="shared" si="286">--ISNUMBER(BX128)</f>
        <v>0</v>
      </c>
      <c r="CO128" s="1121">
        <f t="shared" si="287">IF(BX128=0,1,0)</f>
        <v>0</v>
      </c>
      <c r="CP128" s="1124">
        <f t="shared" si="573" ref="CP128:CP137">IF(ISNUMBER(BX128),CM128,IF(ISERROR(BX128),CM128,CM128+$CN$154))+$CO$154</f>
        <v>145</v>
      </c>
      <c r="CQ128" s="237">
        <f>IFERROR(INDEX($BX$8:$BX$153,MATCH(SMALL($CP$8:$CP$153,ROWS($CQ$8:CQ128)+$CO$154),$CP$8:$CP$154,0)),"")</f>
        <v>0</v>
      </c>
      <c r="CR128" s="237">
        <v>0.1</v>
      </c>
      <c r="CS128" s="1135">
        <f t="shared" si="288">CM128+CR128</f>
        <v>145.1</v>
      </c>
      <c r="CT128" s="237">
        <f>COUNTIFS($CM:$CM, CM128,$CS:$CS, "&lt;"&amp;CL)+COUNTIFS(CM$8:CM128, CM128, CS$8:CS128, CS128)</f>
        <v>121</v>
      </c>
      <c r="CU128" s="1109">
        <f t="shared" si="289">CT128/100</f>
        <v>1.21</v>
      </c>
      <c r="CV128" s="1109">
        <f t="shared" si="290">CM128+CU128</f>
        <v>146.21</v>
      </c>
      <c r="CW128" s="237" t="e">
        <f t="shared" si="480">SMALL(CV$8:CV$153,AX128)</f>
        <v>#VALUE!</v>
      </c>
      <c r="CX128" s="1109">
        <f t="shared" si="291">IFERROR(CW128,"")</f>
        <v>0</v>
      </c>
      <c r="CY128" s="237" t="e">
        <f t="shared" si="481">INDEX(BU$8:BU$152,MATCH($CX128,CV$8:CV$152,0))</f>
        <v>#N/A</v>
      </c>
      <c r="CZ128" s="237" t="e">
        <f t="shared" si="482">INDEX(BV$8:BV$152,MATCH($CX128,$CV$8:$CV$152,0))</f>
        <v>#N/A</v>
      </c>
      <c r="DA128" s="237" t="e">
        <f t="shared" si="483">INDEX(BW$8:BW$152,MATCH($CX128,$CV$8:$CV$152,0))</f>
        <v>#N/A</v>
      </c>
      <c r="DB128" s="237" t="e">
        <f t="shared" si="484">INDEX(BX$8:BX$152,MATCH($CX128,$CV$8:$CV$152,0))</f>
        <v>#N/A</v>
      </c>
      <c r="DC128" s="237" t="e">
        <f t="shared" si="485">INDEX(BY$8:BY$152,MATCH($CX128,$CV$8:$CV$152,0))</f>
        <v>#N/A</v>
      </c>
      <c r="DD128" s="237" t="e">
        <f t="shared" si="486">INDEX(BZ$8:BZ$152,MATCH($CX128,$CV$8:$CV$152,0))</f>
        <v>#N/A</v>
      </c>
      <c r="DE128" s="237" t="e">
        <f t="shared" si="487">INDEX(CA$8:CA$152,MATCH($CX128,$CV$8:$CV$152,0))</f>
        <v>#N/A</v>
      </c>
      <c r="DF128" s="237" t="e">
        <f t="shared" si="488">INDEX(CB$8:CB$152,MATCH($CX128,$CV$8:$CV$152,0))</f>
        <v>#N/A</v>
      </c>
    </row>
    <row r="129" spans="1:110" ht="14.25" customHeight="1" thickTop="1" thickBot="1">
      <c r="A129" s="1215"/>
      <c r="B129" s="1505"/>
      <c r="C129" s="773"/>
      <c r="D129" s="1154"/>
      <c r="E129" s="773"/>
      <c r="F129" s="773"/>
      <c r="G129" s="773"/>
      <c r="H129" s="773"/>
      <c r="I129" s="1474"/>
      <c r="J129" s="763"/>
      <c r="K129" s="763"/>
      <c r="L129" s="868" t="s">
        <v>347</v>
      </c>
      <c r="M129" s="260">
        <f>SUM(M113:M127)</f>
        <v>0</v>
      </c>
      <c r="AM129" s="1082"/>
      <c r="AN129" s="1096"/>
      <c r="AO129" s="1083"/>
      <c r="AP129" s="1084"/>
      <c r="AQ129" s="1085"/>
      <c r="AR129" s="1080">
        <f t="shared" si="496">IF(E129&lt;&gt;"",E129,"")</f>
        <v>0</v>
      </c>
      <c r="AS129" s="1078">
        <f t="shared" si="563">F129</f>
        <v>0</v>
      </c>
      <c r="AT129" s="1080">
        <f t="shared" si="497">IF(H129&lt;&gt;"",H129,"")</f>
        <v>0</v>
      </c>
      <c r="AU129" s="1080">
        <f t="shared" si="498">J129</f>
        <v>0</v>
      </c>
      <c r="AV129" s="1080"/>
      <c r="AW129" s="1086"/>
      <c r="AX129" s="237">
        <f t="shared" si="292">IF(AZ129&lt;&gt;"",AX128+1,"")</f>
        <v>0</v>
      </c>
      <c r="AY129" s="1087">
        <v>121</v>
      </c>
      <c r="AZ129" s="1087">
        <f t="shared" si="564">IF(ISNA(VLOOKUP(AY129,$AN$8:$AW$148,2,False))=True,"",VLOOKUP(AY129,$AN$8:$AW$148,2,False))</f>
        <v>0</v>
      </c>
      <c r="BA129" s="1087">
        <f t="shared" si="565">IF(ISNA(VLOOKUP(AZ129,$AE$8:$AF$46,2,False))=True,"",VLOOKUP(AZ129,$AE$8:$AF$46,2,False))</f>
        <v>0</v>
      </c>
      <c r="BB129" s="1087">
        <f t="shared" si="566">IF(ISNA(VLOOKUP(AY129,$AN$8:$AW$148,4,False))=True,"",VLOOKUP(AY129,$AN$8:$AW$148,4,False))</f>
        <v>0</v>
      </c>
      <c r="BC129" s="1087">
        <f t="shared" si="567">IF(ISNA(VLOOKUP(AY129,$AN$8:$AW$148,5,False))=True,"",VLOOKUP(AY129,$AN$8:$AW$148,5,False))</f>
        <v>0</v>
      </c>
      <c r="BD129" s="1087" t="str">
        <f t="shared" si="467">IF(ISNA(VLOOKUP(AY129,$AN$8:$AW$148,6,False))=True,"0",VLOOKUP(AY129,$AN$8:$AW$148,6,False))</f>
        <v>0</v>
      </c>
      <c r="BE129" s="1125">
        <f t="shared" si="568">IF(ISNA(VLOOKUP(AY129,$AN$8:$AW$148,7,False))=True,"",VLOOKUP(AY129,$AN$8:$AW$148,7,False))</f>
        <v>0</v>
      </c>
      <c r="BF129" s="1123">
        <f t="shared" si="569">IF(ISNA(VLOOKUP($AY129,$AN$8:$AW$148,8,False))=True,"",VLOOKUP($AY129,$AN$8:$AW$148,8,False))</f>
        <v>0</v>
      </c>
      <c r="BG129" s="1120">
        <f t="shared" si="570">IF(ISNA(VLOOKUP($AY129,$AN$8:$AW$148,9,False))=True,"",VLOOKUP($AY129,$AN$8:$AW$148,9,False))</f>
        <v>0</v>
      </c>
      <c r="BH129" s="1120">
        <f t="shared" si="571">IF(ISNA(VLOOKUP($AY129,$AN$8:$AW$148,10,False))=True,"",VLOOKUP($AY129,$AN$8:$AW$148,10,False))</f>
        <v>0</v>
      </c>
      <c r="BI129" s="250">
        <f t="shared" si="270">IF(AZ129&lt;&gt;"",AZ129,"")</f>
        <v>0</v>
      </c>
      <c r="BJ129" s="1098">
        <f t="shared" si="271">BI129</f>
        <v>0</v>
      </c>
      <c r="BK129" s="1115">
        <f>COUNTIFS($AZ:$AZ, AZ129,$BJ:$BJ, "&lt;"&amp;BJ129)+COUNTIFS(AZ$8:AZ129, AZ129, BJ$8:BJ129, BJ129)</f>
        <v>122</v>
      </c>
      <c r="BL129" s="1114">
        <f t="shared" si="272">BK129/100</f>
        <v>1.22</v>
      </c>
      <c r="BM129" s="1093" t="e">
        <f t="shared" si="574" ref="BM129">BI129+BL129</f>
        <v>#VALUE!</v>
      </c>
      <c r="BN129" s="1101">
        <f t="shared" si="416">IF(BA129&lt;&gt;"",BM129,"")</f>
        <v>0</v>
      </c>
      <c r="BO129" s="1118">
        <f t="shared" si="275">IF(BN129&lt;&gt;"",BN129,0)</f>
        <v>0</v>
      </c>
      <c r="BP129" s="237" t="e">
        <f t="shared" si="469">SMALL($BN$8:$BN$152,AX129)</f>
        <v>#VALUE!</v>
      </c>
      <c r="BR129" s="1102" t="e">
        <f t="shared" si="465">IF(BP129&lt;&gt;"",BR128+1,"")</f>
        <v>#VALUE!</v>
      </c>
      <c r="BS129" s="1102">
        <f t="shared" si="276">IFERROR(BP129,"")</f>
        <v>0</v>
      </c>
      <c r="BT129" s="1102">
        <f t="shared" si="277">IFERROR(CC129,"")</f>
        <v>0</v>
      </c>
      <c r="BU129" s="1098">
        <f t="shared" si="278">IFERROR(CD129,"")</f>
        <v>0</v>
      </c>
      <c r="BV129" s="1098">
        <f t="shared" si="279">IFERROR(CE129,"")</f>
        <v>0</v>
      </c>
      <c r="BW129" s="1098">
        <f t="shared" si="280">IFERROR(CF129,"")</f>
        <v>0</v>
      </c>
      <c r="BX129" s="1146">
        <f t="shared" si="281">IFERROR(CH129,"")</f>
        <v>0</v>
      </c>
      <c r="BY129" s="1098">
        <f t="shared" si="282">IFERROR(CG129,"")</f>
        <v>0</v>
      </c>
      <c r="BZ129" s="1144" t="str">
        <f t="shared" si="283">IFERROR(CI129,"-")</f>
        <v>-</v>
      </c>
      <c r="CA129" s="1107">
        <f t="shared" si="284">IFERROR(CJ129,"")</f>
        <v>0</v>
      </c>
      <c r="CB129" s="1107">
        <f t="shared" si="285">IFERROR(CK129,"")</f>
        <v>0</v>
      </c>
      <c r="CC129" s="1110" t="e">
        <f t="shared" si="470">INDEX($AZ$8:$AZ$153,MATCH(BP129,$BO$8:$BO$153,0))</f>
        <v>#VALUE!</v>
      </c>
      <c r="CD129" s="1087" t="e">
        <f t="shared" si="471">INDEX($BA$8:$BA$153,MATCH(BP129,$BO$8:$BO$153,0))</f>
        <v>#VALUE!</v>
      </c>
      <c r="CE129" s="1106" t="e">
        <f t="shared" si="472">INDEX($BB$8:$BB$153,MATCH(BP129,$BO$8:$BO$153,0))</f>
        <v>#VALUE!</v>
      </c>
      <c r="CF129" s="1106" t="e">
        <f t="shared" si="473">INDEX(BC$8:BC$153,MATCH(BP129,$BO$8:$BO$153,0))</f>
        <v>#VALUE!</v>
      </c>
      <c r="CG129" s="1118" t="e">
        <f t="shared" si="474">INDEX(BE$8:BE$153,MATCH(BP129,$BO$8:$BO$153,0))</f>
        <v>#VALUE!</v>
      </c>
      <c r="CH129" s="1106" t="e">
        <f t="shared" si="475">INDEX($BD$8:$BD$153,MATCH($BP129,$BO$8:$BO$153,0))</f>
        <v>#VALUE!</v>
      </c>
      <c r="CI129" s="1142" t="e">
        <f t="shared" si="476">INDEX($BF$8:$BF$153,MATCH(BP129,$BO$8:$BO$153,0))</f>
        <v>#VALUE!</v>
      </c>
      <c r="CJ129" s="1106" t="e">
        <f t="shared" si="477">INDEX($BG$8:$BG$153,MATCH(BP129,$BO$8:$BO$153,0))</f>
        <v>#VALUE!</v>
      </c>
      <c r="CK129" s="1106" t="e">
        <f t="shared" si="478">INDEX($BH$8:$BH$153,MATCH(BP129,$BO$8:$BO$153,0))</f>
        <v>#VALUE!</v>
      </c>
      <c r="CM129" s="1131">
        <f t="shared" si="479">COUNTIF($CH$8:$CH$228,"&lt;="&amp;CH129)</f>
        <v>145</v>
      </c>
      <c r="CN129" s="1121">
        <f t="shared" si="286">--ISNUMBER(BX129)</f>
        <v>0</v>
      </c>
      <c r="CO129" s="1121">
        <f t="shared" si="287">IF(BX129=0,1,0)</f>
        <v>0</v>
      </c>
      <c r="CP129" s="1124">
        <f t="shared" si="573">IF(ISNUMBER(BX129),CM129,IF(ISERROR(BX129),CM129,CM129+$CN$154))+$CO$154</f>
        <v>145</v>
      </c>
      <c r="CQ129" s="237">
        <f>IFERROR(INDEX($BX$8:$BX$153,MATCH(SMALL($CP$8:$CP$153,ROWS($CQ$8:CQ129)+$CO$154),$CP$8:$CP$154,0)),"")</f>
        <v>0</v>
      </c>
      <c r="CR129" s="237">
        <v>0.1</v>
      </c>
      <c r="CS129" s="1135">
        <f t="shared" si="288">CM129+CR129</f>
        <v>145.1</v>
      </c>
      <c r="CT129" s="237">
        <f>COUNTIFS($CM:$CM, CM129,$CS:$CS, "&lt;"&amp;CL)+COUNTIFS(CM$8:CM129, CM129, CS$8:CS129, CS129)</f>
        <v>122</v>
      </c>
      <c r="CU129" s="1109">
        <f t="shared" si="289">CT129/100</f>
        <v>1.22</v>
      </c>
      <c r="CV129" s="1109">
        <f t="shared" si="290">CM129+CU129</f>
        <v>146.22</v>
      </c>
      <c r="CW129" s="237" t="e">
        <f t="shared" si="480">SMALL(CV$8:CV$153,AX129)</f>
        <v>#VALUE!</v>
      </c>
      <c r="CX129" s="1109">
        <f t="shared" si="291">IFERROR(CW129,"")</f>
        <v>0</v>
      </c>
      <c r="CY129" s="237" t="e">
        <f t="shared" si="481">INDEX(BU$8:BU$152,MATCH($CX129,CV$8:CV$152,0))</f>
        <v>#N/A</v>
      </c>
      <c r="CZ129" s="237" t="e">
        <f t="shared" si="482">INDEX(BV$8:BV$152,MATCH($CX129,$CV$8:$CV$152,0))</f>
        <v>#N/A</v>
      </c>
      <c r="DA129" s="237" t="e">
        <f t="shared" si="483">INDEX(BW$8:BW$152,MATCH($CX129,$CV$8:$CV$152,0))</f>
        <v>#N/A</v>
      </c>
      <c r="DB129" s="237" t="e">
        <f t="shared" si="484">INDEX(BX$8:BX$152,MATCH($CX129,$CV$8:$CV$152,0))</f>
        <v>#N/A</v>
      </c>
      <c r="DC129" s="237" t="e">
        <f t="shared" si="485">INDEX(BY$8:BY$152,MATCH($CX129,$CV$8:$CV$152,0))</f>
        <v>#N/A</v>
      </c>
      <c r="DD129" s="237" t="e">
        <f t="shared" si="486">INDEX(BZ$8:BZ$152,MATCH($CX129,$CV$8:$CV$152,0))</f>
        <v>#N/A</v>
      </c>
      <c r="DE129" s="237" t="e">
        <f t="shared" si="487">INDEX(CA$8:CA$152,MATCH($CX129,$CV$8:$CV$152,0))</f>
        <v>#N/A</v>
      </c>
      <c r="DF129" s="237" t="e">
        <f t="shared" si="488">INDEX(CB$8:CB$152,MATCH($CX129,$CV$8:$CV$152,0))</f>
        <v>#N/A</v>
      </c>
    </row>
    <row r="130" spans="1:110" ht="14.25" customHeight="1" thickTop="1" thickBot="1">
      <c r="A130" s="1215"/>
      <c r="B130" s="1505"/>
      <c r="C130" s="773"/>
      <c r="D130" s="1154"/>
      <c r="E130" s="773"/>
      <c r="F130" s="773"/>
      <c r="G130" s="773"/>
      <c r="H130" s="773"/>
      <c r="I130" s="1474"/>
      <c r="J130" s="763"/>
      <c r="K130" s="763"/>
      <c r="L130" s="773"/>
      <c r="M130" s="808"/>
      <c r="AM130" s="1077"/>
      <c r="AN130" s="1096"/>
      <c r="AO130" s="1078"/>
      <c r="AP130" s="1079"/>
      <c r="AQ130" s="1080"/>
      <c r="AR130" s="1080">
        <f t="shared" si="496">IF(E130&lt;&gt;"",E130,"")</f>
        <v>0</v>
      </c>
      <c r="AS130" s="1078">
        <f t="shared" si="563">F130</f>
        <v>0</v>
      </c>
      <c r="AT130" s="1080">
        <f t="shared" si="497">IF(H130&lt;&gt;"",H130,"")</f>
        <v>0</v>
      </c>
      <c r="AU130" s="1080">
        <f t="shared" si="498">J130</f>
        <v>0</v>
      </c>
      <c r="AV130" s="1080"/>
      <c r="AW130" s="1081"/>
      <c r="AX130" s="237">
        <f t="shared" si="292">IF(AZ130&lt;&gt;"",AX129+1,"")</f>
        <v>0</v>
      </c>
      <c r="AY130" s="1087">
        <v>122</v>
      </c>
      <c r="AZ130" s="1087">
        <f t="shared" si="564">IF(ISNA(VLOOKUP(AY130,$AN$8:$AW$148,2,False))=True,"",VLOOKUP(AY130,$AN$8:$AW$148,2,False))</f>
        <v>0</v>
      </c>
      <c r="BA130" s="1087">
        <f t="shared" si="565">IF(ISNA(VLOOKUP(AZ130,$AE$8:$AF$46,2,False))=True,"",VLOOKUP(AZ130,$AE$8:$AF$46,2,False))</f>
        <v>0</v>
      </c>
      <c r="BB130" s="1087">
        <f t="shared" si="566">IF(ISNA(VLOOKUP(AY130,$AN$8:$AW$148,4,False))=True,"",VLOOKUP(AY130,$AN$8:$AW$148,4,False))</f>
        <v>0</v>
      </c>
      <c r="BC130" s="1087">
        <f t="shared" si="567">IF(ISNA(VLOOKUP(AY130,$AN$8:$AW$148,5,False))=True,"",VLOOKUP(AY130,$AN$8:$AW$148,5,False))</f>
        <v>0</v>
      </c>
      <c r="BD130" s="1087" t="str">
        <f t="shared" si="467">IF(ISNA(VLOOKUP(AY130,$AN$8:$AW$148,6,False))=True,"0",VLOOKUP(AY130,$AN$8:$AW$148,6,False))</f>
        <v>0</v>
      </c>
      <c r="BE130" s="1125">
        <f t="shared" si="568">IF(ISNA(VLOOKUP(AY130,$AN$8:$AW$148,7,False))=True,"",VLOOKUP(AY130,$AN$8:$AW$148,7,False))</f>
        <v>0</v>
      </c>
      <c r="BF130" s="1123">
        <f t="shared" si="569">IF(ISNA(VLOOKUP($AY130,$AN$8:$AW$148,8,False))=True,"",VLOOKUP($AY130,$AN$8:$AW$148,8,False))</f>
        <v>0</v>
      </c>
      <c r="BG130" s="1120">
        <f t="shared" si="570">IF(ISNA(VLOOKUP($AY130,$AN$8:$AW$148,9,False))=True,"",VLOOKUP($AY130,$AN$8:$AW$148,9,False))</f>
        <v>0</v>
      </c>
      <c r="BH130" s="1120">
        <f t="shared" si="571">IF(ISNA(VLOOKUP($AY130,$AN$8:$AW$148,10,False))=True,"",VLOOKUP($AY130,$AN$8:$AW$148,10,False))</f>
        <v>0</v>
      </c>
      <c r="BI130" s="250">
        <f t="shared" si="270">IF(AZ130&lt;&gt;"",AZ130,"")</f>
        <v>0</v>
      </c>
      <c r="BJ130" s="1098">
        <f t="shared" si="271">BI130</f>
        <v>0</v>
      </c>
      <c r="BK130" s="1115">
        <f>COUNTIFS($AZ:$AZ, AZ130,$BJ:$BJ, "&lt;"&amp;BJ130)+COUNTIFS(AZ$8:AZ130, AZ130, BJ$8:BJ130, BJ130)</f>
        <v>123</v>
      </c>
      <c r="BL130" s="1114">
        <f t="shared" si="272">BK130/100</f>
        <v>1.23</v>
      </c>
      <c r="BM130" s="1093" t="e">
        <f t="shared" si="575" ref="BM130">BJ130+BL130</f>
        <v>#VALUE!</v>
      </c>
      <c r="BN130" s="1101">
        <f t="shared" si="416">IF(BA130&lt;&gt;"",BM130,"")</f>
        <v>0</v>
      </c>
      <c r="BO130" s="1118">
        <f t="shared" si="275">IF(BN130&lt;&gt;"",BN130,0)</f>
        <v>0</v>
      </c>
      <c r="BP130" s="237" t="e">
        <f t="shared" si="469">SMALL($BN$8:$BN$152,AX130)</f>
        <v>#VALUE!</v>
      </c>
      <c r="BR130" s="1102" t="e">
        <f t="shared" si="465">IF(BP130&lt;&gt;"",BR129+1,"")</f>
        <v>#VALUE!</v>
      </c>
      <c r="BS130" s="1102">
        <f t="shared" si="276">IFERROR(BP130,"")</f>
        <v>0</v>
      </c>
      <c r="BT130" s="1102">
        <f t="shared" si="277">IFERROR(CC130,"")</f>
        <v>0</v>
      </c>
      <c r="BU130" s="1098">
        <f t="shared" si="278">IFERROR(CD130,"")</f>
        <v>0</v>
      </c>
      <c r="BV130" s="1098">
        <f t="shared" si="279">IFERROR(CE130,"")</f>
        <v>0</v>
      </c>
      <c r="BW130" s="1098">
        <f t="shared" si="280">IFERROR(CF130,"")</f>
        <v>0</v>
      </c>
      <c r="BX130" s="1146">
        <f t="shared" si="281">IFERROR(CH130,"")</f>
        <v>0</v>
      </c>
      <c r="BY130" s="1098">
        <f t="shared" si="282">IFERROR(CG130,"")</f>
        <v>0</v>
      </c>
      <c r="BZ130" s="1144" t="str">
        <f t="shared" si="283">IFERROR(CI130,"-")</f>
        <v>-</v>
      </c>
      <c r="CA130" s="1107">
        <f t="shared" si="284">IFERROR(CJ130,"")</f>
        <v>0</v>
      </c>
      <c r="CB130" s="1107">
        <f t="shared" si="285">IFERROR(CK130,"")</f>
        <v>0</v>
      </c>
      <c r="CC130" s="1110" t="e">
        <f t="shared" si="470">INDEX($AZ$8:$AZ$153,MATCH(BP130,$BO$8:$BO$153,0))</f>
        <v>#VALUE!</v>
      </c>
      <c r="CD130" s="1087" t="e">
        <f t="shared" si="471">INDEX($BA$8:$BA$153,MATCH(BP130,$BO$8:$BO$153,0))</f>
        <v>#VALUE!</v>
      </c>
      <c r="CE130" s="1106" t="e">
        <f t="shared" si="472">INDEX($BB$8:$BB$153,MATCH(BP130,$BO$8:$BO$153,0))</f>
        <v>#VALUE!</v>
      </c>
      <c r="CF130" s="1106" t="e">
        <f t="shared" si="473">INDEX(BC$8:BC$153,MATCH(BP130,$BO$8:$BO$153,0))</f>
        <v>#VALUE!</v>
      </c>
      <c r="CG130" s="1118" t="e">
        <f t="shared" si="474">INDEX(BE$8:BE$153,MATCH(BP130,$BO$8:$BO$153,0))</f>
        <v>#VALUE!</v>
      </c>
      <c r="CH130" s="1106" t="e">
        <f t="shared" si="475">INDEX($BD$8:$BD$153,MATCH($BP130,$BO$8:$BO$153,0))</f>
        <v>#VALUE!</v>
      </c>
      <c r="CI130" s="1142" t="e">
        <f t="shared" si="476">INDEX($BF$8:$BF$153,MATCH(BP130,$BO$8:$BO$153,0))</f>
        <v>#VALUE!</v>
      </c>
      <c r="CJ130" s="1106" t="e">
        <f t="shared" si="477">INDEX($BG$8:$BG$153,MATCH(BP130,$BO$8:$BO$153,0))</f>
        <v>#VALUE!</v>
      </c>
      <c r="CK130" s="1106" t="e">
        <f t="shared" si="478">INDEX($BH$8:$BH$153,MATCH(BP130,$BO$8:$BO$153,0))</f>
        <v>#VALUE!</v>
      </c>
      <c r="CM130" s="1131">
        <f t="shared" si="479">COUNTIF($CH$8:$CH$228,"&lt;="&amp;CH130)</f>
        <v>145</v>
      </c>
      <c r="CN130" s="1121">
        <f t="shared" si="286">--ISNUMBER(BX130)</f>
        <v>0</v>
      </c>
      <c r="CO130" s="1121">
        <f t="shared" si="287">IF(BX130=0,1,0)</f>
        <v>0</v>
      </c>
      <c r="CP130" s="1124">
        <f t="shared" si="573">IF(ISNUMBER(BX130),CM130,IF(ISERROR(BX130),CM130,CM130+$CN$154))+$CO$154</f>
        <v>145</v>
      </c>
      <c r="CQ130" s="237">
        <f>IFERROR(INDEX($BX$8:$BX$153,MATCH(SMALL($CP$8:$CP$153,ROWS($CQ$8:CQ130)+$CO$154),$CP$8:$CP$154,0)),"")</f>
        <v>0</v>
      </c>
      <c r="CR130" s="237">
        <v>0.1</v>
      </c>
      <c r="CS130" s="1135">
        <f t="shared" si="288">CM130+CR130</f>
        <v>145.1</v>
      </c>
      <c r="CT130" s="237">
        <f>COUNTIFS($CM:$CM, CM130,$CS:$CS, "&lt;"&amp;CL)+COUNTIFS(CM$8:CM130, CM130, CS$8:CS130, CS130)</f>
        <v>123</v>
      </c>
      <c r="CU130" s="1109">
        <f t="shared" si="289">CT130/100</f>
        <v>1.23</v>
      </c>
      <c r="CV130" s="1109">
        <f t="shared" si="290">CM130+CU130</f>
        <v>146.23</v>
      </c>
      <c r="CW130" s="237" t="e">
        <f t="shared" si="480">SMALL(CV$8:CV$153,AX130)</f>
        <v>#VALUE!</v>
      </c>
      <c r="CX130" s="1109">
        <f t="shared" si="291">IFERROR(CW130,"")</f>
        <v>0</v>
      </c>
      <c r="CY130" s="237" t="e">
        <f t="shared" si="481">INDEX(BU$8:BU$152,MATCH($CX130,CV$8:CV$152,0))</f>
        <v>#N/A</v>
      </c>
      <c r="CZ130" s="237" t="e">
        <f t="shared" si="482">INDEX(BV$8:BV$152,MATCH($CX130,$CV$8:$CV$152,0))</f>
        <v>#N/A</v>
      </c>
      <c r="DA130" s="237" t="e">
        <f t="shared" si="483">INDEX(BW$8:BW$152,MATCH($CX130,$CV$8:$CV$152,0))</f>
        <v>#N/A</v>
      </c>
      <c r="DB130" s="237" t="e">
        <f t="shared" si="484">INDEX(BX$8:BX$152,MATCH($CX130,$CV$8:$CV$152,0))</f>
        <v>#N/A</v>
      </c>
      <c r="DC130" s="237" t="e">
        <f t="shared" si="485">INDEX(BY$8:BY$152,MATCH($CX130,$CV$8:$CV$152,0))</f>
        <v>#N/A</v>
      </c>
      <c r="DD130" s="237" t="e">
        <f t="shared" si="486">INDEX(BZ$8:BZ$152,MATCH($CX130,$CV$8:$CV$152,0))</f>
        <v>#N/A</v>
      </c>
      <c r="DE130" s="237" t="e">
        <f t="shared" si="487">INDEX(CA$8:CA$152,MATCH($CX130,$CV$8:$CV$152,0))</f>
        <v>#N/A</v>
      </c>
      <c r="DF130" s="237" t="e">
        <f t="shared" si="488">INDEX(CB$8:CB$152,MATCH($CX130,$CV$8:$CV$152,0))</f>
        <v>#N/A</v>
      </c>
    </row>
    <row r="131" spans="1:110" ht="14.25" customHeight="1" thickTop="1" thickBot="1">
      <c r="A131" s="866" t="s">
        <v>348</v>
      </c>
      <c r="B131" s="1505"/>
      <c r="C131" s="773"/>
      <c r="D131" s="1154"/>
      <c r="E131" s="773"/>
      <c r="F131" s="773"/>
      <c r="G131" s="773"/>
      <c r="H131" s="773"/>
      <c r="I131" s="1474"/>
      <c r="J131" s="763"/>
      <c r="K131" s="763"/>
      <c r="L131" s="773"/>
      <c r="M131" s="809">
        <f>SUM(TOTAL_CASH,TOTAL_RECEIVABLE,TOTAL_INVESTMENT,TOTAL_TRANSPORT,TOTAL_OTHER_PROP,TOTAL_PROP)</f>
        <v>0</v>
      </c>
      <c r="AM131" s="1077"/>
      <c r="AN131" s="1096"/>
      <c r="AO131" s="1078"/>
      <c r="AP131" s="1079"/>
      <c r="AQ131" s="1080"/>
      <c r="AR131" s="1080">
        <f t="shared" si="496">IF(E131&lt;&gt;"",E131,"")</f>
        <v>0</v>
      </c>
      <c r="AS131" s="1078">
        <f t="shared" si="563">F131</f>
        <v>0</v>
      </c>
      <c r="AT131" s="1080">
        <f t="shared" si="497">IF(H131&lt;&gt;"",H131,"")</f>
        <v>0</v>
      </c>
      <c r="AU131" s="1080">
        <f t="shared" si="498">J131</f>
        <v>0</v>
      </c>
      <c r="AV131" s="1080"/>
      <c r="AW131" s="1081"/>
      <c r="AX131" s="237">
        <f t="shared" si="292">IF(AZ131&lt;&gt;"",AX130+1,"")</f>
        <v>0</v>
      </c>
      <c r="AY131" s="1087">
        <v>123</v>
      </c>
      <c r="AZ131" s="1087">
        <f t="shared" si="564">IF(ISNA(VLOOKUP(AY131,$AN$8:$AW$148,2,False))=True,"",VLOOKUP(AY131,$AN$8:$AW$148,2,False))</f>
        <v>0</v>
      </c>
      <c r="BA131" s="1087">
        <f t="shared" si="565">IF(ISNA(VLOOKUP(AZ131,$AE$8:$AF$46,2,False))=True,"",VLOOKUP(AZ131,$AE$8:$AF$46,2,False))</f>
        <v>0</v>
      </c>
      <c r="BB131" s="1087">
        <f t="shared" si="566">IF(ISNA(VLOOKUP(AY131,$AN$8:$AW$148,4,False))=True,"",VLOOKUP(AY131,$AN$8:$AW$148,4,False))</f>
        <v>0</v>
      </c>
      <c r="BC131" s="1087">
        <f t="shared" si="567">IF(ISNA(VLOOKUP(AY131,$AN$8:$AW$148,5,False))=True,"",VLOOKUP(AY131,$AN$8:$AW$148,5,False))</f>
        <v>0</v>
      </c>
      <c r="BD131" s="1087" t="str">
        <f t="shared" si="467">IF(ISNA(VLOOKUP(AY131,$AN$8:$AW$148,6,False))=True,"0",VLOOKUP(AY131,$AN$8:$AW$148,6,False))</f>
        <v>0</v>
      </c>
      <c r="BE131" s="1125">
        <f t="shared" si="568">IF(ISNA(VLOOKUP(AY131,$AN$8:$AW$148,7,False))=True,"",VLOOKUP(AY131,$AN$8:$AW$148,7,False))</f>
        <v>0</v>
      </c>
      <c r="BF131" s="1123">
        <f t="shared" si="569">IF(ISNA(VLOOKUP($AY131,$AN$8:$AW$148,8,False))=True,"",VLOOKUP($AY131,$AN$8:$AW$148,8,False))</f>
        <v>0</v>
      </c>
      <c r="BG131" s="1120">
        <f t="shared" si="570">IF(ISNA(VLOOKUP($AY131,$AN$8:$AW$148,9,False))=True,"",VLOOKUP($AY131,$AN$8:$AW$148,9,False))</f>
        <v>0</v>
      </c>
      <c r="BH131" s="1120">
        <f t="shared" si="571">IF(ISNA(VLOOKUP($AY131,$AN$8:$AW$148,10,False))=True,"",VLOOKUP($AY131,$AN$8:$AW$148,10,False))</f>
        <v>0</v>
      </c>
      <c r="BI131" s="250">
        <f t="shared" si="270">IF(AZ131&lt;&gt;"",AZ131,"")</f>
        <v>0</v>
      </c>
      <c r="BJ131" s="1098">
        <f t="shared" si="271">BI131</f>
        <v>0</v>
      </c>
      <c r="BK131" s="1115">
        <f>COUNTIFS($AZ:$AZ, AZ131,$BJ:$BJ, "&lt;"&amp;BJ131)+COUNTIFS(AZ$8:AZ131, AZ131, BJ$8:BJ131, BJ131)</f>
        <v>124</v>
      </c>
      <c r="BL131" s="1114">
        <f t="shared" si="272">BK131/100</f>
        <v>1.24</v>
      </c>
      <c r="BM131" s="1093" t="e">
        <f t="shared" si="576" ref="BM131">BI131+BL131</f>
        <v>#VALUE!</v>
      </c>
      <c r="BN131" s="1101">
        <f t="shared" si="416">IF(BA131&lt;&gt;"",BM131,"")</f>
        <v>0</v>
      </c>
      <c r="BO131" s="1118">
        <f t="shared" si="275">IF(BN131&lt;&gt;"",BN131,0)</f>
        <v>0</v>
      </c>
      <c r="BP131" s="237" t="e">
        <f t="shared" si="469">SMALL($BN$8:$BN$152,AX131)</f>
        <v>#VALUE!</v>
      </c>
      <c r="BR131" s="1102" t="e">
        <f t="shared" si="465">IF(BP131&lt;&gt;"",BR130+1,"")</f>
        <v>#VALUE!</v>
      </c>
      <c r="BS131" s="1102">
        <f t="shared" si="276">IFERROR(BP131,"")</f>
        <v>0</v>
      </c>
      <c r="BT131" s="1102">
        <f t="shared" si="277">IFERROR(CC131,"")</f>
        <v>0</v>
      </c>
      <c r="BU131" s="1098">
        <f t="shared" si="278">IFERROR(CD131,"")</f>
        <v>0</v>
      </c>
      <c r="BV131" s="1098">
        <f t="shared" si="279">IFERROR(CE131,"")</f>
        <v>0</v>
      </c>
      <c r="BW131" s="1098">
        <f t="shared" si="280">IFERROR(CF131,"")</f>
        <v>0</v>
      </c>
      <c r="BX131" s="1146">
        <f t="shared" si="281">IFERROR(CH131,"")</f>
        <v>0</v>
      </c>
      <c r="BY131" s="1098">
        <f t="shared" si="282">IFERROR(CG131,"")</f>
        <v>0</v>
      </c>
      <c r="BZ131" s="1144" t="str">
        <f t="shared" si="283">IFERROR(CI131,"-")</f>
        <v>-</v>
      </c>
      <c r="CA131" s="1107">
        <f t="shared" si="284">IFERROR(CJ131,"")</f>
        <v>0</v>
      </c>
      <c r="CB131" s="1107">
        <f t="shared" si="285">IFERROR(CK131,"")</f>
        <v>0</v>
      </c>
      <c r="CC131" s="1110" t="e">
        <f t="shared" si="470">INDEX($AZ$8:$AZ$153,MATCH(BP131,$BO$8:$BO$153,0))</f>
        <v>#VALUE!</v>
      </c>
      <c r="CD131" s="1087" t="e">
        <f t="shared" si="471">INDEX($BA$8:$BA$153,MATCH(BP131,$BO$8:$BO$153,0))</f>
        <v>#VALUE!</v>
      </c>
      <c r="CE131" s="1106" t="e">
        <f t="shared" si="472">INDEX($BB$8:$BB$153,MATCH(BP131,$BO$8:$BO$153,0))</f>
        <v>#VALUE!</v>
      </c>
      <c r="CF131" s="1106" t="e">
        <f t="shared" si="473">INDEX(BC$8:BC$153,MATCH(BP131,$BO$8:$BO$153,0))</f>
        <v>#VALUE!</v>
      </c>
      <c r="CG131" s="1118" t="e">
        <f t="shared" si="474">INDEX(BE$8:BE$153,MATCH(BP131,$BO$8:$BO$153,0))</f>
        <v>#VALUE!</v>
      </c>
      <c r="CH131" s="1106" t="e">
        <f t="shared" si="475">INDEX($BD$8:$BD$153,MATCH($BP131,$BO$8:$BO$153,0))</f>
        <v>#VALUE!</v>
      </c>
      <c r="CI131" s="1142" t="e">
        <f t="shared" si="476">INDEX($BF$8:$BF$153,MATCH(BP131,$BO$8:$BO$153,0))</f>
        <v>#VALUE!</v>
      </c>
      <c r="CJ131" s="1106" t="e">
        <f t="shared" si="477">INDEX($BG$8:$BG$153,MATCH(BP131,$BO$8:$BO$153,0))</f>
        <v>#VALUE!</v>
      </c>
      <c r="CK131" s="1106" t="e">
        <f t="shared" si="478">INDEX($BH$8:$BH$153,MATCH(BP131,$BO$8:$BO$153,0))</f>
        <v>#VALUE!</v>
      </c>
      <c r="CM131" s="1131">
        <f t="shared" si="479">COUNTIF($CH$8:$CH$228,"&lt;="&amp;CH131)</f>
        <v>145</v>
      </c>
      <c r="CN131" s="1121">
        <f t="shared" si="286">--ISNUMBER(BX131)</f>
        <v>0</v>
      </c>
      <c r="CO131" s="1121">
        <f t="shared" si="287">IF(BX131=0,1,0)</f>
        <v>0</v>
      </c>
      <c r="CP131" s="1124">
        <f t="shared" si="573">IF(ISNUMBER(BX131),CM131,IF(ISERROR(BX131),CM131,CM131+$CN$154))+$CO$154</f>
        <v>145</v>
      </c>
      <c r="CQ131" s="237">
        <f>IFERROR(INDEX($BX$8:$BX$153,MATCH(SMALL($CP$8:$CP$153,ROWS($CQ$8:CQ131)+$CO$154),$CP$8:$CP$154,0)),"")</f>
        <v>0</v>
      </c>
      <c r="CR131" s="237">
        <v>0.1</v>
      </c>
      <c r="CS131" s="1135">
        <f t="shared" si="288">CM131+CR131</f>
        <v>145.1</v>
      </c>
      <c r="CT131" s="237">
        <f>COUNTIFS($CM:$CM, CM131,$CS:$CS, "&lt;"&amp;CL)+COUNTIFS(CM$8:CM131, CM131, CS$8:CS131, CS131)</f>
        <v>124</v>
      </c>
      <c r="CU131" s="1109">
        <f t="shared" si="289">CT131/100</f>
        <v>1.24</v>
      </c>
      <c r="CV131" s="1109">
        <f t="shared" si="290">CM131+CU131</f>
        <v>146.24</v>
      </c>
      <c r="CW131" s="237" t="e">
        <f t="shared" si="480">SMALL(CV$8:CV$153,AX131)</f>
        <v>#VALUE!</v>
      </c>
      <c r="CX131" s="1109">
        <f t="shared" si="291">IFERROR(CW131,"")</f>
        <v>0</v>
      </c>
      <c r="CY131" s="237" t="e">
        <f t="shared" si="481">INDEX(BU$8:BU$152,MATCH($CX131,CV$8:CV$152,0))</f>
        <v>#N/A</v>
      </c>
      <c r="CZ131" s="237" t="e">
        <f t="shared" si="482">INDEX(BV$8:BV$152,MATCH($CX131,$CV$8:$CV$152,0))</f>
        <v>#N/A</v>
      </c>
      <c r="DA131" s="237" t="e">
        <f t="shared" si="483">INDEX(BW$8:BW$152,MATCH($CX131,$CV$8:$CV$152,0))</f>
        <v>#N/A</v>
      </c>
      <c r="DB131" s="237" t="e">
        <f t="shared" si="484">INDEX(BX$8:BX$152,MATCH($CX131,$CV$8:$CV$152,0))</f>
        <v>#N/A</v>
      </c>
      <c r="DC131" s="237" t="e">
        <f t="shared" si="485">INDEX(BY$8:BY$152,MATCH($CX131,$CV$8:$CV$152,0))</f>
        <v>#N/A</v>
      </c>
      <c r="DD131" s="237" t="e">
        <f t="shared" si="486">INDEX(BZ$8:BZ$152,MATCH($CX131,$CV$8:$CV$152,0))</f>
        <v>#N/A</v>
      </c>
      <c r="DE131" s="237" t="e">
        <f t="shared" si="487">INDEX(CA$8:CA$152,MATCH($CX131,$CV$8:$CV$152,0))</f>
        <v>#N/A</v>
      </c>
      <c r="DF131" s="237" t="e">
        <f t="shared" si="488">INDEX(CB$8:CB$152,MATCH($CX131,$CV$8:$CV$152,0))</f>
        <v>#N/A</v>
      </c>
    </row>
    <row r="132" spans="1:110" ht="13.5" customHeight="1" thickTop="1">
      <c r="A132" s="1215"/>
      <c r="B132" s="1505"/>
      <c r="C132" s="773"/>
      <c r="D132" s="1154"/>
      <c r="E132" s="773"/>
      <c r="F132" s="773"/>
      <c r="G132" s="773"/>
      <c r="H132" s="773"/>
      <c r="I132" s="1474"/>
      <c r="J132" s="763"/>
      <c r="K132" s="763"/>
      <c r="L132" s="773"/>
      <c r="M132" s="773"/>
      <c r="AM132" s="1082"/>
      <c r="AN132" s="1096"/>
      <c r="AO132" s="1083"/>
      <c r="AP132" s="1084"/>
      <c r="AQ132" s="1085"/>
      <c r="AR132" s="1080">
        <f t="shared" si="496">IF(E132&lt;&gt;"",E132,"")</f>
        <v>0</v>
      </c>
      <c r="AS132" s="1078">
        <f t="shared" si="563">F132</f>
        <v>0</v>
      </c>
      <c r="AT132" s="1080">
        <f t="shared" si="497">IF(H132&lt;&gt;"",H132,"")</f>
        <v>0</v>
      </c>
      <c r="AU132" s="1080">
        <f t="shared" si="498">J132</f>
        <v>0</v>
      </c>
      <c r="AV132" s="1080"/>
      <c r="AW132" s="1086"/>
      <c r="AX132" s="237">
        <f t="shared" si="292">IF(AZ132&lt;&gt;"",AX131+1,"")</f>
        <v>0</v>
      </c>
      <c r="AY132" s="1087">
        <v>124</v>
      </c>
      <c r="AZ132" s="1087">
        <f t="shared" si="564">IF(ISNA(VLOOKUP(AY132,$AN$8:$AW$148,2,False))=True,"",VLOOKUP(AY132,$AN$8:$AW$148,2,False))</f>
        <v>0</v>
      </c>
      <c r="BA132" s="1087">
        <f t="shared" si="565">IF(ISNA(VLOOKUP(AZ132,$AE$8:$AF$46,2,False))=True,"",VLOOKUP(AZ132,$AE$8:$AF$46,2,False))</f>
        <v>0</v>
      </c>
      <c r="BB132" s="1087">
        <f t="shared" si="566">IF(ISNA(VLOOKUP(AY132,$AN$8:$AW$148,4,False))=True,"",VLOOKUP(AY132,$AN$8:$AW$148,4,False))</f>
        <v>0</v>
      </c>
      <c r="BC132" s="1087">
        <f t="shared" si="567">IF(ISNA(VLOOKUP(AY132,$AN$8:$AW$148,5,False))=True,"",VLOOKUP(AY132,$AN$8:$AW$148,5,False))</f>
        <v>0</v>
      </c>
      <c r="BD132" s="1087" t="str">
        <f t="shared" si="467">IF(ISNA(VLOOKUP(AY132,$AN$8:$AW$148,6,False))=True,"0",VLOOKUP(AY132,$AN$8:$AW$148,6,False))</f>
        <v>0</v>
      </c>
      <c r="BE132" s="1125">
        <f t="shared" si="568">IF(ISNA(VLOOKUP(AY132,$AN$8:$AW$148,7,False))=True,"",VLOOKUP(AY132,$AN$8:$AW$148,7,False))</f>
        <v>0</v>
      </c>
      <c r="BF132" s="1123">
        <f t="shared" si="569">IF(ISNA(VLOOKUP($AY132,$AN$8:$AW$148,8,False))=True,"",VLOOKUP($AY132,$AN$8:$AW$148,8,False))</f>
        <v>0</v>
      </c>
      <c r="BG132" s="1120">
        <f t="shared" si="570">IF(ISNA(VLOOKUP($AY132,$AN$8:$AW$148,9,False))=True,"",VLOOKUP($AY132,$AN$8:$AW$148,9,False))</f>
        <v>0</v>
      </c>
      <c r="BH132" s="1120">
        <f t="shared" si="571">IF(ISNA(VLOOKUP($AY132,$AN$8:$AW$148,10,False))=True,"",VLOOKUP($AY132,$AN$8:$AW$148,10,False))</f>
        <v>0</v>
      </c>
      <c r="BI132" s="250">
        <f t="shared" si="270">IF(AZ132&lt;&gt;"",AZ132,"")</f>
        <v>0</v>
      </c>
      <c r="BJ132" s="1098">
        <f t="shared" si="271">BI132</f>
        <v>0</v>
      </c>
      <c r="BK132" s="1115">
        <f>COUNTIFS($AZ:$AZ, AZ132,$BJ:$BJ, "&lt;"&amp;BJ132)+COUNTIFS(AZ$8:AZ132, AZ132, BJ$8:BJ132, BJ132)</f>
        <v>125</v>
      </c>
      <c r="BL132" s="1114">
        <f t="shared" si="272">BK132/100</f>
        <v>1.25</v>
      </c>
      <c r="BM132" s="1093" t="e">
        <f t="shared" si="577" ref="BM132">BJ132+BL132</f>
        <v>#VALUE!</v>
      </c>
      <c r="BN132" s="1101">
        <f t="shared" si="416">IF(BA132&lt;&gt;"",BM132,"")</f>
        <v>0</v>
      </c>
      <c r="BO132" s="1118">
        <f t="shared" si="275">IF(BN132&lt;&gt;"",BN132,0)</f>
        <v>0</v>
      </c>
      <c r="BP132" s="237" t="e">
        <f t="shared" si="469">SMALL($BN$8:$BN$152,AX132)</f>
        <v>#VALUE!</v>
      </c>
      <c r="BR132" s="1102" t="e">
        <f t="shared" si="465">IF(BP132&lt;&gt;"",BR131+1,"")</f>
        <v>#VALUE!</v>
      </c>
      <c r="BS132" s="1102">
        <f t="shared" si="276">IFERROR(BP132,"")</f>
        <v>0</v>
      </c>
      <c r="BT132" s="1102">
        <f t="shared" si="277">IFERROR(CC132,"")</f>
        <v>0</v>
      </c>
      <c r="BU132" s="1098">
        <f t="shared" si="278">IFERROR(CD132,"")</f>
        <v>0</v>
      </c>
      <c r="BV132" s="1098">
        <f t="shared" si="279">IFERROR(CE132,"")</f>
        <v>0</v>
      </c>
      <c r="BW132" s="1098">
        <f t="shared" si="280">IFERROR(CF132,"")</f>
        <v>0</v>
      </c>
      <c r="BX132" s="1146">
        <f t="shared" si="281">IFERROR(CH132,"")</f>
        <v>0</v>
      </c>
      <c r="BY132" s="1098">
        <f t="shared" si="282">IFERROR(CG132,"")</f>
        <v>0</v>
      </c>
      <c r="BZ132" s="1144" t="str">
        <f t="shared" si="283">IFERROR(CI132,"-")</f>
        <v>-</v>
      </c>
      <c r="CA132" s="1107">
        <f t="shared" si="284">IFERROR(CJ132,"")</f>
        <v>0</v>
      </c>
      <c r="CB132" s="1107">
        <f t="shared" si="285">IFERROR(CK132,"")</f>
        <v>0</v>
      </c>
      <c r="CC132" s="1110" t="e">
        <f t="shared" si="470">INDEX($AZ$8:$AZ$153,MATCH(BP132,$BO$8:$BO$153,0))</f>
        <v>#VALUE!</v>
      </c>
      <c r="CD132" s="1087" t="e">
        <f t="shared" si="471">INDEX($BA$8:$BA$153,MATCH(BP132,$BO$8:$BO$153,0))</f>
        <v>#VALUE!</v>
      </c>
      <c r="CE132" s="1106" t="e">
        <f t="shared" si="472">INDEX($BB$8:$BB$153,MATCH(BP132,$BO$8:$BO$153,0))</f>
        <v>#VALUE!</v>
      </c>
      <c r="CF132" s="1106" t="e">
        <f t="shared" si="473">INDEX(BC$8:BC$153,MATCH(BP132,$BO$8:$BO$153,0))</f>
        <v>#VALUE!</v>
      </c>
      <c r="CG132" s="1118" t="e">
        <f t="shared" si="474">INDEX(BE$8:BE$153,MATCH(BP132,$BO$8:$BO$153,0))</f>
        <v>#VALUE!</v>
      </c>
      <c r="CH132" s="1106" t="e">
        <f t="shared" si="475">INDEX($BD$8:$BD$153,MATCH($BP132,$BO$8:$BO$153,0))</f>
        <v>#VALUE!</v>
      </c>
      <c r="CI132" s="1142" t="e">
        <f t="shared" si="476">INDEX($BF$8:$BF$153,MATCH(BP132,$BO$8:$BO$153,0))</f>
        <v>#VALUE!</v>
      </c>
      <c r="CJ132" s="1106" t="e">
        <f t="shared" si="477">INDEX($BG$8:$BG$153,MATCH(BP132,$BO$8:$BO$153,0))</f>
        <v>#VALUE!</v>
      </c>
      <c r="CK132" s="1106" t="e">
        <f t="shared" si="478">INDEX($BH$8:$BH$153,MATCH(BP132,$BO$8:$BO$153,0))</f>
        <v>#VALUE!</v>
      </c>
      <c r="CM132" s="1131">
        <f t="shared" si="479">COUNTIF($CH$8:$CH$228,"&lt;="&amp;CH132)</f>
        <v>145</v>
      </c>
      <c r="CN132" s="1121">
        <f t="shared" si="286">--ISNUMBER(BX132)</f>
        <v>0</v>
      </c>
      <c r="CO132" s="1121">
        <f t="shared" si="287">IF(BX132=0,1,0)</f>
        <v>0</v>
      </c>
      <c r="CP132" s="1124">
        <f t="shared" si="573">IF(ISNUMBER(BX132),CM132,IF(ISERROR(BX132),CM132,CM132+$CN$154))+$CO$154</f>
        <v>145</v>
      </c>
      <c r="CQ132" s="237">
        <f>IFERROR(INDEX($BX$8:$BX$153,MATCH(SMALL($CP$8:$CP$153,ROWS($CQ$8:CQ132)+$CO$154),$CP$8:$CP$154,0)),"")</f>
        <v>0</v>
      </c>
      <c r="CR132" s="237">
        <v>0.1</v>
      </c>
      <c r="CS132" s="1135">
        <f t="shared" si="288">CM132+CR132</f>
        <v>145.1</v>
      </c>
      <c r="CT132" s="237">
        <f>COUNTIFS($CM:$CM, CM132,$CS:$CS, "&lt;"&amp;CL)+COUNTIFS(CM$8:CM132, CM132, CS$8:CS132, CS132)</f>
        <v>125</v>
      </c>
      <c r="CU132" s="1109">
        <f t="shared" si="289">CT132/100</f>
        <v>1.25</v>
      </c>
      <c r="CV132" s="1109">
        <f t="shared" si="290">CM132+CU132</f>
        <v>146.25</v>
      </c>
      <c r="CW132" s="237" t="e">
        <f t="shared" si="480">SMALL(CV$8:CV$153,AX132)</f>
        <v>#VALUE!</v>
      </c>
      <c r="CX132" s="1109">
        <f t="shared" si="291">IFERROR(CW132,"")</f>
        <v>0</v>
      </c>
      <c r="CY132" s="237" t="e">
        <f t="shared" si="481">INDEX(BU$8:BU$152,MATCH($CX132,CV$8:CV$152,0))</f>
        <v>#N/A</v>
      </c>
      <c r="CZ132" s="237" t="e">
        <f t="shared" si="482">INDEX(BV$8:BV$152,MATCH($CX132,$CV$8:$CV$152,0))</f>
        <v>#N/A</v>
      </c>
      <c r="DA132" s="237" t="e">
        <f t="shared" si="483">INDEX(BW$8:BW$152,MATCH($CX132,$CV$8:$CV$152,0))</f>
        <v>#N/A</v>
      </c>
      <c r="DB132" s="237" t="e">
        <f t="shared" si="484">INDEX(BX$8:BX$152,MATCH($CX132,$CV$8:$CV$152,0))</f>
        <v>#N/A</v>
      </c>
      <c r="DC132" s="237" t="e">
        <f t="shared" si="485">INDEX(BY$8:BY$152,MATCH($CX132,$CV$8:$CV$152,0))</f>
        <v>#N/A</v>
      </c>
      <c r="DD132" s="237" t="e">
        <f t="shared" si="486">INDEX(BZ$8:BZ$152,MATCH($CX132,$CV$8:$CV$152,0))</f>
        <v>#N/A</v>
      </c>
      <c r="DE132" s="237" t="e">
        <f t="shared" si="487">INDEX(CA$8:CA$152,MATCH($CX132,$CV$8:$CV$152,0))</f>
        <v>#N/A</v>
      </c>
      <c r="DF132" s="237" t="e">
        <f t="shared" si="488">INDEX(CB$8:CB$152,MATCH($CX132,$CV$8:$CV$152,0))</f>
        <v>#N/A</v>
      </c>
    </row>
    <row r="133" spans="1:110">
      <c r="A133" s="1214"/>
      <c r="B133" s="1504"/>
      <c r="C133" s="763"/>
      <c r="D133" s="1155"/>
      <c r="E133" s="763"/>
      <c r="F133" s="763"/>
      <c r="G133" s="763"/>
      <c r="H133" s="763"/>
      <c r="I133" s="1471"/>
      <c r="J133" s="763"/>
      <c r="K133" s="763"/>
      <c r="L133" s="763"/>
      <c r="M133" s="763"/>
      <c r="AM133" s="1077"/>
      <c r="AN133" s="1096"/>
      <c r="AO133" s="1078"/>
      <c r="AP133" s="1079"/>
      <c r="AQ133" s="1080"/>
      <c r="AR133" s="1080">
        <f t="shared" si="496">IF(E133&lt;&gt;"",E133,"")</f>
        <v>0</v>
      </c>
      <c r="AS133" s="1078">
        <f t="shared" si="563">F133</f>
        <v>0</v>
      </c>
      <c r="AT133" s="1080">
        <f t="shared" si="497">IF(H133&lt;&gt;"",H133,"")</f>
        <v>0</v>
      </c>
      <c r="AU133" s="1080">
        <f t="shared" si="498">J133</f>
        <v>0</v>
      </c>
      <c r="AV133" s="1080"/>
      <c r="AW133" s="1081"/>
      <c r="AX133" s="237">
        <f t="shared" si="292">IF(AZ133&lt;&gt;"",AX132+1,"")</f>
        <v>0</v>
      </c>
      <c r="AY133" s="1087">
        <v>125</v>
      </c>
      <c r="AZ133" s="1087">
        <f t="shared" si="564">IF(ISNA(VLOOKUP(AY133,$AN$8:$AW$148,2,False))=True,"",VLOOKUP(AY133,$AN$8:$AW$148,2,False))</f>
        <v>0</v>
      </c>
      <c r="BA133" s="1087">
        <f t="shared" si="565">IF(ISNA(VLOOKUP(AZ133,$AE$8:$AF$46,2,False))=True,"",VLOOKUP(AZ133,$AE$8:$AF$46,2,False))</f>
        <v>0</v>
      </c>
      <c r="BB133" s="1087">
        <f t="shared" si="566">IF(ISNA(VLOOKUP(AY133,$AN$8:$AW$148,4,False))=True,"",VLOOKUP(AY133,$AN$8:$AW$148,4,False))</f>
        <v>0</v>
      </c>
      <c r="BC133" s="1087">
        <f t="shared" si="567">IF(ISNA(VLOOKUP(AY133,$AN$8:$AW$148,5,False))=True,"",VLOOKUP(AY133,$AN$8:$AW$148,5,False))</f>
        <v>0</v>
      </c>
      <c r="BD133" s="1087" t="str">
        <f t="shared" si="467">IF(ISNA(VLOOKUP(AY133,$AN$8:$AW$148,6,False))=True,"0",VLOOKUP(AY133,$AN$8:$AW$148,6,False))</f>
        <v>0</v>
      </c>
      <c r="BE133" s="1125">
        <f t="shared" si="568">IF(ISNA(VLOOKUP(AY133,$AN$8:$AW$148,7,False))=True,"",VLOOKUP(AY133,$AN$8:$AW$148,7,False))</f>
        <v>0</v>
      </c>
      <c r="BF133" s="1123">
        <f t="shared" si="569">IF(ISNA(VLOOKUP($AY133,$AN$8:$AW$148,8,False))=True,"",VLOOKUP($AY133,$AN$8:$AW$148,8,False))</f>
        <v>0</v>
      </c>
      <c r="BG133" s="1120">
        <f t="shared" si="570">IF(ISNA(VLOOKUP($AY133,$AN$8:$AW$148,9,False))=True,"",VLOOKUP($AY133,$AN$8:$AW$148,9,False))</f>
        <v>0</v>
      </c>
      <c r="BH133" s="1120">
        <f t="shared" si="571">IF(ISNA(VLOOKUP($AY133,$AN$8:$AW$148,10,False))=True,"",VLOOKUP($AY133,$AN$8:$AW$148,10,False))</f>
        <v>0</v>
      </c>
      <c r="BI133" s="250">
        <f t="shared" si="270">IF(AZ133&lt;&gt;"",AZ133,"")</f>
        <v>0</v>
      </c>
      <c r="BJ133" s="1098">
        <f t="shared" si="271">BI133</f>
        <v>0</v>
      </c>
      <c r="BK133" s="1115">
        <f>COUNTIFS($AZ:$AZ, AZ133,$BJ:$BJ, "&lt;"&amp;BJ133)+COUNTIFS(AZ$8:AZ133, AZ133, BJ$8:BJ133, BJ133)</f>
        <v>126</v>
      </c>
      <c r="BL133" s="1114">
        <f t="shared" si="272">BK133/100</f>
        <v>1.26</v>
      </c>
      <c r="BM133" s="1093" t="e">
        <f t="shared" si="578" ref="BM133">BI133+BL133</f>
        <v>#VALUE!</v>
      </c>
      <c r="BN133" s="1101">
        <f t="shared" si="416">IF(BA133&lt;&gt;"",BM133,"")</f>
        <v>0</v>
      </c>
      <c r="BO133" s="1118">
        <f t="shared" si="275">IF(BN133&lt;&gt;"",BN133,0)</f>
        <v>0</v>
      </c>
      <c r="BP133" s="237" t="e">
        <f t="shared" si="469">SMALL($BN$8:$BN$152,AX133)</f>
        <v>#VALUE!</v>
      </c>
      <c r="BR133" s="1102" t="e">
        <f t="shared" si="465">IF(BP133&lt;&gt;"",BR132+1,"")</f>
        <v>#VALUE!</v>
      </c>
      <c r="BS133" s="1102">
        <f t="shared" si="276">IFERROR(BP133,"")</f>
        <v>0</v>
      </c>
      <c r="BT133" s="1102">
        <f t="shared" si="277">IFERROR(CC133,"")</f>
        <v>0</v>
      </c>
      <c r="BU133" s="1098">
        <f t="shared" si="278">IFERROR(CD133,"")</f>
        <v>0</v>
      </c>
      <c r="BV133" s="1098">
        <f t="shared" si="279">IFERROR(CE133,"")</f>
        <v>0</v>
      </c>
      <c r="BW133" s="1098">
        <f t="shared" si="280">IFERROR(CF133,"")</f>
        <v>0</v>
      </c>
      <c r="BX133" s="1146">
        <f t="shared" si="281">IFERROR(CH133,"")</f>
        <v>0</v>
      </c>
      <c r="BY133" s="1098">
        <f t="shared" si="282">IFERROR(CG133,"")</f>
        <v>0</v>
      </c>
      <c r="BZ133" s="1144" t="str">
        <f t="shared" si="283">IFERROR(CI133,"-")</f>
        <v>-</v>
      </c>
      <c r="CA133" s="1107">
        <f t="shared" si="284">IFERROR(CJ133,"")</f>
        <v>0</v>
      </c>
      <c r="CB133" s="1107">
        <f t="shared" si="285">IFERROR(CK133,"")</f>
        <v>0</v>
      </c>
      <c r="CC133" s="1110" t="e">
        <f t="shared" si="470">INDEX($AZ$8:$AZ$153,MATCH(BP133,$BO$8:$BO$153,0))</f>
        <v>#VALUE!</v>
      </c>
      <c r="CD133" s="1087" t="e">
        <f t="shared" si="471">INDEX($BA$8:$BA$153,MATCH(BP133,$BO$8:$BO$153,0))</f>
        <v>#VALUE!</v>
      </c>
      <c r="CE133" s="1106" t="e">
        <f t="shared" si="472">INDEX($BB$8:$BB$153,MATCH(BP133,$BO$8:$BO$153,0))</f>
        <v>#VALUE!</v>
      </c>
      <c r="CF133" s="1106" t="e">
        <f t="shared" si="473">INDEX(BC$8:BC$153,MATCH(BP133,$BO$8:$BO$153,0))</f>
        <v>#VALUE!</v>
      </c>
      <c r="CG133" s="1118" t="e">
        <f t="shared" si="474">INDEX(BE$8:BE$153,MATCH(BP133,$BO$8:$BO$153,0))</f>
        <v>#VALUE!</v>
      </c>
      <c r="CH133" s="1106" t="e">
        <f t="shared" si="475">INDEX($BD$8:$BD$153,MATCH($BP133,$BO$8:$BO$153,0))</f>
        <v>#VALUE!</v>
      </c>
      <c r="CI133" s="1142" t="e">
        <f t="shared" si="476">INDEX($BF$8:$BF$153,MATCH(BP133,$BO$8:$BO$153,0))</f>
        <v>#VALUE!</v>
      </c>
      <c r="CJ133" s="1106" t="e">
        <f t="shared" si="477">INDEX($BG$8:$BG$153,MATCH(BP133,$BO$8:$BO$153,0))</f>
        <v>#VALUE!</v>
      </c>
      <c r="CK133" s="1106" t="e">
        <f t="shared" si="478">INDEX($BH$8:$BH$153,MATCH(BP133,$BO$8:$BO$153,0))</f>
        <v>#VALUE!</v>
      </c>
      <c r="CM133" s="1131">
        <f t="shared" si="479">COUNTIF($CH$8:$CH$228,"&lt;="&amp;CH133)</f>
        <v>145</v>
      </c>
      <c r="CN133" s="1121">
        <f t="shared" si="286">--ISNUMBER(BX133)</f>
        <v>0</v>
      </c>
      <c r="CO133" s="1121">
        <f t="shared" si="287">IF(BX133=0,1,0)</f>
        <v>0</v>
      </c>
      <c r="CP133" s="1124">
        <f t="shared" si="573">IF(ISNUMBER(BX133),CM133,IF(ISERROR(BX133),CM133,CM133+$CN$154))+$CO$154</f>
        <v>145</v>
      </c>
      <c r="CQ133" s="237">
        <f>IFERROR(INDEX($BX$8:$BX$153,MATCH(SMALL($CP$8:$CP$153,ROWS($CQ$8:CQ133)+$CO$154),$CP$8:$CP$154,0)),"")</f>
        <v>0</v>
      </c>
      <c r="CR133" s="237">
        <v>0.1</v>
      </c>
      <c r="CS133" s="1135">
        <f t="shared" si="288">CM133+CR133</f>
        <v>145.1</v>
      </c>
      <c r="CT133" s="237">
        <f>COUNTIFS($CM:$CM, CM133,$CS:$CS, "&lt;"&amp;CL)+COUNTIFS(CM$8:CM133, CM133, CS$8:CS133, CS133)</f>
        <v>126</v>
      </c>
      <c r="CU133" s="1109">
        <f t="shared" si="289">CT133/100</f>
        <v>1.26</v>
      </c>
      <c r="CV133" s="1109">
        <f t="shared" si="290">CM133+CU133</f>
        <v>146.26</v>
      </c>
      <c r="CW133" s="237" t="e">
        <f t="shared" si="480">SMALL(CV$8:CV$153,AX133)</f>
        <v>#VALUE!</v>
      </c>
      <c r="CX133" s="1109">
        <f t="shared" si="291">IFERROR(CW133,"")</f>
        <v>0</v>
      </c>
      <c r="CY133" s="237" t="e">
        <f t="shared" si="481">INDEX(BU$8:BU$152,MATCH($CX133,CV$8:CV$152,0))</f>
        <v>#N/A</v>
      </c>
      <c r="CZ133" s="237" t="e">
        <f t="shared" si="482">INDEX(BV$8:BV$152,MATCH($CX133,$CV$8:$CV$152,0))</f>
        <v>#N/A</v>
      </c>
      <c r="DA133" s="237" t="e">
        <f t="shared" si="483">INDEX(BW$8:BW$152,MATCH($CX133,$CV$8:$CV$152,0))</f>
        <v>#N/A</v>
      </c>
      <c r="DB133" s="237" t="e">
        <f t="shared" si="484">INDEX(BX$8:BX$152,MATCH($CX133,$CV$8:$CV$152,0))</f>
        <v>#N/A</v>
      </c>
      <c r="DC133" s="237" t="e">
        <f t="shared" si="485">INDEX(BY$8:BY$152,MATCH($CX133,$CV$8:$CV$152,0))</f>
        <v>#N/A</v>
      </c>
      <c r="DD133" s="237" t="e">
        <f t="shared" si="486">INDEX(BZ$8:BZ$152,MATCH($CX133,$CV$8:$CV$152,0))</f>
        <v>#N/A</v>
      </c>
      <c r="DE133" s="237" t="e">
        <f t="shared" si="487">INDEX(CA$8:CA$152,MATCH($CX133,$CV$8:$CV$152,0))</f>
        <v>#N/A</v>
      </c>
      <c r="DF133" s="237" t="e">
        <f t="shared" si="488">INDEX(CB$8:CB$152,MATCH($CX133,$CV$8:$CV$152,0))</f>
        <v>#N/A</v>
      </c>
    </row>
    <row r="134" spans="1:110" ht="18" customHeight="1">
      <c r="A134" s="1217" t="s">
        <v>349</v>
      </c>
      <c r="B134" s="1503"/>
      <c r="C134" s="863"/>
      <c r="D134" s="1152"/>
      <c r="E134" s="863"/>
      <c r="F134" s="863"/>
      <c r="G134" s="863"/>
      <c r="H134" s="863"/>
      <c r="I134" s="1470"/>
      <c r="J134" s="864"/>
      <c r="K134" s="864"/>
      <c r="L134" s="864"/>
      <c r="M134" s="864"/>
      <c r="AM134" s="1077"/>
      <c r="AN134" s="1096"/>
      <c r="AO134" s="1078"/>
      <c r="AP134" s="1079"/>
      <c r="AQ134" s="1080"/>
      <c r="AR134" s="1080">
        <f t="shared" si="496">IF(E134&lt;&gt;"",E134,"")</f>
        <v>0</v>
      </c>
      <c r="AS134" s="1078">
        <f t="shared" si="563">F134</f>
        <v>0</v>
      </c>
      <c r="AT134" s="1080">
        <f t="shared" si="497">IF(H134&lt;&gt;"",H134,"")</f>
        <v>0</v>
      </c>
      <c r="AU134" s="1080">
        <f t="shared" si="498">J134</f>
        <v>0</v>
      </c>
      <c r="AV134" s="1080"/>
      <c r="AW134" s="1081"/>
      <c r="AX134" s="237">
        <f t="shared" si="292">IF(AZ134&lt;&gt;"",AX133+1,"")</f>
        <v>0</v>
      </c>
      <c r="AY134" s="1087">
        <v>126</v>
      </c>
      <c r="AZ134" s="1087">
        <f t="shared" si="564">IF(ISNA(VLOOKUP(AY134,$AN$8:$AW$148,2,False))=True,"",VLOOKUP(AY134,$AN$8:$AW$148,2,False))</f>
        <v>0</v>
      </c>
      <c r="BA134" s="1087">
        <f t="shared" si="565">IF(ISNA(VLOOKUP(AZ134,$AE$8:$AF$46,2,False))=True,"",VLOOKUP(AZ134,$AE$8:$AF$46,2,False))</f>
        <v>0</v>
      </c>
      <c r="BB134" s="1087">
        <f t="shared" si="566">IF(ISNA(VLOOKUP(AY134,$AN$8:$AW$148,4,False))=True,"",VLOOKUP(AY134,$AN$8:$AW$148,4,False))</f>
        <v>0</v>
      </c>
      <c r="BC134" s="1087">
        <f t="shared" si="567">IF(ISNA(VLOOKUP(AY134,$AN$8:$AW$148,5,False))=True,"",VLOOKUP(AY134,$AN$8:$AW$148,5,False))</f>
        <v>0</v>
      </c>
      <c r="BD134" s="1087" t="str">
        <f t="shared" si="467">IF(ISNA(VLOOKUP(AY134,$AN$8:$AW$148,6,False))=True,"0",VLOOKUP(AY134,$AN$8:$AW$148,6,False))</f>
        <v>0</v>
      </c>
      <c r="BE134" s="1125">
        <f t="shared" si="568">IF(ISNA(VLOOKUP(AY134,$AN$8:$AW$148,7,False))=True,"",VLOOKUP(AY134,$AN$8:$AW$148,7,False))</f>
        <v>0</v>
      </c>
      <c r="BF134" s="1123">
        <f t="shared" si="569">IF(ISNA(VLOOKUP($AY134,$AN$8:$AW$148,8,False))=True,"",VLOOKUP($AY134,$AN$8:$AW$148,8,False))</f>
        <v>0</v>
      </c>
      <c r="BG134" s="1120">
        <f t="shared" si="570">IF(ISNA(VLOOKUP($AY134,$AN$8:$AW$148,9,False))=True,"",VLOOKUP($AY134,$AN$8:$AW$148,9,False))</f>
        <v>0</v>
      </c>
      <c r="BH134" s="1120">
        <f t="shared" si="571">IF(ISNA(VLOOKUP($AY134,$AN$8:$AW$148,10,False))=True,"",VLOOKUP($AY134,$AN$8:$AW$148,10,False))</f>
        <v>0</v>
      </c>
      <c r="BI134" s="250">
        <f t="shared" si="270">IF(AZ134&lt;&gt;"",AZ134,"")</f>
        <v>0</v>
      </c>
      <c r="BJ134" s="1098">
        <f t="shared" si="271">BI134</f>
        <v>0</v>
      </c>
      <c r="BK134" s="1115">
        <f>COUNTIFS($AZ:$AZ, AZ134,$BJ:$BJ, "&lt;"&amp;BJ134)+COUNTIFS(AZ$8:AZ134, AZ134, BJ$8:BJ134, BJ134)</f>
        <v>127</v>
      </c>
      <c r="BL134" s="1114">
        <f t="shared" si="272">BK134/100</f>
        <v>1.27</v>
      </c>
      <c r="BM134" s="1093" t="e">
        <f t="shared" si="579" ref="BM134">BJ134+BL134</f>
        <v>#VALUE!</v>
      </c>
      <c r="BN134" s="1101">
        <f t="shared" si="416">IF(BA134&lt;&gt;"",BM134,"")</f>
        <v>0</v>
      </c>
      <c r="BO134" s="1118">
        <f t="shared" si="275">IF(BN134&lt;&gt;"",BN134,0)</f>
        <v>0</v>
      </c>
      <c r="BP134" s="237" t="e">
        <f t="shared" si="469">SMALL($BN$8:$BN$152,AX134)</f>
        <v>#VALUE!</v>
      </c>
      <c r="BR134" s="1102" t="e">
        <f t="shared" si="465">IF(BP134&lt;&gt;"",BR133+1,"")</f>
        <v>#VALUE!</v>
      </c>
      <c r="BS134" s="1102">
        <f t="shared" si="276">IFERROR(BP134,"")</f>
        <v>0</v>
      </c>
      <c r="BT134" s="1102">
        <f t="shared" si="277">IFERROR(CC134,"")</f>
        <v>0</v>
      </c>
      <c r="BU134" s="1098">
        <f t="shared" si="278">IFERROR(CD134,"")</f>
        <v>0</v>
      </c>
      <c r="BV134" s="1098">
        <f t="shared" si="279">IFERROR(CE134,"")</f>
        <v>0</v>
      </c>
      <c r="BW134" s="1098">
        <f t="shared" si="280">IFERROR(CF134,"")</f>
        <v>0</v>
      </c>
      <c r="BX134" s="1146">
        <f t="shared" si="281">IFERROR(CH134,"")</f>
        <v>0</v>
      </c>
      <c r="BY134" s="1098">
        <f t="shared" si="282">IFERROR(CG134,"")</f>
        <v>0</v>
      </c>
      <c r="BZ134" s="1144" t="str">
        <f t="shared" si="283">IFERROR(CI134,"-")</f>
        <v>-</v>
      </c>
      <c r="CA134" s="1107">
        <f t="shared" si="284">IFERROR(CJ134,"")</f>
        <v>0</v>
      </c>
      <c r="CB134" s="1107">
        <f t="shared" si="285">IFERROR(CK134,"")</f>
        <v>0</v>
      </c>
      <c r="CC134" s="1110" t="e">
        <f t="shared" si="470">INDEX($AZ$8:$AZ$153,MATCH(BP134,$BO$8:$BO$153,0))</f>
        <v>#VALUE!</v>
      </c>
      <c r="CD134" s="1087" t="e">
        <f t="shared" si="471">INDEX($BA$8:$BA$153,MATCH(BP134,$BO$8:$BO$153,0))</f>
        <v>#VALUE!</v>
      </c>
      <c r="CE134" s="1106" t="e">
        <f t="shared" si="472">INDEX($BB$8:$BB$153,MATCH(BP134,$BO$8:$BO$153,0))</f>
        <v>#VALUE!</v>
      </c>
      <c r="CF134" s="1106" t="e">
        <f t="shared" si="473">INDEX(BC$8:BC$153,MATCH(BP134,$BO$8:$BO$153,0))</f>
        <v>#VALUE!</v>
      </c>
      <c r="CG134" s="1118" t="e">
        <f t="shared" si="474">INDEX(BE$8:BE$153,MATCH(BP134,$BO$8:$BO$153,0))</f>
        <v>#VALUE!</v>
      </c>
      <c r="CH134" s="1106" t="e">
        <f t="shared" si="475">INDEX($BD$8:$BD$153,MATCH($BP134,$BO$8:$BO$153,0))</f>
        <v>#VALUE!</v>
      </c>
      <c r="CI134" s="1142" t="e">
        <f t="shared" si="476">INDEX($BF$8:$BF$153,MATCH(BP134,$BO$8:$BO$153,0))</f>
        <v>#VALUE!</v>
      </c>
      <c r="CJ134" s="1106" t="e">
        <f t="shared" si="477">INDEX($BG$8:$BG$153,MATCH(BP134,$BO$8:$BO$153,0))</f>
        <v>#VALUE!</v>
      </c>
      <c r="CK134" s="1106" t="e">
        <f t="shared" si="478">INDEX($BH$8:$BH$153,MATCH(BP134,$BO$8:$BO$153,0))</f>
        <v>#VALUE!</v>
      </c>
      <c r="CM134" s="1131">
        <f t="shared" si="479">COUNTIF($CH$8:$CH$228,"&lt;="&amp;CH134)</f>
        <v>145</v>
      </c>
      <c r="CN134" s="1121">
        <f t="shared" si="286">--ISNUMBER(BX134)</f>
        <v>0</v>
      </c>
      <c r="CO134" s="1121">
        <f t="shared" si="287">IF(BX134=0,1,0)</f>
        <v>0</v>
      </c>
      <c r="CP134" s="1124">
        <f t="shared" si="573">IF(ISNUMBER(BX134),CM134,IF(ISERROR(BX134),CM134,CM134+$CN$154))+$CO$154</f>
        <v>145</v>
      </c>
      <c r="CQ134" s="237">
        <f>IFERROR(INDEX($BX$8:$BX$153,MATCH(SMALL($CP$8:$CP$153,ROWS($CQ$8:CQ134)+$CO$154),$CP$8:$CP$154,0)),"")</f>
        <v>0</v>
      </c>
      <c r="CR134" s="237">
        <v>0.1</v>
      </c>
      <c r="CS134" s="1135">
        <f t="shared" si="288">CM134+CR134</f>
        <v>145.1</v>
      </c>
      <c r="CT134" s="237">
        <f>COUNTIFS($CM:$CM, CM134,$CS:$CS, "&lt;"&amp;CL)+COUNTIFS(CM$8:CM134, CM134, CS$8:CS134, CS134)</f>
        <v>127</v>
      </c>
      <c r="CU134" s="1109">
        <f t="shared" si="289">CT134/100</f>
        <v>1.27</v>
      </c>
      <c r="CV134" s="1109">
        <f t="shared" si="290">CM134+CU134</f>
        <v>146.27</v>
      </c>
      <c r="CW134" s="237" t="e">
        <f t="shared" si="480">SMALL(CV$8:CV$153,AX134)</f>
        <v>#VALUE!</v>
      </c>
      <c r="CX134" s="1109">
        <f t="shared" si="291">IFERROR(CW134,"")</f>
        <v>0</v>
      </c>
      <c r="CY134" s="237" t="e">
        <f t="shared" si="481">INDEX(BU$8:BU$152,MATCH($CX134,CV$8:CV$152,0))</f>
        <v>#N/A</v>
      </c>
      <c r="CZ134" s="237" t="e">
        <f t="shared" si="482">INDEX(BV$8:BV$152,MATCH($CX134,$CV$8:$CV$152,0))</f>
        <v>#N/A</v>
      </c>
      <c r="DA134" s="237" t="e">
        <f t="shared" si="483">INDEX(BW$8:BW$152,MATCH($CX134,$CV$8:$CV$152,0))</f>
        <v>#N/A</v>
      </c>
      <c r="DB134" s="237" t="e">
        <f t="shared" si="484">INDEX(BX$8:BX$152,MATCH($CX134,$CV$8:$CV$152,0))</f>
        <v>#N/A</v>
      </c>
      <c r="DC134" s="237" t="e">
        <f t="shared" si="485">INDEX(BY$8:BY$152,MATCH($CX134,$CV$8:$CV$152,0))</f>
        <v>#N/A</v>
      </c>
      <c r="DD134" s="237" t="e">
        <f t="shared" si="486">INDEX(BZ$8:BZ$152,MATCH($CX134,$CV$8:$CV$152,0))</f>
        <v>#N/A</v>
      </c>
      <c r="DE134" s="237" t="e">
        <f t="shared" si="487">INDEX(CA$8:CA$152,MATCH($CX134,$CV$8:$CV$152,0))</f>
        <v>#N/A</v>
      </c>
      <c r="DF134" s="237" t="e">
        <f t="shared" si="488">INDEX(CB$8:CB$152,MATCH($CX134,$CV$8:$CV$152,0))</f>
        <v>#N/A</v>
      </c>
    </row>
    <row r="135" spans="1:110" s="237" customFormat="1" ht="13.5" customHeight="1" thickBot="1">
      <c r="A135" s="1214"/>
      <c r="B135" s="1504"/>
      <c r="C135" s="865"/>
      <c r="D135" s="1153"/>
      <c r="E135" s="865"/>
      <c r="F135" s="865"/>
      <c r="G135" s="865"/>
      <c r="H135" s="865"/>
      <c r="I135" s="1471"/>
      <c r="J135" s="763"/>
      <c r="K135" s="763"/>
      <c r="L135" s="763"/>
      <c r="M135" s="763"/>
      <c r="W135" s="1230"/>
      <c r="X135" s="1230"/>
      <c r="Y135" s="423"/>
      <c r="Z135" s="423"/>
      <c r="AA135" s="1231"/>
      <c r="AB135" s="1230"/>
      <c r="AC135" s="423"/>
      <c r="AF135" s="237"/>
      <c r="AG135" s="237"/>
      <c r="AM135" s="1082"/>
      <c r="AN135" s="1096"/>
      <c r="AO135" s="1083"/>
      <c r="AP135" s="1084"/>
      <c r="AQ135" s="1085"/>
      <c r="AR135" s="1080">
        <f t="shared" si="496">IF(E135&lt;&gt;"",E135,"")</f>
        <v>0</v>
      </c>
      <c r="AS135" s="1078">
        <f t="shared" si="563">F135</f>
        <v>0</v>
      </c>
      <c r="AT135" s="1080">
        <f t="shared" si="497">IF(H135&lt;&gt;"",H135,"")</f>
        <v>0</v>
      </c>
      <c r="AU135" s="1080">
        <f t="shared" si="498">J135</f>
        <v>0</v>
      </c>
      <c r="AV135" s="1080"/>
      <c r="AW135" s="1086"/>
      <c r="AX135" s="237">
        <f t="shared" si="292">IF(AZ135&lt;&gt;"",AX134+1,"")</f>
        <v>0</v>
      </c>
      <c r="AY135" s="1087">
        <v>127</v>
      </c>
      <c r="AZ135" s="1087">
        <f t="shared" si="564">IF(ISNA(VLOOKUP(AY135,$AN$8:$AW$148,2,False))=True,"",VLOOKUP(AY135,$AN$8:$AW$148,2,False))</f>
        <v>0</v>
      </c>
      <c r="BA135" s="1087">
        <f t="shared" si="565">IF(ISNA(VLOOKUP(AZ135,$AE$8:$AF$46,2,False))=True,"",VLOOKUP(AZ135,$AE$8:$AF$46,2,False))</f>
        <v>0</v>
      </c>
      <c r="BB135" s="1087">
        <f t="shared" si="566">IF(ISNA(VLOOKUP(AY135,$AN$8:$AW$148,4,False))=True,"",VLOOKUP(AY135,$AN$8:$AW$148,4,False))</f>
        <v>0</v>
      </c>
      <c r="BC135" s="1087">
        <f t="shared" si="567">IF(ISNA(VLOOKUP(AY135,$AN$8:$AW$148,5,False))=True,"",VLOOKUP(AY135,$AN$8:$AW$148,5,False))</f>
        <v>0</v>
      </c>
      <c r="BD135" s="1087" t="str">
        <f t="shared" si="467">IF(ISNA(VLOOKUP(AY135,$AN$8:$AW$148,6,False))=True,"0",VLOOKUP(AY135,$AN$8:$AW$148,6,False))</f>
        <v>0</v>
      </c>
      <c r="BE135" s="1125">
        <f t="shared" si="568">IF(ISNA(VLOOKUP(AY135,$AN$8:$AW$148,7,False))=True,"",VLOOKUP(AY135,$AN$8:$AW$148,7,False))</f>
        <v>0</v>
      </c>
      <c r="BF135" s="1123">
        <f t="shared" si="569">IF(ISNA(VLOOKUP($AY135,$AN$8:$AW$148,8,False))=True,"",VLOOKUP($AY135,$AN$8:$AW$148,8,False))</f>
        <v>0</v>
      </c>
      <c r="BG135" s="1120">
        <f t="shared" si="570">IF(ISNA(VLOOKUP($AY135,$AN$8:$AW$148,9,False))=True,"",VLOOKUP($AY135,$AN$8:$AW$148,9,False))</f>
        <v>0</v>
      </c>
      <c r="BH135" s="1120">
        <f t="shared" si="571">IF(ISNA(VLOOKUP($AY135,$AN$8:$AW$148,10,False))=True,"",VLOOKUP($AY135,$AN$8:$AW$148,10,False))</f>
        <v>0</v>
      </c>
      <c r="BI135" s="250">
        <f t="shared" si="270">IF(AZ135&lt;&gt;"",AZ135,"")</f>
        <v>0</v>
      </c>
      <c r="BJ135" s="1098">
        <f t="shared" si="271">BI135</f>
        <v>0</v>
      </c>
      <c r="BK135" s="1115">
        <f>COUNTIFS($AZ:$AZ, AZ135,$BJ:$BJ, "&lt;"&amp;BJ135)+COUNTIFS(AZ$8:AZ135, AZ135, BJ$8:BJ135, BJ135)</f>
        <v>128</v>
      </c>
      <c r="BL135" s="1114">
        <f t="shared" si="272">BK135/100</f>
        <v>1.28</v>
      </c>
      <c r="BM135" s="1093" t="e">
        <f t="shared" si="580" ref="BM135">BI135+BL135</f>
        <v>#VALUE!</v>
      </c>
      <c r="BN135" s="1101">
        <f t="shared" si="416">IF(BA135&lt;&gt;"",BM135,"")</f>
        <v>0</v>
      </c>
      <c r="BO135" s="1118">
        <f t="shared" si="275">IF(BN135&lt;&gt;"",BN135,0)</f>
        <v>0</v>
      </c>
      <c r="BP135" s="237" t="e">
        <f t="shared" si="469">SMALL($BN$8:$BN$152,AX135)</f>
        <v>#VALUE!</v>
      </c>
      <c r="BQ135" s="1109"/>
      <c r="BR135" s="1102" t="e">
        <f t="shared" si="465">IF(BP135&lt;&gt;"",BR134+1,"")</f>
        <v>#VALUE!</v>
      </c>
      <c r="BS135" s="1102">
        <f t="shared" si="276">IFERROR(BP135,"")</f>
        <v>0</v>
      </c>
      <c r="BT135" s="1102">
        <f t="shared" si="277">IFERROR(CC135,"")</f>
        <v>0</v>
      </c>
      <c r="BU135" s="1098">
        <f t="shared" si="278">IFERROR(CD135,"")</f>
        <v>0</v>
      </c>
      <c r="BV135" s="1098">
        <f t="shared" si="279">IFERROR(CE135,"")</f>
        <v>0</v>
      </c>
      <c r="BW135" s="1098">
        <f t="shared" si="280">IFERROR(CF135,"")</f>
        <v>0</v>
      </c>
      <c r="BX135" s="1146">
        <f t="shared" si="281">IFERROR(CH135,"")</f>
        <v>0</v>
      </c>
      <c r="BY135" s="1098">
        <f t="shared" si="282">IFERROR(CG135,"")</f>
        <v>0</v>
      </c>
      <c r="BZ135" s="1144" t="str">
        <f t="shared" si="283">IFERROR(CI135,"-")</f>
        <v>-</v>
      </c>
      <c r="CA135" s="1107">
        <f t="shared" si="284">IFERROR(CJ135,"")</f>
        <v>0</v>
      </c>
      <c r="CB135" s="1107">
        <f t="shared" si="285">IFERROR(CK135,"")</f>
        <v>0</v>
      </c>
      <c r="CC135" s="1110" t="e">
        <f t="shared" si="470">INDEX($AZ$8:$AZ$153,MATCH(BP135,$BO$8:$BO$153,0))</f>
        <v>#VALUE!</v>
      </c>
      <c r="CD135" s="1087" t="e">
        <f t="shared" si="471">INDEX($BA$8:$BA$153,MATCH(BP135,$BO$8:$BO$153,0))</f>
        <v>#VALUE!</v>
      </c>
      <c r="CE135" s="1106" t="e">
        <f t="shared" si="472">INDEX($BB$8:$BB$153,MATCH(BP135,$BO$8:$BO$153,0))</f>
        <v>#VALUE!</v>
      </c>
      <c r="CF135" s="1106" t="e">
        <f t="shared" si="473">INDEX(BC$8:BC$153,MATCH(BP135,$BO$8:$BO$153,0))</f>
        <v>#VALUE!</v>
      </c>
      <c r="CG135" s="1118" t="e">
        <f t="shared" si="474">INDEX(BE$8:BE$153,MATCH(BP135,$BO$8:$BO$153,0))</f>
        <v>#VALUE!</v>
      </c>
      <c r="CH135" s="1106" t="e">
        <f t="shared" si="475">INDEX($BD$8:$BD$153,MATCH($BP135,$BO$8:$BO$153,0))</f>
        <v>#VALUE!</v>
      </c>
      <c r="CI135" s="1142" t="e">
        <f t="shared" si="476">INDEX($BF$8:$BF$153,MATCH(BP135,$BO$8:$BO$153,0))</f>
        <v>#VALUE!</v>
      </c>
      <c r="CJ135" s="1106" t="e">
        <f t="shared" si="477">INDEX($BG$8:$BG$153,MATCH(BP135,$BO$8:$BO$153,0))</f>
        <v>#VALUE!</v>
      </c>
      <c r="CK135" s="1106" t="e">
        <f t="shared" si="478">INDEX($BH$8:$BH$153,MATCH(BP135,$BO$8:$BO$153,0))</f>
        <v>#VALUE!</v>
      </c>
      <c r="CM135" s="1131">
        <f t="shared" si="479">COUNTIF($CH$8:$CH$228,"&lt;="&amp;CH135)</f>
        <v>145</v>
      </c>
      <c r="CN135" s="1121">
        <f t="shared" si="286">--ISNUMBER(BX135)</f>
        <v>0</v>
      </c>
      <c r="CO135" s="1121">
        <f t="shared" si="287">IF(BX135=0,1,0)</f>
        <v>0</v>
      </c>
      <c r="CP135" s="1124">
        <f t="shared" si="573">IF(ISNUMBER(BX135),CM135,IF(ISERROR(BX135),CM135,CM135+$CN$154))+$CO$154</f>
        <v>145</v>
      </c>
      <c r="CQ135" s="237">
        <f>IFERROR(INDEX($BX$8:$BX$153,MATCH(SMALL($CP$8:$CP$153,ROWS($CQ$8:CQ135)+$CO$154),$CP$8:$CP$154,0)),"")</f>
        <v>0</v>
      </c>
      <c r="CR135" s="237">
        <v>0.1</v>
      </c>
      <c r="CS135" s="1135">
        <f t="shared" si="288">CM135+CR135</f>
        <v>145.1</v>
      </c>
      <c r="CT135" s="237">
        <f>COUNTIFS($CM:$CM, CM135,$CS:$CS, "&lt;"&amp;CL)+COUNTIFS(CM$8:CM135, CM135, CS$8:CS135, CS135)</f>
        <v>128</v>
      </c>
      <c r="CU135" s="1109">
        <f t="shared" si="289">CT135/100</f>
        <v>1.28</v>
      </c>
      <c r="CV135" s="1109">
        <f t="shared" si="290">CM135+CU135</f>
        <v>146.28</v>
      </c>
      <c r="CW135" s="237" t="e">
        <f t="shared" si="480">SMALL(CV$8:CV$153,AX135)</f>
        <v>#VALUE!</v>
      </c>
      <c r="CX135" s="1109">
        <f t="shared" si="291">IFERROR(CW135,"")</f>
        <v>0</v>
      </c>
      <c r="CY135" s="237" t="e">
        <f t="shared" si="481">INDEX(BU$8:BU$152,MATCH($CX135,CV$8:CV$152,0))</f>
        <v>#N/A</v>
      </c>
      <c r="CZ135" s="237" t="e">
        <f t="shared" si="482">INDEX(BV$8:BV$152,MATCH($CX135,$CV$8:$CV$152,0))</f>
        <v>#N/A</v>
      </c>
      <c r="DA135" s="237" t="e">
        <f t="shared" si="483">INDEX(BW$8:BW$152,MATCH($CX135,$CV$8:$CV$152,0))</f>
        <v>#N/A</v>
      </c>
      <c r="DB135" s="237" t="e">
        <f t="shared" si="484">INDEX(BX$8:BX$152,MATCH($CX135,$CV$8:$CV$152,0))</f>
        <v>#N/A</v>
      </c>
      <c r="DC135" s="237" t="e">
        <f t="shared" si="485">INDEX(BY$8:BY$152,MATCH($CX135,$CV$8:$CV$152,0))</f>
        <v>#N/A</v>
      </c>
      <c r="DD135" s="237" t="e">
        <f t="shared" si="486">INDEX(BZ$8:BZ$152,MATCH($CX135,$CV$8:$CV$152,0))</f>
        <v>#N/A</v>
      </c>
      <c r="DE135" s="237" t="e">
        <f t="shared" si="487">INDEX(CA$8:CA$152,MATCH($CX135,$CV$8:$CV$152,0))</f>
        <v>#N/A</v>
      </c>
      <c r="DF135" s="237" t="e">
        <f t="shared" si="488">INDEX(CB$8:CB$152,MATCH($CX135,$CV$8:$CV$152,0))</f>
        <v>#N/A</v>
      </c>
    </row>
    <row r="136" spans="1:110" s="237" customFormat="1" ht="13.5" customHeight="1" thickTop="1">
      <c r="A136" s="2037" t="s">
        <v>84</v>
      </c>
      <c r="B136" s="2039" t="s">
        <v>994</v>
      </c>
      <c r="C136" s="2040" t="s">
        <v>340</v>
      </c>
      <c r="D136" s="2036" t="s">
        <v>1090</v>
      </c>
      <c r="E136" s="2041" t="s">
        <v>1097</v>
      </c>
      <c r="F136" s="2036" t="s">
        <v>1122</v>
      </c>
      <c r="G136" s="2036" t="s">
        <v>1098</v>
      </c>
      <c r="H136" s="2036" t="s">
        <v>1091</v>
      </c>
      <c r="I136" s="2012" t="s">
        <v>350</v>
      </c>
      <c r="J136" s="2041" t="s">
        <v>342</v>
      </c>
      <c r="K136" s="2041" t="s">
        <v>1099</v>
      </c>
      <c r="L136" s="2041"/>
      <c r="M136" s="2042"/>
      <c r="W136" s="1230"/>
      <c r="X136" s="1230"/>
      <c r="Y136" s="423"/>
      <c r="Z136" s="423"/>
      <c r="AA136" s="1231"/>
      <c r="AB136" s="1230"/>
      <c r="AC136" s="423"/>
      <c r="AF136" s="237"/>
      <c r="AG136" s="237"/>
      <c r="AM136" s="1077"/>
      <c r="AN136" s="1096"/>
      <c r="AO136" s="1078"/>
      <c r="AP136" s="1079"/>
      <c r="AQ136" s="1080"/>
      <c r="AR136" s="1080"/>
      <c r="AS136" s="1078"/>
      <c r="AT136" s="1080"/>
      <c r="AU136" s="1080"/>
      <c r="AV136" s="1080"/>
      <c r="AW136" s="1081"/>
      <c r="AX136" s="237">
        <f t="shared" si="292">IF(AZ136&lt;&gt;"",AX135+1,"")</f>
        <v>0</v>
      </c>
      <c r="AY136" s="1087">
        <v>128</v>
      </c>
      <c r="AZ136" s="1087">
        <f t="shared" si="564">IF(ISNA(VLOOKUP(AY136,$AN$8:$AW$148,2,False))=True,"",VLOOKUP(AY136,$AN$8:$AW$148,2,False))</f>
        <v>0</v>
      </c>
      <c r="BA136" s="1087">
        <f t="shared" si="565">IF(ISNA(VLOOKUP(AZ136,$AE$8:$AF$46,2,False))=True,"",VLOOKUP(AZ136,$AE$8:$AF$46,2,False))</f>
        <v>0</v>
      </c>
      <c r="BB136" s="1087">
        <f t="shared" si="566">IF(ISNA(VLOOKUP(AY136,$AN$8:$AW$148,4,False))=True,"",VLOOKUP(AY136,$AN$8:$AW$148,4,False))</f>
        <v>0</v>
      </c>
      <c r="BC136" s="1087">
        <f t="shared" si="567">IF(ISNA(VLOOKUP(AY136,$AN$8:$AW$148,5,False))=True,"",VLOOKUP(AY136,$AN$8:$AW$148,5,False))</f>
        <v>0</v>
      </c>
      <c r="BD136" s="1087" t="str">
        <f t="shared" si="467">IF(ISNA(VLOOKUP(AY136,$AN$8:$AW$148,6,False))=True,"0",VLOOKUP(AY136,$AN$8:$AW$148,6,False))</f>
        <v>0</v>
      </c>
      <c r="BE136" s="1125">
        <f t="shared" si="568">IF(ISNA(VLOOKUP(AY136,$AN$8:$AW$148,7,False))=True,"",VLOOKUP(AY136,$AN$8:$AW$148,7,False))</f>
        <v>0</v>
      </c>
      <c r="BF136" s="1123">
        <f t="shared" si="569">IF(ISNA(VLOOKUP($AY136,$AN$8:$AW$148,8,False))=True,"",VLOOKUP($AY136,$AN$8:$AW$148,8,False))</f>
        <v>0</v>
      </c>
      <c r="BG136" s="1120">
        <f t="shared" si="570">IF(ISNA(VLOOKUP($AY136,$AN$8:$AW$148,9,False))=True,"",VLOOKUP($AY136,$AN$8:$AW$148,9,False))</f>
        <v>0</v>
      </c>
      <c r="BH136" s="1120">
        <f t="shared" si="571">IF(ISNA(VLOOKUP($AY136,$AN$8:$AW$148,10,False))=True,"",VLOOKUP($AY136,$AN$8:$AW$148,10,False))</f>
        <v>0</v>
      </c>
      <c r="BI136" s="250">
        <f t="shared" si="270">IF(AZ136&lt;&gt;"",AZ136,"")</f>
        <v>0</v>
      </c>
      <c r="BJ136" s="1098">
        <f t="shared" si="271">BI136</f>
        <v>0</v>
      </c>
      <c r="BK136" s="1115">
        <f>COUNTIFS($AZ:$AZ, AZ136,$BJ:$BJ, "&lt;"&amp;BJ136)+COUNTIFS(AZ$8:AZ136, AZ136, BJ$8:BJ136, BJ136)</f>
        <v>129</v>
      </c>
      <c r="BL136" s="1114">
        <f t="shared" si="272">BK136/100</f>
        <v>1.29</v>
      </c>
      <c r="BM136" s="1093" t="e">
        <f t="shared" si="581" ref="BM136">BJ136+BL136</f>
        <v>#VALUE!</v>
      </c>
      <c r="BN136" s="1101">
        <f t="shared" si="416">IF(BA136&lt;&gt;"",BM136,"")</f>
        <v>0</v>
      </c>
      <c r="BO136" s="1118">
        <f t="shared" si="275">IF(BN136&lt;&gt;"",BN136,0)</f>
        <v>0</v>
      </c>
      <c r="BP136" s="237" t="e">
        <f t="shared" si="582" ref="BP136:BP152">SMALL($BN$8:$BN$152,AX136)</f>
        <v>#VALUE!</v>
      </c>
      <c r="BQ136" s="1109"/>
      <c r="BR136" s="1102" t="e">
        <f t="shared" si="465">IF(BP136&lt;&gt;"",BR135+1,"")</f>
        <v>#VALUE!</v>
      </c>
      <c r="BS136" s="1102">
        <f t="shared" si="276">IFERROR(BP136,"")</f>
        <v>0</v>
      </c>
      <c r="BT136" s="1102">
        <f t="shared" si="277">IFERROR(CC136,"")</f>
        <v>0</v>
      </c>
      <c r="BU136" s="1098">
        <f t="shared" si="278">IFERROR(CD136,"")</f>
        <v>0</v>
      </c>
      <c r="BV136" s="1098">
        <f t="shared" si="279">IFERROR(CE136,"")</f>
        <v>0</v>
      </c>
      <c r="BW136" s="1098">
        <f t="shared" si="280">IFERROR(CF136,"")</f>
        <v>0</v>
      </c>
      <c r="BX136" s="1146">
        <f t="shared" si="281">IFERROR(CH136,"")</f>
        <v>0</v>
      </c>
      <c r="BY136" s="1098">
        <f t="shared" si="282">IFERROR(CG136,"")</f>
        <v>0</v>
      </c>
      <c r="BZ136" s="1144" t="str">
        <f t="shared" si="283">IFERROR(CI136,"-")</f>
        <v>-</v>
      </c>
      <c r="CA136" s="1107">
        <f t="shared" si="284">IFERROR(CJ136,"")</f>
        <v>0</v>
      </c>
      <c r="CB136" s="1107">
        <f t="shared" si="285">IFERROR(CK136,"")</f>
        <v>0</v>
      </c>
      <c r="CC136" s="1110" t="e">
        <f t="shared" si="583" ref="CC136:CC152">INDEX($AZ$8:$AZ$153,MATCH(BP136,$BO$8:$BO$153,0))</f>
        <v>#VALUE!</v>
      </c>
      <c r="CD136" s="1087" t="e">
        <f t="shared" si="584" ref="CD136:CD152">INDEX($BA$8:$BA$153,MATCH(BP136,$BO$8:$BO$153,0))</f>
        <v>#VALUE!</v>
      </c>
      <c r="CE136" s="1106" t="e">
        <f t="shared" si="585" ref="CE136:CE152">INDEX($BB$8:$BB$153,MATCH(BP136,$BO$8:$BO$153,0))</f>
        <v>#VALUE!</v>
      </c>
      <c r="CF136" s="1106" t="e">
        <f t="shared" si="586" ref="CF136:CF152">INDEX(BC$8:BC$153,MATCH(BP136,$BO$8:$BO$153,0))</f>
        <v>#VALUE!</v>
      </c>
      <c r="CG136" s="1118" t="e">
        <f t="shared" si="587" ref="CG136:CG152">INDEX(BE$8:BE$153,MATCH(BP136,$BO$8:$BO$153,0))</f>
        <v>#VALUE!</v>
      </c>
      <c r="CH136" s="1106" t="e">
        <f t="shared" si="588" ref="CH136:CH152">INDEX($BD$8:$BD$153,MATCH($BP136,$BO$8:$BO$153,0))</f>
        <v>#VALUE!</v>
      </c>
      <c r="CI136" s="1142" t="e">
        <f t="shared" si="589" ref="CI136:CI152">INDEX($BF$8:$BF$153,MATCH(BP136,$BO$8:$BO$153,0))</f>
        <v>#VALUE!</v>
      </c>
      <c r="CJ136" s="1106" t="e">
        <f t="shared" si="590" ref="CJ136:CJ152">INDEX($BG$8:$BG$153,MATCH(BP136,$BO$8:$BO$153,0))</f>
        <v>#VALUE!</v>
      </c>
      <c r="CK136" s="1106" t="e">
        <f t="shared" si="591" ref="CK136:CK152">INDEX($BH$8:$BH$153,MATCH(BP136,$BO$8:$BO$153,0))</f>
        <v>#VALUE!</v>
      </c>
      <c r="CM136" s="1131">
        <f t="shared" si="592" ref="CM136:CM152">COUNTIF($CH$8:$CH$228,"&lt;="&amp;CH136)</f>
        <v>145</v>
      </c>
      <c r="CN136" s="1121">
        <f t="shared" si="286">--ISNUMBER(BX136)</f>
        <v>0</v>
      </c>
      <c r="CO136" s="1121">
        <f t="shared" si="287">IF(BX136=0,1,0)</f>
        <v>0</v>
      </c>
      <c r="CP136" s="1124">
        <f t="shared" si="573">IF(ISNUMBER(BX136),CM136,IF(ISERROR(BX136),CM136,CM136+$CN$154))+$CO$154</f>
        <v>145</v>
      </c>
      <c r="CQ136" s="237">
        <f>IFERROR(INDEX($BX$8:$BX$153,MATCH(SMALL($CP$8:$CP$153,ROWS($CQ$8:CQ136)+$CO$154),$CP$8:$CP$154,0)),"")</f>
        <v>0</v>
      </c>
      <c r="CR136" s="237">
        <v>0.1</v>
      </c>
      <c r="CS136" s="1135">
        <f t="shared" si="288">CM136+CR136</f>
        <v>145.1</v>
      </c>
      <c r="CT136" s="237">
        <f>COUNTIFS($CM:$CM, CM136,$CS:$CS, "&lt;"&amp;CL)+COUNTIFS(CM$8:CM136, CM136, CS$8:CS136, CS136)</f>
        <v>129</v>
      </c>
      <c r="CU136" s="1109">
        <f t="shared" si="289">CT136/100</f>
        <v>1.29</v>
      </c>
      <c r="CV136" s="1109">
        <f t="shared" si="290">CM136+CU136</f>
        <v>146.29</v>
      </c>
      <c r="CW136" s="237" t="e">
        <f t="shared" si="593" ref="CW136:CW152">SMALL(CV$8:CV$153,AX136)</f>
        <v>#VALUE!</v>
      </c>
      <c r="CX136" s="1109">
        <f t="shared" si="291">IFERROR(CW136,"")</f>
        <v>0</v>
      </c>
      <c r="CY136" s="237" t="e">
        <f t="shared" si="594" ref="CY136:CY152">INDEX(BU$8:BU$152,MATCH($CX136,CV$8:CV$152,0))</f>
        <v>#N/A</v>
      </c>
      <c r="CZ136" s="237" t="e">
        <f t="shared" si="595" ref="CZ136:CZ152">INDEX(BV$8:BV$152,MATCH($CX136,$CV$8:$CV$152,0))</f>
        <v>#N/A</v>
      </c>
      <c r="DA136" s="237" t="e">
        <f t="shared" si="596" ref="DA136:DA152">INDEX(BW$8:BW$152,MATCH($CX136,$CV$8:$CV$152,0))</f>
        <v>#N/A</v>
      </c>
      <c r="DB136" s="237" t="e">
        <f t="shared" si="597" ref="DB136:DB152">INDEX(BX$8:BX$152,MATCH($CX136,$CV$8:$CV$152,0))</f>
        <v>#N/A</v>
      </c>
      <c r="DC136" s="237" t="e">
        <f t="shared" si="598" ref="DC136:DC152">INDEX(BY$8:BY$152,MATCH($CX136,$CV$8:$CV$152,0))</f>
        <v>#N/A</v>
      </c>
      <c r="DD136" s="237" t="e">
        <f t="shared" si="599" ref="DD136:DD152">INDEX(BZ$8:BZ$152,MATCH($CX136,$CV$8:$CV$152,0))</f>
        <v>#N/A</v>
      </c>
      <c r="DE136" s="237" t="e">
        <f t="shared" si="600" ref="DE136:DE152">INDEX(CA$8:CA$152,MATCH($CX136,$CV$8:$CV$152,0))</f>
        <v>#N/A</v>
      </c>
      <c r="DF136" s="237" t="e">
        <f t="shared" si="601" ref="DF136:DF152">INDEX(CB$8:CB$152,MATCH($CX136,$CV$8:$CV$152,0))</f>
        <v>#N/A</v>
      </c>
    </row>
    <row r="137" spans="1:110" s="237" customFormat="1" ht="13.5" customHeight="1">
      <c r="A137" s="2038"/>
      <c r="B137" s="2031"/>
      <c r="C137" s="1501"/>
      <c r="D137" s="2035"/>
      <c r="E137" s="1033"/>
      <c r="F137" s="2035"/>
      <c r="G137" s="2035"/>
      <c r="H137" s="2035"/>
      <c r="I137" s="2013"/>
      <c r="J137" s="1033"/>
      <c r="K137" s="1033" t="s">
        <v>344</v>
      </c>
      <c r="L137" s="1033" t="s">
        <v>345</v>
      </c>
      <c r="M137" s="1021" t="s">
        <v>346</v>
      </c>
      <c r="W137" s="1230"/>
      <c r="X137" s="1230"/>
      <c r="Y137" s="423"/>
      <c r="Z137" s="423"/>
      <c r="AA137" s="1231"/>
      <c r="AB137" s="1230"/>
      <c r="AC137" s="423"/>
      <c r="AF137" s="237"/>
      <c r="AG137" s="237"/>
      <c r="AM137" s="1077"/>
      <c r="AN137" s="1096"/>
      <c r="AO137" s="1078"/>
      <c r="AP137" s="1079"/>
      <c r="AQ137" s="1080"/>
      <c r="AR137" s="1080">
        <f t="shared" si="602" ref="AR137:AR152">IF(E137&lt;&gt;"",E137,"")</f>
        <v>0</v>
      </c>
      <c r="AS137" s="1078">
        <f t="shared" si="603" ref="AS137:AS152">F137</f>
        <v>0</v>
      </c>
      <c r="AT137" s="1080">
        <f t="shared" si="604" ref="AT137:AT152">IF(H137&lt;&gt;"",H137,"")</f>
        <v>0</v>
      </c>
      <c r="AU137" s="1080"/>
      <c r="AV137" s="1080"/>
      <c r="AW137" s="1081"/>
      <c r="AX137" s="237">
        <f t="shared" si="292">IF(AZ137&lt;&gt;"",AX136+1,"")</f>
        <v>0</v>
      </c>
      <c r="AY137" s="1087">
        <v>129</v>
      </c>
      <c r="AZ137" s="1087">
        <f t="shared" si="564">IF(ISNA(VLOOKUP(AY137,$AN$8:$AW$148,2,False))=True,"",VLOOKUP(AY137,$AN$8:$AW$148,2,False))</f>
        <v>0</v>
      </c>
      <c r="BA137" s="1087">
        <f t="shared" si="565">IF(ISNA(VLOOKUP(AZ137,$AE$8:$AF$46,2,False))=True,"",VLOOKUP(AZ137,$AE$8:$AF$46,2,False))</f>
        <v>0</v>
      </c>
      <c r="BB137" s="1087">
        <f t="shared" si="566">IF(ISNA(VLOOKUP(AY137,$AN$8:$AW$148,4,False))=True,"",VLOOKUP(AY137,$AN$8:$AW$148,4,False))</f>
        <v>0</v>
      </c>
      <c r="BC137" s="1087">
        <f t="shared" si="567">IF(ISNA(VLOOKUP(AY137,$AN$8:$AW$148,5,False))=True,"",VLOOKUP(AY137,$AN$8:$AW$148,5,False))</f>
        <v>0</v>
      </c>
      <c r="BD137" s="1087" t="str">
        <f t="shared" si="467">IF(ISNA(VLOOKUP(AY137,$AN$8:$AW$148,6,False))=True,"0",VLOOKUP(AY137,$AN$8:$AW$148,6,False))</f>
        <v>0</v>
      </c>
      <c r="BE137" s="1125">
        <f t="shared" si="568">IF(ISNA(VLOOKUP(AY137,$AN$8:$AW$148,7,False))=True,"",VLOOKUP(AY137,$AN$8:$AW$148,7,False))</f>
        <v>0</v>
      </c>
      <c r="BF137" s="1123">
        <f t="shared" si="569">IF(ISNA(VLOOKUP($AY137,$AN$8:$AW$148,8,False))=True,"",VLOOKUP($AY137,$AN$8:$AW$148,8,False))</f>
        <v>0</v>
      </c>
      <c r="BG137" s="1120">
        <f t="shared" si="570">IF(ISNA(VLOOKUP($AY137,$AN$8:$AW$148,9,False))=True,"",VLOOKUP($AY137,$AN$8:$AW$148,9,False))</f>
        <v>0</v>
      </c>
      <c r="BH137" s="1120">
        <f t="shared" si="571">IF(ISNA(VLOOKUP($AY137,$AN$8:$AW$148,10,False))=True,"",VLOOKUP($AY137,$AN$8:$AW$148,10,False))</f>
        <v>0</v>
      </c>
      <c r="BI137" s="250">
        <f t="shared" si="270">IF(AZ137&lt;&gt;"",AZ137,"")</f>
        <v>0</v>
      </c>
      <c r="BJ137" s="1098">
        <f t="shared" si="271">BI137</f>
        <v>0</v>
      </c>
      <c r="BK137" s="1115">
        <f>COUNTIFS($AZ:$AZ, AZ137,$BJ:$BJ, "&lt;"&amp;BJ137)+COUNTIFS(AZ$8:AZ137, AZ137, BJ$8:BJ137, BJ137)</f>
        <v>130</v>
      </c>
      <c r="BL137" s="1114">
        <f t="shared" si="272">BK137/100</f>
        <v>1.3</v>
      </c>
      <c r="BM137" s="1093" t="e">
        <f t="shared" si="605" ref="BM137">BI137+BL137</f>
        <v>#VALUE!</v>
      </c>
      <c r="BN137" s="1101">
        <f t="shared" si="606" ref="BN137:BN152">IF(BA137&lt;&gt;"",BM137,"")</f>
        <v>0</v>
      </c>
      <c r="BO137" s="1118">
        <f t="shared" si="275">IF(BN137&lt;&gt;"",BN137,0)</f>
        <v>0</v>
      </c>
      <c r="BP137" s="237" t="e">
        <f t="shared" si="582">SMALL($BN$8:$BN$152,AX137)</f>
        <v>#VALUE!</v>
      </c>
      <c r="BQ137" s="1109"/>
      <c r="BR137" s="1102" t="e">
        <f t="shared" si="465">IF(BP137&lt;&gt;"",BR136+1,"")</f>
        <v>#VALUE!</v>
      </c>
      <c r="BS137" s="1102">
        <f t="shared" si="607" ref="BS137:BS152">IFERROR(BP137,"")</f>
        <v>0</v>
      </c>
      <c r="BT137" s="1102">
        <f t="shared" si="277">IFERROR(CC137,"")</f>
        <v>0</v>
      </c>
      <c r="BU137" s="1098">
        <f t="shared" si="278">IFERROR(CD137,"")</f>
        <v>0</v>
      </c>
      <c r="BV137" s="1098">
        <f t="shared" si="279">IFERROR(CE137,"")</f>
        <v>0</v>
      </c>
      <c r="BW137" s="1098">
        <f t="shared" si="280">IFERROR(CF137,"")</f>
        <v>0</v>
      </c>
      <c r="BX137" s="1146">
        <f t="shared" si="281">IFERROR(CH137,"")</f>
        <v>0</v>
      </c>
      <c r="BY137" s="1098">
        <f t="shared" si="282">IFERROR(CG137,"")</f>
        <v>0</v>
      </c>
      <c r="BZ137" s="1144" t="str">
        <f t="shared" si="283">IFERROR(CI137,"-")</f>
        <v>-</v>
      </c>
      <c r="CA137" s="1107">
        <f t="shared" si="284">IFERROR(CJ137,"")</f>
        <v>0</v>
      </c>
      <c r="CB137" s="1107">
        <f t="shared" si="285">IFERROR(CK137,"")</f>
        <v>0</v>
      </c>
      <c r="CC137" s="1110" t="e">
        <f t="shared" si="583">INDEX($AZ$8:$AZ$153,MATCH(BP137,$BO$8:$BO$153,0))</f>
        <v>#VALUE!</v>
      </c>
      <c r="CD137" s="1087" t="e">
        <f t="shared" si="584">INDEX($BA$8:$BA$153,MATCH(BP137,$BO$8:$BO$153,0))</f>
        <v>#VALUE!</v>
      </c>
      <c r="CE137" s="1106" t="e">
        <f t="shared" si="585">INDEX($BB$8:$BB$153,MATCH(BP137,$BO$8:$BO$153,0))</f>
        <v>#VALUE!</v>
      </c>
      <c r="CF137" s="1106" t="e">
        <f t="shared" si="586">INDEX(BC$8:BC$153,MATCH(BP137,$BO$8:$BO$153,0))</f>
        <v>#VALUE!</v>
      </c>
      <c r="CG137" s="1118" t="e">
        <f t="shared" si="587">INDEX(BE$8:BE$153,MATCH(BP137,$BO$8:$BO$153,0))</f>
        <v>#VALUE!</v>
      </c>
      <c r="CH137" s="1106" t="e">
        <f t="shared" si="588">INDEX($BD$8:$BD$153,MATCH($BP137,$BO$8:$BO$153,0))</f>
        <v>#VALUE!</v>
      </c>
      <c r="CI137" s="1142" t="e">
        <f t="shared" si="589">INDEX($BF$8:$BF$153,MATCH(BP137,$BO$8:$BO$153,0))</f>
        <v>#VALUE!</v>
      </c>
      <c r="CJ137" s="1106" t="e">
        <f t="shared" si="590">INDEX($BG$8:$BG$153,MATCH(BP137,$BO$8:$BO$153,0))</f>
        <v>#VALUE!</v>
      </c>
      <c r="CK137" s="1106" t="e">
        <f t="shared" si="591">INDEX($BH$8:$BH$153,MATCH(BP137,$BO$8:$BO$153,0))</f>
        <v>#VALUE!</v>
      </c>
      <c r="CM137" s="1131">
        <f t="shared" si="592">COUNTIF($CH$8:$CH$228,"&lt;="&amp;CH137)</f>
        <v>145</v>
      </c>
      <c r="CN137" s="1121">
        <f t="shared" si="286">--ISNUMBER(BX137)</f>
        <v>0</v>
      </c>
      <c r="CO137" s="1121">
        <f t="shared" si="287">IF(BX137=0,1,0)</f>
        <v>0</v>
      </c>
      <c r="CP137" s="1124">
        <f t="shared" si="573">IF(ISNUMBER(BX137),CM137,IF(ISERROR(BX137),CM137,CM137+$CN$154))+$CO$154</f>
        <v>145</v>
      </c>
      <c r="CQ137" s="237">
        <f>IFERROR(INDEX($BX$8:$BX$153,MATCH(SMALL($CP$8:$CP$153,ROWS($CQ$8:CQ137)+$CO$154),$CP$8:$CP$154,0)),"")</f>
        <v>0</v>
      </c>
      <c r="CR137" s="237">
        <v>0.1</v>
      </c>
      <c r="CS137" s="1135">
        <f t="shared" si="288">CM137+CR137</f>
        <v>145.1</v>
      </c>
      <c r="CT137" s="237">
        <f>COUNTIFS($CM:$CM, CM137,$CS:$CS, "&lt;"&amp;CL)+COUNTIFS(CM$8:CM137, CM137, CS$8:CS137, CS137)</f>
        <v>130</v>
      </c>
      <c r="CU137" s="1109">
        <f t="shared" si="289">CT137/100</f>
        <v>1.3</v>
      </c>
      <c r="CV137" s="1109">
        <f t="shared" si="290">CM137+CU137</f>
        <v>146.3</v>
      </c>
      <c r="CW137" s="237" t="e">
        <f t="shared" si="593">SMALL(CV$8:CV$153,AX137)</f>
        <v>#VALUE!</v>
      </c>
      <c r="CX137" s="1109">
        <f t="shared" si="291">IFERROR(CW137,"")</f>
        <v>0</v>
      </c>
      <c r="CY137" s="237" t="e">
        <f t="shared" si="594">INDEX(BU$8:BU$152,MATCH($CX137,CV$8:CV$152,0))</f>
        <v>#N/A</v>
      </c>
      <c r="CZ137" s="237" t="e">
        <f t="shared" si="595">INDEX(BV$8:BV$152,MATCH($CX137,$CV$8:$CV$152,0))</f>
        <v>#N/A</v>
      </c>
      <c r="DA137" s="237" t="e">
        <f t="shared" si="596">INDEX(BW$8:BW$152,MATCH($CX137,$CV$8:$CV$152,0))</f>
        <v>#N/A</v>
      </c>
      <c r="DB137" s="237" t="e">
        <f t="shared" si="597">INDEX(BX$8:BX$152,MATCH($CX137,$CV$8:$CV$152,0))</f>
        <v>#N/A</v>
      </c>
      <c r="DC137" s="237" t="e">
        <f t="shared" si="598">INDEX(BY$8:BY$152,MATCH($CX137,$CV$8:$CV$152,0))</f>
        <v>#N/A</v>
      </c>
      <c r="DD137" s="237" t="e">
        <f t="shared" si="599">INDEX(BZ$8:BZ$152,MATCH($CX137,$CV$8:$CV$152,0))</f>
        <v>#N/A</v>
      </c>
      <c r="DE137" s="237" t="e">
        <f t="shared" si="600">INDEX(CA$8:CA$152,MATCH($CX137,$CV$8:$CV$152,0))</f>
        <v>#N/A</v>
      </c>
      <c r="DF137" s="237" t="e">
        <f t="shared" si="601">INDEX(CB$8:CB$152,MATCH($CX137,$CV$8:$CV$152,0))</f>
        <v>#N/A</v>
      </c>
    </row>
    <row r="138" spans="1:110">
      <c r="A138" s="1219">
        <v>1</v>
      </c>
      <c r="B138" s="1513"/>
      <c r="C138" s="1220"/>
      <c r="D138" s="1220"/>
      <c r="E138" s="1220"/>
      <c r="F138" s="1220"/>
      <c r="G138" s="1220"/>
      <c r="H138" s="1220"/>
      <c r="I138" s="1478"/>
      <c r="J138" s="1221"/>
      <c r="K138" s="1222"/>
      <c r="L138" s="1223"/>
      <c r="M138" s="1224">
        <f t="shared" si="608" ref="M138:M152">K138*L138</f>
        <v>0</v>
      </c>
      <c r="AM138" s="1082">
        <f t="shared" si="609" ref="AM138:AM152">IF(M138&gt;0,1,0)</f>
        <v>0</v>
      </c>
      <c r="AN138" s="1096">
        <f>IF(AM138&gt;0,COUNTIF(AM$8:AM138,"&gt;0"),0)</f>
        <v>0</v>
      </c>
      <c r="AO138" s="1083">
        <f t="shared" si="610" ref="AO138:AO152">B138</f>
        <v>0</v>
      </c>
      <c r="AP138" s="1084">
        <f t="shared" si="611" ref="AP138:AP152">C138</f>
        <v>0</v>
      </c>
      <c r="AQ138" s="1085">
        <f t="shared" si="612" ref="AQ138:AQ152">IF(I138&lt;&gt;"",YEAR(I138),"")</f>
        <v>0</v>
      </c>
      <c r="AR138" s="1080">
        <f t="shared" si="602">IF(E138&lt;&gt;"",E138,"")</f>
        <v>0</v>
      </c>
      <c r="AS138" s="1078">
        <f t="shared" si="603">F138</f>
        <v>0</v>
      </c>
      <c r="AT138" s="1080">
        <f t="shared" si="604">IF(H138&lt;&gt;"",H138,"")</f>
        <v>0</v>
      </c>
      <c r="AU138" s="1080">
        <f t="shared" si="613" ref="AU138:AU152">J138</f>
        <v>0</v>
      </c>
      <c r="AV138" s="1080">
        <f t="shared" si="614" ref="AV138:AV152">K138</f>
        <v>0</v>
      </c>
      <c r="AW138" s="1086">
        <f t="shared" si="615" ref="AW138:AW152">M138</f>
        <v>0</v>
      </c>
      <c r="AX138" s="237">
        <f t="shared" si="292">IF(AZ138&lt;&gt;"",AX137+1,"")</f>
        <v>0</v>
      </c>
      <c r="AY138" s="1087">
        <v>130</v>
      </c>
      <c r="AZ138" s="1087">
        <f t="shared" si="564">IF(ISNA(VLOOKUP(AY138,$AN$8:$AW$148,2,False))=True,"",VLOOKUP(AY138,$AN$8:$AW$148,2,False))</f>
        <v>0</v>
      </c>
      <c r="BA138" s="1087">
        <f t="shared" si="565">IF(ISNA(VLOOKUP(AZ138,$AE$8:$AF$46,2,False))=True,"",VLOOKUP(AZ138,$AE$8:$AF$46,2,False))</f>
        <v>0</v>
      </c>
      <c r="BB138" s="1087">
        <f t="shared" si="566">IF(ISNA(VLOOKUP(AY138,$AN$8:$AW$148,4,False))=True,"",VLOOKUP(AY138,$AN$8:$AW$148,4,False))</f>
        <v>0</v>
      </c>
      <c r="BC138" s="1087">
        <f t="shared" si="567">IF(ISNA(VLOOKUP(AY138,$AN$8:$AW$148,5,False))=True,"",VLOOKUP(AY138,$AN$8:$AW$148,5,False))</f>
        <v>0</v>
      </c>
      <c r="BD138" s="1087" t="str">
        <f t="shared" si="467">IF(ISNA(VLOOKUP(AY138,$AN$8:$AW$148,6,False))=True,"0",VLOOKUP(AY138,$AN$8:$AW$148,6,False))</f>
        <v>0</v>
      </c>
      <c r="BE138" s="1125">
        <f t="shared" si="568">IF(ISNA(VLOOKUP(AY138,$AN$8:$AW$148,7,False))=True,"",VLOOKUP(AY138,$AN$8:$AW$148,7,False))</f>
        <v>0</v>
      </c>
      <c r="BF138" s="1123">
        <f t="shared" si="569">IF(ISNA(VLOOKUP($AY138,$AN$8:$AW$148,8,False))=True,"",VLOOKUP($AY138,$AN$8:$AW$148,8,False))</f>
        <v>0</v>
      </c>
      <c r="BG138" s="1120">
        <f t="shared" si="570">IF(ISNA(VLOOKUP($AY138,$AN$8:$AW$148,9,False))=True,"",VLOOKUP($AY138,$AN$8:$AW$148,9,False))</f>
        <v>0</v>
      </c>
      <c r="BH138" s="1120">
        <f t="shared" si="571">IF(ISNA(VLOOKUP($AY138,$AN$8:$AW$148,10,False))=True,"",VLOOKUP($AY138,$AN$8:$AW$148,10,False))</f>
        <v>0</v>
      </c>
      <c r="BI138" s="250">
        <f t="shared" si="616" ref="BI138:BI152">IF(AZ138&lt;&gt;"",AZ138,"")</f>
        <v>0</v>
      </c>
      <c r="BJ138" s="1098">
        <f t="shared" si="617" ref="BJ138:BJ152">BI138</f>
        <v>0</v>
      </c>
      <c r="BK138" s="1115">
        <f>COUNTIFS($AZ:$AZ, AZ138,$BJ:$BJ, "&lt;"&amp;BJ138)+COUNTIFS(AZ$8:AZ138, AZ138, BJ$8:BJ138, BJ138)</f>
        <v>131</v>
      </c>
      <c r="BL138" s="1114">
        <f t="shared" si="618" ref="BL138:BL152">BK138/100</f>
        <v>1.31</v>
      </c>
      <c r="BM138" s="1093" t="e">
        <f t="shared" si="619" ref="BM138">BJ138+BL138</f>
        <v>#VALUE!</v>
      </c>
      <c r="BN138" s="1101">
        <f t="shared" si="606">IF(BA138&lt;&gt;"",BM138,"")</f>
        <v>0</v>
      </c>
      <c r="BO138" s="1118">
        <f t="shared" si="620" ref="BO138:BO152">IF(BN138&lt;&gt;"",BN138,0)</f>
        <v>0</v>
      </c>
      <c r="BP138" s="237" t="e">
        <f t="shared" si="582">SMALL($BN$8:$BN$152,AX138)</f>
        <v>#VALUE!</v>
      </c>
      <c r="BR138" s="1102" t="e">
        <f t="shared" si="621" ref="BR138:BR152">IF(BP138&lt;&gt;"",BR137+1,"")</f>
        <v>#VALUE!</v>
      </c>
      <c r="BS138" s="1102">
        <f t="shared" si="607">IFERROR(BP138,"")</f>
        <v>0</v>
      </c>
      <c r="BT138" s="1102">
        <f t="shared" si="622" ref="BT138:BT152">IFERROR(CC138,"")</f>
        <v>0</v>
      </c>
      <c r="BU138" s="1098">
        <f t="shared" si="623" ref="BU138:BU152">IFERROR(CD138,"")</f>
        <v>0</v>
      </c>
      <c r="BV138" s="1098">
        <f t="shared" si="624" ref="BV138:BV152">IFERROR(CE138,"")</f>
        <v>0</v>
      </c>
      <c r="BW138" s="1098">
        <f t="shared" si="625" ref="BW138:BW152">IFERROR(CF138,"")</f>
        <v>0</v>
      </c>
      <c r="BX138" s="1146">
        <f t="shared" si="626" ref="BX138:BX152">IFERROR(CH138,"")</f>
        <v>0</v>
      </c>
      <c r="BY138" s="1098">
        <f t="shared" si="627" ref="BY138:BY152">IFERROR(CG138,"")</f>
        <v>0</v>
      </c>
      <c r="BZ138" s="1144" t="str">
        <f t="shared" si="628" ref="BZ138:BZ152">IFERROR(CI138,"-")</f>
        <v>-</v>
      </c>
      <c r="CA138" s="1107">
        <f t="shared" si="629" ref="CA138:CA152">IFERROR(CJ138,"")</f>
        <v>0</v>
      </c>
      <c r="CB138" s="1107">
        <f t="shared" si="630" ref="CB138:CB152">IFERROR(CK138,"")</f>
        <v>0</v>
      </c>
      <c r="CC138" s="1110" t="e">
        <f t="shared" si="583">INDEX($AZ$8:$AZ$153,MATCH(BP138,$BO$8:$BO$153,0))</f>
        <v>#VALUE!</v>
      </c>
      <c r="CD138" s="1087" t="e">
        <f t="shared" si="584">INDEX($BA$8:$BA$153,MATCH(BP138,$BO$8:$BO$153,0))</f>
        <v>#VALUE!</v>
      </c>
      <c r="CE138" s="1106" t="e">
        <f t="shared" si="585">INDEX($BB$8:$BB$153,MATCH(BP138,$BO$8:$BO$153,0))</f>
        <v>#VALUE!</v>
      </c>
      <c r="CF138" s="1106" t="e">
        <f t="shared" si="586">INDEX(BC$8:BC$153,MATCH(BP138,$BO$8:$BO$153,0))</f>
        <v>#VALUE!</v>
      </c>
      <c r="CG138" s="1118" t="e">
        <f t="shared" si="587">INDEX(BE$8:BE$153,MATCH(BP138,$BO$8:$BO$153,0))</f>
        <v>#VALUE!</v>
      </c>
      <c r="CH138" s="1106" t="e">
        <f t="shared" si="588">INDEX($BD$8:$BD$153,MATCH($BP138,$BO$8:$BO$153,0))</f>
        <v>#VALUE!</v>
      </c>
      <c r="CI138" s="1142" t="e">
        <f t="shared" si="589">INDEX($BF$8:$BF$153,MATCH(BP138,$BO$8:$BO$153,0))</f>
        <v>#VALUE!</v>
      </c>
      <c r="CJ138" s="1106" t="e">
        <f t="shared" si="590">INDEX($BG$8:$BG$153,MATCH(BP138,$BO$8:$BO$153,0))</f>
        <v>#VALUE!</v>
      </c>
      <c r="CK138" s="1106" t="e">
        <f t="shared" si="591">INDEX($BH$8:$BH$153,MATCH(BP138,$BO$8:$BO$153,0))</f>
        <v>#VALUE!</v>
      </c>
      <c r="CM138" s="1131">
        <f t="shared" si="592">COUNTIF($CH$8:$CH$228,"&lt;="&amp;CH138)</f>
        <v>145</v>
      </c>
      <c r="CN138" s="1121">
        <f t="shared" si="631" ref="CN138:CN152">--ISNUMBER(BX138)</f>
        <v>0</v>
      </c>
      <c r="CO138" s="1121">
        <f t="shared" si="632" ref="CO138:CO152">IF(BX138=0,1,0)</f>
        <v>0</v>
      </c>
      <c r="CP138" s="1124">
        <f>IF(ISNUMBER(BX138),CM138,IF(ISERROR(BX138),CM138,CM138+$CN$154))+$CO$154</f>
        <v>145</v>
      </c>
      <c r="CQ138" s="237">
        <f>IFERROR(INDEX($BX$8:$BX$153,MATCH(SMALL($CP$8:$CP$153,ROWS($CQ$8:CQ138)+$CO$154),$CP$8:$CP$154,0)),"")</f>
        <v>0</v>
      </c>
      <c r="CR138" s="237">
        <v>0.1</v>
      </c>
      <c r="CS138" s="1135">
        <f t="shared" si="633" ref="CS138:CS152">CM138+CR138</f>
        <v>145.1</v>
      </c>
      <c r="CT138" s="237">
        <f>COUNTIFS($CM:$CM, CM138,$CS:$CS, "&lt;"&amp;CL)+COUNTIFS(CM$8:CM138, CM138, CS$8:CS138, CS138)</f>
        <v>131</v>
      </c>
      <c r="CU138" s="1109">
        <f t="shared" si="634" ref="CU138:CU152">CT138/100</f>
        <v>1.31</v>
      </c>
      <c r="CV138" s="1109">
        <f t="shared" si="635" ref="CV138:CV152">CM138+CU138</f>
        <v>146.31</v>
      </c>
      <c r="CW138" s="237" t="e">
        <f t="shared" si="593">SMALL(CV$8:CV$153,AX138)</f>
        <v>#VALUE!</v>
      </c>
      <c r="CX138" s="1109">
        <f t="shared" si="636" ref="CX138:CX152">IFERROR(CW138,"")</f>
        <v>0</v>
      </c>
      <c r="CY138" s="237" t="e">
        <f t="shared" si="594">INDEX(BU$8:BU$152,MATCH($CX138,CV$8:CV$152,0))</f>
        <v>#N/A</v>
      </c>
      <c r="CZ138" s="237" t="e">
        <f t="shared" si="595">INDEX(BV$8:BV$152,MATCH($CX138,$CV$8:$CV$152,0))</f>
        <v>#N/A</v>
      </c>
      <c r="DA138" s="237" t="e">
        <f t="shared" si="596">INDEX(BW$8:BW$152,MATCH($CX138,$CV$8:$CV$152,0))</f>
        <v>#N/A</v>
      </c>
      <c r="DB138" s="237" t="e">
        <f t="shared" si="597">INDEX(BX$8:BX$152,MATCH($CX138,$CV$8:$CV$152,0))</f>
        <v>#N/A</v>
      </c>
      <c r="DC138" s="237" t="e">
        <f t="shared" si="598">INDEX(BY$8:BY$152,MATCH($CX138,$CV$8:$CV$152,0))</f>
        <v>#N/A</v>
      </c>
      <c r="DD138" s="237" t="e">
        <f t="shared" si="599">INDEX(BZ$8:BZ$152,MATCH($CX138,$CV$8:$CV$152,0))</f>
        <v>#N/A</v>
      </c>
      <c r="DE138" s="237" t="e">
        <f t="shared" si="600">INDEX(CA$8:CA$152,MATCH($CX138,$CV$8:$CV$152,0))</f>
        <v>#N/A</v>
      </c>
      <c r="DF138" s="237" t="e">
        <f t="shared" si="601">INDEX(CB$8:CB$152,MATCH($CX138,$CV$8:$CV$152,0))</f>
        <v>#N/A</v>
      </c>
    </row>
    <row r="139" spans="1:110">
      <c r="A139" s="1219">
        <v>2</v>
      </c>
      <c r="B139" s="1513"/>
      <c r="C139" s="1220"/>
      <c r="D139" s="1220"/>
      <c r="E139" s="1220"/>
      <c r="F139" s="1220"/>
      <c r="G139" s="1220"/>
      <c r="H139" s="1220"/>
      <c r="I139" s="1478"/>
      <c r="J139" s="1221"/>
      <c r="K139" s="1222"/>
      <c r="L139" s="1223"/>
      <c r="M139" s="1224">
        <f t="shared" si="608">K139*L139</f>
        <v>0</v>
      </c>
      <c r="W139" s="1230"/>
      <c r="X139" s="1230"/>
      <c r="Y139" s="423"/>
      <c r="Z139" s="423"/>
      <c r="AM139" s="1077">
        <f t="shared" si="609">IF(M139&gt;0,1,0)</f>
        <v>0</v>
      </c>
      <c r="AN139" s="1096">
        <f>IF(AM139&gt;0,COUNTIF(AM$8:AM139,"&gt;0"),0)</f>
        <v>0</v>
      </c>
      <c r="AO139" s="1078">
        <f t="shared" si="610">B139</f>
        <v>0</v>
      </c>
      <c r="AP139" s="1079">
        <f t="shared" si="611">C139</f>
        <v>0</v>
      </c>
      <c r="AQ139" s="1080">
        <f t="shared" si="612">IF(I139&lt;&gt;"",YEAR(I139),"")</f>
        <v>0</v>
      </c>
      <c r="AR139" s="1080">
        <f t="shared" si="602">IF(E139&lt;&gt;"",E139,"")</f>
        <v>0</v>
      </c>
      <c r="AS139" s="1078">
        <f t="shared" si="603">F139</f>
        <v>0</v>
      </c>
      <c r="AT139" s="1080">
        <f t="shared" si="604">IF(H139&lt;&gt;"",H139,"")</f>
        <v>0</v>
      </c>
      <c r="AU139" s="1080">
        <f t="shared" si="613">J139</f>
        <v>0</v>
      </c>
      <c r="AV139" s="1080">
        <f t="shared" si="614">K139</f>
        <v>0</v>
      </c>
      <c r="AW139" s="1081">
        <f t="shared" si="615">M139</f>
        <v>0</v>
      </c>
      <c r="AX139" s="237">
        <f t="shared" si="637" ref="AX139:AX152">IF(AZ139&lt;&gt;"",AX138+1,"")</f>
        <v>0</v>
      </c>
      <c r="AY139" s="1087">
        <v>131</v>
      </c>
      <c r="AZ139" s="1087">
        <f t="shared" si="564">IF(ISNA(VLOOKUP(AY139,$AN$8:$AW$148,2,False))=True,"",VLOOKUP(AY139,$AN$8:$AW$148,2,False))</f>
        <v>0</v>
      </c>
      <c r="BA139" s="1087">
        <f t="shared" si="565">IF(ISNA(VLOOKUP(AZ139,$AE$8:$AF$46,2,False))=True,"",VLOOKUP(AZ139,$AE$8:$AF$46,2,False))</f>
        <v>0</v>
      </c>
      <c r="BB139" s="1087">
        <f t="shared" si="566">IF(ISNA(VLOOKUP(AY139,$AN$8:$AW$148,4,False))=True,"",VLOOKUP(AY139,$AN$8:$AW$148,4,False))</f>
        <v>0</v>
      </c>
      <c r="BC139" s="1087">
        <f t="shared" si="567">IF(ISNA(VLOOKUP(AY139,$AN$8:$AW$148,5,False))=True,"",VLOOKUP(AY139,$AN$8:$AW$148,5,False))</f>
        <v>0</v>
      </c>
      <c r="BD139" s="1087" t="str">
        <f t="shared" si="467">IF(ISNA(VLOOKUP(AY139,$AN$8:$AW$148,6,False))=True,"0",VLOOKUP(AY139,$AN$8:$AW$148,6,False))</f>
        <v>0</v>
      </c>
      <c r="BE139" s="1125">
        <f t="shared" si="568">IF(ISNA(VLOOKUP(AY139,$AN$8:$AW$148,7,False))=True,"",VLOOKUP(AY139,$AN$8:$AW$148,7,False))</f>
        <v>0</v>
      </c>
      <c r="BF139" s="1123">
        <f t="shared" si="569">IF(ISNA(VLOOKUP($AY139,$AN$8:$AW$148,8,False))=True,"",VLOOKUP($AY139,$AN$8:$AW$148,8,False))</f>
        <v>0</v>
      </c>
      <c r="BG139" s="1120">
        <f t="shared" si="570">IF(ISNA(VLOOKUP($AY139,$AN$8:$AW$148,9,False))=True,"",VLOOKUP($AY139,$AN$8:$AW$148,9,False))</f>
        <v>0</v>
      </c>
      <c r="BH139" s="1120">
        <f t="shared" si="571">IF(ISNA(VLOOKUP($AY139,$AN$8:$AW$148,10,False))=True,"",VLOOKUP($AY139,$AN$8:$AW$148,10,False))</f>
        <v>0</v>
      </c>
      <c r="BI139" s="250">
        <f t="shared" si="616">IF(AZ139&lt;&gt;"",AZ139,"")</f>
        <v>0</v>
      </c>
      <c r="BJ139" s="1098">
        <f t="shared" si="617">BI139</f>
        <v>0</v>
      </c>
      <c r="BK139" s="1115">
        <f>COUNTIFS($AZ:$AZ, AZ139,$BJ:$BJ, "&lt;"&amp;BJ139)+COUNTIFS(AZ$8:AZ139, AZ139, BJ$8:BJ139, BJ139)</f>
        <v>132</v>
      </c>
      <c r="BL139" s="1114">
        <f t="shared" si="618">BK139/100</f>
        <v>1.32</v>
      </c>
      <c r="BM139" s="1093" t="e">
        <f t="shared" si="638" ref="BM139">BI139+BL139</f>
        <v>#VALUE!</v>
      </c>
      <c r="BN139" s="1101">
        <f t="shared" si="606">IF(BA139&lt;&gt;"",BM139,"")</f>
        <v>0</v>
      </c>
      <c r="BO139" s="1118">
        <f t="shared" si="620">IF(BN139&lt;&gt;"",BN139,0)</f>
        <v>0</v>
      </c>
      <c r="BP139" s="237" t="e">
        <f t="shared" si="582">SMALL($BN$8:$BN$152,AX139)</f>
        <v>#VALUE!</v>
      </c>
      <c r="BR139" s="1102" t="e">
        <f t="shared" si="621">IF(BP139&lt;&gt;"",BR138+1,"")</f>
        <v>#VALUE!</v>
      </c>
      <c r="BS139" s="1102">
        <f t="shared" si="607">IFERROR(BP139,"")</f>
        <v>0</v>
      </c>
      <c r="BT139" s="1102">
        <f t="shared" si="622">IFERROR(CC139,"")</f>
        <v>0</v>
      </c>
      <c r="BU139" s="1098">
        <f t="shared" si="623">IFERROR(CD139,"")</f>
        <v>0</v>
      </c>
      <c r="BV139" s="1098">
        <f t="shared" si="624">IFERROR(CE139,"")</f>
        <v>0</v>
      </c>
      <c r="BW139" s="1098">
        <f t="shared" si="625">IFERROR(CF139,"")</f>
        <v>0</v>
      </c>
      <c r="BX139" s="1146">
        <f t="shared" si="626">IFERROR(CH139,"")</f>
        <v>0</v>
      </c>
      <c r="BY139" s="1098">
        <f t="shared" si="627">IFERROR(CG139,"")</f>
        <v>0</v>
      </c>
      <c r="BZ139" s="1144" t="str">
        <f t="shared" si="628">IFERROR(CI139,"-")</f>
        <v>-</v>
      </c>
      <c r="CA139" s="1107">
        <f t="shared" si="629">IFERROR(CJ139,"")</f>
        <v>0</v>
      </c>
      <c r="CB139" s="1107">
        <f t="shared" si="630">IFERROR(CK139,"")</f>
        <v>0</v>
      </c>
      <c r="CC139" s="1110" t="e">
        <f t="shared" si="583">INDEX($AZ$8:$AZ$153,MATCH(BP139,$BO$8:$BO$153,0))</f>
        <v>#VALUE!</v>
      </c>
      <c r="CD139" s="1087" t="e">
        <f t="shared" si="584">INDEX($BA$8:$BA$153,MATCH(BP139,$BO$8:$BO$153,0))</f>
        <v>#VALUE!</v>
      </c>
      <c r="CE139" s="1106" t="e">
        <f t="shared" si="585">INDEX($BB$8:$BB$153,MATCH(BP139,$BO$8:$BO$153,0))</f>
        <v>#VALUE!</v>
      </c>
      <c r="CF139" s="1106" t="e">
        <f t="shared" si="586">INDEX(BC$8:BC$153,MATCH(BP139,$BO$8:$BO$153,0))</f>
        <v>#VALUE!</v>
      </c>
      <c r="CG139" s="1118" t="e">
        <f t="shared" si="587">INDEX(BE$8:BE$153,MATCH(BP139,$BO$8:$BO$153,0))</f>
        <v>#VALUE!</v>
      </c>
      <c r="CH139" s="1106" t="e">
        <f t="shared" si="588">INDEX($BD$8:$BD$153,MATCH($BP139,$BO$8:$BO$153,0))</f>
        <v>#VALUE!</v>
      </c>
      <c r="CI139" s="1142" t="e">
        <f t="shared" si="589">INDEX($BF$8:$BF$153,MATCH(BP139,$BO$8:$BO$153,0))</f>
        <v>#VALUE!</v>
      </c>
      <c r="CJ139" s="1106" t="e">
        <f t="shared" si="590">INDEX($BG$8:$BG$153,MATCH(BP139,$BO$8:$BO$153,0))</f>
        <v>#VALUE!</v>
      </c>
      <c r="CK139" s="1106" t="e">
        <f t="shared" si="591">INDEX($BH$8:$BH$153,MATCH(BP139,$BO$8:$BO$153,0))</f>
        <v>#VALUE!</v>
      </c>
      <c r="CM139" s="1131">
        <f t="shared" si="592">COUNTIF($CH$8:$CH$228,"&lt;="&amp;CH139)</f>
        <v>145</v>
      </c>
      <c r="CN139" s="1121">
        <f t="shared" si="631">--ISNUMBER(BX139)</f>
        <v>0</v>
      </c>
      <c r="CO139" s="1121">
        <f t="shared" si="632">IF(BX139=0,1,0)</f>
        <v>0</v>
      </c>
      <c r="CP139" s="1124">
        <f>IF(ISNUMBER(BX139),CM139,IF(ISERROR(BX139),CM139,CM139+$CN$154))+$CO$154</f>
        <v>145</v>
      </c>
      <c r="CQ139" s="237">
        <f>IFERROR(INDEX($BX$8:$BX$153,MATCH(SMALL($CP$8:$CP$153,ROWS($CQ$8:CQ139)+$CO$154),$CP$8:$CP$154,0)),"")</f>
        <v>0</v>
      </c>
      <c r="CR139" s="237">
        <v>0.1</v>
      </c>
      <c r="CS139" s="1135">
        <f t="shared" si="633">CM139+CR139</f>
        <v>145.1</v>
      </c>
      <c r="CT139" s="237">
        <f>COUNTIFS($CM:$CM, CM139,$CS:$CS, "&lt;"&amp;CL)+COUNTIFS(CM$8:CM139, CM139, CS$8:CS139, CS139)</f>
        <v>132</v>
      </c>
      <c r="CU139" s="1109">
        <f t="shared" si="634">CT139/100</f>
        <v>1.32</v>
      </c>
      <c r="CV139" s="1109">
        <f t="shared" si="635">CM139+CU139</f>
        <v>146.32</v>
      </c>
      <c r="CW139" s="237" t="e">
        <f t="shared" si="593">SMALL(CV$8:CV$153,AX139)</f>
        <v>#VALUE!</v>
      </c>
      <c r="CX139" s="1109">
        <f t="shared" si="636">IFERROR(CW139,"")</f>
        <v>0</v>
      </c>
      <c r="CY139" s="237" t="e">
        <f t="shared" si="594">INDEX(BU$8:BU$152,MATCH($CX139,CV$8:CV$152,0))</f>
        <v>#N/A</v>
      </c>
      <c r="CZ139" s="237" t="e">
        <f t="shared" si="595">INDEX(BV$8:BV$152,MATCH($CX139,$CV$8:$CV$152,0))</f>
        <v>#N/A</v>
      </c>
      <c r="DA139" s="237" t="e">
        <f t="shared" si="596">INDEX(BW$8:BW$152,MATCH($CX139,$CV$8:$CV$152,0))</f>
        <v>#N/A</v>
      </c>
      <c r="DB139" s="237" t="e">
        <f t="shared" si="597">INDEX(BX$8:BX$152,MATCH($CX139,$CV$8:$CV$152,0))</f>
        <v>#N/A</v>
      </c>
      <c r="DC139" s="237" t="e">
        <f t="shared" si="598">INDEX(BY$8:BY$152,MATCH($CX139,$CV$8:$CV$152,0))</f>
        <v>#N/A</v>
      </c>
      <c r="DD139" s="237" t="e">
        <f t="shared" si="599">INDEX(BZ$8:BZ$152,MATCH($CX139,$CV$8:$CV$152,0))</f>
        <v>#N/A</v>
      </c>
      <c r="DE139" s="237" t="e">
        <f t="shared" si="600">INDEX(CA$8:CA$152,MATCH($CX139,$CV$8:$CV$152,0))</f>
        <v>#N/A</v>
      </c>
      <c r="DF139" s="237" t="e">
        <f t="shared" si="601">INDEX(CB$8:CB$152,MATCH($CX139,$CV$8:$CV$152,0))</f>
        <v>#N/A</v>
      </c>
    </row>
    <row r="140" spans="1:110">
      <c r="A140" s="1219">
        <v>3</v>
      </c>
      <c r="B140" s="1513"/>
      <c r="C140" s="1220"/>
      <c r="D140" s="1220"/>
      <c r="E140" s="1220"/>
      <c r="F140" s="1220"/>
      <c r="G140" s="1220"/>
      <c r="H140" s="1220"/>
      <c r="I140" s="1478"/>
      <c r="J140" s="1221"/>
      <c r="K140" s="1222"/>
      <c r="L140" s="1223"/>
      <c r="M140" s="1224">
        <f t="shared" si="608">K140*L140</f>
        <v>0</v>
      </c>
      <c r="W140" s="1230"/>
      <c r="X140" s="1230"/>
      <c r="Y140" s="423"/>
      <c r="Z140" s="423"/>
      <c r="AM140" s="1077">
        <f t="shared" si="609">IF(M140&gt;0,1,0)</f>
        <v>0</v>
      </c>
      <c r="AN140" s="1096">
        <f>IF(K140&gt;0,COUNTIF(AM$8:AM140,"&gt;0"),0)</f>
        <v>0</v>
      </c>
      <c r="AO140" s="1078">
        <f t="shared" si="610">B140</f>
        <v>0</v>
      </c>
      <c r="AP140" s="1079">
        <f t="shared" si="611">C140</f>
        <v>0</v>
      </c>
      <c r="AQ140" s="1080">
        <f t="shared" si="612">IF(I140&lt;&gt;"",YEAR(I140),"")</f>
        <v>0</v>
      </c>
      <c r="AR140" s="1080">
        <f t="shared" si="602">IF(E140&lt;&gt;"",E140,"")</f>
        <v>0</v>
      </c>
      <c r="AS140" s="1078">
        <f t="shared" si="603">F140</f>
        <v>0</v>
      </c>
      <c r="AT140" s="1080">
        <f t="shared" si="604">IF(H140&lt;&gt;"",H140,"")</f>
        <v>0</v>
      </c>
      <c r="AU140" s="1080">
        <f t="shared" si="613">J140</f>
        <v>0</v>
      </c>
      <c r="AV140" s="1080">
        <f t="shared" si="614">K140</f>
        <v>0</v>
      </c>
      <c r="AW140" s="1081">
        <f t="shared" si="615">M140</f>
        <v>0</v>
      </c>
      <c r="AX140" s="237">
        <f t="shared" si="637">IF(AZ140&lt;&gt;"",AX139+1,"")</f>
        <v>0</v>
      </c>
      <c r="AY140" s="1087">
        <v>132</v>
      </c>
      <c r="AZ140" s="1087">
        <f t="shared" si="564">IF(ISNA(VLOOKUP(AY140,$AN$8:$AW$148,2,False))=True,"",VLOOKUP(AY140,$AN$8:$AW$148,2,False))</f>
        <v>0</v>
      </c>
      <c r="BA140" s="1087">
        <f t="shared" si="565">IF(ISNA(VLOOKUP(AZ140,$AE$8:$AF$46,2,False))=True,"",VLOOKUP(AZ140,$AE$8:$AF$46,2,False))</f>
        <v>0</v>
      </c>
      <c r="BB140" s="1087">
        <f t="shared" si="566">IF(ISNA(VLOOKUP(AY140,$AN$8:$AW$148,4,False))=True,"",VLOOKUP(AY140,$AN$8:$AW$148,4,False))</f>
        <v>0</v>
      </c>
      <c r="BC140" s="1087">
        <f t="shared" si="567">IF(ISNA(VLOOKUP(AY140,$AN$8:$AW$148,5,False))=True,"",VLOOKUP(AY140,$AN$8:$AW$148,5,False))</f>
        <v>0</v>
      </c>
      <c r="BD140" s="1087" t="str">
        <f t="shared" si="467">IF(ISNA(VLOOKUP(AY140,$AN$8:$AW$148,6,False))=True,"0",VLOOKUP(AY140,$AN$8:$AW$148,6,False))</f>
        <v>0</v>
      </c>
      <c r="BE140" s="1125">
        <f t="shared" si="568">IF(ISNA(VLOOKUP(AY140,$AN$8:$AW$148,7,False))=True,"",VLOOKUP(AY140,$AN$8:$AW$148,7,False))</f>
        <v>0</v>
      </c>
      <c r="BF140" s="1123">
        <f t="shared" si="569">IF(ISNA(VLOOKUP($AY140,$AN$8:$AW$148,8,False))=True,"",VLOOKUP($AY140,$AN$8:$AW$148,8,False))</f>
        <v>0</v>
      </c>
      <c r="BG140" s="1120">
        <f t="shared" si="570">IF(ISNA(VLOOKUP($AY140,$AN$8:$AW$148,9,False))=True,"",VLOOKUP($AY140,$AN$8:$AW$148,9,False))</f>
        <v>0</v>
      </c>
      <c r="BH140" s="1120">
        <f t="shared" si="571">IF(ISNA(VLOOKUP($AY140,$AN$8:$AW$148,10,False))=True,"",VLOOKUP($AY140,$AN$8:$AW$148,10,False))</f>
        <v>0</v>
      </c>
      <c r="BI140" s="250">
        <f t="shared" si="616">IF(AZ140&lt;&gt;"",AZ140,"")</f>
        <v>0</v>
      </c>
      <c r="BJ140" s="1098">
        <f t="shared" si="617">BI140</f>
        <v>0</v>
      </c>
      <c r="BK140" s="1115">
        <f>COUNTIFS($AZ:$AZ, AZ140,$BJ:$BJ, "&lt;"&amp;BJ140)+COUNTIFS(AZ$8:AZ140, AZ140, BJ$8:BJ140, BJ140)</f>
        <v>133</v>
      </c>
      <c r="BL140" s="1114">
        <f t="shared" si="618">BK140/100</f>
        <v>1.33</v>
      </c>
      <c r="BM140" s="1093" t="e">
        <f t="shared" si="639" ref="BM140">BJ140+BL140</f>
        <v>#VALUE!</v>
      </c>
      <c r="BN140" s="1101">
        <f t="shared" si="606">IF(BA140&lt;&gt;"",BM140,"")</f>
        <v>0</v>
      </c>
      <c r="BO140" s="1118">
        <f t="shared" si="620">IF(BN140&lt;&gt;"",BN140,0)</f>
        <v>0</v>
      </c>
      <c r="BP140" s="237" t="e">
        <f t="shared" si="582">SMALL($BN$8:$BN$152,AX140)</f>
        <v>#VALUE!</v>
      </c>
      <c r="BR140" s="1102" t="e">
        <f t="shared" si="621">IF(BP140&lt;&gt;"",BR139+1,"")</f>
        <v>#VALUE!</v>
      </c>
      <c r="BS140" s="1102">
        <f t="shared" si="607">IFERROR(BP140,"")</f>
        <v>0</v>
      </c>
      <c r="BT140" s="1102">
        <f t="shared" si="622">IFERROR(CC140,"")</f>
        <v>0</v>
      </c>
      <c r="BU140" s="1098">
        <f t="shared" si="623">IFERROR(CD140,"")</f>
        <v>0</v>
      </c>
      <c r="BV140" s="1098">
        <f t="shared" si="624">IFERROR(CE140,"")</f>
        <v>0</v>
      </c>
      <c r="BW140" s="1098">
        <f t="shared" si="625">IFERROR(CF140,"")</f>
        <v>0</v>
      </c>
      <c r="BX140" s="1146">
        <f t="shared" si="626">IFERROR(CH140,"")</f>
        <v>0</v>
      </c>
      <c r="BY140" s="1098">
        <f t="shared" si="627">IFERROR(CG140,"")</f>
        <v>0</v>
      </c>
      <c r="BZ140" s="1144" t="str">
        <f t="shared" si="628">IFERROR(CI140,"-")</f>
        <v>-</v>
      </c>
      <c r="CA140" s="1107">
        <f t="shared" si="629">IFERROR(CJ140,"")</f>
        <v>0</v>
      </c>
      <c r="CB140" s="1107">
        <f t="shared" si="630">IFERROR(CK140,"")</f>
        <v>0</v>
      </c>
      <c r="CC140" s="1110" t="e">
        <f t="shared" si="583">INDEX($AZ$8:$AZ$153,MATCH(BP140,$BO$8:$BO$153,0))</f>
        <v>#VALUE!</v>
      </c>
      <c r="CD140" s="1087" t="e">
        <f t="shared" si="584">INDEX($BA$8:$BA$153,MATCH(BP140,$BO$8:$BO$153,0))</f>
        <v>#VALUE!</v>
      </c>
      <c r="CE140" s="1106" t="e">
        <f t="shared" si="585">INDEX($BB$8:$BB$153,MATCH(BP140,$BO$8:$BO$153,0))</f>
        <v>#VALUE!</v>
      </c>
      <c r="CF140" s="1106" t="e">
        <f t="shared" si="586">INDEX(BC$8:BC$153,MATCH(BP140,$BO$8:$BO$153,0))</f>
        <v>#VALUE!</v>
      </c>
      <c r="CG140" s="1118" t="e">
        <f t="shared" si="587">INDEX(BE$8:BE$153,MATCH(BP140,$BO$8:$BO$153,0))</f>
        <v>#VALUE!</v>
      </c>
      <c r="CH140" s="1106" t="e">
        <f t="shared" si="588">INDEX($BD$8:$BD$153,MATCH($BP140,$BO$8:$BO$153,0))</f>
        <v>#VALUE!</v>
      </c>
      <c r="CI140" s="1142" t="e">
        <f t="shared" si="589">INDEX($BF$8:$BF$153,MATCH(BP140,$BO$8:$BO$153,0))</f>
        <v>#VALUE!</v>
      </c>
      <c r="CJ140" s="1106" t="e">
        <f t="shared" si="590">INDEX($BG$8:$BG$153,MATCH(BP140,$BO$8:$BO$153,0))</f>
        <v>#VALUE!</v>
      </c>
      <c r="CK140" s="1106" t="e">
        <f t="shared" si="591">INDEX($BH$8:$BH$153,MATCH(BP140,$BO$8:$BO$153,0))</f>
        <v>#VALUE!</v>
      </c>
      <c r="CM140" s="1131">
        <f t="shared" si="592">COUNTIF($CH$8:$CH$228,"&lt;="&amp;CH140)</f>
        <v>145</v>
      </c>
      <c r="CN140" s="1121">
        <f t="shared" si="631">--ISNUMBER(BX140)</f>
        <v>0</v>
      </c>
      <c r="CO140" s="1121">
        <f t="shared" si="632">IF(BX140=0,1,0)</f>
        <v>0</v>
      </c>
      <c r="CP140" s="1124">
        <f>IF(ISNUMBER(BX140),CM140,IF(ISERROR(BX140),CM140,CM140+$CN$154))+$CO$154</f>
        <v>145</v>
      </c>
      <c r="CQ140" s="237">
        <f>IFERROR(INDEX($BX$8:$BX$153,MATCH(SMALL($CP$8:$CP$153,ROWS($CQ$8:CQ140)+$CO$154),$CP$8:$CP$154,0)),"")</f>
        <v>0</v>
      </c>
      <c r="CR140" s="237">
        <v>0.1</v>
      </c>
      <c r="CS140" s="1135">
        <f t="shared" si="633">CM140+CR140</f>
        <v>145.1</v>
      </c>
      <c r="CT140" s="237">
        <f>COUNTIFS($CM:$CM, CM140,$CS:$CS, "&lt;"&amp;CL)+COUNTIFS(CM$8:CM140, CM140, CS$8:CS140, CS140)</f>
        <v>133</v>
      </c>
      <c r="CU140" s="1109">
        <f t="shared" si="634">CT140/100</f>
        <v>1.33</v>
      </c>
      <c r="CV140" s="1109">
        <f t="shared" si="635">CM140+CU140</f>
        <v>146.33</v>
      </c>
      <c r="CW140" s="237" t="e">
        <f t="shared" si="593">SMALL(CV$8:CV$153,AX140)</f>
        <v>#VALUE!</v>
      </c>
      <c r="CX140" s="1109">
        <f t="shared" si="636">IFERROR(CW140,"")</f>
        <v>0</v>
      </c>
      <c r="CY140" s="237" t="e">
        <f t="shared" si="594">INDEX(BU$8:BU$152,MATCH($CX140,CV$8:CV$152,0))</f>
        <v>#N/A</v>
      </c>
      <c r="CZ140" s="237" t="e">
        <f t="shared" si="595">INDEX(BV$8:BV$152,MATCH($CX140,$CV$8:$CV$152,0))</f>
        <v>#N/A</v>
      </c>
      <c r="DA140" s="237" t="e">
        <f t="shared" si="596">INDEX(BW$8:BW$152,MATCH($CX140,$CV$8:$CV$152,0))</f>
        <v>#N/A</v>
      </c>
      <c r="DB140" s="237" t="e">
        <f t="shared" si="597">INDEX(BX$8:BX$152,MATCH($CX140,$CV$8:$CV$152,0))</f>
        <v>#N/A</v>
      </c>
      <c r="DC140" s="237" t="e">
        <f t="shared" si="598">INDEX(BY$8:BY$152,MATCH($CX140,$CV$8:$CV$152,0))</f>
        <v>#N/A</v>
      </c>
      <c r="DD140" s="237" t="e">
        <f t="shared" si="599">INDEX(BZ$8:BZ$152,MATCH($CX140,$CV$8:$CV$152,0))</f>
        <v>#N/A</v>
      </c>
      <c r="DE140" s="237" t="e">
        <f t="shared" si="600">INDEX(CA$8:CA$152,MATCH($CX140,$CV$8:$CV$152,0))</f>
        <v>#N/A</v>
      </c>
      <c r="DF140" s="237" t="e">
        <f t="shared" si="601">INDEX(CB$8:CB$152,MATCH($CX140,$CV$8:$CV$152,0))</f>
        <v>#N/A</v>
      </c>
    </row>
    <row r="141" spans="1:110">
      <c r="A141" s="1219">
        <v>4</v>
      </c>
      <c r="B141" s="1513"/>
      <c r="C141" s="1220"/>
      <c r="D141" s="1220"/>
      <c r="E141" s="1220"/>
      <c r="F141" s="1220"/>
      <c r="G141" s="1220"/>
      <c r="H141" s="1220"/>
      <c r="I141" s="1478"/>
      <c r="J141" s="1221"/>
      <c r="K141" s="1222"/>
      <c r="L141" s="1223"/>
      <c r="M141" s="1224">
        <f t="shared" si="608">K141*L141</f>
        <v>0</v>
      </c>
      <c r="W141" s="1230"/>
      <c r="X141" s="1230"/>
      <c r="Y141" s="423"/>
      <c r="Z141" s="423"/>
      <c r="AM141" s="1082">
        <f t="shared" si="609">IF(M141&gt;0,1,0)</f>
        <v>0</v>
      </c>
      <c r="AN141" s="1096">
        <f>IF(AM141&gt;0,COUNTIF(AM$8:AM141,"&gt;0"),0)</f>
        <v>0</v>
      </c>
      <c r="AO141" s="1083">
        <f t="shared" si="610">B141</f>
        <v>0</v>
      </c>
      <c r="AP141" s="1084">
        <f t="shared" si="611">C141</f>
        <v>0</v>
      </c>
      <c r="AQ141" s="1085">
        <f t="shared" si="612">IF(I141&lt;&gt;"",YEAR(I141),"")</f>
        <v>0</v>
      </c>
      <c r="AR141" s="1080">
        <f t="shared" si="602">IF(E141&lt;&gt;"",E141,"")</f>
        <v>0</v>
      </c>
      <c r="AS141" s="1078">
        <f t="shared" si="603">F141</f>
        <v>0</v>
      </c>
      <c r="AT141" s="1080">
        <f t="shared" si="604">IF(H141&lt;&gt;"",H141,"")</f>
        <v>0</v>
      </c>
      <c r="AU141" s="1080">
        <f t="shared" si="613">J141</f>
        <v>0</v>
      </c>
      <c r="AV141" s="1080">
        <f t="shared" si="614">K141</f>
        <v>0</v>
      </c>
      <c r="AW141" s="1086">
        <f t="shared" si="615">M141</f>
        <v>0</v>
      </c>
      <c r="AX141" s="237">
        <f t="shared" si="637">IF(AZ141&lt;&gt;"",AX140+1,"")</f>
        <v>0</v>
      </c>
      <c r="AY141" s="1087">
        <v>133</v>
      </c>
      <c r="AZ141" s="1087">
        <f t="shared" si="564">IF(ISNA(VLOOKUP(AY141,$AN$8:$AW$148,2,False))=True,"",VLOOKUP(AY141,$AN$8:$AW$148,2,False))</f>
        <v>0</v>
      </c>
      <c r="BA141" s="1087">
        <f t="shared" si="565">IF(ISNA(VLOOKUP(AZ141,$AE$8:$AF$46,2,False))=True,"",VLOOKUP(AZ141,$AE$8:$AF$46,2,False))</f>
        <v>0</v>
      </c>
      <c r="BB141" s="1087">
        <f t="shared" si="566">IF(ISNA(VLOOKUP(AY141,$AN$8:$AW$148,4,False))=True,"",VLOOKUP(AY141,$AN$8:$AW$148,4,False))</f>
        <v>0</v>
      </c>
      <c r="BC141" s="1087">
        <f t="shared" si="567">IF(ISNA(VLOOKUP(AY141,$AN$8:$AW$148,5,False))=True,"",VLOOKUP(AY141,$AN$8:$AW$148,5,False))</f>
        <v>0</v>
      </c>
      <c r="BD141" s="1087" t="str">
        <f t="shared" si="640" ref="BD141:BD152">IF(ISNA(VLOOKUP(AY141,$AN$8:$AW$148,6,False))=True,"0",VLOOKUP(AY141,$AN$8:$AW$148,6,False))</f>
        <v>0</v>
      </c>
      <c r="BE141" s="1125">
        <f t="shared" si="568">IF(ISNA(VLOOKUP(AY141,$AN$8:$AW$148,7,False))=True,"",VLOOKUP(AY141,$AN$8:$AW$148,7,False))</f>
        <v>0</v>
      </c>
      <c r="BF141" s="1123">
        <f t="shared" si="569">IF(ISNA(VLOOKUP($AY141,$AN$8:$AW$148,8,False))=True,"",VLOOKUP($AY141,$AN$8:$AW$148,8,False))</f>
        <v>0</v>
      </c>
      <c r="BG141" s="1120">
        <f t="shared" si="570">IF(ISNA(VLOOKUP($AY141,$AN$8:$AW$148,9,False))=True,"",VLOOKUP($AY141,$AN$8:$AW$148,9,False))</f>
        <v>0</v>
      </c>
      <c r="BH141" s="1120">
        <f t="shared" si="571">IF(ISNA(VLOOKUP($AY141,$AN$8:$AW$148,10,False))=True,"",VLOOKUP($AY141,$AN$8:$AW$148,10,False))</f>
        <v>0</v>
      </c>
      <c r="BI141" s="250">
        <f t="shared" si="616">IF(AZ141&lt;&gt;"",AZ141,"")</f>
        <v>0</v>
      </c>
      <c r="BJ141" s="1098">
        <f t="shared" si="617">BI141</f>
        <v>0</v>
      </c>
      <c r="BK141" s="1115">
        <f>COUNTIFS($AZ:$AZ, AZ141,$BJ:$BJ, "&lt;"&amp;BJ141)+COUNTIFS(AZ$8:AZ141, AZ141, BJ$8:BJ141, BJ141)</f>
        <v>134</v>
      </c>
      <c r="BL141" s="1114">
        <f t="shared" si="618">BK141/100</f>
        <v>1.34</v>
      </c>
      <c r="BM141" s="1093" t="e">
        <f t="shared" si="641" ref="BM141">BI141+BL141</f>
        <v>#VALUE!</v>
      </c>
      <c r="BN141" s="1101">
        <f t="shared" si="606">IF(BA141&lt;&gt;"",BM141,"")</f>
        <v>0</v>
      </c>
      <c r="BO141" s="1118">
        <f t="shared" si="620">IF(BN141&lt;&gt;"",BN141,0)</f>
        <v>0</v>
      </c>
      <c r="BP141" s="237" t="e">
        <f t="shared" si="582">SMALL($BN$8:$BN$152,AX141)</f>
        <v>#VALUE!</v>
      </c>
      <c r="BR141" s="1102" t="e">
        <f t="shared" si="621">IF(BP141&lt;&gt;"",BR140+1,"")</f>
        <v>#VALUE!</v>
      </c>
      <c r="BS141" s="1102">
        <f t="shared" si="607">IFERROR(BP141,"")</f>
        <v>0</v>
      </c>
      <c r="BT141" s="1102">
        <f t="shared" si="622">IFERROR(CC141,"")</f>
        <v>0</v>
      </c>
      <c r="BU141" s="1098">
        <f t="shared" si="623">IFERROR(CD141,"")</f>
        <v>0</v>
      </c>
      <c r="BV141" s="1098">
        <f t="shared" si="624">IFERROR(CE141,"")</f>
        <v>0</v>
      </c>
      <c r="BW141" s="1098">
        <f t="shared" si="625">IFERROR(CF141,"")</f>
        <v>0</v>
      </c>
      <c r="BX141" s="1146">
        <f t="shared" si="626">IFERROR(CH141,"")</f>
        <v>0</v>
      </c>
      <c r="BY141" s="1098">
        <f t="shared" si="627">IFERROR(CG141,"")</f>
        <v>0</v>
      </c>
      <c r="BZ141" s="1144" t="str">
        <f t="shared" si="628">IFERROR(CI141,"-")</f>
        <v>-</v>
      </c>
      <c r="CA141" s="1107">
        <f t="shared" si="629">IFERROR(CJ141,"")</f>
        <v>0</v>
      </c>
      <c r="CB141" s="1107">
        <f t="shared" si="630">IFERROR(CK141,"")</f>
        <v>0</v>
      </c>
      <c r="CC141" s="1110" t="e">
        <f t="shared" si="583">INDEX($AZ$8:$AZ$153,MATCH(BP141,$BO$8:$BO$153,0))</f>
        <v>#VALUE!</v>
      </c>
      <c r="CD141" s="1087" t="e">
        <f t="shared" si="584">INDEX($BA$8:$BA$153,MATCH(BP141,$BO$8:$BO$153,0))</f>
        <v>#VALUE!</v>
      </c>
      <c r="CE141" s="1106" t="e">
        <f t="shared" si="585">INDEX($BB$8:$BB$153,MATCH(BP141,$BO$8:$BO$153,0))</f>
        <v>#VALUE!</v>
      </c>
      <c r="CF141" s="1106" t="e">
        <f t="shared" si="586">INDEX(BC$8:BC$153,MATCH(BP141,$BO$8:$BO$153,0))</f>
        <v>#VALUE!</v>
      </c>
      <c r="CG141" s="1118" t="e">
        <f t="shared" si="587">INDEX(BE$8:BE$153,MATCH(BP141,$BO$8:$BO$153,0))</f>
        <v>#VALUE!</v>
      </c>
      <c r="CH141" s="1106" t="e">
        <f t="shared" si="588">INDEX($BD$8:$BD$153,MATCH($BP141,$BO$8:$BO$153,0))</f>
        <v>#VALUE!</v>
      </c>
      <c r="CI141" s="1142" t="e">
        <f t="shared" si="589">INDEX($BF$8:$BF$153,MATCH(BP141,$BO$8:$BO$153,0))</f>
        <v>#VALUE!</v>
      </c>
      <c r="CJ141" s="1106" t="e">
        <f t="shared" si="590">INDEX($BG$8:$BG$153,MATCH(BP141,$BO$8:$BO$153,0))</f>
        <v>#VALUE!</v>
      </c>
      <c r="CK141" s="1106" t="e">
        <f t="shared" si="591">INDEX($BH$8:$BH$153,MATCH(BP141,$BO$8:$BO$153,0))</f>
        <v>#VALUE!</v>
      </c>
      <c r="CM141" s="1131">
        <f t="shared" si="592">COUNTIF($CH$8:$CH$228,"&lt;="&amp;CH141)</f>
        <v>145</v>
      </c>
      <c r="CN141" s="1121">
        <f t="shared" si="631">--ISNUMBER(BX141)</f>
        <v>0</v>
      </c>
      <c r="CO141" s="1121">
        <f t="shared" si="632">IF(BX141=0,1,0)</f>
        <v>0</v>
      </c>
      <c r="CP141" s="1124">
        <f>IF(ISNUMBER(BX141),CM141,IF(ISERROR(BX141),CM141,CM141+$CN$154))+$CO$154</f>
        <v>145</v>
      </c>
      <c r="CQ141" s="237">
        <f>IFERROR(INDEX($BX$8:$BX$153,MATCH(SMALL($CP$8:$CP$153,ROWS($CQ$8:CQ141)+$CO$154),$CP$8:$CP$154,0)),"")</f>
        <v>0</v>
      </c>
      <c r="CR141" s="237">
        <v>0.1</v>
      </c>
      <c r="CS141" s="1135">
        <f t="shared" si="633">CM141+CR141</f>
        <v>145.1</v>
      </c>
      <c r="CT141" s="237">
        <f>COUNTIFS($CM:$CM, CM141,$CS:$CS, "&lt;"&amp;CL)+COUNTIFS(CM$8:CM141, CM141, CS$8:CS141, CS141)</f>
        <v>134</v>
      </c>
      <c r="CU141" s="1109">
        <f t="shared" si="634">CT141/100</f>
        <v>1.34</v>
      </c>
      <c r="CV141" s="1109">
        <f t="shared" si="635">CM141+CU141</f>
        <v>146.34</v>
      </c>
      <c r="CW141" s="237" t="e">
        <f t="shared" si="593">SMALL(CV$8:CV$153,AX141)</f>
        <v>#VALUE!</v>
      </c>
      <c r="CX141" s="1109">
        <f t="shared" si="636">IFERROR(CW141,"")</f>
        <v>0</v>
      </c>
      <c r="CY141" s="237" t="e">
        <f t="shared" si="594">INDEX(BU$8:BU$152,MATCH($CX141,CV$8:CV$152,0))</f>
        <v>#N/A</v>
      </c>
      <c r="CZ141" s="237" t="e">
        <f t="shared" si="595">INDEX(BV$8:BV$152,MATCH($CX141,$CV$8:$CV$152,0))</f>
        <v>#N/A</v>
      </c>
      <c r="DA141" s="237" t="e">
        <f t="shared" si="596">INDEX(BW$8:BW$152,MATCH($CX141,$CV$8:$CV$152,0))</f>
        <v>#N/A</v>
      </c>
      <c r="DB141" s="237" t="e">
        <f t="shared" si="597">INDEX(BX$8:BX$152,MATCH($CX141,$CV$8:$CV$152,0))</f>
        <v>#N/A</v>
      </c>
      <c r="DC141" s="237" t="e">
        <f t="shared" si="598">INDEX(BY$8:BY$152,MATCH($CX141,$CV$8:$CV$152,0))</f>
        <v>#N/A</v>
      </c>
      <c r="DD141" s="237" t="e">
        <f t="shared" si="599">INDEX(BZ$8:BZ$152,MATCH($CX141,$CV$8:$CV$152,0))</f>
        <v>#N/A</v>
      </c>
      <c r="DE141" s="237" t="e">
        <f t="shared" si="600">INDEX(CA$8:CA$152,MATCH($CX141,$CV$8:$CV$152,0))</f>
        <v>#N/A</v>
      </c>
      <c r="DF141" s="237" t="e">
        <f t="shared" si="601">INDEX(CB$8:CB$152,MATCH($CX141,$CV$8:$CV$152,0))</f>
        <v>#N/A</v>
      </c>
    </row>
    <row r="142" spans="1:110">
      <c r="A142" s="1219">
        <v>5</v>
      </c>
      <c r="B142" s="1513"/>
      <c r="C142" s="1220"/>
      <c r="D142" s="1220"/>
      <c r="E142" s="1220"/>
      <c r="F142" s="1220"/>
      <c r="G142" s="1220"/>
      <c r="H142" s="1220"/>
      <c r="I142" s="1478"/>
      <c r="J142" s="1221"/>
      <c r="K142" s="1222"/>
      <c r="L142" s="1223"/>
      <c r="M142" s="1224">
        <f t="shared" si="642" ref="M142:M147">K142*L142</f>
        <v>0</v>
      </c>
      <c r="AM142" s="1077">
        <f t="shared" si="643" ref="AM142:AM147">IF(M142&gt;0,1,0)</f>
        <v>0</v>
      </c>
      <c r="AN142" s="1096">
        <f>IF(AM142&gt;0,COUNTIF(AM$8:AM142,"&gt;0"),0)</f>
        <v>0</v>
      </c>
      <c r="AO142" s="1078">
        <f t="shared" si="644" ref="AO142:AO147">B142</f>
        <v>0</v>
      </c>
      <c r="AP142" s="1079">
        <f t="shared" si="645" ref="AP142:AP147">C142</f>
        <v>0</v>
      </c>
      <c r="AQ142" s="1080">
        <f t="shared" si="646" ref="AQ142:AQ147">IF(I142&lt;&gt;"",YEAR(I142),"")</f>
        <v>0</v>
      </c>
      <c r="AR142" s="1080">
        <f t="shared" si="647" ref="AR142:AR147">IF(E142&lt;&gt;"",E142,"")</f>
        <v>0</v>
      </c>
      <c r="AS142" s="1078">
        <f t="shared" si="648" ref="AS142:AS147">F142</f>
        <v>0</v>
      </c>
      <c r="AT142" s="1080">
        <f t="shared" si="649" ref="AT142:AT147">IF(H142&lt;&gt;"",H142,"")</f>
        <v>0</v>
      </c>
      <c r="AU142" s="1080">
        <f t="shared" si="650" ref="AU142:AU147">J142</f>
        <v>0</v>
      </c>
      <c r="AV142" s="1080">
        <f t="shared" si="651" ref="AV142:AV147">K142</f>
        <v>0</v>
      </c>
      <c r="AW142" s="1081">
        <f t="shared" si="652" ref="AW142:AW147">M142</f>
        <v>0</v>
      </c>
      <c r="AX142" s="237">
        <f>IF(AZ142&lt;&gt;"",AX135+1,"")</f>
        <v>0</v>
      </c>
      <c r="AY142" s="1087">
        <v>134</v>
      </c>
      <c r="AZ142" s="1087">
        <f t="shared" si="653" ref="AZ142:AZ147">IF(ISNA(VLOOKUP(AY142,$AN$8:$AW$148,2,False))=True,"",VLOOKUP(AY142,$AN$8:$AW$148,2,False))</f>
        <v>0</v>
      </c>
      <c r="BA142" s="1087">
        <f t="shared" si="654" ref="BA142:BA147">IF(ISNA(VLOOKUP(AZ142,$AE$8:$AF$46,2,False))=True,"",VLOOKUP(AZ142,$AE$8:$AF$46,2,False))</f>
        <v>0</v>
      </c>
      <c r="BB142" s="1087">
        <f t="shared" si="655" ref="BB142:BB147">IF(ISNA(VLOOKUP(AY142,$AN$8:$AW$148,4,False))=True,"",VLOOKUP(AY142,$AN$8:$AW$148,4,False))</f>
        <v>0</v>
      </c>
      <c r="BC142" s="1087">
        <f t="shared" si="656" ref="BC142:BC147">IF(ISNA(VLOOKUP(AY142,$AN$8:$AW$148,5,False))=True,"",VLOOKUP(AY142,$AN$8:$AW$148,5,False))</f>
        <v>0</v>
      </c>
      <c r="BD142" s="1087" t="str">
        <f t="shared" si="657" ref="BD142:BD147">IF(ISNA(VLOOKUP(AY142,$AN$8:$AW$148,6,False))=True,"0",VLOOKUP(AY142,$AN$8:$AW$148,6,False))</f>
        <v>0</v>
      </c>
      <c r="BE142" s="1125">
        <f t="shared" si="658" ref="BE142:BE147">IF(ISNA(VLOOKUP(AY142,$AN$8:$AW$148,7,False))=True,"",VLOOKUP(AY142,$AN$8:$AW$148,7,False))</f>
        <v>0</v>
      </c>
      <c r="BF142" s="1123">
        <f t="shared" si="569">IF(ISNA(VLOOKUP($AY142,$AN$8:$AW$148,8,False))=True,"",VLOOKUP($AY142,$AN$8:$AW$148,8,False))</f>
        <v>0</v>
      </c>
      <c r="BG142" s="1120">
        <f t="shared" si="570">IF(ISNA(VLOOKUP($AY142,$AN$8:$AW$148,9,False))=True,"",VLOOKUP($AY142,$AN$8:$AW$148,9,False))</f>
        <v>0</v>
      </c>
      <c r="BH142" s="1120">
        <f t="shared" si="571">IF(ISNA(VLOOKUP($AY142,$AN$8:$AW$148,10,False))=True,"",VLOOKUP($AY142,$AN$8:$AW$148,10,False))</f>
        <v>0</v>
      </c>
      <c r="BI142" s="250">
        <f t="shared" si="659" ref="BI142:BI147">IF(AZ142&lt;&gt;"",AZ142,"")</f>
        <v>0</v>
      </c>
      <c r="BJ142" s="1098">
        <f t="shared" si="660" ref="BJ142:BJ147">BI142</f>
        <v>0</v>
      </c>
      <c r="BK142" s="1115">
        <f>COUNTIFS($AZ:$AZ, AZ142,$BJ:$BJ, "&lt;"&amp;BJ142)+COUNTIFS(AZ$8:AZ142, AZ142, BJ$8:BJ142, BJ142)</f>
        <v>135</v>
      </c>
      <c r="BL142" s="1114">
        <f t="shared" si="661" ref="BL142:BL147">BK142/100</f>
        <v>1.35</v>
      </c>
      <c r="BM142" s="1093" t="e">
        <f t="shared" si="662" ref="BM142">BJ142+BL142</f>
        <v>#VALUE!</v>
      </c>
      <c r="BN142" s="1101">
        <f t="shared" si="663" ref="BN142:BN147">IF(BA142&lt;&gt;"",BM142,"")</f>
        <v>0</v>
      </c>
      <c r="BO142" s="1118">
        <f t="shared" si="664" ref="BO142:BO147">IF(BN142&lt;&gt;"",BN142,0)</f>
        <v>0</v>
      </c>
      <c r="BP142" s="237" t="e">
        <f t="shared" si="582">SMALL($BN$8:$BN$152,AX142)</f>
        <v>#VALUE!</v>
      </c>
      <c r="BR142" s="1102" t="e">
        <f>IF(BP142&lt;&gt;"",BR135+1,"")</f>
        <v>#VALUE!</v>
      </c>
      <c r="BS142" s="1102">
        <f t="shared" si="665" ref="BS142:BS147">IFERROR(BP142,"")</f>
        <v>0</v>
      </c>
      <c r="BT142" s="1102">
        <f t="shared" si="666" ref="BT142:BT147">IFERROR(CC142,"")</f>
        <v>0</v>
      </c>
      <c r="BU142" s="1098">
        <f t="shared" si="667" ref="BU142:BU147">IFERROR(CD142,"")</f>
        <v>0</v>
      </c>
      <c r="BV142" s="1098">
        <f t="shared" si="668" ref="BV142:BV147">IFERROR(CE142,"")</f>
        <v>0</v>
      </c>
      <c r="BW142" s="1098">
        <f t="shared" si="669" ref="BW142:BW147">IFERROR(CF142,"")</f>
        <v>0</v>
      </c>
      <c r="BX142" s="1146">
        <f t="shared" si="670" ref="BX142:BX147">IFERROR(CH142,"")</f>
        <v>0</v>
      </c>
      <c r="BY142" s="1098">
        <f t="shared" si="671" ref="BY142:BY147">IFERROR(CG142,"")</f>
        <v>0</v>
      </c>
      <c r="BZ142" s="1144" t="str">
        <f t="shared" si="672" ref="BZ142:BZ147">IFERROR(CI142,"-")</f>
        <v>-</v>
      </c>
      <c r="CA142" s="1107">
        <f t="shared" si="673" ref="CA142:CA147">IFERROR(CJ142,"")</f>
        <v>0</v>
      </c>
      <c r="CB142" s="1107">
        <f t="shared" si="674" ref="CB142:CB147">IFERROR(CK142,"")</f>
        <v>0</v>
      </c>
      <c r="CC142" s="1110" t="e">
        <f t="shared" si="583">INDEX($AZ$8:$AZ$153,MATCH(BP142,$BO$8:$BO$153,0))</f>
        <v>#VALUE!</v>
      </c>
      <c r="CD142" s="1087" t="e">
        <f t="shared" si="584">INDEX($BA$8:$BA$153,MATCH(BP142,$BO$8:$BO$153,0))</f>
        <v>#VALUE!</v>
      </c>
      <c r="CE142" s="1106" t="e">
        <f t="shared" si="585">INDEX($BB$8:$BB$153,MATCH(BP142,$BO$8:$BO$153,0))</f>
        <v>#VALUE!</v>
      </c>
      <c r="CF142" s="1106" t="e">
        <f t="shared" si="586">INDEX(BC$8:BC$153,MATCH(BP142,$BO$8:$BO$153,0))</f>
        <v>#VALUE!</v>
      </c>
      <c r="CG142" s="1118" t="e">
        <f t="shared" si="587">INDEX(BE$8:BE$153,MATCH(BP142,$BO$8:$BO$153,0))</f>
        <v>#VALUE!</v>
      </c>
      <c r="CH142" s="1106" t="e">
        <f t="shared" si="588">INDEX($BD$8:$BD$153,MATCH($BP142,$BO$8:$BO$153,0))</f>
        <v>#VALUE!</v>
      </c>
      <c r="CI142" s="1142" t="e">
        <f t="shared" si="589">INDEX($BF$8:$BF$153,MATCH(BP142,$BO$8:$BO$153,0))</f>
        <v>#VALUE!</v>
      </c>
      <c r="CJ142" s="1106" t="e">
        <f t="shared" si="590">INDEX($BG$8:$BG$153,MATCH(BP142,$BO$8:$BO$153,0))</f>
        <v>#VALUE!</v>
      </c>
      <c r="CK142" s="1106" t="e">
        <f t="shared" si="591">INDEX($BH$8:$BH$153,MATCH(BP142,$BO$8:$BO$153,0))</f>
        <v>#VALUE!</v>
      </c>
      <c r="CM142" s="1131">
        <f t="shared" si="592">COUNTIF($CH$8:$CH$228,"&lt;="&amp;CH142)</f>
        <v>145</v>
      </c>
      <c r="CN142" s="1121">
        <f t="shared" si="675" ref="CN142:CN147">--ISNUMBER(BX142)</f>
        <v>0</v>
      </c>
      <c r="CO142" s="1121">
        <f t="shared" si="676" ref="CO142:CO147">IF(BX142=0,1,0)</f>
        <v>0</v>
      </c>
      <c r="CP142" s="1124">
        <f t="shared" si="677" ref="CP142:CP147">IF(ISNUMBER(BX142),CM142,IF(ISERROR(BX142),CM142,CM142+$CN$154))+$CO$154</f>
        <v>145</v>
      </c>
      <c r="CQ142" s="237">
        <f>IFERROR(INDEX($BX$8:$BX$153,MATCH(SMALL($CP$8:$CP$153,ROWS($CQ$8:CQ142)+$CO$154),$CP$8:$CP$154,0)),"")</f>
        <v>0</v>
      </c>
      <c r="CR142" s="237">
        <v>0.1</v>
      </c>
      <c r="CS142" s="1135">
        <f t="shared" si="678" ref="CS142:CS147">CM142+CR142</f>
        <v>145.1</v>
      </c>
      <c r="CT142" s="237">
        <f>COUNTIFS($CM:$CM, CM142,$CS:$CS, "&lt;"&amp;CL)+COUNTIFS(CM$8:CM142, CM142, CS$8:CS142, CS142)</f>
        <v>135</v>
      </c>
      <c r="CU142" s="1109">
        <f t="shared" si="679" ref="CU142:CU147">CT142/100</f>
        <v>1.35</v>
      </c>
      <c r="CV142" s="1109">
        <f t="shared" si="680" ref="CV142:CV147">CM142+CU142</f>
        <v>146.35</v>
      </c>
      <c r="CW142" s="237" t="e">
        <f t="shared" si="593">SMALL(CV$8:CV$153,AX142)</f>
        <v>#VALUE!</v>
      </c>
      <c r="CX142" s="1109">
        <f t="shared" si="681" ref="CX142:CX147">IFERROR(CW142,"")</f>
        <v>0</v>
      </c>
      <c r="CY142" s="237" t="e">
        <f t="shared" si="594">INDEX(BU$8:BU$152,MATCH($CX142,CV$8:CV$152,0))</f>
        <v>#N/A</v>
      </c>
      <c r="CZ142" s="237" t="e">
        <f t="shared" si="595">INDEX(BV$8:BV$152,MATCH($CX142,$CV$8:$CV$152,0))</f>
        <v>#N/A</v>
      </c>
      <c r="DA142" s="237" t="e">
        <f t="shared" si="596">INDEX(BW$8:BW$152,MATCH($CX142,$CV$8:$CV$152,0))</f>
        <v>#N/A</v>
      </c>
      <c r="DB142" s="237" t="e">
        <f t="shared" si="597">INDEX(BX$8:BX$152,MATCH($CX142,$CV$8:$CV$152,0))</f>
        <v>#N/A</v>
      </c>
      <c r="DC142" s="237" t="e">
        <f t="shared" si="598">INDEX(BY$8:BY$152,MATCH($CX142,$CV$8:$CV$152,0))</f>
        <v>#N/A</v>
      </c>
      <c r="DD142" s="237" t="e">
        <f t="shared" si="599">INDEX(BZ$8:BZ$152,MATCH($CX142,$CV$8:$CV$152,0))</f>
        <v>#N/A</v>
      </c>
      <c r="DE142" s="237" t="e">
        <f t="shared" si="600">INDEX(CA$8:CA$152,MATCH($CX142,$CV$8:$CV$152,0))</f>
        <v>#N/A</v>
      </c>
      <c r="DF142" s="237" t="e">
        <f t="shared" si="601">INDEX(CB$8:CB$152,MATCH($CX142,$CV$8:$CV$152,0))</f>
        <v>#N/A</v>
      </c>
    </row>
    <row r="143" spans="1:110">
      <c r="A143" s="1219">
        <v>6</v>
      </c>
      <c r="B143" s="1513"/>
      <c r="C143" s="1220"/>
      <c r="D143" s="1220"/>
      <c r="E143" s="1220"/>
      <c r="F143" s="1220"/>
      <c r="G143" s="1220"/>
      <c r="H143" s="1220"/>
      <c r="I143" s="1478"/>
      <c r="J143" s="1221"/>
      <c r="K143" s="1222"/>
      <c r="L143" s="1223"/>
      <c r="M143" s="1224">
        <f t="shared" si="642">K143*L143</f>
        <v>0</v>
      </c>
      <c r="AM143" s="1077">
        <f t="shared" si="643">IF(M143&gt;0,1,0)</f>
        <v>0</v>
      </c>
      <c r="AN143" s="1096">
        <f>IF(K143&gt;0,COUNTIF(AM$8:AM143,"&gt;0"),0)</f>
        <v>0</v>
      </c>
      <c r="AO143" s="1078">
        <f t="shared" si="644">B143</f>
        <v>0</v>
      </c>
      <c r="AP143" s="1079">
        <f t="shared" si="645">C143</f>
        <v>0</v>
      </c>
      <c r="AQ143" s="1080">
        <f t="shared" si="646">IF(I143&lt;&gt;"",YEAR(I143),"")</f>
        <v>0</v>
      </c>
      <c r="AR143" s="1080">
        <f t="shared" si="647">IF(E143&lt;&gt;"",E143,"")</f>
        <v>0</v>
      </c>
      <c r="AS143" s="1078">
        <f t="shared" si="648">F143</f>
        <v>0</v>
      </c>
      <c r="AT143" s="1080">
        <f t="shared" si="649">IF(H143&lt;&gt;"",H143,"")</f>
        <v>0</v>
      </c>
      <c r="AU143" s="1080">
        <f t="shared" si="650">J143</f>
        <v>0</v>
      </c>
      <c r="AV143" s="1080">
        <f t="shared" si="651">K143</f>
        <v>0</v>
      </c>
      <c r="AW143" s="1081">
        <f t="shared" si="652">M143</f>
        <v>0</v>
      </c>
      <c r="AX143" s="237">
        <f t="shared" si="682" ref="AX143:AX147">IF(AZ143&lt;&gt;"",AX142+1,"")</f>
        <v>0</v>
      </c>
      <c r="AY143" s="1087">
        <v>135</v>
      </c>
      <c r="AZ143" s="1087">
        <f t="shared" si="653">IF(ISNA(VLOOKUP(AY143,$AN$8:$AW$148,2,False))=True,"",VLOOKUP(AY143,$AN$8:$AW$148,2,False))</f>
        <v>0</v>
      </c>
      <c r="BA143" s="1087">
        <f t="shared" si="654">IF(ISNA(VLOOKUP(AZ143,$AE$8:$AF$46,2,False))=True,"",VLOOKUP(AZ143,$AE$8:$AF$46,2,False))</f>
        <v>0</v>
      </c>
      <c r="BB143" s="1087">
        <f t="shared" si="655">IF(ISNA(VLOOKUP(AY143,$AN$8:$AW$148,4,False))=True,"",VLOOKUP(AY143,$AN$8:$AW$148,4,False))</f>
        <v>0</v>
      </c>
      <c r="BC143" s="1087">
        <f t="shared" si="656">IF(ISNA(VLOOKUP(AY143,$AN$8:$AW$148,5,False))=True,"",VLOOKUP(AY143,$AN$8:$AW$148,5,False))</f>
        <v>0</v>
      </c>
      <c r="BD143" s="1087" t="str">
        <f t="shared" si="657">IF(ISNA(VLOOKUP(AY143,$AN$8:$AW$148,6,False))=True,"0",VLOOKUP(AY143,$AN$8:$AW$148,6,False))</f>
        <v>0</v>
      </c>
      <c r="BE143" s="1125">
        <f t="shared" si="658">IF(ISNA(VLOOKUP(AY143,$AN$8:$AW$148,7,False))=True,"",VLOOKUP(AY143,$AN$8:$AW$148,7,False))</f>
        <v>0</v>
      </c>
      <c r="BF143" s="1123">
        <f t="shared" si="569">IF(ISNA(VLOOKUP($AY143,$AN$8:$AW$148,8,False))=True,"",VLOOKUP($AY143,$AN$8:$AW$148,8,False))</f>
        <v>0</v>
      </c>
      <c r="BG143" s="1120">
        <f t="shared" si="570">IF(ISNA(VLOOKUP($AY143,$AN$8:$AW$148,9,False))=True,"",VLOOKUP($AY143,$AN$8:$AW$148,9,False))</f>
        <v>0</v>
      </c>
      <c r="BH143" s="1120">
        <f t="shared" si="571">IF(ISNA(VLOOKUP($AY143,$AN$8:$AW$148,10,False))=True,"",VLOOKUP($AY143,$AN$8:$AW$148,10,False))</f>
        <v>0</v>
      </c>
      <c r="BI143" s="250">
        <f t="shared" si="659">IF(AZ143&lt;&gt;"",AZ143,"")</f>
        <v>0</v>
      </c>
      <c r="BJ143" s="1098">
        <f t="shared" si="660">BI143</f>
        <v>0</v>
      </c>
      <c r="BK143" s="1115">
        <f>COUNTIFS($AZ:$AZ, AZ143,$BJ:$BJ, "&lt;"&amp;BJ143)+COUNTIFS(AZ$8:AZ143, AZ143, BJ$8:BJ143, BJ143)</f>
        <v>136</v>
      </c>
      <c r="BL143" s="1114">
        <f t="shared" si="661">BK143/100</f>
        <v>1.36</v>
      </c>
      <c r="BM143" s="1093" t="e">
        <f t="shared" si="683" ref="BM143">BI143+BL143</f>
        <v>#VALUE!</v>
      </c>
      <c r="BN143" s="1101">
        <f t="shared" si="663">IF(BA143&lt;&gt;"",BM143,"")</f>
        <v>0</v>
      </c>
      <c r="BO143" s="1118">
        <f t="shared" si="664">IF(BN143&lt;&gt;"",BN143,0)</f>
        <v>0</v>
      </c>
      <c r="BP143" s="237" t="e">
        <f t="shared" si="582">SMALL($BN$8:$BN$152,AX143)</f>
        <v>#VALUE!</v>
      </c>
      <c r="BR143" s="1102" t="e">
        <f t="shared" si="684" ref="BR143:BR147">IF(BP143&lt;&gt;"",BR142+1,"")</f>
        <v>#VALUE!</v>
      </c>
      <c r="BS143" s="1102">
        <f t="shared" si="665">IFERROR(BP143,"")</f>
        <v>0</v>
      </c>
      <c r="BT143" s="1102">
        <f t="shared" si="666">IFERROR(CC143,"")</f>
        <v>0</v>
      </c>
      <c r="BU143" s="1098">
        <f t="shared" si="667">IFERROR(CD143,"")</f>
        <v>0</v>
      </c>
      <c r="BV143" s="1098">
        <f t="shared" si="668">IFERROR(CE143,"")</f>
        <v>0</v>
      </c>
      <c r="BW143" s="1098">
        <f t="shared" si="669">IFERROR(CF143,"")</f>
        <v>0</v>
      </c>
      <c r="BX143" s="1146">
        <f t="shared" si="670">IFERROR(CH143,"")</f>
        <v>0</v>
      </c>
      <c r="BY143" s="1098">
        <f t="shared" si="671">IFERROR(CG143,"")</f>
        <v>0</v>
      </c>
      <c r="BZ143" s="1144" t="str">
        <f t="shared" si="672">IFERROR(CI143,"-")</f>
        <v>-</v>
      </c>
      <c r="CA143" s="1107">
        <f t="shared" si="673">IFERROR(CJ143,"")</f>
        <v>0</v>
      </c>
      <c r="CB143" s="1107">
        <f t="shared" si="674">IFERROR(CK143,"")</f>
        <v>0</v>
      </c>
      <c r="CC143" s="1110" t="e">
        <f t="shared" si="583">INDEX($AZ$8:$AZ$153,MATCH(BP143,$BO$8:$BO$153,0))</f>
        <v>#VALUE!</v>
      </c>
      <c r="CD143" s="1087" t="e">
        <f t="shared" si="584">INDEX($BA$8:$BA$153,MATCH(BP143,$BO$8:$BO$153,0))</f>
        <v>#VALUE!</v>
      </c>
      <c r="CE143" s="1106" t="e">
        <f t="shared" si="585">INDEX($BB$8:$BB$153,MATCH(BP143,$BO$8:$BO$153,0))</f>
        <v>#VALUE!</v>
      </c>
      <c r="CF143" s="1106" t="e">
        <f t="shared" si="586">INDEX(BC$8:BC$153,MATCH(BP143,$BO$8:$BO$153,0))</f>
        <v>#VALUE!</v>
      </c>
      <c r="CG143" s="1118" t="e">
        <f t="shared" si="587">INDEX(BE$8:BE$153,MATCH(BP143,$BO$8:$BO$153,0))</f>
        <v>#VALUE!</v>
      </c>
      <c r="CH143" s="1106" t="e">
        <f t="shared" si="588">INDEX($BD$8:$BD$153,MATCH($BP143,$BO$8:$BO$153,0))</f>
        <v>#VALUE!</v>
      </c>
      <c r="CI143" s="1142" t="e">
        <f t="shared" si="589">INDEX($BF$8:$BF$153,MATCH(BP143,$BO$8:$BO$153,0))</f>
        <v>#VALUE!</v>
      </c>
      <c r="CJ143" s="1106" t="e">
        <f t="shared" si="590">INDEX($BG$8:$BG$153,MATCH(BP143,$BO$8:$BO$153,0))</f>
        <v>#VALUE!</v>
      </c>
      <c r="CK143" s="1106" t="e">
        <f t="shared" si="591">INDEX($BH$8:$BH$153,MATCH(BP143,$BO$8:$BO$153,0))</f>
        <v>#VALUE!</v>
      </c>
      <c r="CM143" s="1131">
        <f t="shared" si="592">COUNTIF($CH$8:$CH$228,"&lt;="&amp;CH143)</f>
        <v>145</v>
      </c>
      <c r="CN143" s="1121">
        <f t="shared" si="675">--ISNUMBER(BX143)</f>
        <v>0</v>
      </c>
      <c r="CO143" s="1121">
        <f t="shared" si="676">IF(BX143=0,1,0)</f>
        <v>0</v>
      </c>
      <c r="CP143" s="1124">
        <f t="shared" si="677">IF(ISNUMBER(BX143),CM143,IF(ISERROR(BX143),CM143,CM143+$CN$154))+$CO$154</f>
        <v>145</v>
      </c>
      <c r="CQ143" s="237">
        <f>IFERROR(INDEX($BX$8:$BX$153,MATCH(SMALL($CP$8:$CP$153,ROWS($CQ$8:CQ143)+$CO$154),$CP$8:$CP$154,0)),"")</f>
        <v>0</v>
      </c>
      <c r="CR143" s="237">
        <v>0.1</v>
      </c>
      <c r="CS143" s="1135">
        <f t="shared" si="678">CM143+CR143</f>
        <v>145.1</v>
      </c>
      <c r="CT143" s="237">
        <f>COUNTIFS($CM:$CM, CM143,$CS:$CS, "&lt;"&amp;CL)+COUNTIFS(CM$8:CM143, CM143, CS$8:CS143, CS143)</f>
        <v>136</v>
      </c>
      <c r="CU143" s="1109">
        <f t="shared" si="679">CT143/100</f>
        <v>1.36</v>
      </c>
      <c r="CV143" s="1109">
        <f t="shared" si="680">CM143+CU143</f>
        <v>146.36</v>
      </c>
      <c r="CW143" s="237" t="e">
        <f t="shared" si="593">SMALL(CV$8:CV$153,AX143)</f>
        <v>#VALUE!</v>
      </c>
      <c r="CX143" s="1109">
        <f t="shared" si="681">IFERROR(CW143,"")</f>
        <v>0</v>
      </c>
      <c r="CY143" s="237" t="e">
        <f t="shared" si="594">INDEX(BU$8:BU$152,MATCH($CX143,CV$8:CV$152,0))</f>
        <v>#N/A</v>
      </c>
      <c r="CZ143" s="237" t="e">
        <f t="shared" si="595">INDEX(BV$8:BV$152,MATCH($CX143,$CV$8:$CV$152,0))</f>
        <v>#N/A</v>
      </c>
      <c r="DA143" s="237" t="e">
        <f t="shared" si="596">INDEX(BW$8:BW$152,MATCH($CX143,$CV$8:$CV$152,0))</f>
        <v>#N/A</v>
      </c>
      <c r="DB143" s="237" t="e">
        <f t="shared" si="597">INDEX(BX$8:BX$152,MATCH($CX143,$CV$8:$CV$152,0))</f>
        <v>#N/A</v>
      </c>
      <c r="DC143" s="237" t="e">
        <f t="shared" si="598">INDEX(BY$8:BY$152,MATCH($CX143,$CV$8:$CV$152,0))</f>
        <v>#N/A</v>
      </c>
      <c r="DD143" s="237" t="e">
        <f t="shared" si="599">INDEX(BZ$8:BZ$152,MATCH($CX143,$CV$8:$CV$152,0))</f>
        <v>#N/A</v>
      </c>
      <c r="DE143" s="237" t="e">
        <f t="shared" si="600">INDEX(CA$8:CA$152,MATCH($CX143,$CV$8:$CV$152,0))</f>
        <v>#N/A</v>
      </c>
      <c r="DF143" s="237" t="e">
        <f t="shared" si="601">INDEX(CB$8:CB$152,MATCH($CX143,$CV$8:$CV$152,0))</f>
        <v>#N/A</v>
      </c>
    </row>
    <row r="144" spans="1:110">
      <c r="A144" s="1219">
        <v>7</v>
      </c>
      <c r="B144" s="1513"/>
      <c r="C144" s="1220"/>
      <c r="D144" s="1220"/>
      <c r="E144" s="1220"/>
      <c r="F144" s="1220"/>
      <c r="G144" s="1220"/>
      <c r="H144" s="1220"/>
      <c r="I144" s="1478"/>
      <c r="J144" s="1221"/>
      <c r="K144" s="1222"/>
      <c r="L144" s="1223"/>
      <c r="M144" s="1224">
        <f t="shared" si="642">K144*L144</f>
        <v>0</v>
      </c>
      <c r="AM144" s="1082">
        <f t="shared" si="643">IF(M144&gt;0,1,0)</f>
        <v>0</v>
      </c>
      <c r="AN144" s="1096">
        <f>IF(AM144&gt;0,COUNTIF(AM$8:AM144,"&gt;0"),0)</f>
        <v>0</v>
      </c>
      <c r="AO144" s="1083">
        <f t="shared" si="644">B144</f>
        <v>0</v>
      </c>
      <c r="AP144" s="1084">
        <f t="shared" si="645">C144</f>
        <v>0</v>
      </c>
      <c r="AQ144" s="1085">
        <f t="shared" si="646">IF(I144&lt;&gt;"",YEAR(I144),"")</f>
        <v>0</v>
      </c>
      <c r="AR144" s="1080">
        <f t="shared" si="647">IF(E144&lt;&gt;"",E144,"")</f>
        <v>0</v>
      </c>
      <c r="AS144" s="1078">
        <f t="shared" si="648">F144</f>
        <v>0</v>
      </c>
      <c r="AT144" s="1080">
        <f t="shared" si="649">IF(H144&lt;&gt;"",H144,"")</f>
        <v>0</v>
      </c>
      <c r="AU144" s="1080">
        <f t="shared" si="650">J144</f>
        <v>0</v>
      </c>
      <c r="AV144" s="1080">
        <f t="shared" si="651">K144</f>
        <v>0</v>
      </c>
      <c r="AW144" s="1086">
        <f t="shared" si="652">M144</f>
        <v>0</v>
      </c>
      <c r="AX144" s="237">
        <f t="shared" si="682">IF(AZ144&lt;&gt;"",AX143+1,"")</f>
        <v>0</v>
      </c>
      <c r="AY144" s="1087">
        <v>136</v>
      </c>
      <c r="AZ144" s="1087">
        <f t="shared" si="653">IF(ISNA(VLOOKUP(AY144,$AN$8:$AW$148,2,False))=True,"",VLOOKUP(AY144,$AN$8:$AW$148,2,False))</f>
        <v>0</v>
      </c>
      <c r="BA144" s="1087">
        <f t="shared" si="654">IF(ISNA(VLOOKUP(AZ144,$AE$8:$AF$46,2,False))=True,"",VLOOKUP(AZ144,$AE$8:$AF$46,2,False))</f>
        <v>0</v>
      </c>
      <c r="BB144" s="1087">
        <f t="shared" si="655">IF(ISNA(VLOOKUP(AY144,$AN$8:$AW$148,4,False))=True,"",VLOOKUP(AY144,$AN$8:$AW$148,4,False))</f>
        <v>0</v>
      </c>
      <c r="BC144" s="1087">
        <f t="shared" si="656">IF(ISNA(VLOOKUP(AY144,$AN$8:$AW$148,5,False))=True,"",VLOOKUP(AY144,$AN$8:$AW$148,5,False))</f>
        <v>0</v>
      </c>
      <c r="BD144" s="1087" t="str">
        <f t="shared" si="657">IF(ISNA(VLOOKUP(AY144,$AN$8:$AW$148,6,False))=True,"0",VLOOKUP(AY144,$AN$8:$AW$148,6,False))</f>
        <v>0</v>
      </c>
      <c r="BE144" s="1125">
        <f t="shared" si="658">IF(ISNA(VLOOKUP(AY144,$AN$8:$AW$148,7,False))=True,"",VLOOKUP(AY144,$AN$8:$AW$148,7,False))</f>
        <v>0</v>
      </c>
      <c r="BF144" s="1123">
        <f t="shared" si="569">IF(ISNA(VLOOKUP($AY144,$AN$8:$AW$148,8,False))=True,"",VLOOKUP($AY144,$AN$8:$AW$148,8,False))</f>
        <v>0</v>
      </c>
      <c r="BG144" s="1120">
        <f t="shared" si="570">IF(ISNA(VLOOKUP($AY144,$AN$8:$AW$148,9,False))=True,"",VLOOKUP($AY144,$AN$8:$AW$148,9,False))</f>
        <v>0</v>
      </c>
      <c r="BH144" s="1120">
        <f t="shared" si="571">IF(ISNA(VLOOKUP($AY144,$AN$8:$AW$148,10,False))=True,"",VLOOKUP($AY144,$AN$8:$AW$148,10,False))</f>
        <v>0</v>
      </c>
      <c r="BI144" s="250">
        <f t="shared" si="659">IF(AZ144&lt;&gt;"",AZ144,"")</f>
        <v>0</v>
      </c>
      <c r="BJ144" s="1098">
        <f t="shared" si="660">BI144</f>
        <v>0</v>
      </c>
      <c r="BK144" s="1115">
        <f>COUNTIFS($AZ:$AZ, AZ144,$BJ:$BJ, "&lt;"&amp;BJ144)+COUNTIFS(AZ$8:AZ144, AZ144, BJ$8:BJ144, BJ144)</f>
        <v>137</v>
      </c>
      <c r="BL144" s="1114">
        <f t="shared" si="661">BK144/100</f>
        <v>1.37</v>
      </c>
      <c r="BM144" s="1093" t="e">
        <f t="shared" si="685" ref="BM144">BJ144+BL144</f>
        <v>#VALUE!</v>
      </c>
      <c r="BN144" s="1101">
        <f t="shared" si="663">IF(BA144&lt;&gt;"",BM144,"")</f>
        <v>0</v>
      </c>
      <c r="BO144" s="1118">
        <f t="shared" si="664">IF(BN144&lt;&gt;"",BN144,0)</f>
        <v>0</v>
      </c>
      <c r="BP144" s="237" t="e">
        <f t="shared" si="582">SMALL($BN$8:$BN$152,AX144)</f>
        <v>#VALUE!</v>
      </c>
      <c r="BR144" s="1102" t="e">
        <f t="shared" si="684">IF(BP144&lt;&gt;"",BR143+1,"")</f>
        <v>#VALUE!</v>
      </c>
      <c r="BS144" s="1102">
        <f t="shared" si="665">IFERROR(BP144,"")</f>
        <v>0</v>
      </c>
      <c r="BT144" s="1102">
        <f t="shared" si="666">IFERROR(CC144,"")</f>
        <v>0</v>
      </c>
      <c r="BU144" s="1098">
        <f t="shared" si="667">IFERROR(CD144,"")</f>
        <v>0</v>
      </c>
      <c r="BV144" s="1098">
        <f t="shared" si="668">IFERROR(CE144,"")</f>
        <v>0</v>
      </c>
      <c r="BW144" s="1098">
        <f t="shared" si="669">IFERROR(CF144,"")</f>
        <v>0</v>
      </c>
      <c r="BX144" s="1146">
        <f t="shared" si="670">IFERROR(CH144,"")</f>
        <v>0</v>
      </c>
      <c r="BY144" s="1098">
        <f t="shared" si="671">IFERROR(CG144,"")</f>
        <v>0</v>
      </c>
      <c r="BZ144" s="1144" t="str">
        <f t="shared" si="672">IFERROR(CI144,"-")</f>
        <v>-</v>
      </c>
      <c r="CA144" s="1107">
        <f t="shared" si="673">IFERROR(CJ144,"")</f>
        <v>0</v>
      </c>
      <c r="CB144" s="1107">
        <f t="shared" si="674">IFERROR(CK144,"")</f>
        <v>0</v>
      </c>
      <c r="CC144" s="1110" t="e">
        <f t="shared" si="583">INDEX($AZ$8:$AZ$153,MATCH(BP144,$BO$8:$BO$153,0))</f>
        <v>#VALUE!</v>
      </c>
      <c r="CD144" s="1087" t="e">
        <f t="shared" si="584">INDEX($BA$8:$BA$153,MATCH(BP144,$BO$8:$BO$153,0))</f>
        <v>#VALUE!</v>
      </c>
      <c r="CE144" s="1106" t="e">
        <f t="shared" si="585">INDEX($BB$8:$BB$153,MATCH(BP144,$BO$8:$BO$153,0))</f>
        <v>#VALUE!</v>
      </c>
      <c r="CF144" s="1106" t="e">
        <f t="shared" si="586">INDEX(BC$8:BC$153,MATCH(BP144,$BO$8:$BO$153,0))</f>
        <v>#VALUE!</v>
      </c>
      <c r="CG144" s="1118" t="e">
        <f t="shared" si="587">INDEX(BE$8:BE$153,MATCH(BP144,$BO$8:$BO$153,0))</f>
        <v>#VALUE!</v>
      </c>
      <c r="CH144" s="1106" t="e">
        <f t="shared" si="588">INDEX($BD$8:$BD$153,MATCH($BP144,$BO$8:$BO$153,0))</f>
        <v>#VALUE!</v>
      </c>
      <c r="CI144" s="1142" t="e">
        <f t="shared" si="589">INDEX($BF$8:$BF$153,MATCH(BP144,$BO$8:$BO$153,0))</f>
        <v>#VALUE!</v>
      </c>
      <c r="CJ144" s="1106" t="e">
        <f t="shared" si="590">INDEX($BG$8:$BG$153,MATCH(BP144,$BO$8:$BO$153,0))</f>
        <v>#VALUE!</v>
      </c>
      <c r="CK144" s="1106" t="e">
        <f t="shared" si="591">INDEX($BH$8:$BH$153,MATCH(BP144,$BO$8:$BO$153,0))</f>
        <v>#VALUE!</v>
      </c>
      <c r="CM144" s="1131">
        <f t="shared" si="592">COUNTIF($CH$8:$CH$228,"&lt;="&amp;CH144)</f>
        <v>145</v>
      </c>
      <c r="CN144" s="1121">
        <f t="shared" si="675">--ISNUMBER(BX144)</f>
        <v>0</v>
      </c>
      <c r="CO144" s="1121">
        <f t="shared" si="676">IF(BX144=0,1,0)</f>
        <v>0</v>
      </c>
      <c r="CP144" s="1124">
        <f t="shared" si="677">IF(ISNUMBER(BX144),CM144,IF(ISERROR(BX144),CM144,CM144+$CN$154))+$CO$154</f>
        <v>145</v>
      </c>
      <c r="CQ144" s="237">
        <f>IFERROR(INDEX($BX$8:$BX$153,MATCH(SMALL($CP$8:$CP$153,ROWS($CQ$8:CQ144)+$CO$154),$CP$8:$CP$154,0)),"")</f>
        <v>0</v>
      </c>
      <c r="CR144" s="237">
        <v>0.1</v>
      </c>
      <c r="CS144" s="1135">
        <f t="shared" si="678">CM144+CR144</f>
        <v>145.1</v>
      </c>
      <c r="CT144" s="237">
        <f>COUNTIFS($CM:$CM, CM144,$CS:$CS, "&lt;"&amp;CL)+COUNTIFS(CM$8:CM144, CM144, CS$8:CS144, CS144)</f>
        <v>137</v>
      </c>
      <c r="CU144" s="1109">
        <f t="shared" si="679">CT144/100</f>
        <v>1.37</v>
      </c>
      <c r="CV144" s="1109">
        <f t="shared" si="680">CM144+CU144</f>
        <v>146.37</v>
      </c>
      <c r="CW144" s="237" t="e">
        <f t="shared" si="593">SMALL(CV$8:CV$153,AX144)</f>
        <v>#VALUE!</v>
      </c>
      <c r="CX144" s="1109">
        <f t="shared" si="681">IFERROR(CW144,"")</f>
        <v>0</v>
      </c>
      <c r="CY144" s="237" t="e">
        <f t="shared" si="594">INDEX(BU$8:BU$152,MATCH($CX144,CV$8:CV$152,0))</f>
        <v>#N/A</v>
      </c>
      <c r="CZ144" s="237" t="e">
        <f t="shared" si="595">INDEX(BV$8:BV$152,MATCH($CX144,$CV$8:$CV$152,0))</f>
        <v>#N/A</v>
      </c>
      <c r="DA144" s="237" t="e">
        <f t="shared" si="596">INDEX(BW$8:BW$152,MATCH($CX144,$CV$8:$CV$152,0))</f>
        <v>#N/A</v>
      </c>
      <c r="DB144" s="237" t="e">
        <f t="shared" si="597">INDEX(BX$8:BX$152,MATCH($CX144,$CV$8:$CV$152,0))</f>
        <v>#N/A</v>
      </c>
      <c r="DC144" s="237" t="e">
        <f t="shared" si="598">INDEX(BY$8:BY$152,MATCH($CX144,$CV$8:$CV$152,0))</f>
        <v>#N/A</v>
      </c>
      <c r="DD144" s="237" t="e">
        <f t="shared" si="599">INDEX(BZ$8:BZ$152,MATCH($CX144,$CV$8:$CV$152,0))</f>
        <v>#N/A</v>
      </c>
      <c r="DE144" s="237" t="e">
        <f t="shared" si="600">INDEX(CA$8:CA$152,MATCH($CX144,$CV$8:$CV$152,0))</f>
        <v>#N/A</v>
      </c>
      <c r="DF144" s="237" t="e">
        <f t="shared" si="601">INDEX(CB$8:CB$152,MATCH($CX144,$CV$8:$CV$152,0))</f>
        <v>#N/A</v>
      </c>
    </row>
    <row r="145" spans="1:110">
      <c r="A145" s="1219">
        <v>8</v>
      </c>
      <c r="B145" s="1513"/>
      <c r="C145" s="1220"/>
      <c r="D145" s="1220"/>
      <c r="E145" s="1220"/>
      <c r="F145" s="1220"/>
      <c r="G145" s="1220"/>
      <c r="H145" s="1220"/>
      <c r="I145" s="1478"/>
      <c r="J145" s="1221"/>
      <c r="K145" s="1222"/>
      <c r="L145" s="1223"/>
      <c r="M145" s="1224">
        <f t="shared" si="642">K145*L145</f>
        <v>0</v>
      </c>
      <c r="AM145" s="1077">
        <f t="shared" si="643">IF(M145&gt;0,1,0)</f>
        <v>0</v>
      </c>
      <c r="AN145" s="1096">
        <f>IF(AM145&gt;0,COUNTIF(AM$8:AM145,"&gt;0"),0)</f>
        <v>0</v>
      </c>
      <c r="AO145" s="1078">
        <f t="shared" si="644">B145</f>
        <v>0</v>
      </c>
      <c r="AP145" s="1079">
        <f t="shared" si="645">C145</f>
        <v>0</v>
      </c>
      <c r="AQ145" s="1080">
        <f t="shared" si="646">IF(I145&lt;&gt;"",YEAR(I145),"")</f>
        <v>0</v>
      </c>
      <c r="AR145" s="1080">
        <f t="shared" si="647">IF(E145&lt;&gt;"",E145,"")</f>
        <v>0</v>
      </c>
      <c r="AS145" s="1078">
        <f t="shared" si="648">F145</f>
        <v>0</v>
      </c>
      <c r="AT145" s="1080">
        <f t="shared" si="649">IF(H145&lt;&gt;"",H145,"")</f>
        <v>0</v>
      </c>
      <c r="AU145" s="1080">
        <f t="shared" si="650">J145</f>
        <v>0</v>
      </c>
      <c r="AV145" s="1080">
        <f t="shared" si="651">K145</f>
        <v>0</v>
      </c>
      <c r="AW145" s="1081">
        <f t="shared" si="652">M145</f>
        <v>0</v>
      </c>
      <c r="AX145" s="237">
        <f t="shared" si="682">IF(AZ145&lt;&gt;"",AX144+1,"")</f>
        <v>0</v>
      </c>
      <c r="AY145" s="1087">
        <v>137</v>
      </c>
      <c r="AZ145" s="1087">
        <f t="shared" si="653">IF(ISNA(VLOOKUP(AY145,$AN$8:$AW$148,2,False))=True,"",VLOOKUP(AY145,$AN$8:$AW$148,2,False))</f>
        <v>0</v>
      </c>
      <c r="BA145" s="1087">
        <f t="shared" si="654">IF(ISNA(VLOOKUP(AZ145,$AE$8:$AF$46,2,False))=True,"",VLOOKUP(AZ145,$AE$8:$AF$46,2,False))</f>
        <v>0</v>
      </c>
      <c r="BB145" s="1087">
        <f t="shared" si="655">IF(ISNA(VLOOKUP(AY145,$AN$8:$AW$148,4,False))=True,"",VLOOKUP(AY145,$AN$8:$AW$148,4,False))</f>
        <v>0</v>
      </c>
      <c r="BC145" s="1087">
        <f t="shared" si="656">IF(ISNA(VLOOKUP(AY145,$AN$8:$AW$148,5,False))=True,"",VLOOKUP(AY145,$AN$8:$AW$148,5,False))</f>
        <v>0</v>
      </c>
      <c r="BD145" s="1087" t="str">
        <f t="shared" si="657">IF(ISNA(VLOOKUP(AY145,$AN$8:$AW$148,6,False))=True,"0",VLOOKUP(AY145,$AN$8:$AW$148,6,False))</f>
        <v>0</v>
      </c>
      <c r="BE145" s="1125">
        <f t="shared" si="658">IF(ISNA(VLOOKUP(AY145,$AN$8:$AW$148,7,False))=True,"",VLOOKUP(AY145,$AN$8:$AW$148,7,False))</f>
        <v>0</v>
      </c>
      <c r="BF145" s="1123">
        <f t="shared" si="569">IF(ISNA(VLOOKUP($AY145,$AN$8:$AW$148,8,False))=True,"",VLOOKUP($AY145,$AN$8:$AW$148,8,False))</f>
        <v>0</v>
      </c>
      <c r="BG145" s="1120">
        <f t="shared" si="570">IF(ISNA(VLOOKUP($AY145,$AN$8:$AW$148,9,False))=True,"",VLOOKUP($AY145,$AN$8:$AW$148,9,False))</f>
        <v>0</v>
      </c>
      <c r="BH145" s="1120">
        <f t="shared" si="571">IF(ISNA(VLOOKUP($AY145,$AN$8:$AW$148,10,False))=True,"",VLOOKUP($AY145,$AN$8:$AW$148,10,False))</f>
        <v>0</v>
      </c>
      <c r="BI145" s="250">
        <f t="shared" si="659">IF(AZ145&lt;&gt;"",AZ145,"")</f>
        <v>0</v>
      </c>
      <c r="BJ145" s="1098">
        <f t="shared" si="660">BI145</f>
        <v>0</v>
      </c>
      <c r="BK145" s="1115">
        <f>COUNTIFS($AZ:$AZ, AZ145,$BJ:$BJ, "&lt;"&amp;BJ145)+COUNTIFS(AZ$8:AZ145, AZ145, BJ$8:BJ145, BJ145)</f>
        <v>138</v>
      </c>
      <c r="BL145" s="1114">
        <f t="shared" si="661">BK145/100</f>
        <v>1.38</v>
      </c>
      <c r="BM145" s="1093" t="e">
        <f t="shared" si="686" ref="BM145">BI145+BL145</f>
        <v>#VALUE!</v>
      </c>
      <c r="BN145" s="1101">
        <f t="shared" si="663">IF(BA145&lt;&gt;"",BM145,"")</f>
        <v>0</v>
      </c>
      <c r="BO145" s="1118">
        <f t="shared" si="664">IF(BN145&lt;&gt;"",BN145,0)</f>
        <v>0</v>
      </c>
      <c r="BP145" s="237" t="e">
        <f t="shared" si="582">SMALL($BN$8:$BN$152,AX145)</f>
        <v>#VALUE!</v>
      </c>
      <c r="BR145" s="1102" t="e">
        <f t="shared" si="684">IF(BP145&lt;&gt;"",BR144+1,"")</f>
        <v>#VALUE!</v>
      </c>
      <c r="BS145" s="1102">
        <f t="shared" si="665">IFERROR(BP145,"")</f>
        <v>0</v>
      </c>
      <c r="BT145" s="1102">
        <f t="shared" si="666">IFERROR(CC145,"")</f>
        <v>0</v>
      </c>
      <c r="BU145" s="1098">
        <f t="shared" si="667">IFERROR(CD145,"")</f>
        <v>0</v>
      </c>
      <c r="BV145" s="1098">
        <f t="shared" si="668">IFERROR(CE145,"")</f>
        <v>0</v>
      </c>
      <c r="BW145" s="1098">
        <f t="shared" si="669">IFERROR(CF145,"")</f>
        <v>0</v>
      </c>
      <c r="BX145" s="1146">
        <f t="shared" si="670">IFERROR(CH145,"")</f>
        <v>0</v>
      </c>
      <c r="BY145" s="1098">
        <f t="shared" si="671">IFERROR(CG145,"")</f>
        <v>0</v>
      </c>
      <c r="BZ145" s="1144" t="str">
        <f t="shared" si="672">IFERROR(CI145,"-")</f>
        <v>-</v>
      </c>
      <c r="CA145" s="1107">
        <f t="shared" si="673">IFERROR(CJ145,"")</f>
        <v>0</v>
      </c>
      <c r="CB145" s="1107">
        <f t="shared" si="674">IFERROR(CK145,"")</f>
        <v>0</v>
      </c>
      <c r="CC145" s="1110" t="e">
        <f t="shared" si="583">INDEX($AZ$8:$AZ$153,MATCH(BP145,$BO$8:$BO$153,0))</f>
        <v>#VALUE!</v>
      </c>
      <c r="CD145" s="1087" t="e">
        <f t="shared" si="584">INDEX($BA$8:$BA$153,MATCH(BP145,$BO$8:$BO$153,0))</f>
        <v>#VALUE!</v>
      </c>
      <c r="CE145" s="1106" t="e">
        <f t="shared" si="585">INDEX($BB$8:$BB$153,MATCH(BP145,$BO$8:$BO$153,0))</f>
        <v>#VALUE!</v>
      </c>
      <c r="CF145" s="1106" t="e">
        <f t="shared" si="586">INDEX(BC$8:BC$153,MATCH(BP145,$BO$8:$BO$153,0))</f>
        <v>#VALUE!</v>
      </c>
      <c r="CG145" s="1118" t="e">
        <f t="shared" si="587">INDEX(BE$8:BE$153,MATCH(BP145,$BO$8:$BO$153,0))</f>
        <v>#VALUE!</v>
      </c>
      <c r="CH145" s="1106" t="e">
        <f t="shared" si="588">INDEX($BD$8:$BD$153,MATCH($BP145,$BO$8:$BO$153,0))</f>
        <v>#VALUE!</v>
      </c>
      <c r="CI145" s="1142" t="e">
        <f t="shared" si="589">INDEX($BF$8:$BF$153,MATCH(BP145,$BO$8:$BO$153,0))</f>
        <v>#VALUE!</v>
      </c>
      <c r="CJ145" s="1106" t="e">
        <f t="shared" si="590">INDEX($BG$8:$BG$153,MATCH(BP145,$BO$8:$BO$153,0))</f>
        <v>#VALUE!</v>
      </c>
      <c r="CK145" s="1106" t="e">
        <f t="shared" si="591">INDEX($BH$8:$BH$153,MATCH(BP145,$BO$8:$BO$153,0))</f>
        <v>#VALUE!</v>
      </c>
      <c r="CM145" s="1131">
        <f t="shared" si="592">COUNTIF($CH$8:$CH$228,"&lt;="&amp;CH145)</f>
        <v>145</v>
      </c>
      <c r="CN145" s="1121">
        <f t="shared" si="675">--ISNUMBER(BX145)</f>
        <v>0</v>
      </c>
      <c r="CO145" s="1121">
        <f t="shared" si="676">IF(BX145=0,1,0)</f>
        <v>0</v>
      </c>
      <c r="CP145" s="1124">
        <f t="shared" si="677">IF(ISNUMBER(BX145),CM145,IF(ISERROR(BX145),CM145,CM145+$CN$154))+$CO$154</f>
        <v>145</v>
      </c>
      <c r="CQ145" s="237">
        <f>IFERROR(INDEX($BX$8:$BX$153,MATCH(SMALL($CP$8:$CP$153,ROWS($CQ$8:CQ145)+$CO$154),$CP$8:$CP$154,0)),"")</f>
        <v>0</v>
      </c>
      <c r="CR145" s="237">
        <v>0.1</v>
      </c>
      <c r="CS145" s="1135">
        <f t="shared" si="678">CM145+CR145</f>
        <v>145.1</v>
      </c>
      <c r="CT145" s="237">
        <f>COUNTIFS($CM:$CM, CM145,$CS:$CS, "&lt;"&amp;CL)+COUNTIFS(CM$8:CM145, CM145, CS$8:CS145, CS145)</f>
        <v>138</v>
      </c>
      <c r="CU145" s="1109">
        <f t="shared" si="679">CT145/100</f>
        <v>1.38</v>
      </c>
      <c r="CV145" s="1109">
        <f t="shared" si="680">CM145+CU145</f>
        <v>146.38</v>
      </c>
      <c r="CW145" s="237" t="e">
        <f t="shared" si="593">SMALL(CV$8:CV$153,AX145)</f>
        <v>#VALUE!</v>
      </c>
      <c r="CX145" s="1109">
        <f t="shared" si="681">IFERROR(CW145,"")</f>
        <v>0</v>
      </c>
      <c r="CY145" s="237" t="e">
        <f t="shared" si="594">INDEX(BU$8:BU$152,MATCH($CX145,CV$8:CV$152,0))</f>
        <v>#N/A</v>
      </c>
      <c r="CZ145" s="237" t="e">
        <f t="shared" si="595">INDEX(BV$8:BV$152,MATCH($CX145,$CV$8:$CV$152,0))</f>
        <v>#N/A</v>
      </c>
      <c r="DA145" s="237" t="e">
        <f t="shared" si="596">INDEX(BW$8:BW$152,MATCH($CX145,$CV$8:$CV$152,0))</f>
        <v>#N/A</v>
      </c>
      <c r="DB145" s="237" t="e">
        <f t="shared" si="597">INDEX(BX$8:BX$152,MATCH($CX145,$CV$8:$CV$152,0))</f>
        <v>#N/A</v>
      </c>
      <c r="DC145" s="237" t="e">
        <f t="shared" si="598">INDEX(BY$8:BY$152,MATCH($CX145,$CV$8:$CV$152,0))</f>
        <v>#N/A</v>
      </c>
      <c r="DD145" s="237" t="e">
        <f t="shared" si="599">INDEX(BZ$8:BZ$152,MATCH($CX145,$CV$8:$CV$152,0))</f>
        <v>#N/A</v>
      </c>
      <c r="DE145" s="237" t="e">
        <f t="shared" si="600">INDEX(CA$8:CA$152,MATCH($CX145,$CV$8:$CV$152,0))</f>
        <v>#N/A</v>
      </c>
      <c r="DF145" s="237" t="e">
        <f t="shared" si="601">INDEX(CB$8:CB$152,MATCH($CX145,$CV$8:$CV$152,0))</f>
        <v>#N/A</v>
      </c>
    </row>
    <row r="146" spans="1:110">
      <c r="A146" s="1219">
        <v>9</v>
      </c>
      <c r="B146" s="1513"/>
      <c r="C146" s="1220"/>
      <c r="D146" s="1220"/>
      <c r="E146" s="1220"/>
      <c r="F146" s="1220"/>
      <c r="G146" s="1220"/>
      <c r="H146" s="1220"/>
      <c r="I146" s="1478"/>
      <c r="J146" s="1221"/>
      <c r="K146" s="1222"/>
      <c r="L146" s="1223"/>
      <c r="M146" s="1224">
        <f t="shared" si="642">K146*L146</f>
        <v>0</v>
      </c>
      <c r="AM146" s="1077">
        <f t="shared" si="643">IF(M146&gt;0,1,0)</f>
        <v>0</v>
      </c>
      <c r="AN146" s="1096">
        <f>IF(K146&gt;0,COUNTIF(AM$8:AM146,"&gt;0"),0)</f>
        <v>0</v>
      </c>
      <c r="AO146" s="1078">
        <f t="shared" si="644">B146</f>
        <v>0</v>
      </c>
      <c r="AP146" s="1079">
        <f t="shared" si="645">C146</f>
        <v>0</v>
      </c>
      <c r="AQ146" s="1080">
        <f t="shared" si="646">IF(I146&lt;&gt;"",YEAR(I146),"")</f>
        <v>0</v>
      </c>
      <c r="AR146" s="1080">
        <f t="shared" si="647">IF(E146&lt;&gt;"",E146,"")</f>
        <v>0</v>
      </c>
      <c r="AS146" s="1078">
        <f t="shared" si="648">F146</f>
        <v>0</v>
      </c>
      <c r="AT146" s="1080">
        <f t="shared" si="649">IF(H146&lt;&gt;"",H146,"")</f>
        <v>0</v>
      </c>
      <c r="AU146" s="1080">
        <f t="shared" si="650">J146</f>
        <v>0</v>
      </c>
      <c r="AV146" s="1080">
        <f t="shared" si="651">K146</f>
        <v>0</v>
      </c>
      <c r="AW146" s="1081">
        <f t="shared" si="652">M146</f>
        <v>0</v>
      </c>
      <c r="AX146" s="237">
        <f t="shared" si="682">IF(AZ146&lt;&gt;"",AX145+1,"")</f>
        <v>0</v>
      </c>
      <c r="AY146" s="1087">
        <v>138</v>
      </c>
      <c r="AZ146" s="1087">
        <f t="shared" si="653">IF(ISNA(VLOOKUP(AY146,$AN$8:$AW$148,2,False))=True,"",VLOOKUP(AY146,$AN$8:$AW$148,2,False))</f>
        <v>0</v>
      </c>
      <c r="BA146" s="1087">
        <f t="shared" si="654">IF(ISNA(VLOOKUP(AZ146,$AE$8:$AF$46,2,False))=True,"",VLOOKUP(AZ146,$AE$8:$AF$46,2,False))</f>
        <v>0</v>
      </c>
      <c r="BB146" s="1087">
        <f t="shared" si="655">IF(ISNA(VLOOKUP(AY146,$AN$8:$AW$148,4,False))=True,"",VLOOKUP(AY146,$AN$8:$AW$148,4,False))</f>
        <v>0</v>
      </c>
      <c r="BC146" s="1087">
        <f t="shared" si="656">IF(ISNA(VLOOKUP(AY146,$AN$8:$AW$148,5,False))=True,"",VLOOKUP(AY146,$AN$8:$AW$148,5,False))</f>
        <v>0</v>
      </c>
      <c r="BD146" s="1087" t="str">
        <f t="shared" si="657">IF(ISNA(VLOOKUP(AY146,$AN$8:$AW$148,6,False))=True,"0",VLOOKUP(AY146,$AN$8:$AW$148,6,False))</f>
        <v>0</v>
      </c>
      <c r="BE146" s="1125">
        <f t="shared" si="658">IF(ISNA(VLOOKUP(AY146,$AN$8:$AW$148,7,False))=True,"",VLOOKUP(AY146,$AN$8:$AW$148,7,False))</f>
        <v>0</v>
      </c>
      <c r="BF146" s="1123">
        <f t="shared" si="569">IF(ISNA(VLOOKUP($AY146,$AN$8:$AW$148,8,False))=True,"",VLOOKUP($AY146,$AN$8:$AW$148,8,False))</f>
        <v>0</v>
      </c>
      <c r="BG146" s="1120">
        <f t="shared" si="570">IF(ISNA(VLOOKUP($AY146,$AN$8:$AW$148,9,False))=True,"",VLOOKUP($AY146,$AN$8:$AW$148,9,False))</f>
        <v>0</v>
      </c>
      <c r="BH146" s="1120">
        <f t="shared" si="571">IF(ISNA(VLOOKUP($AY146,$AN$8:$AW$148,10,False))=True,"",VLOOKUP($AY146,$AN$8:$AW$148,10,False))</f>
        <v>0</v>
      </c>
      <c r="BI146" s="250">
        <f t="shared" si="659">IF(AZ146&lt;&gt;"",AZ146,"")</f>
        <v>0</v>
      </c>
      <c r="BJ146" s="1098">
        <f t="shared" si="660">BI146</f>
        <v>0</v>
      </c>
      <c r="BK146" s="1115">
        <f>COUNTIFS($AZ:$AZ, AZ146,$BJ:$BJ, "&lt;"&amp;BJ146)+COUNTIFS(AZ$8:AZ146, AZ146, BJ$8:BJ146, BJ146)</f>
        <v>139</v>
      </c>
      <c r="BL146" s="1114">
        <f t="shared" si="661">BK146/100</f>
        <v>1.39</v>
      </c>
      <c r="BM146" s="1093" t="e">
        <f t="shared" si="687" ref="BM146">BJ146+BL146</f>
        <v>#VALUE!</v>
      </c>
      <c r="BN146" s="1101">
        <f t="shared" si="663">IF(BA146&lt;&gt;"",BM146,"")</f>
        <v>0</v>
      </c>
      <c r="BO146" s="1118">
        <f t="shared" si="664">IF(BN146&lt;&gt;"",BN146,0)</f>
        <v>0</v>
      </c>
      <c r="BP146" s="237" t="e">
        <f t="shared" si="582">SMALL($BN$8:$BN$152,AX146)</f>
        <v>#VALUE!</v>
      </c>
      <c r="BR146" s="1102" t="e">
        <f t="shared" si="684">IF(BP146&lt;&gt;"",BR145+1,"")</f>
        <v>#VALUE!</v>
      </c>
      <c r="BS146" s="1102">
        <f t="shared" si="665">IFERROR(BP146,"")</f>
        <v>0</v>
      </c>
      <c r="BT146" s="1102">
        <f t="shared" si="666">IFERROR(CC146,"")</f>
        <v>0</v>
      </c>
      <c r="BU146" s="1098">
        <f t="shared" si="667">IFERROR(CD146,"")</f>
        <v>0</v>
      </c>
      <c r="BV146" s="1098">
        <f t="shared" si="668">IFERROR(CE146,"")</f>
        <v>0</v>
      </c>
      <c r="BW146" s="1098">
        <f t="shared" si="669">IFERROR(CF146,"")</f>
        <v>0</v>
      </c>
      <c r="BX146" s="1146">
        <f t="shared" si="670">IFERROR(CH146,"")</f>
        <v>0</v>
      </c>
      <c r="BY146" s="1098">
        <f t="shared" si="671">IFERROR(CG146,"")</f>
        <v>0</v>
      </c>
      <c r="BZ146" s="1144" t="str">
        <f t="shared" si="672">IFERROR(CI146,"-")</f>
        <v>-</v>
      </c>
      <c r="CA146" s="1107">
        <f t="shared" si="673">IFERROR(CJ146,"")</f>
        <v>0</v>
      </c>
      <c r="CB146" s="1107">
        <f t="shared" si="674">IFERROR(CK146,"")</f>
        <v>0</v>
      </c>
      <c r="CC146" s="1110" t="e">
        <f t="shared" si="583">INDEX($AZ$8:$AZ$153,MATCH(BP146,$BO$8:$BO$153,0))</f>
        <v>#VALUE!</v>
      </c>
      <c r="CD146" s="1087" t="e">
        <f t="shared" si="584">INDEX($BA$8:$BA$153,MATCH(BP146,$BO$8:$BO$153,0))</f>
        <v>#VALUE!</v>
      </c>
      <c r="CE146" s="1106" t="e">
        <f t="shared" si="585">INDEX($BB$8:$BB$153,MATCH(BP146,$BO$8:$BO$153,0))</f>
        <v>#VALUE!</v>
      </c>
      <c r="CF146" s="1106" t="e">
        <f t="shared" si="586">INDEX(BC$8:BC$153,MATCH(BP146,$BO$8:$BO$153,0))</f>
        <v>#VALUE!</v>
      </c>
      <c r="CG146" s="1118" t="e">
        <f t="shared" si="587">INDEX(BE$8:BE$153,MATCH(BP146,$BO$8:$BO$153,0))</f>
        <v>#VALUE!</v>
      </c>
      <c r="CH146" s="1106" t="e">
        <f t="shared" si="588">INDEX($BD$8:$BD$153,MATCH($BP146,$BO$8:$BO$153,0))</f>
        <v>#VALUE!</v>
      </c>
      <c r="CI146" s="1142" t="e">
        <f t="shared" si="589">INDEX($BF$8:$BF$153,MATCH(BP146,$BO$8:$BO$153,0))</f>
        <v>#VALUE!</v>
      </c>
      <c r="CJ146" s="1106" t="e">
        <f t="shared" si="590">INDEX($BG$8:$BG$153,MATCH(BP146,$BO$8:$BO$153,0))</f>
        <v>#VALUE!</v>
      </c>
      <c r="CK146" s="1106" t="e">
        <f t="shared" si="591">INDEX($BH$8:$BH$153,MATCH(BP146,$BO$8:$BO$153,0))</f>
        <v>#VALUE!</v>
      </c>
      <c r="CM146" s="1131">
        <f t="shared" si="592">COUNTIF($CH$8:$CH$228,"&lt;="&amp;CH146)</f>
        <v>145</v>
      </c>
      <c r="CN146" s="1121">
        <f t="shared" si="675">--ISNUMBER(BX146)</f>
        <v>0</v>
      </c>
      <c r="CO146" s="1121">
        <f t="shared" si="676">IF(BX146=0,1,0)</f>
        <v>0</v>
      </c>
      <c r="CP146" s="1124">
        <f t="shared" si="677">IF(ISNUMBER(BX146),CM146,IF(ISERROR(BX146),CM146,CM146+$CN$154))+$CO$154</f>
        <v>145</v>
      </c>
      <c r="CQ146" s="237">
        <f>IFERROR(INDEX($BX$8:$BX$153,MATCH(SMALL($CP$8:$CP$153,ROWS($CQ$8:CQ146)+$CO$154),$CP$8:$CP$154,0)),"")</f>
        <v>0</v>
      </c>
      <c r="CR146" s="237">
        <v>0.1</v>
      </c>
      <c r="CS146" s="1135">
        <f t="shared" si="678">CM146+CR146</f>
        <v>145.1</v>
      </c>
      <c r="CT146" s="237">
        <f>COUNTIFS($CM:$CM, CM146,$CS:$CS, "&lt;"&amp;CL)+COUNTIFS(CM$8:CM146, CM146, CS$8:CS146, CS146)</f>
        <v>139</v>
      </c>
      <c r="CU146" s="1109">
        <f t="shared" si="679">CT146/100</f>
        <v>1.39</v>
      </c>
      <c r="CV146" s="1109">
        <f t="shared" si="680">CM146+CU146</f>
        <v>146.39</v>
      </c>
      <c r="CW146" s="237" t="e">
        <f t="shared" si="593">SMALL(CV$8:CV$153,AX146)</f>
        <v>#VALUE!</v>
      </c>
      <c r="CX146" s="1109">
        <f t="shared" si="681">IFERROR(CW146,"")</f>
        <v>0</v>
      </c>
      <c r="CY146" s="237" t="e">
        <f t="shared" si="594">INDEX(BU$8:BU$152,MATCH($CX146,CV$8:CV$152,0))</f>
        <v>#N/A</v>
      </c>
      <c r="CZ146" s="237" t="e">
        <f t="shared" si="595">INDEX(BV$8:BV$152,MATCH($CX146,$CV$8:$CV$152,0))</f>
        <v>#N/A</v>
      </c>
      <c r="DA146" s="237" t="e">
        <f t="shared" si="596">INDEX(BW$8:BW$152,MATCH($CX146,$CV$8:$CV$152,0))</f>
        <v>#N/A</v>
      </c>
      <c r="DB146" s="237" t="e">
        <f t="shared" si="597">INDEX(BX$8:BX$152,MATCH($CX146,$CV$8:$CV$152,0))</f>
        <v>#N/A</v>
      </c>
      <c r="DC146" s="237" t="e">
        <f t="shared" si="598">INDEX(BY$8:BY$152,MATCH($CX146,$CV$8:$CV$152,0))</f>
        <v>#N/A</v>
      </c>
      <c r="DD146" s="237" t="e">
        <f t="shared" si="599">INDEX(BZ$8:BZ$152,MATCH($CX146,$CV$8:$CV$152,0))</f>
        <v>#N/A</v>
      </c>
      <c r="DE146" s="237" t="e">
        <f t="shared" si="600">INDEX(CA$8:CA$152,MATCH($CX146,$CV$8:$CV$152,0))</f>
        <v>#N/A</v>
      </c>
      <c r="DF146" s="237" t="e">
        <f t="shared" si="601">INDEX(CB$8:CB$152,MATCH($CX146,$CV$8:$CV$152,0))</f>
        <v>#N/A</v>
      </c>
    </row>
    <row r="147" spans="1:110" ht="13.5" customHeight="1" thickBot="1">
      <c r="A147" s="1219">
        <v>10</v>
      </c>
      <c r="B147" s="1514"/>
      <c r="C147" s="1225"/>
      <c r="D147" s="1225"/>
      <c r="E147" s="1225"/>
      <c r="F147" s="1225"/>
      <c r="G147" s="1225"/>
      <c r="H147" s="1225"/>
      <c r="I147" s="1478"/>
      <c r="J147" s="1226"/>
      <c r="K147" s="1227"/>
      <c r="L147" s="1228"/>
      <c r="M147" s="1229">
        <f t="shared" si="642">K147*L147</f>
        <v>0</v>
      </c>
      <c r="AM147" s="1082">
        <f t="shared" si="643">IF(M147&gt;0,1,0)</f>
        <v>0</v>
      </c>
      <c r="AN147" s="1096">
        <f>IF(AM147&gt;0,COUNTIF(AM$8:AM147,"&gt;0"),0)</f>
        <v>0</v>
      </c>
      <c r="AO147" s="1083">
        <f t="shared" si="644">B147</f>
        <v>0</v>
      </c>
      <c r="AP147" s="1084">
        <f t="shared" si="645">C147</f>
        <v>0</v>
      </c>
      <c r="AQ147" s="1085">
        <f t="shared" si="646">IF(I147&lt;&gt;"",YEAR(I147),"")</f>
        <v>0</v>
      </c>
      <c r="AR147" s="1080">
        <f t="shared" si="647">IF(E147&lt;&gt;"",E147,"")</f>
        <v>0</v>
      </c>
      <c r="AS147" s="1078">
        <f t="shared" si="648">F147</f>
        <v>0</v>
      </c>
      <c r="AT147" s="1080">
        <f t="shared" si="649">IF(H147&lt;&gt;"",H147,"")</f>
        <v>0</v>
      </c>
      <c r="AU147" s="1080">
        <f t="shared" si="650">J147</f>
        <v>0</v>
      </c>
      <c r="AV147" s="1080">
        <f t="shared" si="651">K147</f>
        <v>0</v>
      </c>
      <c r="AW147" s="1086">
        <f t="shared" si="652">M147</f>
        <v>0</v>
      </c>
      <c r="AX147" s="237">
        <f t="shared" si="682">IF(AZ147&lt;&gt;"",AX146+1,"")</f>
        <v>0</v>
      </c>
      <c r="AY147" s="1087">
        <v>139</v>
      </c>
      <c r="AZ147" s="1087">
        <f t="shared" si="653">IF(ISNA(VLOOKUP(AY147,$AN$8:$AW$148,2,False))=True,"",VLOOKUP(AY147,$AN$8:$AW$148,2,False))</f>
        <v>0</v>
      </c>
      <c r="BA147" s="1087">
        <f t="shared" si="654">IF(ISNA(VLOOKUP(AZ147,$AE$8:$AF$46,2,False))=True,"",VLOOKUP(AZ147,$AE$8:$AF$46,2,False))</f>
        <v>0</v>
      </c>
      <c r="BB147" s="1087">
        <f t="shared" si="655">IF(ISNA(VLOOKUP(AY147,$AN$8:$AW$148,4,False))=True,"",VLOOKUP(AY147,$AN$8:$AW$148,4,False))</f>
        <v>0</v>
      </c>
      <c r="BC147" s="1087">
        <f t="shared" si="656">IF(ISNA(VLOOKUP(AY147,$AN$8:$AW$148,5,False))=True,"",VLOOKUP(AY147,$AN$8:$AW$148,5,False))</f>
        <v>0</v>
      </c>
      <c r="BD147" s="1087" t="str">
        <f t="shared" si="657">IF(ISNA(VLOOKUP(AY147,$AN$8:$AW$148,6,False))=True,"0",VLOOKUP(AY147,$AN$8:$AW$148,6,False))</f>
        <v>0</v>
      </c>
      <c r="BE147" s="1125">
        <f t="shared" si="658">IF(ISNA(VLOOKUP(AY147,$AN$8:$AW$148,7,False))=True,"",VLOOKUP(AY147,$AN$8:$AW$148,7,False))</f>
        <v>0</v>
      </c>
      <c r="BF147" s="1123">
        <f t="shared" si="569">IF(ISNA(VLOOKUP($AY147,$AN$8:$AW$148,8,False))=True,"",VLOOKUP($AY147,$AN$8:$AW$148,8,False))</f>
        <v>0</v>
      </c>
      <c r="BG147" s="1120">
        <f t="shared" si="570">IF(ISNA(VLOOKUP($AY147,$AN$8:$AW$148,9,False))=True,"",VLOOKUP($AY147,$AN$8:$AW$148,9,False))</f>
        <v>0</v>
      </c>
      <c r="BH147" s="1120">
        <f t="shared" si="571">IF(ISNA(VLOOKUP($AY147,$AN$8:$AW$148,10,False))=True,"",VLOOKUP($AY147,$AN$8:$AW$148,10,False))</f>
        <v>0</v>
      </c>
      <c r="BI147" s="250">
        <f t="shared" si="659">IF(AZ147&lt;&gt;"",AZ147,"")</f>
        <v>0</v>
      </c>
      <c r="BJ147" s="1098">
        <f t="shared" si="660">BI147</f>
        <v>0</v>
      </c>
      <c r="BK147" s="1115">
        <f>COUNTIFS($AZ:$AZ, AZ147,$BJ:$BJ, "&lt;"&amp;BJ147)+COUNTIFS(AZ$8:AZ147, AZ147, BJ$8:BJ147, BJ147)</f>
        <v>140</v>
      </c>
      <c r="BL147" s="1114">
        <f t="shared" si="661">BK147/100</f>
        <v>1.4</v>
      </c>
      <c r="BM147" s="1093" t="e">
        <f t="shared" si="688" ref="BM147">BI147+BL147</f>
        <v>#VALUE!</v>
      </c>
      <c r="BN147" s="1101">
        <f t="shared" si="663">IF(BA147&lt;&gt;"",BM147,"")</f>
        <v>0</v>
      </c>
      <c r="BO147" s="1118">
        <f t="shared" si="664">IF(BN147&lt;&gt;"",BN147,0)</f>
        <v>0</v>
      </c>
      <c r="BP147" s="237" t="e">
        <f t="shared" si="582">SMALL($BN$8:$BN$152,AX147)</f>
        <v>#VALUE!</v>
      </c>
      <c r="BR147" s="1102" t="e">
        <f t="shared" si="684">IF(BP147&lt;&gt;"",BR146+1,"")</f>
        <v>#VALUE!</v>
      </c>
      <c r="BS147" s="1102">
        <f t="shared" si="665">IFERROR(BP147,"")</f>
        <v>0</v>
      </c>
      <c r="BT147" s="1102">
        <f t="shared" si="666">IFERROR(CC147,"")</f>
        <v>0</v>
      </c>
      <c r="BU147" s="1098">
        <f t="shared" si="667">IFERROR(CD147,"")</f>
        <v>0</v>
      </c>
      <c r="BV147" s="1098">
        <f t="shared" si="668">IFERROR(CE147,"")</f>
        <v>0</v>
      </c>
      <c r="BW147" s="1098">
        <f t="shared" si="669">IFERROR(CF147,"")</f>
        <v>0</v>
      </c>
      <c r="BX147" s="1146">
        <f t="shared" si="670">IFERROR(CH147,"")</f>
        <v>0</v>
      </c>
      <c r="BY147" s="1098">
        <f t="shared" si="671">IFERROR(CG147,"")</f>
        <v>0</v>
      </c>
      <c r="BZ147" s="1144" t="str">
        <f t="shared" si="672">IFERROR(CI147,"-")</f>
        <v>-</v>
      </c>
      <c r="CA147" s="1107">
        <f t="shared" si="673">IFERROR(CJ147,"")</f>
        <v>0</v>
      </c>
      <c r="CB147" s="1107">
        <f t="shared" si="674">IFERROR(CK147,"")</f>
        <v>0</v>
      </c>
      <c r="CC147" s="1110" t="e">
        <f t="shared" si="583">INDEX($AZ$8:$AZ$153,MATCH(BP147,$BO$8:$BO$153,0))</f>
        <v>#VALUE!</v>
      </c>
      <c r="CD147" s="1087" t="e">
        <f t="shared" si="584">INDEX($BA$8:$BA$153,MATCH(BP147,$BO$8:$BO$153,0))</f>
        <v>#VALUE!</v>
      </c>
      <c r="CE147" s="1106" t="e">
        <f t="shared" si="585">INDEX($BB$8:$BB$153,MATCH(BP147,$BO$8:$BO$153,0))</f>
        <v>#VALUE!</v>
      </c>
      <c r="CF147" s="1106" t="e">
        <f t="shared" si="586">INDEX(BC$8:BC$153,MATCH(BP147,$BO$8:$BO$153,0))</f>
        <v>#VALUE!</v>
      </c>
      <c r="CG147" s="1118" t="e">
        <f t="shared" si="587">INDEX(BE$8:BE$153,MATCH(BP147,$BO$8:$BO$153,0))</f>
        <v>#VALUE!</v>
      </c>
      <c r="CH147" s="1106" t="e">
        <f t="shared" si="588">INDEX($BD$8:$BD$153,MATCH($BP147,$BO$8:$BO$153,0))</f>
        <v>#VALUE!</v>
      </c>
      <c r="CI147" s="1142" t="e">
        <f t="shared" si="589">INDEX($BF$8:$BF$153,MATCH(BP147,$BO$8:$BO$153,0))</f>
        <v>#VALUE!</v>
      </c>
      <c r="CJ147" s="1106" t="e">
        <f t="shared" si="590">INDEX($BG$8:$BG$153,MATCH(BP147,$BO$8:$BO$153,0))</f>
        <v>#VALUE!</v>
      </c>
      <c r="CK147" s="1106" t="e">
        <f t="shared" si="591">INDEX($BH$8:$BH$153,MATCH(BP147,$BO$8:$BO$153,0))</f>
        <v>#VALUE!</v>
      </c>
      <c r="CM147" s="1131">
        <f t="shared" si="592">COUNTIF($CH$8:$CH$228,"&lt;="&amp;CH147)</f>
        <v>145</v>
      </c>
      <c r="CN147" s="1121">
        <f t="shared" si="675">--ISNUMBER(BX147)</f>
        <v>0</v>
      </c>
      <c r="CO147" s="1121">
        <f t="shared" si="676">IF(BX147=0,1,0)</f>
        <v>0</v>
      </c>
      <c r="CP147" s="1124">
        <f t="shared" si="677">IF(ISNUMBER(BX147),CM147,IF(ISERROR(BX147),CM147,CM147+$CN$154))+$CO$154</f>
        <v>145</v>
      </c>
      <c r="CQ147" s="237">
        <f>IFERROR(INDEX($BX$8:$BX$153,MATCH(SMALL($CP$8:$CP$153,ROWS($CQ$8:CQ147)+$CO$154),$CP$8:$CP$154,0)),"")</f>
        <v>0</v>
      </c>
      <c r="CR147" s="237">
        <v>0.1</v>
      </c>
      <c r="CS147" s="1135">
        <f t="shared" si="678">CM147+CR147</f>
        <v>145.1</v>
      </c>
      <c r="CT147" s="237">
        <f>COUNTIFS($CM:$CM, CM147,$CS:$CS, "&lt;"&amp;CL)+COUNTIFS(CM$8:CM147, CM147, CS$8:CS147, CS147)</f>
        <v>140</v>
      </c>
      <c r="CU147" s="1109">
        <f t="shared" si="679">CT147/100</f>
        <v>1.4</v>
      </c>
      <c r="CV147" s="1109">
        <f t="shared" si="680">CM147+CU147</f>
        <v>146.4</v>
      </c>
      <c r="CW147" s="237" t="e">
        <f t="shared" si="593">SMALL(CV$8:CV$153,AX147)</f>
        <v>#VALUE!</v>
      </c>
      <c r="CX147" s="1109">
        <f t="shared" si="681">IFERROR(CW147,"")</f>
        <v>0</v>
      </c>
      <c r="CY147" s="237" t="e">
        <f t="shared" si="594">INDEX(BU$8:BU$152,MATCH($CX147,CV$8:CV$152,0))</f>
        <v>#N/A</v>
      </c>
      <c r="CZ147" s="237" t="e">
        <f t="shared" si="595">INDEX(BV$8:BV$152,MATCH($CX147,$CV$8:$CV$152,0))</f>
        <v>#N/A</v>
      </c>
      <c r="DA147" s="237" t="e">
        <f t="shared" si="596">INDEX(BW$8:BW$152,MATCH($CX147,$CV$8:$CV$152,0))</f>
        <v>#N/A</v>
      </c>
      <c r="DB147" s="237" t="e">
        <f t="shared" si="597">INDEX(BX$8:BX$152,MATCH($CX147,$CV$8:$CV$152,0))</f>
        <v>#N/A</v>
      </c>
      <c r="DC147" s="237" t="e">
        <f t="shared" si="598">INDEX(BY$8:BY$152,MATCH($CX147,$CV$8:$CV$152,0))</f>
        <v>#N/A</v>
      </c>
      <c r="DD147" s="237" t="e">
        <f t="shared" si="599">INDEX(BZ$8:BZ$152,MATCH($CX147,$CV$8:$CV$152,0))</f>
        <v>#N/A</v>
      </c>
      <c r="DE147" s="237" t="e">
        <f t="shared" si="600">INDEX(CA$8:CA$152,MATCH($CX147,$CV$8:$CV$152,0))</f>
        <v>#N/A</v>
      </c>
      <c r="DF147" s="237" t="e">
        <f t="shared" si="601">INDEX(CB$8:CB$152,MATCH($CX147,$CV$8:$CV$152,0))</f>
        <v>#N/A</v>
      </c>
    </row>
    <row r="148" spans="1:110" ht="13.5" customHeight="1" thickTop="1">
      <c r="A148" s="1219">
        <v>11</v>
      </c>
      <c r="B148" s="1513"/>
      <c r="C148" s="1220"/>
      <c r="D148" s="1220"/>
      <c r="E148" s="1220"/>
      <c r="F148" s="1220"/>
      <c r="G148" s="1220"/>
      <c r="H148" s="1220"/>
      <c r="I148" s="1478"/>
      <c r="J148" s="1221"/>
      <c r="K148" s="1222"/>
      <c r="L148" s="1223"/>
      <c r="M148" s="1224">
        <f t="shared" si="608">K148*L148</f>
        <v>0</v>
      </c>
      <c r="AM148" s="1077">
        <f t="shared" si="609">IF(M148&gt;0,1,0)</f>
        <v>0</v>
      </c>
      <c r="AN148" s="1096">
        <f>IF(AM148&gt;0,COUNTIF(AM$8:AM148,"&gt;0"),0)</f>
        <v>0</v>
      </c>
      <c r="AO148" s="1078">
        <f t="shared" si="610">B148</f>
        <v>0</v>
      </c>
      <c r="AP148" s="1079">
        <f t="shared" si="611">C148</f>
        <v>0</v>
      </c>
      <c r="AQ148" s="1080">
        <f t="shared" si="612">IF(I148&lt;&gt;"",YEAR(I148),"")</f>
        <v>0</v>
      </c>
      <c r="AR148" s="1080">
        <f t="shared" si="602">IF(E148&lt;&gt;"",E148,"")</f>
        <v>0</v>
      </c>
      <c r="AS148" s="1078">
        <f t="shared" si="603">F148</f>
        <v>0</v>
      </c>
      <c r="AT148" s="1080">
        <f t="shared" si="604">IF(H148&lt;&gt;"",H148,"")</f>
        <v>0</v>
      </c>
      <c r="AU148" s="1080">
        <f t="shared" si="613">J148</f>
        <v>0</v>
      </c>
      <c r="AV148" s="1080">
        <f t="shared" si="614">K148</f>
        <v>0</v>
      </c>
      <c r="AW148" s="1081">
        <f t="shared" si="615">M148</f>
        <v>0</v>
      </c>
      <c r="AX148" s="237">
        <f>IF(AZ148&lt;&gt;"",AX141+1,"")</f>
        <v>0</v>
      </c>
      <c r="AY148" s="1087">
        <v>134</v>
      </c>
      <c r="AZ148" s="1087">
        <f t="shared" si="564">IF(ISNA(VLOOKUP(AY148,$AN$8:$AW$148,2,False))=True,"",VLOOKUP(AY148,$AN$8:$AW$148,2,False))</f>
        <v>0</v>
      </c>
      <c r="BA148" s="1087">
        <f t="shared" si="565">IF(ISNA(VLOOKUP(AZ148,$AE$8:$AF$46,2,False))=True,"",VLOOKUP(AZ148,$AE$8:$AF$46,2,False))</f>
        <v>0</v>
      </c>
      <c r="BB148" s="1087">
        <f t="shared" si="566">IF(ISNA(VLOOKUP(AY148,$AN$8:$AW$148,4,False))=True,"",VLOOKUP(AY148,$AN$8:$AW$148,4,False))</f>
        <v>0</v>
      </c>
      <c r="BC148" s="1087">
        <f t="shared" si="567">IF(ISNA(VLOOKUP(AY148,$AN$8:$AW$148,5,False))=True,"",VLOOKUP(AY148,$AN$8:$AW$148,5,False))</f>
        <v>0</v>
      </c>
      <c r="BD148" s="1087" t="str">
        <f t="shared" si="640">IF(ISNA(VLOOKUP(AY148,$AN$8:$AW$148,6,False))=True,"0",VLOOKUP(AY148,$AN$8:$AW$148,6,False))</f>
        <v>0</v>
      </c>
      <c r="BE148" s="1125">
        <f t="shared" si="568">IF(ISNA(VLOOKUP(AY148,$AN$8:$AW$148,7,False))=True,"",VLOOKUP(AY148,$AN$8:$AW$148,7,False))</f>
        <v>0</v>
      </c>
      <c r="BF148" s="1123">
        <f t="shared" si="569">IF(ISNA(VLOOKUP($AY148,$AN$8:$AW$148,8,False))=True,"",VLOOKUP($AY148,$AN$8:$AW$148,8,False))</f>
        <v>0</v>
      </c>
      <c r="BG148" s="1120">
        <f t="shared" si="570">IF(ISNA(VLOOKUP($AY148,$AN$8:$AW$148,9,False))=True,"",VLOOKUP($AY148,$AN$8:$AW$148,9,False))</f>
        <v>0</v>
      </c>
      <c r="BH148" s="1120">
        <f t="shared" si="571">IF(ISNA(VLOOKUP($AY148,$AN$8:$AW$148,10,False))=True,"",VLOOKUP($AY148,$AN$8:$AW$148,10,False))</f>
        <v>0</v>
      </c>
      <c r="BI148" s="250">
        <f t="shared" si="616">IF(AZ148&lt;&gt;"",AZ148,"")</f>
        <v>0</v>
      </c>
      <c r="BJ148" s="1098">
        <f t="shared" si="617">BI148</f>
        <v>0</v>
      </c>
      <c r="BK148" s="1115">
        <f>COUNTIFS($AZ:$AZ, AZ148,$BJ:$BJ, "&lt;"&amp;BJ148)+COUNTIFS(AZ$8:AZ148, AZ148, BJ$8:BJ148, BJ148)</f>
        <v>141</v>
      </c>
      <c r="BL148" s="1114">
        <f t="shared" si="618">BK148/100</f>
        <v>1.41</v>
      </c>
      <c r="BM148" s="1093" t="e">
        <f t="shared" si="689" ref="BM148">BJ148+BL148</f>
        <v>#VALUE!</v>
      </c>
      <c r="BN148" s="1101">
        <f t="shared" si="606">IF(BA148&lt;&gt;"",BM148,"")</f>
        <v>0</v>
      </c>
      <c r="BO148" s="1118">
        <f t="shared" si="620">IF(BN148&lt;&gt;"",BN148,0)</f>
        <v>0</v>
      </c>
      <c r="BP148" s="237" t="e">
        <f t="shared" si="582">SMALL($BN$8:$BN$152,AX148)</f>
        <v>#VALUE!</v>
      </c>
      <c r="BR148" s="1102" t="e">
        <f>IF(BP148&lt;&gt;"",BR141+1,"")</f>
        <v>#VALUE!</v>
      </c>
      <c r="BS148" s="1102">
        <f t="shared" si="607">IFERROR(BP148,"")</f>
        <v>0</v>
      </c>
      <c r="BT148" s="1102">
        <f t="shared" si="622">IFERROR(CC148,"")</f>
        <v>0</v>
      </c>
      <c r="BU148" s="1098">
        <f t="shared" si="623">IFERROR(CD148,"")</f>
        <v>0</v>
      </c>
      <c r="BV148" s="1098">
        <f t="shared" si="624">IFERROR(CE148,"")</f>
        <v>0</v>
      </c>
      <c r="BW148" s="1098">
        <f t="shared" si="625">IFERROR(CF148,"")</f>
        <v>0</v>
      </c>
      <c r="BX148" s="1146">
        <f t="shared" si="626">IFERROR(CH148,"")</f>
        <v>0</v>
      </c>
      <c r="BY148" s="1098">
        <f t="shared" si="627">IFERROR(CG148,"")</f>
        <v>0</v>
      </c>
      <c r="BZ148" s="1144" t="str">
        <f t="shared" si="628">IFERROR(CI148,"-")</f>
        <v>-</v>
      </c>
      <c r="CA148" s="1107">
        <f t="shared" si="629">IFERROR(CJ148,"")</f>
        <v>0</v>
      </c>
      <c r="CB148" s="1107">
        <f t="shared" si="630">IFERROR(CK148,"")</f>
        <v>0</v>
      </c>
      <c r="CC148" s="1110" t="e">
        <f t="shared" si="583">INDEX($AZ$8:$AZ$153,MATCH(BP148,$BO$8:$BO$153,0))</f>
        <v>#VALUE!</v>
      </c>
      <c r="CD148" s="1087" t="e">
        <f t="shared" si="584">INDEX($BA$8:$BA$153,MATCH(BP148,$BO$8:$BO$153,0))</f>
        <v>#VALUE!</v>
      </c>
      <c r="CE148" s="1106" t="e">
        <f t="shared" si="585">INDEX($BB$8:$BB$153,MATCH(BP148,$BO$8:$BO$153,0))</f>
        <v>#VALUE!</v>
      </c>
      <c r="CF148" s="1106" t="e">
        <f t="shared" si="586">INDEX(BC$8:BC$153,MATCH(BP148,$BO$8:$BO$153,0))</f>
        <v>#VALUE!</v>
      </c>
      <c r="CG148" s="1118" t="e">
        <f t="shared" si="587">INDEX(BE$8:BE$153,MATCH(BP148,$BO$8:$BO$153,0))</f>
        <v>#VALUE!</v>
      </c>
      <c r="CH148" s="1106" t="e">
        <f t="shared" si="588">INDEX($BD$8:$BD$153,MATCH($BP148,$BO$8:$BO$153,0))</f>
        <v>#VALUE!</v>
      </c>
      <c r="CI148" s="1142" t="e">
        <f t="shared" si="589">INDEX($BF$8:$BF$153,MATCH(BP148,$BO$8:$BO$153,0))</f>
        <v>#VALUE!</v>
      </c>
      <c r="CJ148" s="1106" t="e">
        <f t="shared" si="590">INDEX($BG$8:$BG$153,MATCH(BP148,$BO$8:$BO$153,0))</f>
        <v>#VALUE!</v>
      </c>
      <c r="CK148" s="1106" t="e">
        <f t="shared" si="591">INDEX($BH$8:$BH$153,MATCH(BP148,$BO$8:$BO$153,0))</f>
        <v>#VALUE!</v>
      </c>
      <c r="CM148" s="1131">
        <f t="shared" si="592">COUNTIF($CH$8:$CH$228,"&lt;="&amp;CH148)</f>
        <v>145</v>
      </c>
      <c r="CN148" s="1121">
        <f t="shared" si="631">--ISNUMBER(BX148)</f>
        <v>0</v>
      </c>
      <c r="CO148" s="1121">
        <f t="shared" si="632">IF(BX148=0,1,0)</f>
        <v>0</v>
      </c>
      <c r="CP148" s="1124">
        <f>IF(ISNUMBER(BX148),CM148,IF(ISERROR(BX148),CM148,CM148+$CN$154))+$CO$154</f>
        <v>145</v>
      </c>
      <c r="CQ148" s="237">
        <f>IFERROR(INDEX($BX$8:$BX$153,MATCH(SMALL($CP$8:$CP$153,ROWS($CQ$8:CQ148)+$CO$154),$CP$8:$CP$154,0)),"")</f>
        <v>0</v>
      </c>
      <c r="CR148" s="237">
        <v>0.1</v>
      </c>
      <c r="CS148" s="1135">
        <f t="shared" si="633">CM148+CR148</f>
        <v>145.1</v>
      </c>
      <c r="CT148" s="237">
        <f>COUNTIFS($CM:$CM, CM148,$CS:$CS, "&lt;"&amp;CL)+COUNTIFS(CM$8:CM148, CM148, CS$8:CS148, CS148)</f>
        <v>141</v>
      </c>
      <c r="CU148" s="1109">
        <f t="shared" si="634">CT148/100</f>
        <v>1.41</v>
      </c>
      <c r="CV148" s="1109">
        <f t="shared" si="635">CM148+CU148</f>
        <v>146.41</v>
      </c>
      <c r="CW148" s="237" t="e">
        <f t="shared" si="593">SMALL(CV$8:CV$153,AX148)</f>
        <v>#VALUE!</v>
      </c>
      <c r="CX148" s="1109">
        <f t="shared" si="636">IFERROR(CW148,"")</f>
        <v>0</v>
      </c>
      <c r="CY148" s="237" t="e">
        <f t="shared" si="594">INDEX(BU$8:BU$152,MATCH($CX148,CV$8:CV$152,0))</f>
        <v>#N/A</v>
      </c>
      <c r="CZ148" s="237" t="e">
        <f t="shared" si="595">INDEX(BV$8:BV$152,MATCH($CX148,$CV$8:$CV$152,0))</f>
        <v>#N/A</v>
      </c>
      <c r="DA148" s="237" t="e">
        <f t="shared" si="596">INDEX(BW$8:BW$152,MATCH($CX148,$CV$8:$CV$152,0))</f>
        <v>#N/A</v>
      </c>
      <c r="DB148" s="237" t="e">
        <f t="shared" si="597">INDEX(BX$8:BX$152,MATCH($CX148,$CV$8:$CV$152,0))</f>
        <v>#N/A</v>
      </c>
      <c r="DC148" s="237" t="e">
        <f t="shared" si="598">INDEX(BY$8:BY$152,MATCH($CX148,$CV$8:$CV$152,0))</f>
        <v>#N/A</v>
      </c>
      <c r="DD148" s="237" t="e">
        <f t="shared" si="599">INDEX(BZ$8:BZ$152,MATCH($CX148,$CV$8:$CV$152,0))</f>
        <v>#N/A</v>
      </c>
      <c r="DE148" s="237" t="e">
        <f t="shared" si="600">INDEX(CA$8:CA$152,MATCH($CX148,$CV$8:$CV$152,0))</f>
        <v>#N/A</v>
      </c>
      <c r="DF148" s="237" t="e">
        <f t="shared" si="601">INDEX(CB$8:CB$152,MATCH($CX148,$CV$8:$CV$152,0))</f>
        <v>#N/A</v>
      </c>
    </row>
    <row r="149" spans="1:110">
      <c r="A149" s="1219">
        <v>12</v>
      </c>
      <c r="B149" s="1513"/>
      <c r="C149" s="1220"/>
      <c r="D149" s="1220"/>
      <c r="E149" s="1220"/>
      <c r="F149" s="1220"/>
      <c r="G149" s="1220"/>
      <c r="H149" s="1220"/>
      <c r="I149" s="1478"/>
      <c r="J149" s="1221"/>
      <c r="K149" s="1222"/>
      <c r="L149" s="1223"/>
      <c r="M149" s="1224">
        <f t="shared" si="608">K149*L149</f>
        <v>0</v>
      </c>
      <c r="AM149" s="1077">
        <f t="shared" si="609">IF(M149&gt;0,1,0)</f>
        <v>0</v>
      </c>
      <c r="AN149" s="1096">
        <f>IF(K149&gt;0,COUNTIF(AM$8:AM149,"&gt;0"),0)</f>
        <v>0</v>
      </c>
      <c r="AO149" s="1078">
        <f t="shared" si="610">B149</f>
        <v>0</v>
      </c>
      <c r="AP149" s="1079">
        <f t="shared" si="611">C149</f>
        <v>0</v>
      </c>
      <c r="AQ149" s="1080">
        <f t="shared" si="612">IF(I149&lt;&gt;"",YEAR(I149),"")</f>
        <v>0</v>
      </c>
      <c r="AR149" s="1080">
        <f t="shared" si="602">IF(E149&lt;&gt;"",E149,"")</f>
        <v>0</v>
      </c>
      <c r="AS149" s="1078">
        <f t="shared" si="603">F149</f>
        <v>0</v>
      </c>
      <c r="AT149" s="1080">
        <f t="shared" si="604">IF(H149&lt;&gt;"",H149,"")</f>
        <v>0</v>
      </c>
      <c r="AU149" s="1080">
        <f t="shared" si="613">J149</f>
        <v>0</v>
      </c>
      <c r="AV149" s="1080">
        <f t="shared" si="614">K149</f>
        <v>0</v>
      </c>
      <c r="AW149" s="1081">
        <f t="shared" si="615">M149</f>
        <v>0</v>
      </c>
      <c r="AX149" s="237">
        <f t="shared" si="637">IF(AZ149&lt;&gt;"",AX148+1,"")</f>
        <v>0</v>
      </c>
      <c r="AY149" s="1087">
        <v>135</v>
      </c>
      <c r="AZ149" s="1087">
        <f t="shared" si="564">IF(ISNA(VLOOKUP(AY149,$AN$8:$AW$148,2,False))=True,"",VLOOKUP(AY149,$AN$8:$AW$148,2,False))</f>
        <v>0</v>
      </c>
      <c r="BA149" s="1087">
        <f t="shared" si="565">IF(ISNA(VLOOKUP(AZ149,$AE$8:$AF$46,2,False))=True,"",VLOOKUP(AZ149,$AE$8:$AF$46,2,False))</f>
        <v>0</v>
      </c>
      <c r="BB149" s="1087">
        <f t="shared" si="566">IF(ISNA(VLOOKUP(AY149,$AN$8:$AW$148,4,False))=True,"",VLOOKUP(AY149,$AN$8:$AW$148,4,False))</f>
        <v>0</v>
      </c>
      <c r="BC149" s="1087">
        <f t="shared" si="567">IF(ISNA(VLOOKUP(AY149,$AN$8:$AW$148,5,False))=True,"",VLOOKUP(AY149,$AN$8:$AW$148,5,False))</f>
        <v>0</v>
      </c>
      <c r="BD149" s="1087" t="str">
        <f t="shared" si="640">IF(ISNA(VLOOKUP(AY149,$AN$8:$AW$148,6,False))=True,"0",VLOOKUP(AY149,$AN$8:$AW$148,6,False))</f>
        <v>0</v>
      </c>
      <c r="BE149" s="1125">
        <f t="shared" si="568">IF(ISNA(VLOOKUP(AY149,$AN$8:$AW$148,7,False))=True,"",VLOOKUP(AY149,$AN$8:$AW$148,7,False))</f>
        <v>0</v>
      </c>
      <c r="BF149" s="1123">
        <f t="shared" si="569">IF(ISNA(VLOOKUP($AY149,$AN$8:$AW$148,8,False))=True,"",VLOOKUP($AY149,$AN$8:$AW$148,8,False))</f>
        <v>0</v>
      </c>
      <c r="BG149" s="1120">
        <f t="shared" si="570">IF(ISNA(VLOOKUP($AY149,$AN$8:$AW$148,9,False))=True,"",VLOOKUP($AY149,$AN$8:$AW$148,9,False))</f>
        <v>0</v>
      </c>
      <c r="BH149" s="1120">
        <f t="shared" si="571">IF(ISNA(VLOOKUP($AY149,$AN$8:$AW$148,10,False))=True,"",VLOOKUP($AY149,$AN$8:$AW$148,10,False))</f>
        <v>0</v>
      </c>
      <c r="BI149" s="250">
        <f t="shared" si="616">IF(AZ149&lt;&gt;"",AZ149,"")</f>
        <v>0</v>
      </c>
      <c r="BJ149" s="1098">
        <f t="shared" si="617">BI149</f>
        <v>0</v>
      </c>
      <c r="BK149" s="1115">
        <f>COUNTIFS($AZ:$AZ, AZ149,$BJ:$BJ, "&lt;"&amp;BJ149)+COUNTIFS(AZ$8:AZ149, AZ149, BJ$8:BJ149, BJ149)</f>
        <v>142</v>
      </c>
      <c r="BL149" s="1114">
        <f t="shared" si="618">BK149/100</f>
        <v>1.42</v>
      </c>
      <c r="BM149" s="1093" t="e">
        <f t="shared" si="690" ref="BM149">BI149+BL149</f>
        <v>#VALUE!</v>
      </c>
      <c r="BN149" s="1101">
        <f t="shared" si="606">IF(BA149&lt;&gt;"",BM149,"")</f>
        <v>0</v>
      </c>
      <c r="BO149" s="1118">
        <f t="shared" si="620">IF(BN149&lt;&gt;"",BN149,0)</f>
        <v>0</v>
      </c>
      <c r="BP149" s="237" t="e">
        <f t="shared" si="582">SMALL($BN$8:$BN$152,AX149)</f>
        <v>#VALUE!</v>
      </c>
      <c r="BR149" s="1102" t="e">
        <f t="shared" si="621">IF(BP149&lt;&gt;"",BR148+1,"")</f>
        <v>#VALUE!</v>
      </c>
      <c r="BS149" s="1102">
        <f t="shared" si="607">IFERROR(BP149,"")</f>
        <v>0</v>
      </c>
      <c r="BT149" s="1102">
        <f t="shared" si="622">IFERROR(CC149,"")</f>
        <v>0</v>
      </c>
      <c r="BU149" s="1098">
        <f t="shared" si="623">IFERROR(CD149,"")</f>
        <v>0</v>
      </c>
      <c r="BV149" s="1098">
        <f t="shared" si="624">IFERROR(CE149,"")</f>
        <v>0</v>
      </c>
      <c r="BW149" s="1098">
        <f t="shared" si="625">IFERROR(CF149,"")</f>
        <v>0</v>
      </c>
      <c r="BX149" s="1146">
        <f t="shared" si="626">IFERROR(CH149,"")</f>
        <v>0</v>
      </c>
      <c r="BY149" s="1098">
        <f t="shared" si="627">IFERROR(CG149,"")</f>
        <v>0</v>
      </c>
      <c r="BZ149" s="1144" t="str">
        <f t="shared" si="628">IFERROR(CI149,"-")</f>
        <v>-</v>
      </c>
      <c r="CA149" s="1107">
        <f t="shared" si="629">IFERROR(CJ149,"")</f>
        <v>0</v>
      </c>
      <c r="CB149" s="1107">
        <f t="shared" si="630">IFERROR(CK149,"")</f>
        <v>0</v>
      </c>
      <c r="CC149" s="1110" t="e">
        <f t="shared" si="583">INDEX($AZ$8:$AZ$153,MATCH(BP149,$BO$8:$BO$153,0))</f>
        <v>#VALUE!</v>
      </c>
      <c r="CD149" s="1087" t="e">
        <f t="shared" si="584">INDEX($BA$8:$BA$153,MATCH(BP149,$BO$8:$BO$153,0))</f>
        <v>#VALUE!</v>
      </c>
      <c r="CE149" s="1106" t="e">
        <f t="shared" si="585">INDEX($BB$8:$BB$153,MATCH(BP149,$BO$8:$BO$153,0))</f>
        <v>#VALUE!</v>
      </c>
      <c r="CF149" s="1106" t="e">
        <f t="shared" si="586">INDEX(BC$8:BC$153,MATCH(BP149,$BO$8:$BO$153,0))</f>
        <v>#VALUE!</v>
      </c>
      <c r="CG149" s="1118" t="e">
        <f t="shared" si="587">INDEX(BE$8:BE$153,MATCH(BP149,$BO$8:$BO$153,0))</f>
        <v>#VALUE!</v>
      </c>
      <c r="CH149" s="1106" t="e">
        <f t="shared" si="588">INDEX($BD$8:$BD$153,MATCH($BP149,$BO$8:$BO$153,0))</f>
        <v>#VALUE!</v>
      </c>
      <c r="CI149" s="1142" t="e">
        <f t="shared" si="589">INDEX($BF$8:$BF$153,MATCH(BP149,$BO$8:$BO$153,0))</f>
        <v>#VALUE!</v>
      </c>
      <c r="CJ149" s="1106" t="e">
        <f t="shared" si="590">INDEX($BG$8:$BG$153,MATCH(BP149,$BO$8:$BO$153,0))</f>
        <v>#VALUE!</v>
      </c>
      <c r="CK149" s="1106" t="e">
        <f t="shared" si="591">INDEX($BH$8:$BH$153,MATCH(BP149,$BO$8:$BO$153,0))</f>
        <v>#VALUE!</v>
      </c>
      <c r="CM149" s="1131">
        <f t="shared" si="592">COUNTIF($CH$8:$CH$228,"&lt;="&amp;CH149)</f>
        <v>145</v>
      </c>
      <c r="CN149" s="1121">
        <f t="shared" si="631">--ISNUMBER(BX149)</f>
        <v>0</v>
      </c>
      <c r="CO149" s="1121">
        <f t="shared" si="632">IF(BX149=0,1,0)</f>
        <v>0</v>
      </c>
      <c r="CP149" s="1124">
        <f>IF(ISNUMBER(BX149),CM149,IF(ISERROR(BX149),CM149,CM149+$CN$154))+$CO$154</f>
        <v>145</v>
      </c>
      <c r="CQ149" s="237">
        <f>IFERROR(INDEX($BX$8:$BX$153,MATCH(SMALL($CP$8:$CP$153,ROWS($CQ$8:CQ149)+$CO$154),$CP$8:$CP$154,0)),"")</f>
        <v>0</v>
      </c>
      <c r="CR149" s="237">
        <v>0.1</v>
      </c>
      <c r="CS149" s="1135">
        <f t="shared" si="633">CM149+CR149</f>
        <v>145.1</v>
      </c>
      <c r="CT149" s="237">
        <f>COUNTIFS($CM:$CM, CM149,$CS:$CS, "&lt;"&amp;CL)+COUNTIFS(CM$8:CM149, CM149, CS$8:CS149, CS149)</f>
        <v>142</v>
      </c>
      <c r="CU149" s="1109">
        <f t="shared" si="634">CT149/100</f>
        <v>1.42</v>
      </c>
      <c r="CV149" s="1109">
        <f t="shared" si="635">CM149+CU149</f>
        <v>146.42</v>
      </c>
      <c r="CW149" s="237" t="e">
        <f t="shared" si="593">SMALL(CV$8:CV$153,AX149)</f>
        <v>#VALUE!</v>
      </c>
      <c r="CX149" s="1109">
        <f t="shared" si="636">IFERROR(CW149,"")</f>
        <v>0</v>
      </c>
      <c r="CY149" s="237" t="e">
        <f t="shared" si="594">INDEX(BU$8:BU$152,MATCH($CX149,CV$8:CV$152,0))</f>
        <v>#N/A</v>
      </c>
      <c r="CZ149" s="237" t="e">
        <f t="shared" si="595">INDEX(BV$8:BV$152,MATCH($CX149,$CV$8:$CV$152,0))</f>
        <v>#N/A</v>
      </c>
      <c r="DA149" s="237" t="e">
        <f t="shared" si="596">INDEX(BW$8:BW$152,MATCH($CX149,$CV$8:$CV$152,0))</f>
        <v>#N/A</v>
      </c>
      <c r="DB149" s="237" t="e">
        <f t="shared" si="597">INDEX(BX$8:BX$152,MATCH($CX149,$CV$8:$CV$152,0))</f>
        <v>#N/A</v>
      </c>
      <c r="DC149" s="237" t="e">
        <f t="shared" si="598">INDEX(BY$8:BY$152,MATCH($CX149,$CV$8:$CV$152,0))</f>
        <v>#N/A</v>
      </c>
      <c r="DD149" s="237" t="e">
        <f t="shared" si="599">INDEX(BZ$8:BZ$152,MATCH($CX149,$CV$8:$CV$152,0))</f>
        <v>#N/A</v>
      </c>
      <c r="DE149" s="237" t="e">
        <f t="shared" si="600">INDEX(CA$8:CA$152,MATCH($CX149,$CV$8:$CV$152,0))</f>
        <v>#N/A</v>
      </c>
      <c r="DF149" s="237" t="e">
        <f t="shared" si="601">INDEX(CB$8:CB$152,MATCH($CX149,$CV$8:$CV$152,0))</f>
        <v>#N/A</v>
      </c>
    </row>
    <row r="150" spans="1:110">
      <c r="A150" s="1219">
        <v>13</v>
      </c>
      <c r="B150" s="1513"/>
      <c r="C150" s="1220"/>
      <c r="D150" s="1220"/>
      <c r="E150" s="1220"/>
      <c r="F150" s="1220"/>
      <c r="G150" s="1220"/>
      <c r="H150" s="1220"/>
      <c r="I150" s="1478"/>
      <c r="J150" s="1221"/>
      <c r="K150" s="1222"/>
      <c r="L150" s="1223"/>
      <c r="M150" s="1224">
        <f t="shared" si="608">K150*L150</f>
        <v>0</v>
      </c>
      <c r="AM150" s="1082">
        <f t="shared" si="609">IF(M150&gt;0,1,0)</f>
        <v>0</v>
      </c>
      <c r="AN150" s="1096">
        <f>IF(AM150&gt;0,COUNTIF(AM$8:AM150,"&gt;0"),0)</f>
        <v>0</v>
      </c>
      <c r="AO150" s="1083">
        <f t="shared" si="610">B150</f>
        <v>0</v>
      </c>
      <c r="AP150" s="1084">
        <f t="shared" si="611">C150</f>
        <v>0</v>
      </c>
      <c r="AQ150" s="1085">
        <f t="shared" si="612">IF(I150&lt;&gt;"",YEAR(I150),"")</f>
        <v>0</v>
      </c>
      <c r="AR150" s="1080">
        <f t="shared" si="602">IF(E150&lt;&gt;"",E150,"")</f>
        <v>0</v>
      </c>
      <c r="AS150" s="1078">
        <f t="shared" si="603">F150</f>
        <v>0</v>
      </c>
      <c r="AT150" s="1080">
        <f t="shared" si="604">IF(H150&lt;&gt;"",H150,"")</f>
        <v>0</v>
      </c>
      <c r="AU150" s="1080">
        <f t="shared" si="613">J150</f>
        <v>0</v>
      </c>
      <c r="AV150" s="1080">
        <f t="shared" si="614">K150</f>
        <v>0</v>
      </c>
      <c r="AW150" s="1086">
        <f t="shared" si="615">M150</f>
        <v>0</v>
      </c>
      <c r="AX150" s="237">
        <f t="shared" si="637">IF(AZ150&lt;&gt;"",AX149+1,"")</f>
        <v>0</v>
      </c>
      <c r="AY150" s="1087">
        <v>136</v>
      </c>
      <c r="AZ150" s="1087">
        <f t="shared" si="564">IF(ISNA(VLOOKUP(AY150,$AN$8:$AW$148,2,False))=True,"",VLOOKUP(AY150,$AN$8:$AW$148,2,False))</f>
        <v>0</v>
      </c>
      <c r="BA150" s="1087">
        <f t="shared" si="565">IF(ISNA(VLOOKUP(AZ150,$AE$8:$AF$46,2,False))=True,"",VLOOKUP(AZ150,$AE$8:$AF$46,2,False))</f>
        <v>0</v>
      </c>
      <c r="BB150" s="1087">
        <f t="shared" si="566">IF(ISNA(VLOOKUP(AY150,$AN$8:$AW$148,4,False))=True,"",VLOOKUP(AY150,$AN$8:$AW$148,4,False))</f>
        <v>0</v>
      </c>
      <c r="BC150" s="1087">
        <f t="shared" si="567">IF(ISNA(VLOOKUP(AY150,$AN$8:$AW$148,5,False))=True,"",VLOOKUP(AY150,$AN$8:$AW$148,5,False))</f>
        <v>0</v>
      </c>
      <c r="BD150" s="1087" t="str">
        <f t="shared" si="640">IF(ISNA(VLOOKUP(AY150,$AN$8:$AW$148,6,False))=True,"0",VLOOKUP(AY150,$AN$8:$AW$148,6,False))</f>
        <v>0</v>
      </c>
      <c r="BE150" s="1125">
        <f t="shared" si="568">IF(ISNA(VLOOKUP(AY150,$AN$8:$AW$148,7,False))=True,"",VLOOKUP(AY150,$AN$8:$AW$148,7,False))</f>
        <v>0</v>
      </c>
      <c r="BF150" s="1123">
        <f t="shared" si="569">IF(ISNA(VLOOKUP($AY150,$AN$8:$AW$148,8,False))=True,"",VLOOKUP($AY150,$AN$8:$AW$148,8,False))</f>
        <v>0</v>
      </c>
      <c r="BG150" s="1120">
        <f t="shared" si="570">IF(ISNA(VLOOKUP($AY150,$AN$8:$AW$148,9,False))=True,"",VLOOKUP($AY150,$AN$8:$AW$148,9,False))</f>
        <v>0</v>
      </c>
      <c r="BH150" s="1120">
        <f t="shared" si="571">IF(ISNA(VLOOKUP($AY150,$AN$8:$AW$148,10,False))=True,"",VLOOKUP($AY150,$AN$8:$AW$148,10,False))</f>
        <v>0</v>
      </c>
      <c r="BI150" s="250">
        <f t="shared" si="616">IF(AZ150&lt;&gt;"",AZ150,"")</f>
        <v>0</v>
      </c>
      <c r="BJ150" s="1098">
        <f t="shared" si="617">BI150</f>
        <v>0</v>
      </c>
      <c r="BK150" s="1115">
        <f>COUNTIFS($AZ:$AZ, AZ150,$BJ:$BJ, "&lt;"&amp;BJ150)+COUNTIFS(AZ$8:AZ150, AZ150, BJ$8:BJ150, BJ150)</f>
        <v>143</v>
      </c>
      <c r="BL150" s="1114">
        <f t="shared" si="618">BK150/100</f>
        <v>1.43</v>
      </c>
      <c r="BM150" s="1093" t="e">
        <f t="shared" si="691" ref="BM150">BJ150+BL150</f>
        <v>#VALUE!</v>
      </c>
      <c r="BN150" s="1101">
        <f t="shared" si="606">IF(BA150&lt;&gt;"",BM150,"")</f>
        <v>0</v>
      </c>
      <c r="BO150" s="1118">
        <f t="shared" si="620">IF(BN150&lt;&gt;"",BN150,0)</f>
        <v>0</v>
      </c>
      <c r="BP150" s="237" t="e">
        <f t="shared" si="582">SMALL($BN$8:$BN$152,AX150)</f>
        <v>#VALUE!</v>
      </c>
      <c r="BR150" s="1102" t="e">
        <f t="shared" si="621">IF(BP150&lt;&gt;"",BR149+1,"")</f>
        <v>#VALUE!</v>
      </c>
      <c r="BS150" s="1102">
        <f t="shared" si="607">IFERROR(BP150,"")</f>
        <v>0</v>
      </c>
      <c r="BT150" s="1102">
        <f t="shared" si="622">IFERROR(CC150,"")</f>
        <v>0</v>
      </c>
      <c r="BU150" s="1098">
        <f t="shared" si="623">IFERROR(CD150,"")</f>
        <v>0</v>
      </c>
      <c r="BV150" s="1098">
        <f t="shared" si="624">IFERROR(CE150,"")</f>
        <v>0</v>
      </c>
      <c r="BW150" s="1098">
        <f t="shared" si="625">IFERROR(CF150,"")</f>
        <v>0</v>
      </c>
      <c r="BX150" s="1146">
        <f t="shared" si="626">IFERROR(CH150,"")</f>
        <v>0</v>
      </c>
      <c r="BY150" s="1098">
        <f t="shared" si="627">IFERROR(CG150,"")</f>
        <v>0</v>
      </c>
      <c r="BZ150" s="1144" t="str">
        <f t="shared" si="628">IFERROR(CI150,"-")</f>
        <v>-</v>
      </c>
      <c r="CA150" s="1107">
        <f t="shared" si="629">IFERROR(CJ150,"")</f>
        <v>0</v>
      </c>
      <c r="CB150" s="1107">
        <f t="shared" si="630">IFERROR(CK150,"")</f>
        <v>0</v>
      </c>
      <c r="CC150" s="1110" t="e">
        <f t="shared" si="583">INDEX($AZ$8:$AZ$153,MATCH(BP150,$BO$8:$BO$153,0))</f>
        <v>#VALUE!</v>
      </c>
      <c r="CD150" s="1087" t="e">
        <f t="shared" si="584">INDEX($BA$8:$BA$153,MATCH(BP150,$BO$8:$BO$153,0))</f>
        <v>#VALUE!</v>
      </c>
      <c r="CE150" s="1106" t="e">
        <f t="shared" si="585">INDEX($BB$8:$BB$153,MATCH(BP150,$BO$8:$BO$153,0))</f>
        <v>#VALUE!</v>
      </c>
      <c r="CF150" s="1106" t="e">
        <f t="shared" si="586">INDEX(BC$8:BC$153,MATCH(BP150,$BO$8:$BO$153,0))</f>
        <v>#VALUE!</v>
      </c>
      <c r="CG150" s="1118" t="e">
        <f t="shared" si="587">INDEX(BE$8:BE$153,MATCH(BP150,$BO$8:$BO$153,0))</f>
        <v>#VALUE!</v>
      </c>
      <c r="CH150" s="1106" t="e">
        <f t="shared" si="588">INDEX($BD$8:$BD$153,MATCH($BP150,$BO$8:$BO$153,0))</f>
        <v>#VALUE!</v>
      </c>
      <c r="CI150" s="1142" t="e">
        <f t="shared" si="589">INDEX($BF$8:$BF$153,MATCH(BP150,$BO$8:$BO$153,0))</f>
        <v>#VALUE!</v>
      </c>
      <c r="CJ150" s="1106" t="e">
        <f t="shared" si="590">INDEX($BG$8:$BG$153,MATCH(BP150,$BO$8:$BO$153,0))</f>
        <v>#VALUE!</v>
      </c>
      <c r="CK150" s="1106" t="e">
        <f t="shared" si="591">INDEX($BH$8:$BH$153,MATCH(BP150,$BO$8:$BO$153,0))</f>
        <v>#VALUE!</v>
      </c>
      <c r="CM150" s="1131">
        <f t="shared" si="592">COUNTIF($CH$8:$CH$228,"&lt;="&amp;CH150)</f>
        <v>145</v>
      </c>
      <c r="CN150" s="1121">
        <f t="shared" si="631">--ISNUMBER(BX150)</f>
        <v>0</v>
      </c>
      <c r="CO150" s="1121">
        <f t="shared" si="632">IF(BX150=0,1,0)</f>
        <v>0</v>
      </c>
      <c r="CP150" s="1124">
        <f>IF(ISNUMBER(BX150),CM150,IF(ISERROR(BX150),CM150,CM150+$CN$154))+$CO$154</f>
        <v>145</v>
      </c>
      <c r="CQ150" s="237">
        <f>IFERROR(INDEX($BX$8:$BX$153,MATCH(SMALL($CP$8:$CP$153,ROWS($CQ$8:CQ150)+$CO$154),$CP$8:$CP$154,0)),"")</f>
        <v>0</v>
      </c>
      <c r="CR150" s="237">
        <v>0.1</v>
      </c>
      <c r="CS150" s="1135">
        <f t="shared" si="633">CM150+CR150</f>
        <v>145.1</v>
      </c>
      <c r="CT150" s="237">
        <f>COUNTIFS($CM:$CM, CM150,$CS:$CS, "&lt;"&amp;CL)+COUNTIFS(CM$8:CM150, CM150, CS$8:CS150, CS150)</f>
        <v>143</v>
      </c>
      <c r="CU150" s="1109">
        <f t="shared" si="634">CT150/100</f>
        <v>1.43</v>
      </c>
      <c r="CV150" s="1109">
        <f t="shared" si="635">CM150+CU150</f>
        <v>146.43</v>
      </c>
      <c r="CW150" s="237" t="e">
        <f t="shared" si="593">SMALL(CV$8:CV$153,AX150)</f>
        <v>#VALUE!</v>
      </c>
      <c r="CX150" s="1109">
        <f t="shared" si="636">IFERROR(CW150,"")</f>
        <v>0</v>
      </c>
      <c r="CY150" s="237" t="e">
        <f t="shared" si="594">INDEX(BU$8:BU$152,MATCH($CX150,CV$8:CV$152,0))</f>
        <v>#N/A</v>
      </c>
      <c r="CZ150" s="237" t="e">
        <f t="shared" si="595">INDEX(BV$8:BV$152,MATCH($CX150,$CV$8:$CV$152,0))</f>
        <v>#N/A</v>
      </c>
      <c r="DA150" s="237" t="e">
        <f t="shared" si="596">INDEX(BW$8:BW$152,MATCH($CX150,$CV$8:$CV$152,0))</f>
        <v>#N/A</v>
      </c>
      <c r="DB150" s="237" t="e">
        <f t="shared" si="597">INDEX(BX$8:BX$152,MATCH($CX150,$CV$8:$CV$152,0))</f>
        <v>#N/A</v>
      </c>
      <c r="DC150" s="237" t="e">
        <f t="shared" si="598">INDEX(BY$8:BY$152,MATCH($CX150,$CV$8:$CV$152,0))</f>
        <v>#N/A</v>
      </c>
      <c r="DD150" s="237" t="e">
        <f t="shared" si="599">INDEX(BZ$8:BZ$152,MATCH($CX150,$CV$8:$CV$152,0))</f>
        <v>#N/A</v>
      </c>
      <c r="DE150" s="237" t="e">
        <f t="shared" si="600">INDEX(CA$8:CA$152,MATCH($CX150,$CV$8:$CV$152,0))</f>
        <v>#N/A</v>
      </c>
      <c r="DF150" s="237" t="e">
        <f t="shared" si="601">INDEX(CB$8:CB$152,MATCH($CX150,$CV$8:$CV$152,0))</f>
        <v>#N/A</v>
      </c>
    </row>
    <row r="151" spans="1:110">
      <c r="A151" s="1219">
        <v>14</v>
      </c>
      <c r="B151" s="1513"/>
      <c r="C151" s="1220"/>
      <c r="D151" s="1220"/>
      <c r="E151" s="1220"/>
      <c r="F151" s="1220"/>
      <c r="G151" s="1220"/>
      <c r="H151" s="1220"/>
      <c r="I151" s="1478"/>
      <c r="J151" s="1221"/>
      <c r="K151" s="1222"/>
      <c r="L151" s="1223"/>
      <c r="M151" s="1224">
        <f t="shared" si="608">K151*L151</f>
        <v>0</v>
      </c>
      <c r="AM151" s="1077">
        <f t="shared" si="609">IF(M151&gt;0,1,0)</f>
        <v>0</v>
      </c>
      <c r="AN151" s="1096">
        <f>IF(AM151&gt;0,COUNTIF(AM$8:AM151,"&gt;0"),0)</f>
        <v>0</v>
      </c>
      <c r="AO151" s="1078">
        <f t="shared" si="610">B151</f>
        <v>0</v>
      </c>
      <c r="AP151" s="1079">
        <f t="shared" si="611">C151</f>
        <v>0</v>
      </c>
      <c r="AQ151" s="1080">
        <f t="shared" si="612">IF(I151&lt;&gt;"",YEAR(I151),"")</f>
        <v>0</v>
      </c>
      <c r="AR151" s="1080">
        <f t="shared" si="602">IF(E151&lt;&gt;"",E151,"")</f>
        <v>0</v>
      </c>
      <c r="AS151" s="1078">
        <f t="shared" si="603">F151</f>
        <v>0</v>
      </c>
      <c r="AT151" s="1080">
        <f t="shared" si="604">IF(H151&lt;&gt;"",H151,"")</f>
        <v>0</v>
      </c>
      <c r="AU151" s="1080">
        <f t="shared" si="613">J151</f>
        <v>0</v>
      </c>
      <c r="AV151" s="1080">
        <f t="shared" si="614">K151</f>
        <v>0</v>
      </c>
      <c r="AW151" s="1081">
        <f t="shared" si="615">M151</f>
        <v>0</v>
      </c>
      <c r="AX151" s="237">
        <f t="shared" si="637">IF(AZ151&lt;&gt;"",AX150+1,"")</f>
        <v>0</v>
      </c>
      <c r="AY151" s="1087">
        <v>137</v>
      </c>
      <c r="AZ151" s="1087">
        <f t="shared" si="564">IF(ISNA(VLOOKUP(AY151,$AN$8:$AW$148,2,False))=True,"",VLOOKUP(AY151,$AN$8:$AW$148,2,False))</f>
        <v>0</v>
      </c>
      <c r="BA151" s="1087">
        <f t="shared" si="565">IF(ISNA(VLOOKUP(AZ151,$AE$8:$AF$46,2,False))=True,"",VLOOKUP(AZ151,$AE$8:$AF$46,2,False))</f>
        <v>0</v>
      </c>
      <c r="BB151" s="1087">
        <f t="shared" si="566">IF(ISNA(VLOOKUP(AY151,$AN$8:$AW$148,4,False))=True,"",VLOOKUP(AY151,$AN$8:$AW$148,4,False))</f>
        <v>0</v>
      </c>
      <c r="BC151" s="1087">
        <f t="shared" si="567">IF(ISNA(VLOOKUP(AY151,$AN$8:$AW$148,5,False))=True,"",VLOOKUP(AY151,$AN$8:$AW$148,5,False))</f>
        <v>0</v>
      </c>
      <c r="BD151" s="1087" t="str">
        <f t="shared" si="640">IF(ISNA(VLOOKUP(AY151,$AN$8:$AW$148,6,False))=True,"0",VLOOKUP(AY151,$AN$8:$AW$148,6,False))</f>
        <v>0</v>
      </c>
      <c r="BE151" s="1125">
        <f t="shared" si="568">IF(ISNA(VLOOKUP(AY151,$AN$8:$AW$148,7,False))=True,"",VLOOKUP(AY151,$AN$8:$AW$148,7,False))</f>
        <v>0</v>
      </c>
      <c r="BF151" s="1123">
        <f t="shared" si="569">IF(ISNA(VLOOKUP($AY151,$AN$8:$AW$148,8,False))=True,"",VLOOKUP($AY151,$AN$8:$AW$148,8,False))</f>
        <v>0</v>
      </c>
      <c r="BG151" s="1120">
        <f t="shared" si="570">IF(ISNA(VLOOKUP($AY151,$AN$8:$AW$148,9,False))=True,"",VLOOKUP($AY151,$AN$8:$AW$148,9,False))</f>
        <v>0</v>
      </c>
      <c r="BH151" s="1120">
        <f t="shared" si="571">IF(ISNA(VLOOKUP($AY151,$AN$8:$AW$148,10,False))=True,"",VLOOKUP($AY151,$AN$8:$AW$148,10,False))</f>
        <v>0</v>
      </c>
      <c r="BI151" s="250">
        <f t="shared" si="616">IF(AZ151&lt;&gt;"",AZ151,"")</f>
        <v>0</v>
      </c>
      <c r="BJ151" s="1098">
        <f t="shared" si="617">BI151</f>
        <v>0</v>
      </c>
      <c r="BK151" s="1115">
        <f>COUNTIFS($AZ:$AZ, AZ151,$BJ:$BJ, "&lt;"&amp;BJ151)+COUNTIFS(AZ$8:AZ151, AZ151, BJ$8:BJ151, BJ151)</f>
        <v>144</v>
      </c>
      <c r="BL151" s="1114">
        <f t="shared" si="618">BK151/100</f>
        <v>1.44</v>
      </c>
      <c r="BM151" s="1093" t="e">
        <f t="shared" si="692" ref="BM151">BI151+BL151</f>
        <v>#VALUE!</v>
      </c>
      <c r="BN151" s="1101">
        <f t="shared" si="606">IF(BA151&lt;&gt;"",BM151,"")</f>
        <v>0</v>
      </c>
      <c r="BO151" s="1118">
        <f t="shared" si="620">IF(BN151&lt;&gt;"",BN151,0)</f>
        <v>0</v>
      </c>
      <c r="BP151" s="237" t="e">
        <f t="shared" si="582">SMALL($BN$8:$BN$152,AX151)</f>
        <v>#VALUE!</v>
      </c>
      <c r="BR151" s="1102" t="e">
        <f t="shared" si="621">IF(BP151&lt;&gt;"",BR150+1,"")</f>
        <v>#VALUE!</v>
      </c>
      <c r="BS151" s="1102">
        <f t="shared" si="607">IFERROR(BP151,"")</f>
        <v>0</v>
      </c>
      <c r="BT151" s="1102">
        <f t="shared" si="622">IFERROR(CC151,"")</f>
        <v>0</v>
      </c>
      <c r="BU151" s="1098">
        <f t="shared" si="623">IFERROR(CD151,"")</f>
        <v>0</v>
      </c>
      <c r="BV151" s="1098">
        <f t="shared" si="624">IFERROR(CE151,"")</f>
        <v>0</v>
      </c>
      <c r="BW151" s="1098">
        <f t="shared" si="625">IFERROR(CF151,"")</f>
        <v>0</v>
      </c>
      <c r="BX151" s="1146">
        <f t="shared" si="626">IFERROR(CH151,"")</f>
        <v>0</v>
      </c>
      <c r="BY151" s="1098">
        <f t="shared" si="627">IFERROR(CG151,"")</f>
        <v>0</v>
      </c>
      <c r="BZ151" s="1144" t="str">
        <f t="shared" si="628">IFERROR(CI151,"-")</f>
        <v>-</v>
      </c>
      <c r="CA151" s="1107">
        <f t="shared" si="629">IFERROR(CJ151,"")</f>
        <v>0</v>
      </c>
      <c r="CB151" s="1107">
        <f t="shared" si="630">IFERROR(CK151,"")</f>
        <v>0</v>
      </c>
      <c r="CC151" s="1110" t="e">
        <f t="shared" si="583">INDEX($AZ$8:$AZ$153,MATCH(BP151,$BO$8:$BO$153,0))</f>
        <v>#VALUE!</v>
      </c>
      <c r="CD151" s="1087" t="e">
        <f t="shared" si="584">INDEX($BA$8:$BA$153,MATCH(BP151,$BO$8:$BO$153,0))</f>
        <v>#VALUE!</v>
      </c>
      <c r="CE151" s="1106" t="e">
        <f t="shared" si="585">INDEX($BB$8:$BB$153,MATCH(BP151,$BO$8:$BO$153,0))</f>
        <v>#VALUE!</v>
      </c>
      <c r="CF151" s="1106" t="e">
        <f t="shared" si="586">INDEX(BC$8:BC$153,MATCH(BP151,$BO$8:$BO$153,0))</f>
        <v>#VALUE!</v>
      </c>
      <c r="CG151" s="1118" t="e">
        <f t="shared" si="587">INDEX(BE$8:BE$153,MATCH(BP151,$BO$8:$BO$153,0))</f>
        <v>#VALUE!</v>
      </c>
      <c r="CH151" s="1106" t="e">
        <f t="shared" si="588">INDEX($BD$8:$BD$153,MATCH($BP151,$BO$8:$BO$153,0))</f>
        <v>#VALUE!</v>
      </c>
      <c r="CI151" s="1142" t="e">
        <f t="shared" si="589">INDEX($BF$8:$BF$153,MATCH(BP151,$BO$8:$BO$153,0))</f>
        <v>#VALUE!</v>
      </c>
      <c r="CJ151" s="1106" t="e">
        <f t="shared" si="590">INDEX($BG$8:$BG$153,MATCH(BP151,$BO$8:$BO$153,0))</f>
        <v>#VALUE!</v>
      </c>
      <c r="CK151" s="1106" t="e">
        <f t="shared" si="591">INDEX($BH$8:$BH$153,MATCH(BP151,$BO$8:$BO$153,0))</f>
        <v>#VALUE!</v>
      </c>
      <c r="CM151" s="1131">
        <f t="shared" si="592">COUNTIF($CH$8:$CH$228,"&lt;="&amp;CH151)</f>
        <v>145</v>
      </c>
      <c r="CN151" s="1121">
        <f t="shared" si="631">--ISNUMBER(BX151)</f>
        <v>0</v>
      </c>
      <c r="CO151" s="1121">
        <f t="shared" si="632">IF(BX151=0,1,0)</f>
        <v>0</v>
      </c>
      <c r="CP151" s="1124">
        <f>IF(ISNUMBER(BX151),CM151,IF(ISERROR(BX151),CM151,CM151+$CN$154))+$CO$154</f>
        <v>145</v>
      </c>
      <c r="CQ151" s="237">
        <f>IFERROR(INDEX($BX$8:$BX$153,MATCH(SMALL($CP$8:$CP$153,ROWS($CQ$8:CQ151)+$CO$154),$CP$8:$CP$154,0)),"")</f>
        <v>0</v>
      </c>
      <c r="CR151" s="237">
        <v>0.1</v>
      </c>
      <c r="CS151" s="1135">
        <f t="shared" si="633">CM151+CR151</f>
        <v>145.1</v>
      </c>
      <c r="CT151" s="237">
        <f>COUNTIFS($CM:$CM, CM151,$CS:$CS, "&lt;"&amp;CL)+COUNTIFS(CM$8:CM151, CM151, CS$8:CS151, CS151)</f>
        <v>144</v>
      </c>
      <c r="CU151" s="1109">
        <f t="shared" si="634">CT151/100</f>
        <v>1.44</v>
      </c>
      <c r="CV151" s="1109">
        <f t="shared" si="635">CM151+CU151</f>
        <v>146.44</v>
      </c>
      <c r="CW151" s="237" t="e">
        <f t="shared" si="593">SMALL(CV$8:CV$153,AX151)</f>
        <v>#VALUE!</v>
      </c>
      <c r="CX151" s="1109">
        <f t="shared" si="636">IFERROR(CW151,"")</f>
        <v>0</v>
      </c>
      <c r="CY151" s="237" t="e">
        <f t="shared" si="594">INDEX(BU$8:BU$152,MATCH($CX151,CV$8:CV$152,0))</f>
        <v>#N/A</v>
      </c>
      <c r="CZ151" s="237" t="e">
        <f t="shared" si="595">INDEX(BV$8:BV$152,MATCH($CX151,$CV$8:$CV$152,0))</f>
        <v>#N/A</v>
      </c>
      <c r="DA151" s="237" t="e">
        <f t="shared" si="596">INDEX(BW$8:BW$152,MATCH($CX151,$CV$8:$CV$152,0))</f>
        <v>#N/A</v>
      </c>
      <c r="DB151" s="237" t="e">
        <f t="shared" si="597">INDEX(BX$8:BX$152,MATCH($CX151,$CV$8:$CV$152,0))</f>
        <v>#N/A</v>
      </c>
      <c r="DC151" s="237" t="e">
        <f t="shared" si="598">INDEX(BY$8:BY$152,MATCH($CX151,$CV$8:$CV$152,0))</f>
        <v>#N/A</v>
      </c>
      <c r="DD151" s="237" t="e">
        <f t="shared" si="599">INDEX(BZ$8:BZ$152,MATCH($CX151,$CV$8:$CV$152,0))</f>
        <v>#N/A</v>
      </c>
      <c r="DE151" s="237" t="e">
        <f t="shared" si="600">INDEX(CA$8:CA$152,MATCH($CX151,$CV$8:$CV$152,0))</f>
        <v>#N/A</v>
      </c>
      <c r="DF151" s="237" t="e">
        <f t="shared" si="601">INDEX(CB$8:CB$152,MATCH($CX151,$CV$8:$CV$152,0))</f>
        <v>#N/A</v>
      </c>
    </row>
    <row r="152" spans="1:110" ht="13.5" customHeight="1" thickBot="1">
      <c r="A152" s="1468">
        <v>15</v>
      </c>
      <c r="B152" s="1514"/>
      <c r="C152" s="1225"/>
      <c r="D152" s="1225"/>
      <c r="E152" s="1225"/>
      <c r="F152" s="1225"/>
      <c r="G152" s="1225"/>
      <c r="H152" s="1225"/>
      <c r="I152" s="1479"/>
      <c r="J152" s="1226"/>
      <c r="K152" s="1227"/>
      <c r="L152" s="1228"/>
      <c r="M152" s="1229">
        <f t="shared" si="608">K152*L152</f>
        <v>0</v>
      </c>
      <c r="AM152" s="1077">
        <f t="shared" si="609">IF(M152&gt;0,1,0)</f>
        <v>0</v>
      </c>
      <c r="AN152" s="1096">
        <f>IF(K152&gt;0,COUNTIF(AM$8:AM152,"&gt;0"),0)</f>
        <v>0</v>
      </c>
      <c r="AO152" s="1078">
        <f t="shared" si="610">B152</f>
        <v>0</v>
      </c>
      <c r="AP152" s="1079">
        <f t="shared" si="611">C152</f>
        <v>0</v>
      </c>
      <c r="AQ152" s="1080">
        <f t="shared" si="612">IF(I152&lt;&gt;"",YEAR(I152),"")</f>
        <v>0</v>
      </c>
      <c r="AR152" s="1080">
        <f t="shared" si="602">IF(E152&lt;&gt;"",E152,"")</f>
        <v>0</v>
      </c>
      <c r="AS152" s="1078">
        <f t="shared" si="603">F152</f>
        <v>0</v>
      </c>
      <c r="AT152" s="1080">
        <f t="shared" si="604">IF(H152&lt;&gt;"",H152,"")</f>
        <v>0</v>
      </c>
      <c r="AU152" s="1080">
        <f t="shared" si="613">J152</f>
        <v>0</v>
      </c>
      <c r="AV152" s="1080">
        <f t="shared" si="614">K152</f>
        <v>0</v>
      </c>
      <c r="AW152" s="1081">
        <f t="shared" si="615">M152</f>
        <v>0</v>
      </c>
      <c r="AX152" s="237">
        <f t="shared" si="637">IF(AZ152&lt;&gt;"",AX151+1,"")</f>
        <v>0</v>
      </c>
      <c r="AY152" s="1087">
        <v>138</v>
      </c>
      <c r="AZ152" s="1087">
        <f t="shared" si="564">IF(ISNA(VLOOKUP(AY152,$AN$8:$AW$148,2,False))=True,"",VLOOKUP(AY152,$AN$8:$AW$148,2,False))</f>
        <v>0</v>
      </c>
      <c r="BA152" s="1087">
        <f t="shared" si="565">IF(ISNA(VLOOKUP(AZ152,$AE$8:$AF$46,2,False))=True,"",VLOOKUP(AZ152,$AE$8:$AF$46,2,False))</f>
        <v>0</v>
      </c>
      <c r="BB152" s="1087">
        <f t="shared" si="566">IF(ISNA(VLOOKUP(AY152,$AN$8:$AW$148,4,False))=True,"",VLOOKUP(AY152,$AN$8:$AW$148,4,False))</f>
        <v>0</v>
      </c>
      <c r="BC152" s="1087">
        <f t="shared" si="567">IF(ISNA(VLOOKUP(AY152,$AN$8:$AW$148,5,False))=True,"",VLOOKUP(AY152,$AN$8:$AW$148,5,False))</f>
        <v>0</v>
      </c>
      <c r="BD152" s="1087" t="str">
        <f t="shared" si="640">IF(ISNA(VLOOKUP(AY152,$AN$8:$AW$148,6,False))=True,"0",VLOOKUP(AY152,$AN$8:$AW$148,6,False))</f>
        <v>0</v>
      </c>
      <c r="BE152" s="1125">
        <f t="shared" si="568">IF(ISNA(VLOOKUP(AY152,$AN$8:$AW$148,7,False))=True,"",VLOOKUP(AY152,$AN$8:$AW$148,7,False))</f>
        <v>0</v>
      </c>
      <c r="BF152" s="1123">
        <f t="shared" si="569">IF(ISNA(VLOOKUP($AY152,$AN$8:$AW$148,8,False))=True,"",VLOOKUP($AY152,$AN$8:$AW$148,8,False))</f>
        <v>0</v>
      </c>
      <c r="BG152" s="1120">
        <f t="shared" si="570">IF(ISNA(VLOOKUP($AY152,$AN$8:$AW$148,9,False))=True,"",VLOOKUP($AY152,$AN$8:$AW$148,9,False))</f>
        <v>0</v>
      </c>
      <c r="BH152" s="1120">
        <f t="shared" si="571">IF(ISNA(VLOOKUP($AY152,$AN$8:$AW$148,10,False))=True,"",VLOOKUP($AY152,$AN$8:$AW$148,10,False))</f>
        <v>0</v>
      </c>
      <c r="BI152" s="250">
        <f t="shared" si="616">IF(AZ152&lt;&gt;"",AZ152,"")</f>
        <v>0</v>
      </c>
      <c r="BJ152" s="1098">
        <f t="shared" si="617">BI152</f>
        <v>0</v>
      </c>
      <c r="BK152" s="1115">
        <f>COUNTIFS($AZ:$AZ, AZ152,$BJ:$BJ, "&lt;"&amp;BJ152)+COUNTIFS(AZ$8:AZ152, AZ152, BJ$8:BJ152, BJ152)</f>
        <v>145</v>
      </c>
      <c r="BL152" s="1114">
        <f t="shared" si="618">BK152/100</f>
        <v>1.45</v>
      </c>
      <c r="BM152" s="1093" t="e">
        <f t="shared" si="693" ref="BM152">BJ152+BL152</f>
        <v>#VALUE!</v>
      </c>
      <c r="BN152" s="1101">
        <f t="shared" si="606">IF(BA152&lt;&gt;"",BM152,"")</f>
        <v>0</v>
      </c>
      <c r="BO152" s="1118">
        <f t="shared" si="620">IF(BN152&lt;&gt;"",BN152,0)</f>
        <v>0</v>
      </c>
      <c r="BP152" s="237" t="e">
        <f t="shared" si="582">SMALL($BN$8:$BN$152,AX152)</f>
        <v>#VALUE!</v>
      </c>
      <c r="BR152" s="1102" t="e">
        <f t="shared" si="621">IF(BP152&lt;&gt;"",BR151+1,"")</f>
        <v>#VALUE!</v>
      </c>
      <c r="BS152" s="1102">
        <f t="shared" si="607">IFERROR(BP152,"")</f>
        <v>0</v>
      </c>
      <c r="BT152" s="1102">
        <f t="shared" si="622">IFERROR(CC152,"")</f>
        <v>0</v>
      </c>
      <c r="BU152" s="1098">
        <f t="shared" si="623">IFERROR(CD152,"")</f>
        <v>0</v>
      </c>
      <c r="BV152" s="1098">
        <f t="shared" si="624">IFERROR(CE152,"")</f>
        <v>0</v>
      </c>
      <c r="BW152" s="1098">
        <f t="shared" si="625">IFERROR(CF152,"")</f>
        <v>0</v>
      </c>
      <c r="BX152" s="1146">
        <f t="shared" si="626">IFERROR(CH152,"")</f>
        <v>0</v>
      </c>
      <c r="BY152" s="1098">
        <f t="shared" si="627">IFERROR(CG152,"")</f>
        <v>0</v>
      </c>
      <c r="BZ152" s="1144" t="str">
        <f t="shared" si="628">IFERROR(CI152,"-")</f>
        <v>-</v>
      </c>
      <c r="CA152" s="1107">
        <f t="shared" si="629">IFERROR(CJ152,"")</f>
        <v>0</v>
      </c>
      <c r="CB152" s="1107">
        <f t="shared" si="630">IFERROR(CK152,"")</f>
        <v>0</v>
      </c>
      <c r="CC152" s="1110" t="e">
        <f t="shared" si="583">INDEX($AZ$8:$AZ$153,MATCH(BP152,$BO$8:$BO$153,0))</f>
        <v>#VALUE!</v>
      </c>
      <c r="CD152" s="1087" t="e">
        <f t="shared" si="584">INDEX($BA$8:$BA$153,MATCH(BP152,$BO$8:$BO$153,0))</f>
        <v>#VALUE!</v>
      </c>
      <c r="CE152" s="1106" t="e">
        <f t="shared" si="585">INDEX($BB$8:$BB$153,MATCH(BP152,$BO$8:$BO$153,0))</f>
        <v>#VALUE!</v>
      </c>
      <c r="CF152" s="1106" t="e">
        <f t="shared" si="586">INDEX(BC$8:BC$153,MATCH(BP152,$BO$8:$BO$153,0))</f>
        <v>#VALUE!</v>
      </c>
      <c r="CG152" s="1118" t="e">
        <f t="shared" si="587">INDEX(BE$8:BE$153,MATCH(BP152,$BO$8:$BO$153,0))</f>
        <v>#VALUE!</v>
      </c>
      <c r="CH152" s="1106" t="e">
        <f t="shared" si="588">INDEX($BD$8:$BD$153,MATCH($BP152,$BO$8:$BO$153,0))</f>
        <v>#VALUE!</v>
      </c>
      <c r="CI152" s="1142" t="e">
        <f t="shared" si="589">INDEX($BF$8:$BF$153,MATCH(BP152,$BO$8:$BO$153,0))</f>
        <v>#VALUE!</v>
      </c>
      <c r="CJ152" s="1106" t="e">
        <f t="shared" si="590">INDEX($BG$8:$BG$153,MATCH(BP152,$BO$8:$BO$153,0))</f>
        <v>#VALUE!</v>
      </c>
      <c r="CK152" s="1106" t="e">
        <f t="shared" si="591">INDEX($BH$8:$BH$153,MATCH(BP152,$BO$8:$BO$153,0))</f>
        <v>#VALUE!</v>
      </c>
      <c r="CM152" s="1131">
        <f t="shared" si="592">COUNTIF($CH$8:$CH$228,"&lt;="&amp;CH152)</f>
        <v>145</v>
      </c>
      <c r="CN152" s="1121">
        <f t="shared" si="631">--ISNUMBER(BX152)</f>
        <v>0</v>
      </c>
      <c r="CO152" s="1121">
        <f t="shared" si="632">IF(BX152=0,1,0)</f>
        <v>0</v>
      </c>
      <c r="CP152" s="1124">
        <f>IF(ISNUMBER(BX152),CM152,IF(ISERROR(BX152),CM152,CM152+$CN$154))+$CO$154</f>
        <v>145</v>
      </c>
      <c r="CQ152" s="237">
        <f>IFERROR(INDEX($BX$8:$BX$153,MATCH(SMALL($CP$8:$CP$153,ROWS($CQ$8:CQ152)+$CO$154),$CP$8:$CP$154,0)),"")</f>
        <v>0</v>
      </c>
      <c r="CR152" s="237">
        <v>0.1</v>
      </c>
      <c r="CS152" s="1135">
        <f t="shared" si="633">CM152+CR152</f>
        <v>145.1</v>
      </c>
      <c r="CT152" s="237">
        <f>COUNTIFS($CM:$CM, CM152,$CS:$CS, "&lt;"&amp;CL)+COUNTIFS(CM$8:CM152, CM152, CS$8:CS152, CS152)</f>
        <v>145</v>
      </c>
      <c r="CU152" s="1109">
        <f t="shared" si="634">CT152/100</f>
        <v>1.45</v>
      </c>
      <c r="CV152" s="1109">
        <f t="shared" si="635">CM152+CU152</f>
        <v>146.45</v>
      </c>
      <c r="CW152" s="237" t="e">
        <f t="shared" si="593">SMALL(CV$8:CV$153,AX152)</f>
        <v>#VALUE!</v>
      </c>
      <c r="CX152" s="1109">
        <f t="shared" si="636">IFERROR(CW152,"")</f>
        <v>0</v>
      </c>
      <c r="CY152" s="237" t="e">
        <f t="shared" si="594">INDEX(BU$8:BU$152,MATCH($CX152,CV$8:CV$152,0))</f>
        <v>#N/A</v>
      </c>
      <c r="CZ152" s="237" t="e">
        <f t="shared" si="595">INDEX(BV$8:BV$152,MATCH($CX152,$CV$8:$CV$152,0))</f>
        <v>#N/A</v>
      </c>
      <c r="DA152" s="237" t="e">
        <f t="shared" si="596">INDEX(BW$8:BW$152,MATCH($CX152,$CV$8:$CV$152,0))</f>
        <v>#N/A</v>
      </c>
      <c r="DB152" s="237" t="e">
        <f t="shared" si="597">INDEX(BX$8:BX$152,MATCH($CX152,$CV$8:$CV$152,0))</f>
        <v>#N/A</v>
      </c>
      <c r="DC152" s="237" t="e">
        <f t="shared" si="598">INDEX(BY$8:BY$152,MATCH($CX152,$CV$8:$CV$152,0))</f>
        <v>#N/A</v>
      </c>
      <c r="DD152" s="237" t="e">
        <f t="shared" si="599">INDEX(BZ$8:BZ$152,MATCH($CX152,$CV$8:$CV$152,0))</f>
        <v>#N/A</v>
      </c>
      <c r="DE152" s="237" t="e">
        <f t="shared" si="600">INDEX(CA$8:CA$152,MATCH($CX152,$CV$8:$CV$152,0))</f>
        <v>#N/A</v>
      </c>
      <c r="DF152" s="237" t="e">
        <f t="shared" si="601">INDEX(CB$8:CB$152,MATCH($CX152,$CV$8:$CV$152,0))</f>
        <v>#N/A</v>
      </c>
    </row>
    <row r="153" spans="1:100" ht="13.5" customHeight="1" thickTop="1" thickBot="1">
      <c r="A153" s="1214"/>
      <c r="B153" s="1504"/>
      <c r="C153" s="865"/>
      <c r="D153" s="1153"/>
      <c r="E153" s="865"/>
      <c r="F153" s="865"/>
      <c r="G153" s="865"/>
      <c r="H153" s="865"/>
      <c r="I153" s="1471"/>
      <c r="J153" s="763"/>
      <c r="K153" s="763"/>
      <c r="L153" s="867"/>
      <c r="M153" s="807"/>
      <c r="AM153" s="1078"/>
      <c r="AN153" s="1097"/>
      <c r="AO153" s="1078"/>
      <c r="AP153" s="1079"/>
      <c r="AQ153" s="1080"/>
      <c r="AR153" s="1080"/>
      <c r="AS153" s="1078"/>
      <c r="AT153" s="1080"/>
      <c r="AU153" s="1080"/>
      <c r="AV153" s="1080"/>
      <c r="AW153" s="1078"/>
      <c r="AY153" s="1087"/>
      <c r="AZ153" s="1087"/>
      <c r="BA153" s="1087"/>
      <c r="BB153" s="1087"/>
      <c r="BC153" s="1087"/>
      <c r="BD153" s="1087"/>
      <c r="BE153" s="1125"/>
      <c r="BF153" s="1123"/>
      <c r="BG153" s="1120"/>
      <c r="BH153" s="1120"/>
      <c r="BK153" s="1115"/>
      <c r="BL153" s="1114"/>
      <c r="BM153" s="1093"/>
      <c r="BN153" s="1101"/>
      <c r="CC153" s="1127"/>
      <c r="CD153" s="1128"/>
      <c r="CE153" s="1129"/>
      <c r="CF153" s="1129"/>
      <c r="CG153" s="1138"/>
      <c r="CH153" s="1129"/>
      <c r="CI153" s="1143"/>
      <c r="CJ153" s="1129"/>
      <c r="CK153" s="1129"/>
      <c r="CL153" s="1130"/>
      <c r="CP153" s="1124"/>
      <c r="CR153" s="237"/>
      <c r="CS153" s="1135"/>
      <c r="CV153" s="1109"/>
    </row>
    <row r="154" spans="1:93" ht="14.25" customHeight="1" thickTop="1" thickBot="1">
      <c r="A154" s="866" t="s">
        <v>351</v>
      </c>
      <c r="B154" s="1505"/>
      <c r="C154" s="773"/>
      <c r="D154" s="1154"/>
      <c r="E154" s="773"/>
      <c r="F154" s="773"/>
      <c r="G154" s="773"/>
      <c r="H154" s="773"/>
      <c r="I154" s="1474"/>
      <c r="J154" s="763"/>
      <c r="K154" s="763"/>
      <c r="L154" s="773"/>
      <c r="M154" s="809">
        <f>SUM(M138:M152)</f>
        <v>0</v>
      </c>
      <c r="AM154" s="1078"/>
      <c r="AN154" s="1097"/>
      <c r="AO154" s="1078"/>
      <c r="AP154" s="1079"/>
      <c r="AQ154" s="1080"/>
      <c r="AR154" s="1080"/>
      <c r="AS154" s="1078"/>
      <c r="AT154" s="1080"/>
      <c r="AU154" s="1080"/>
      <c r="AV154" s="1080"/>
      <c r="AW154" s="1078"/>
      <c r="AY154" s="1087"/>
      <c r="AZ154" s="1087"/>
      <c r="BA154" s="1087">
        <f>IF(ISNA(VLOOKUP(AZ154,$AE$8:$AF$46,2,False))=True,"",VLOOKUP(AZ154,$AE$8:$AF$46,2,False))</f>
        <v>0</v>
      </c>
      <c r="BB154" s="1087"/>
      <c r="BC154" s="1087"/>
      <c r="BD154" s="1087"/>
      <c r="BE154" s="1125">
        <f>IF(ISNA(VLOOKUP(AY154,$AN$8:$AW$148,7,False))=True,"",VLOOKUP(AY154,$AN$8:$AW$148,7,False))</f>
        <v>0</v>
      </c>
      <c r="BF154" s="1123">
        <f>IF(ISNA(VLOOKUP($AY154,$AN$8:$AW$148,8,False))=True,"",VLOOKUP($AY154,$AN$8:$AW$148,8,False))</f>
        <v>0</v>
      </c>
      <c r="BG154" s="1120">
        <f>IF(ISNA(VLOOKUP($AY154,$AN$8:$AW$148,9,False))=True,"",VLOOKUP($AY154,$AN$8:$AW$148,9,False))</f>
        <v>0</v>
      </c>
      <c r="BH154" s="1120">
        <f>IF(ISNA(VLOOKUP($AY154,$AN$8:$AW$148,10,False))=True,"",VLOOKUP($AY154,$AN$8:$AW$148,10,False))</f>
        <v>0</v>
      </c>
      <c r="CN154" s="1121">
        <f>SUM(CN8:CN153)</f>
        <v>0</v>
      </c>
      <c r="CO154" s="1121">
        <f>SUM(CO8:CO153)</f>
        <v>0</v>
      </c>
    </row>
    <row r="155" spans="1:60" ht="13.5" customHeight="1" thickTop="1" thickBot="1">
      <c r="A155" s="1214"/>
      <c r="B155" s="1504"/>
      <c r="C155" s="763"/>
      <c r="D155" s="1155"/>
      <c r="E155" s="763"/>
      <c r="F155" s="763"/>
      <c r="G155" s="763"/>
      <c r="H155" s="763"/>
      <c r="I155" s="1471"/>
      <c r="J155" s="763"/>
      <c r="K155" s="763"/>
      <c r="L155" s="763"/>
      <c r="M155" s="763"/>
      <c r="AM155" s="1078"/>
      <c r="AN155" s="1097"/>
      <c r="AO155" s="1078"/>
      <c r="AP155" s="1079"/>
      <c r="AQ155" s="1080"/>
      <c r="AR155" s="1080"/>
      <c r="AS155" s="1078"/>
      <c r="AT155" s="1080"/>
      <c r="AU155" s="1080"/>
      <c r="AV155" s="1080"/>
      <c r="AW155" s="1078"/>
      <c r="AY155" s="1087"/>
      <c r="AZ155" s="1087"/>
      <c r="BA155" s="1087">
        <f>IF(ISNA(VLOOKUP(AZ155,$AE$8:$AF$46,2,False))=True,"",VLOOKUP(AZ155,$AE$8:$AF$46,2,False))</f>
        <v>0</v>
      </c>
      <c r="BB155" s="1087"/>
      <c r="BC155" s="1087"/>
      <c r="BD155" s="1087"/>
      <c r="BE155" s="1125">
        <f>IF(ISNA(VLOOKUP(AY155,$AN$8:$AW$148,7,False))=True,"",VLOOKUP(AY155,$AN$8:$AW$148,7,False))</f>
        <v>0</v>
      </c>
      <c r="BF155" s="1123">
        <f>IF(ISNA(VLOOKUP($AY155,$AN$8:$AW$148,8,False))=True,"",VLOOKUP($AY155,$AN$8:$AW$148,8,False))</f>
        <v>0</v>
      </c>
      <c r="BG155" s="1120">
        <f>IF(ISNA(VLOOKUP($AY155,$AN$8:$AW$148,9,False))=True,"",VLOOKUP($AY155,$AN$8:$AW$148,9,False))</f>
        <v>0</v>
      </c>
      <c r="BH155" s="1120">
        <f>IF(ISNA(VLOOKUP($AY155,$AN$8:$AW$148,10,False))=True,"",VLOOKUP($AY155,$AN$8:$AW$148,10,False))</f>
        <v>0</v>
      </c>
    </row>
    <row r="156" spans="1:60" ht="16.5" customHeight="1" thickTop="1" thickBot="1">
      <c r="A156" s="1218" t="s">
        <v>990</v>
      </c>
      <c r="B156" s="1515"/>
      <c r="C156" s="1018"/>
      <c r="D156" s="1156"/>
      <c r="E156" s="1018"/>
      <c r="F156" s="1018"/>
      <c r="G156" s="1018"/>
      <c r="H156" s="1018"/>
      <c r="I156" s="1480"/>
      <c r="J156" s="1018"/>
      <c r="K156" s="1018"/>
      <c r="L156" s="1018"/>
      <c r="M156" s="1019">
        <f>TOTALASSETS-TOTALLIABILITIES</f>
        <v>0</v>
      </c>
      <c r="AM156" s="1078"/>
      <c r="AN156" s="1097"/>
      <c r="AO156" s="1078"/>
      <c r="AP156" s="1079"/>
      <c r="AQ156" s="1080"/>
      <c r="AR156" s="1080"/>
      <c r="AS156" s="1078"/>
      <c r="AT156" s="1080"/>
      <c r="AU156" s="1080"/>
      <c r="AV156" s="1080"/>
      <c r="AW156" s="1078"/>
      <c r="AY156" s="1087"/>
      <c r="AZ156" s="1087"/>
      <c r="BA156" s="1087"/>
      <c r="BB156" s="1087"/>
      <c r="BC156" s="1087"/>
      <c r="BD156" s="1087"/>
      <c r="BE156" s="1119"/>
      <c r="BF156" s="1119"/>
      <c r="BG156" s="1123"/>
      <c r="BH156" s="1120"/>
    </row>
    <row r="157" spans="39:49" ht="13.5" customHeight="1" thickTop="1">
      <c r="AM157" s="1078"/>
      <c r="AN157" s="1097"/>
      <c r="AO157" s="1078"/>
      <c r="AP157" s="1079"/>
      <c r="AQ157" s="1080"/>
      <c r="AR157" s="1080"/>
      <c r="AS157" s="1078"/>
      <c r="AT157" s="1080"/>
      <c r="AU157" s="1080"/>
      <c r="AV157" s="1080"/>
      <c r="AW157" s="1078"/>
    </row>
  </sheetData>
  <sheetProtection formatCells="0" formatColumns="0" formatRows="0"/>
  <mergeCells count="105">
    <mergeCell ref="W2:AB2"/>
    <mergeCell ref="W1:AB1"/>
    <mergeCell ref="AY5:BH5"/>
    <mergeCell ref="J111:J112"/>
    <mergeCell ref="K111:M111"/>
    <mergeCell ref="O28:O38"/>
    <mergeCell ref="O39:O42"/>
    <mergeCell ref="P44:T44"/>
    <mergeCell ref="O45:O48"/>
    <mergeCell ref="P7:T7"/>
    <mergeCell ref="O8:O12"/>
    <mergeCell ref="O13:O14"/>
    <mergeCell ref="O15:O23"/>
    <mergeCell ref="O24:O27"/>
    <mergeCell ref="AM6:AW6"/>
    <mergeCell ref="AY6:BH6"/>
    <mergeCell ref="J69:J70"/>
    <mergeCell ref="K69:M69"/>
    <mergeCell ref="J90:J91"/>
    <mergeCell ref="K90:M90"/>
    <mergeCell ref="A1:M1"/>
    <mergeCell ref="I6:I7"/>
    <mergeCell ref="J6:J7"/>
    <mergeCell ref="K6:M6"/>
    <mergeCell ref="K136:M136"/>
    <mergeCell ref="J136:J137"/>
    <mergeCell ref="I136:I137"/>
    <mergeCell ref="I111:I112"/>
    <mergeCell ref="G136:G137"/>
    <mergeCell ref="H136:H137"/>
    <mergeCell ref="D69:D70"/>
    <mergeCell ref="G69:G70"/>
    <mergeCell ref="H69:H70"/>
    <mergeCell ref="D90:D91"/>
    <mergeCell ref="G90:G91"/>
    <mergeCell ref="H90:H91"/>
    <mergeCell ref="E136:E137"/>
    <mergeCell ref="F69:F70"/>
    <mergeCell ref="F90:F91"/>
    <mergeCell ref="F111:F112"/>
    <mergeCell ref="F136:F137"/>
    <mergeCell ref="E90:E91"/>
    <mergeCell ref="D111:D112"/>
    <mergeCell ref="I90:I91"/>
    <mergeCell ref="A136:A137"/>
    <mergeCell ref="A27:A28"/>
    <mergeCell ref="B27:B28"/>
    <mergeCell ref="C27:C28"/>
    <mergeCell ref="E27:E28"/>
    <mergeCell ref="A69:A70"/>
    <mergeCell ref="B69:B70"/>
    <mergeCell ref="C69:C70"/>
    <mergeCell ref="E69:E70"/>
    <mergeCell ref="A111:A112"/>
    <mergeCell ref="B111:B112"/>
    <mergeCell ref="C111:C112"/>
    <mergeCell ref="E111:E112"/>
    <mergeCell ref="C136:C137"/>
    <mergeCell ref="B136:B137"/>
    <mergeCell ref="A90:A91"/>
    <mergeCell ref="D27:D28"/>
    <mergeCell ref="D136:D137"/>
    <mergeCell ref="B90:B91"/>
    <mergeCell ref="C90:C91"/>
    <mergeCell ref="D48:D49"/>
    <mergeCell ref="C6:C7"/>
    <mergeCell ref="B6:B7"/>
    <mergeCell ref="A6:A7"/>
    <mergeCell ref="E6:E7"/>
    <mergeCell ref="D6:D7"/>
    <mergeCell ref="G6:G7"/>
    <mergeCell ref="H6:H7"/>
    <mergeCell ref="F6:F7"/>
    <mergeCell ref="G111:G112"/>
    <mergeCell ref="H111:H112"/>
    <mergeCell ref="A48:A49"/>
    <mergeCell ref="B48:B49"/>
    <mergeCell ref="C48:C49"/>
    <mergeCell ref="E48:E49"/>
    <mergeCell ref="G48:G49"/>
    <mergeCell ref="H48:H49"/>
    <mergeCell ref="F27:F28"/>
    <mergeCell ref="F48:F49"/>
    <mergeCell ref="G27:G28"/>
    <mergeCell ref="H27:H28"/>
    <mergeCell ref="BI6:BI7"/>
    <mergeCell ref="BJ6:BJ7"/>
    <mergeCell ref="BK6:BK7"/>
    <mergeCell ref="BL6:BL7"/>
    <mergeCell ref="BM6:BM7"/>
    <mergeCell ref="CD6:CK6"/>
    <mergeCell ref="BR6:CB6"/>
    <mergeCell ref="BP6:BP7"/>
    <mergeCell ref="BO6:BO7"/>
    <mergeCell ref="BN6:BN7"/>
    <mergeCell ref="BQ6:BQ7"/>
    <mergeCell ref="W47:Y47"/>
    <mergeCell ref="W6:Y6"/>
    <mergeCell ref="I69:I70"/>
    <mergeCell ref="I27:I28"/>
    <mergeCell ref="J27:J28"/>
    <mergeCell ref="K27:M27"/>
    <mergeCell ref="J48:J49"/>
    <mergeCell ref="K48:M48"/>
    <mergeCell ref="I48:I49"/>
  </mergeCells>
  <dataValidations count="8" disablePrompts="1">
    <dataValidation type="list" allowBlank="1" showInputMessage="1" showErrorMessage="1" sqref="C8:C22">
      <formula1>$P$8:$P$12</formula1>
    </dataValidation>
    <dataValidation type="list" allowBlank="1" showInputMessage="1" showErrorMessage="1" sqref="C29:C43">
      <formula1>$P$13:$P$14</formula1>
    </dataValidation>
    <dataValidation type="list" allowBlank="1" showInputMessage="1" showErrorMessage="1" sqref="C71:C85">
      <formula1>$P$24:$P$27</formula1>
    </dataValidation>
    <dataValidation type="list" allowBlank="1" showInputMessage="1" showErrorMessage="1" sqref="C92:C106">
      <formula1>$P$28:$P$38</formula1>
    </dataValidation>
    <dataValidation type="list" allowBlank="1" showInputMessage="1" showErrorMessage="1" sqref="C113:C127">
      <formula1>$P$39:$P$42</formula1>
    </dataValidation>
    <dataValidation type="list" allowBlank="1" showInputMessage="1" showErrorMessage="1" sqref="C138:C152">
      <formula1>$P$45:$P$48</formula1>
    </dataValidation>
    <dataValidation type="list" allowBlank="1" showInputMessage="1" showErrorMessage="1" promptTitle="Account Owner" sqref="D8:D22 D29:D43 D50:D64 D71:D85 D92:D106 D113:D127 D138:D152">
      <formula1>$AH$8:$AH$11</formula1>
    </dataValidation>
    <dataValidation type="list" allowBlank="1" showInputMessage="1" showErrorMessage="1" sqref="C50:C64">
      <formula1>$P$15:$P$23</formula1>
    </dataValidation>
  </dataValidations>
  <printOptions horizontalCentered="1"/>
  <pageMargins left="0.31496062992125984" right="0.23622047244094491" top="0.74803149606299213" bottom="0.9055118110236221" header="0.51181102362204722" footer="0.3"/>
  <pageSetup paperSize="5" scale="51" orientation="landscape"/>
  <headerFooter alignWithMargins="0">
    <oddHeader>&amp;R&amp;"Arial,Bold"&amp;14C.2.3.&amp;P</oddHeader>
    <oddFooter>&amp;R&amp;8Printed on &amp;D, &amp;T</oddFooter>
  </headerFooter>
  <rowBreaks count="2" manualBreakCount="2">
    <brk id="66" max="20" man="1"/>
    <brk id="132" max="20" man="1"/>
  </rowBreak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</sheetPr>
  <dimension ref="A1:G267"/>
  <sheetViews>
    <sheetView view="normal" workbookViewId="0">
      <selection pane="topLeft" activeCell="D7" sqref="D7"/>
    </sheetView>
  </sheetViews>
  <sheetFormatPr defaultRowHeight="12.75" baseColWidth="0"/>
  <cols>
    <col min="1" max="1" width="5.99609375" customWidth="1"/>
    <col min="2" max="2" width="6.7109375" customWidth="1"/>
    <col min="3" max="3" width="3.8515625" customWidth="1"/>
    <col min="4" max="4" width="37.28125" customWidth="1"/>
    <col min="5" max="5" width="19.13671875" customWidth="1"/>
    <col min="6" max="6" width="22.7109375" customWidth="1"/>
    <col min="7" max="7" width="40.7109375" customWidth="1"/>
  </cols>
  <sheetData>
    <row r="1" spans="1:1" s="636" customFormat="1" ht="20.25" customHeight="1">
      <c r="A1" s="648" t="s">
        <v>831</v>
      </c>
    </row>
    <row r="2" s="636" customFormat="1"/>
    <row r="3" spans="1:1" s="636" customFormat="1" ht="14.25" customHeight="1">
      <c r="A3" s="698" t="s">
        <v>666</v>
      </c>
    </row>
    <row r="4" s="636" customFormat="1"/>
    <row r="5" spans="1:7" s="644" customFormat="1" ht="28.5" customHeight="1">
      <c r="A5" s="1489" t="s">
        <v>321</v>
      </c>
      <c r="B5" s="1490" t="s">
        <v>832</v>
      </c>
      <c r="C5" s="2059"/>
      <c r="D5" s="1490" t="s">
        <v>833</v>
      </c>
      <c r="E5" s="1490" t="s">
        <v>834</v>
      </c>
      <c r="F5" s="1490" t="s">
        <v>835</v>
      </c>
      <c r="G5" s="1489" t="s">
        <v>836</v>
      </c>
    </row>
    <row r="6" spans="1:7" s="699" customFormat="1" ht="15.75" customHeight="1" thickBot="1">
      <c r="A6" s="1491" t="s">
        <v>65</v>
      </c>
      <c r="B6" s="1488" t="s">
        <v>64</v>
      </c>
      <c r="C6" s="2060"/>
      <c r="D6" s="1488" t="s">
        <v>66</v>
      </c>
      <c r="E6" s="1488" t="s">
        <v>67</v>
      </c>
      <c r="F6" s="1488" t="s">
        <v>68</v>
      </c>
      <c r="G6" s="1491" t="s">
        <v>99</v>
      </c>
    </row>
    <row r="7" spans="1:7" s="636" customFormat="1">
      <c r="A7" s="1492">
        <v>1</v>
      </c>
      <c r="B7" s="2057" t="s">
        <v>1344</v>
      </c>
      <c r="C7" s="2058"/>
      <c r="D7" s="1482" t="s">
        <v>999</v>
      </c>
      <c r="E7" s="1483" t="s">
        <v>1383</v>
      </c>
      <c r="F7" s="1484" t="s">
        <v>1384</v>
      </c>
      <c r="G7" s="1493" t="s">
        <v>1380</v>
      </c>
    </row>
    <row r="8" spans="1:7" s="636" customFormat="1">
      <c r="A8" s="1494">
        <v>2</v>
      </c>
      <c r="B8" s="2055" t="s">
        <v>1010</v>
      </c>
      <c r="C8" s="2056"/>
      <c r="D8" s="1485" t="s">
        <v>1009</v>
      </c>
      <c r="E8" s="1486" t="s">
        <v>1383</v>
      </c>
      <c r="F8" s="1487" t="s">
        <v>1385</v>
      </c>
      <c r="G8" s="1495" t="s">
        <v>1380</v>
      </c>
    </row>
    <row r="9" spans="1:7" s="636" customFormat="1">
      <c r="A9" s="1494">
        <v>3</v>
      </c>
      <c r="B9" s="2055" t="s">
        <v>1012</v>
      </c>
      <c r="C9" s="2056"/>
      <c r="D9" s="1485" t="s">
        <v>1011</v>
      </c>
      <c r="E9" s="1486" t="s">
        <v>1386</v>
      </c>
      <c r="F9" s="1487" t="s">
        <v>1387</v>
      </c>
      <c r="G9" s="1495" t="s">
        <v>1380</v>
      </c>
    </row>
    <row r="10" spans="1:7">
      <c r="A10" s="1494"/>
      <c r="B10" s="2055"/>
      <c r="C10" s="2056"/>
      <c r="D10" s="1485"/>
      <c r="E10" s="1486"/>
      <c r="F10" s="1487"/>
      <c r="G10" s="1495"/>
    </row>
    <row r="11" spans="1:7">
      <c r="A11" s="1494"/>
      <c r="B11" s="2055"/>
      <c r="C11" s="2056"/>
      <c r="D11" s="1485"/>
      <c r="E11" s="1486"/>
      <c r="F11" s="1487"/>
      <c r="G11" s="1495"/>
    </row>
    <row r="12" spans="1:7">
      <c r="A12" s="1494"/>
      <c r="B12" s="2055"/>
      <c r="C12" s="2056"/>
      <c r="D12" s="1485"/>
      <c r="E12" s="1486"/>
      <c r="F12" s="1487"/>
      <c r="G12" s="1495"/>
    </row>
    <row r="13" spans="1:7">
      <c r="A13" s="1494"/>
      <c r="B13" s="2055"/>
      <c r="C13" s="2056"/>
      <c r="D13" s="1485"/>
      <c r="E13" s="1486"/>
      <c r="F13" s="1487"/>
      <c r="G13" s="1495"/>
    </row>
    <row r="14" spans="1:7">
      <c r="A14" s="1494"/>
      <c r="B14" s="2055"/>
      <c r="C14" s="2056"/>
      <c r="D14" s="1485"/>
      <c r="E14" s="1486"/>
      <c r="F14" s="1487"/>
      <c r="G14" s="1495"/>
    </row>
    <row r="15" spans="1:7">
      <c r="A15" s="1494"/>
      <c r="B15" s="2055"/>
      <c r="C15" s="2056"/>
      <c r="D15" s="1485"/>
      <c r="E15" s="1486"/>
      <c r="F15" s="1487"/>
      <c r="G15" s="1495"/>
    </row>
    <row r="16" spans="1:7">
      <c r="A16" s="1494"/>
      <c r="B16" s="2055"/>
      <c r="C16" s="2056"/>
      <c r="D16" s="1485"/>
      <c r="E16" s="1486"/>
      <c r="F16" s="1487"/>
      <c r="G16" s="1495"/>
    </row>
    <row r="17" spans="1:7">
      <c r="A17" s="1494"/>
      <c r="B17" s="2055"/>
      <c r="C17" s="2056"/>
      <c r="D17" s="1485"/>
      <c r="E17" s="1486"/>
      <c r="F17" s="1487"/>
      <c r="G17" s="1495"/>
    </row>
    <row r="18" spans="1:7">
      <c r="A18" s="1494"/>
      <c r="B18" s="2055"/>
      <c r="C18" s="2056"/>
      <c r="D18" s="1485"/>
      <c r="E18" s="1486"/>
      <c r="F18" s="1487"/>
      <c r="G18" s="1495"/>
    </row>
    <row r="19" spans="1:7">
      <c r="A19" s="1494"/>
      <c r="B19" s="2055"/>
      <c r="C19" s="2056"/>
      <c r="D19" s="1485"/>
      <c r="E19" s="1486"/>
      <c r="F19" s="1487"/>
      <c r="G19" s="1495"/>
    </row>
    <row r="20" spans="1:7">
      <c r="A20" s="1494"/>
      <c r="B20" s="2055"/>
      <c r="C20" s="2056"/>
      <c r="D20" s="1485"/>
      <c r="E20" s="1486"/>
      <c r="F20" s="1487"/>
      <c r="G20" s="1495"/>
    </row>
    <row r="21" spans="1:7">
      <c r="A21" s="1494"/>
      <c r="B21" s="2055"/>
      <c r="C21" s="2056"/>
      <c r="D21" s="1485"/>
      <c r="E21" s="1486"/>
      <c r="F21" s="1487"/>
      <c r="G21" s="1495"/>
    </row>
    <row r="22" spans="1:7">
      <c r="A22" s="1494"/>
      <c r="B22" s="2055"/>
      <c r="C22" s="2056"/>
      <c r="D22" s="1485"/>
      <c r="E22" s="1486"/>
      <c r="F22" s="1487"/>
      <c r="G22" s="1495"/>
    </row>
    <row r="23" spans="1:7">
      <c r="A23" s="1494"/>
      <c r="B23" s="2055"/>
      <c r="C23" s="2056"/>
      <c r="D23" s="1485"/>
      <c r="E23" s="1486"/>
      <c r="F23" s="1487"/>
      <c r="G23" s="1495"/>
    </row>
    <row r="24" spans="1:7">
      <c r="A24" s="1494"/>
      <c r="B24" s="2055"/>
      <c r="C24" s="2056"/>
      <c r="D24" s="1485"/>
      <c r="E24" s="1486"/>
      <c r="F24" s="1487"/>
      <c r="G24" s="1495"/>
    </row>
    <row r="25" spans="1:7">
      <c r="A25" s="1494"/>
      <c r="B25" s="2055"/>
      <c r="C25" s="2056"/>
      <c r="D25" s="1485"/>
      <c r="E25" s="1486"/>
      <c r="F25" s="1487"/>
      <c r="G25" s="1495"/>
    </row>
    <row r="26" spans="1:7">
      <c r="A26" s="1494"/>
      <c r="B26" s="2055"/>
      <c r="C26" s="2056"/>
      <c r="D26" s="1485"/>
      <c r="E26" s="1486"/>
      <c r="F26" s="1487"/>
      <c r="G26" s="1495"/>
    </row>
    <row r="27" spans="1:7">
      <c r="A27" s="1494"/>
      <c r="B27" s="2055"/>
      <c r="C27" s="2056"/>
      <c r="D27" s="1485"/>
      <c r="E27" s="1486"/>
      <c r="F27" s="1487"/>
      <c r="G27" s="1495"/>
    </row>
    <row r="28" spans="1:7">
      <c r="A28" s="1494"/>
      <c r="B28" s="2055"/>
      <c r="C28" s="2056"/>
      <c r="D28" s="1485"/>
      <c r="E28" s="1486"/>
      <c r="F28" s="1487"/>
      <c r="G28" s="1495"/>
    </row>
    <row r="29" spans="1:7">
      <c r="A29" s="1494"/>
      <c r="B29" s="2055"/>
      <c r="C29" s="2056"/>
      <c r="D29" s="1485"/>
      <c r="E29" s="1486"/>
      <c r="F29" s="1487"/>
      <c r="G29" s="1495"/>
    </row>
    <row r="30" spans="1:7">
      <c r="A30" s="1494"/>
      <c r="B30" s="2055"/>
      <c r="C30" s="2056"/>
      <c r="D30" s="1485"/>
      <c r="E30" s="1486"/>
      <c r="F30" s="1487"/>
      <c r="G30" s="1495"/>
    </row>
    <row r="31" spans="1:7">
      <c r="A31" s="1494"/>
      <c r="B31" s="2055"/>
      <c r="C31" s="2056"/>
      <c r="D31" s="1485"/>
      <c r="E31" s="1486"/>
      <c r="F31" s="1487"/>
      <c r="G31" s="1495"/>
    </row>
    <row r="32" spans="1:7">
      <c r="A32" s="1494"/>
      <c r="B32" s="2055"/>
      <c r="C32" s="2056"/>
      <c r="D32" s="1485"/>
      <c r="E32" s="1486"/>
      <c r="F32" s="1487"/>
      <c r="G32" s="1495"/>
    </row>
    <row r="33" spans="1:7">
      <c r="A33" s="1494"/>
      <c r="B33" s="2055"/>
      <c r="C33" s="2056"/>
      <c r="D33" s="1485"/>
      <c r="E33" s="1486"/>
      <c r="F33" s="1487"/>
      <c r="G33" s="1495"/>
    </row>
    <row r="34" spans="1:7">
      <c r="A34" s="1494"/>
      <c r="B34" s="2055"/>
      <c r="C34" s="2056"/>
      <c r="D34" s="1485"/>
      <c r="E34" s="1486"/>
      <c r="F34" s="1487"/>
      <c r="G34" s="1495"/>
    </row>
    <row r="35" spans="1:7">
      <c r="A35" s="1494"/>
      <c r="B35" s="2055"/>
      <c r="C35" s="2056"/>
      <c r="D35" s="1485"/>
      <c r="E35" s="1486"/>
      <c r="F35" s="1487"/>
      <c r="G35" s="1495"/>
    </row>
    <row r="36" spans="1:7">
      <c r="A36" s="1494"/>
      <c r="B36" s="2055"/>
      <c r="C36" s="2056"/>
      <c r="D36" s="1485"/>
      <c r="E36" s="1486"/>
      <c r="F36" s="1487"/>
      <c r="G36" s="1495"/>
    </row>
    <row r="37" spans="1:7">
      <c r="A37" s="1494"/>
      <c r="B37" s="2055"/>
      <c r="C37" s="2056"/>
      <c r="D37" s="1485"/>
      <c r="E37" s="1486"/>
      <c r="F37" s="1487"/>
      <c r="G37" s="1495"/>
    </row>
    <row r="38" spans="1:7">
      <c r="A38" s="1494"/>
      <c r="B38" s="2055"/>
      <c r="C38" s="2056"/>
      <c r="D38" s="1485"/>
      <c r="E38" s="1486"/>
      <c r="F38" s="1487"/>
      <c r="G38" s="1495"/>
    </row>
    <row r="39" spans="1:7">
      <c r="A39" s="1494"/>
      <c r="B39" s="2055"/>
      <c r="C39" s="2056"/>
      <c r="D39" s="1485"/>
      <c r="E39" s="1486"/>
      <c r="F39" s="1487"/>
      <c r="G39" s="1495"/>
    </row>
    <row r="40" spans="1:7">
      <c r="A40" s="1494"/>
      <c r="B40" s="2055"/>
      <c r="C40" s="2056"/>
      <c r="D40" s="1485"/>
      <c r="E40" s="1486"/>
      <c r="F40" s="1487"/>
      <c r="G40" s="1495"/>
    </row>
    <row r="41" spans="1:7">
      <c r="A41" s="1494"/>
      <c r="B41" s="2055"/>
      <c r="C41" s="2056"/>
      <c r="D41" s="1485"/>
      <c r="E41" s="1486"/>
      <c r="F41" s="1487"/>
      <c r="G41" s="1495"/>
    </row>
    <row r="42" spans="1:7">
      <c r="A42" s="1494"/>
      <c r="B42" s="2055"/>
      <c r="C42" s="2056"/>
      <c r="D42" s="1485"/>
      <c r="E42" s="1486"/>
      <c r="F42" s="1487"/>
      <c r="G42" s="1495"/>
    </row>
    <row r="43" spans="1:7">
      <c r="A43" s="1494"/>
      <c r="B43" s="2055"/>
      <c r="C43" s="2056"/>
      <c r="D43" s="1485"/>
      <c r="E43" s="1486"/>
      <c r="F43" s="1487"/>
      <c r="G43" s="1495"/>
    </row>
    <row r="44" spans="1:7">
      <c r="A44" s="1494"/>
      <c r="B44" s="2055"/>
      <c r="C44" s="2056"/>
      <c r="D44" s="1485"/>
      <c r="E44" s="1486"/>
      <c r="F44" s="1487"/>
      <c r="G44" s="1495"/>
    </row>
    <row r="45" spans="1:7">
      <c r="A45" s="1494"/>
      <c r="B45" s="2055"/>
      <c r="C45" s="2056"/>
      <c r="D45" s="1485"/>
      <c r="E45" s="1486"/>
      <c r="F45" s="1487"/>
      <c r="G45" s="1495"/>
    </row>
    <row r="46" spans="1:7">
      <c r="A46" s="1494"/>
      <c r="B46" s="2055"/>
      <c r="C46" s="2056"/>
      <c r="D46" s="1485"/>
      <c r="E46" s="1486"/>
      <c r="F46" s="1487"/>
      <c r="G46" s="1495"/>
    </row>
    <row r="47" spans="1:7">
      <c r="A47" s="1494"/>
      <c r="B47" s="2055"/>
      <c r="C47" s="2056"/>
      <c r="D47" s="1485"/>
      <c r="E47" s="1486"/>
      <c r="F47" s="1487"/>
      <c r="G47" s="1495"/>
    </row>
    <row r="48" spans="1:7">
      <c r="A48" s="1494"/>
      <c r="B48" s="2055"/>
      <c r="C48" s="2056"/>
      <c r="D48" s="1485"/>
      <c r="E48" s="1486"/>
      <c r="F48" s="1487"/>
      <c r="G48" s="1495"/>
    </row>
    <row r="49" spans="1:7">
      <c r="A49" s="1494"/>
      <c r="B49" s="2055"/>
      <c r="C49" s="2056"/>
      <c r="D49" s="1485"/>
      <c r="E49" s="1486"/>
      <c r="F49" s="1487"/>
      <c r="G49" s="1495"/>
    </row>
    <row r="50" spans="1:7">
      <c r="A50" s="1494"/>
      <c r="B50" s="2055"/>
      <c r="C50" s="2056"/>
      <c r="D50" s="1485"/>
      <c r="E50" s="1486"/>
      <c r="F50" s="1487"/>
      <c r="G50" s="1495"/>
    </row>
    <row r="51" spans="1:7">
      <c r="A51" s="1494"/>
      <c r="B51" s="2055"/>
      <c r="C51" s="2056"/>
      <c r="D51" s="1485"/>
      <c r="E51" s="1486"/>
      <c r="F51" s="1487"/>
      <c r="G51" s="1495"/>
    </row>
    <row r="52" spans="1:7">
      <c r="A52" s="1494"/>
      <c r="B52" s="2055"/>
      <c r="C52" s="2056"/>
      <c r="D52" s="1485"/>
      <c r="E52" s="1486"/>
      <c r="F52" s="1487"/>
      <c r="G52" s="1495"/>
    </row>
    <row r="53" spans="1:7">
      <c r="A53" s="1494"/>
      <c r="B53" s="2055"/>
      <c r="C53" s="2056"/>
      <c r="D53" s="1485"/>
      <c r="E53" s="1486"/>
      <c r="F53" s="1487"/>
      <c r="G53" s="1495"/>
    </row>
    <row r="54" spans="1:7">
      <c r="A54" s="1494"/>
      <c r="B54" s="2055"/>
      <c r="C54" s="2056"/>
      <c r="D54" s="1485"/>
      <c r="E54" s="1486"/>
      <c r="F54" s="1487"/>
      <c r="G54" s="1495"/>
    </row>
    <row r="55" spans="1:7">
      <c r="A55" s="1494"/>
      <c r="B55" s="2055"/>
      <c r="C55" s="2056"/>
      <c r="D55" s="1485"/>
      <c r="E55" s="1486"/>
      <c r="F55" s="1487"/>
      <c r="G55" s="1495"/>
    </row>
    <row r="56" spans="1:7">
      <c r="A56" s="1494"/>
      <c r="B56" s="2055"/>
      <c r="C56" s="2056"/>
      <c r="D56" s="1485"/>
      <c r="E56" s="1486"/>
      <c r="F56" s="1487"/>
      <c r="G56" s="1495"/>
    </row>
    <row r="57" spans="1:7">
      <c r="A57" s="1494"/>
      <c r="B57" s="2055"/>
      <c r="C57" s="2056"/>
      <c r="D57" s="1485"/>
      <c r="E57" s="1486"/>
      <c r="F57" s="1487"/>
      <c r="G57" s="1495"/>
    </row>
    <row r="58" spans="1:7">
      <c r="A58" s="1494"/>
      <c r="B58" s="2055"/>
      <c r="C58" s="2056"/>
      <c r="D58" s="1485"/>
      <c r="E58" s="1486"/>
      <c r="F58" s="1487"/>
      <c r="G58" s="1495"/>
    </row>
    <row r="59" spans="1:7">
      <c r="A59" s="1494"/>
      <c r="B59" s="2055"/>
      <c r="C59" s="2056"/>
      <c r="D59" s="1485"/>
      <c r="E59" s="1486"/>
      <c r="F59" s="1487"/>
      <c r="G59" s="1495"/>
    </row>
    <row r="60" spans="1:7">
      <c r="A60" s="1494"/>
      <c r="B60" s="2055"/>
      <c r="C60" s="2056"/>
      <c r="D60" s="1485"/>
      <c r="E60" s="1486"/>
      <c r="F60" s="1487"/>
      <c r="G60" s="1495"/>
    </row>
    <row r="61" spans="1:7">
      <c r="A61" s="1494"/>
      <c r="B61" s="2055"/>
      <c r="C61" s="2056"/>
      <c r="D61" s="1485"/>
      <c r="E61" s="1486"/>
      <c r="F61" s="1487"/>
      <c r="G61" s="1495"/>
    </row>
    <row r="62" spans="1:7">
      <c r="A62" s="1494"/>
      <c r="B62" s="2055"/>
      <c r="C62" s="2056"/>
      <c r="D62" s="1485"/>
      <c r="E62" s="1486"/>
      <c r="F62" s="1487"/>
      <c r="G62" s="1495"/>
    </row>
    <row r="63" spans="1:7">
      <c r="A63" s="1494"/>
      <c r="B63" s="2055"/>
      <c r="C63" s="2056"/>
      <c r="D63" s="1485"/>
      <c r="E63" s="1486"/>
      <c r="F63" s="1487"/>
      <c r="G63" s="1495"/>
    </row>
    <row r="64" spans="1:7">
      <c r="A64" s="1494"/>
      <c r="B64" s="2055"/>
      <c r="C64" s="2056"/>
      <c r="D64" s="1485"/>
      <c r="E64" s="1486"/>
      <c r="F64" s="1487"/>
      <c r="G64" s="1495"/>
    </row>
    <row r="65" spans="1:7">
      <c r="A65" s="1494"/>
      <c r="B65" s="2055"/>
      <c r="C65" s="2056"/>
      <c r="D65" s="1485"/>
      <c r="E65" s="1486"/>
      <c r="F65" s="1487"/>
      <c r="G65" s="1495"/>
    </row>
    <row r="66" spans="1:7">
      <c r="A66" s="1494"/>
      <c r="B66" s="2055"/>
      <c r="C66" s="2056"/>
      <c r="D66" s="1485"/>
      <c r="E66" s="1486"/>
      <c r="F66" s="1487"/>
      <c r="G66" s="1495"/>
    </row>
    <row r="67" spans="1:7">
      <c r="A67" s="1494"/>
      <c r="B67" s="2055"/>
      <c r="C67" s="2056"/>
      <c r="D67" s="1485"/>
      <c r="E67" s="1486"/>
      <c r="F67" s="1487"/>
      <c r="G67" s="1495"/>
    </row>
    <row r="68" spans="1:7">
      <c r="A68" s="1494"/>
      <c r="B68" s="2055"/>
      <c r="C68" s="2056"/>
      <c r="D68" s="1485"/>
      <c r="E68" s="1486"/>
      <c r="F68" s="1487"/>
      <c r="G68" s="1495"/>
    </row>
    <row r="69" spans="1:7">
      <c r="A69" s="1494"/>
      <c r="B69" s="2055"/>
      <c r="C69" s="2056"/>
      <c r="D69" s="1485"/>
      <c r="E69" s="1486"/>
      <c r="F69" s="1487"/>
      <c r="G69" s="1495"/>
    </row>
    <row r="70" spans="1:7">
      <c r="A70" s="1494"/>
      <c r="B70" s="2055"/>
      <c r="C70" s="2056"/>
      <c r="D70" s="1485"/>
      <c r="E70" s="1486"/>
      <c r="F70" s="1487"/>
      <c r="G70" s="1495"/>
    </row>
    <row r="71" spans="1:7">
      <c r="A71" s="1494"/>
      <c r="B71" s="2055"/>
      <c r="C71" s="2056"/>
      <c r="D71" s="1485"/>
      <c r="E71" s="1486"/>
      <c r="F71" s="1487"/>
      <c r="G71" s="1495"/>
    </row>
    <row r="72" spans="1:7">
      <c r="A72" s="1494"/>
      <c r="B72" s="2055"/>
      <c r="C72" s="2056"/>
      <c r="D72" s="1485"/>
      <c r="E72" s="1486"/>
      <c r="F72" s="1487"/>
      <c r="G72" s="1495"/>
    </row>
    <row r="73" spans="1:7">
      <c r="A73" s="1494"/>
      <c r="B73" s="2055"/>
      <c r="C73" s="2056"/>
      <c r="D73" s="1485"/>
      <c r="E73" s="1486"/>
      <c r="F73" s="1487"/>
      <c r="G73" s="1495"/>
    </row>
    <row r="74" spans="1:7">
      <c r="A74" s="1494"/>
      <c r="B74" s="2055"/>
      <c r="C74" s="2056"/>
      <c r="D74" s="1485"/>
      <c r="E74" s="1486"/>
      <c r="F74" s="1487"/>
      <c r="G74" s="1495"/>
    </row>
    <row r="75" spans="1:7">
      <c r="A75" s="1494"/>
      <c r="B75" s="2055"/>
      <c r="C75" s="2056"/>
      <c r="D75" s="1485"/>
      <c r="E75" s="1486"/>
      <c r="F75" s="1487"/>
      <c r="G75" s="1495"/>
    </row>
    <row r="76" spans="1:7">
      <c r="A76" s="1494"/>
      <c r="B76" s="2055"/>
      <c r="C76" s="2056"/>
      <c r="D76" s="1485"/>
      <c r="E76" s="1486"/>
      <c r="F76" s="1487"/>
      <c r="G76" s="1495"/>
    </row>
    <row r="77" spans="1:7">
      <c r="A77" s="1494"/>
      <c r="B77" s="2055"/>
      <c r="C77" s="2056"/>
      <c r="D77" s="1485"/>
      <c r="E77" s="1486"/>
      <c r="F77" s="1487"/>
      <c r="G77" s="1495"/>
    </row>
    <row r="78" spans="1:7">
      <c r="A78" s="1494"/>
      <c r="B78" s="2055"/>
      <c r="C78" s="2056"/>
      <c r="D78" s="1485"/>
      <c r="E78" s="1486"/>
      <c r="F78" s="1487"/>
      <c r="G78" s="1495"/>
    </row>
    <row r="79" spans="1:7">
      <c r="A79" s="1494"/>
      <c r="B79" s="2055"/>
      <c r="C79" s="2056"/>
      <c r="D79" s="1485"/>
      <c r="E79" s="1486"/>
      <c r="F79" s="1487"/>
      <c r="G79" s="1495"/>
    </row>
    <row r="80" spans="1:7">
      <c r="A80" s="1494"/>
      <c r="B80" s="2055"/>
      <c r="C80" s="2056"/>
      <c r="D80" s="1485"/>
      <c r="E80" s="1486"/>
      <c r="F80" s="1487"/>
      <c r="G80" s="1495"/>
    </row>
    <row r="81" spans="1:7">
      <c r="A81" s="1494"/>
      <c r="B81" s="2055"/>
      <c r="C81" s="2056"/>
      <c r="D81" s="1485"/>
      <c r="E81" s="1486"/>
      <c r="F81" s="1487"/>
      <c r="G81" s="1495"/>
    </row>
    <row r="82" spans="1:7">
      <c r="A82" s="1494"/>
      <c r="B82" s="2055"/>
      <c r="C82" s="2056"/>
      <c r="D82" s="1485"/>
      <c r="E82" s="1486"/>
      <c r="F82" s="1487"/>
      <c r="G82" s="1495"/>
    </row>
    <row r="83" spans="1:7">
      <c r="A83" s="1494"/>
      <c r="B83" s="2055"/>
      <c r="C83" s="2056"/>
      <c r="D83" s="1485"/>
      <c r="E83" s="1486"/>
      <c r="F83" s="1487"/>
      <c r="G83" s="1495"/>
    </row>
    <row r="84" spans="1:7">
      <c r="A84" s="1494"/>
      <c r="B84" s="2055"/>
      <c r="C84" s="2056"/>
      <c r="D84" s="1485"/>
      <c r="E84" s="1486"/>
      <c r="F84" s="1487"/>
      <c r="G84" s="1495"/>
    </row>
    <row r="85" spans="1:7">
      <c r="A85" s="1494"/>
      <c r="B85" s="2055"/>
      <c r="C85" s="2056"/>
      <c r="D85" s="1485"/>
      <c r="E85" s="1486"/>
      <c r="F85" s="1487"/>
      <c r="G85" s="1495"/>
    </row>
    <row r="86" spans="1:7">
      <c r="A86" s="1494"/>
      <c r="B86" s="2055"/>
      <c r="C86" s="2056"/>
      <c r="D86" s="1485"/>
      <c r="E86" s="1486"/>
      <c r="F86" s="1487"/>
      <c r="G86" s="1495"/>
    </row>
    <row r="87" spans="1:7">
      <c r="A87" s="1494"/>
      <c r="B87" s="2055"/>
      <c r="C87" s="2056"/>
      <c r="D87" s="1485"/>
      <c r="E87" s="1486"/>
      <c r="F87" s="1487"/>
      <c r="G87" s="1495"/>
    </row>
    <row r="88" spans="1:7">
      <c r="A88" s="1494"/>
      <c r="B88" s="2055"/>
      <c r="C88" s="2056"/>
      <c r="D88" s="1485"/>
      <c r="E88" s="1486"/>
      <c r="F88" s="1487"/>
      <c r="G88" s="1495"/>
    </row>
    <row r="89" spans="1:7">
      <c r="A89" s="1494"/>
      <c r="B89" s="2055"/>
      <c r="C89" s="2056"/>
      <c r="D89" s="1485"/>
      <c r="E89" s="1486"/>
      <c r="F89" s="1487"/>
      <c r="G89" s="1495"/>
    </row>
    <row r="90" spans="1:7">
      <c r="A90" s="1494"/>
      <c r="B90" s="2055"/>
      <c r="C90" s="2056"/>
      <c r="D90" s="1485"/>
      <c r="E90" s="1486"/>
      <c r="F90" s="1487"/>
      <c r="G90" s="1495"/>
    </row>
    <row r="91" spans="1:7">
      <c r="A91" s="1494"/>
      <c r="B91" s="2055"/>
      <c r="C91" s="2056"/>
      <c r="D91" s="1485"/>
      <c r="E91" s="1486"/>
      <c r="F91" s="1487"/>
      <c r="G91" s="1495"/>
    </row>
    <row r="92" spans="1:7">
      <c r="A92" s="1494"/>
      <c r="B92" s="2055"/>
      <c r="C92" s="2056"/>
      <c r="D92" s="1485"/>
      <c r="E92" s="1486"/>
      <c r="F92" s="1487"/>
      <c r="G92" s="1495"/>
    </row>
    <row r="93" spans="1:7">
      <c r="A93" s="1494"/>
      <c r="B93" s="2055"/>
      <c r="C93" s="2056"/>
      <c r="D93" s="1485"/>
      <c r="E93" s="1486"/>
      <c r="F93" s="1487"/>
      <c r="G93" s="1495"/>
    </row>
    <row r="94" spans="1:7">
      <c r="A94" s="1494"/>
      <c r="B94" s="2055"/>
      <c r="C94" s="2056"/>
      <c r="D94" s="1485"/>
      <c r="E94" s="1486"/>
      <c r="F94" s="1487"/>
      <c r="G94" s="1495"/>
    </row>
    <row r="95" spans="1:7">
      <c r="A95" s="1494"/>
      <c r="B95" s="2055"/>
      <c r="C95" s="2056"/>
      <c r="D95" s="1485"/>
      <c r="E95" s="1486"/>
      <c r="F95" s="1487"/>
      <c r="G95" s="1495"/>
    </row>
    <row r="96" spans="1:7">
      <c r="A96" s="1494"/>
      <c r="B96" s="2055"/>
      <c r="C96" s="2056"/>
      <c r="D96" s="1485"/>
      <c r="E96" s="1486"/>
      <c r="F96" s="1487"/>
      <c r="G96" s="1495"/>
    </row>
    <row r="97" spans="1:7">
      <c r="A97" s="1494"/>
      <c r="B97" s="2055"/>
      <c r="C97" s="2056"/>
      <c r="D97" s="1485"/>
      <c r="E97" s="1486"/>
      <c r="F97" s="1487"/>
      <c r="G97" s="1495"/>
    </row>
    <row r="98" spans="1:7">
      <c r="A98" s="1494"/>
      <c r="B98" s="2055"/>
      <c r="C98" s="2056"/>
      <c r="D98" s="1485"/>
      <c r="E98" s="1486"/>
      <c r="F98" s="1487"/>
      <c r="G98" s="1495"/>
    </row>
    <row r="99" spans="1:7">
      <c r="A99" s="1494"/>
      <c r="B99" s="2055"/>
      <c r="C99" s="2056"/>
      <c r="D99" s="1485"/>
      <c r="E99" s="1486"/>
      <c r="F99" s="1487"/>
      <c r="G99" s="1495"/>
    </row>
    <row r="100" spans="1:7">
      <c r="A100" s="1494"/>
      <c r="B100" s="2055"/>
      <c r="C100" s="2056"/>
      <c r="D100" s="1485"/>
      <c r="E100" s="1486"/>
      <c r="F100" s="1487"/>
      <c r="G100" s="1495"/>
    </row>
    <row r="101" spans="1:7">
      <c r="A101" s="1494"/>
      <c r="B101" s="2055"/>
      <c r="C101" s="2056"/>
      <c r="D101" s="1485"/>
      <c r="E101" s="1486"/>
      <c r="F101" s="1487"/>
      <c r="G101" s="1495"/>
    </row>
    <row r="102" spans="1:7">
      <c r="A102" s="1494"/>
      <c r="B102" s="2055"/>
      <c r="C102" s="2056"/>
      <c r="D102" s="1485"/>
      <c r="E102" s="1486"/>
      <c r="F102" s="1487"/>
      <c r="G102" s="1495"/>
    </row>
    <row r="103" spans="1:7">
      <c r="A103" s="1494"/>
      <c r="B103" s="2055"/>
      <c r="C103" s="2056"/>
      <c r="D103" s="1485"/>
      <c r="E103" s="1486"/>
      <c r="F103" s="1487"/>
      <c r="G103" s="1495"/>
    </row>
    <row r="104" spans="1:7">
      <c r="A104" s="1494"/>
      <c r="B104" s="2055"/>
      <c r="C104" s="2056"/>
      <c r="D104" s="1485"/>
      <c r="E104" s="1486"/>
      <c r="F104" s="1487"/>
      <c r="G104" s="1495"/>
    </row>
    <row r="105" spans="1:7">
      <c r="A105" s="1494"/>
      <c r="B105" s="2055"/>
      <c r="C105" s="2056"/>
      <c r="D105" s="1485"/>
      <c r="E105" s="1486"/>
      <c r="F105" s="1487"/>
      <c r="G105" s="1495"/>
    </row>
    <row r="106" spans="1:7">
      <c r="A106" s="1494"/>
      <c r="B106" s="2055"/>
      <c r="C106" s="2056"/>
      <c r="D106" s="1485"/>
      <c r="E106" s="1486"/>
      <c r="F106" s="1487"/>
      <c r="G106" s="1495"/>
    </row>
    <row r="107" spans="1:7">
      <c r="A107" s="1494"/>
      <c r="B107" s="2055"/>
      <c r="C107" s="2056"/>
      <c r="D107" s="1485"/>
      <c r="E107" s="1486"/>
      <c r="F107" s="1487"/>
      <c r="G107" s="1495"/>
    </row>
    <row r="108" spans="1:7">
      <c r="A108" s="1494"/>
      <c r="B108" s="2055"/>
      <c r="C108" s="2056"/>
      <c r="D108" s="1485"/>
      <c r="E108" s="1486"/>
      <c r="F108" s="1487"/>
      <c r="G108" s="1495"/>
    </row>
    <row r="109" spans="1:7">
      <c r="A109" s="1494"/>
      <c r="B109" s="2055"/>
      <c r="C109" s="2056"/>
      <c r="D109" s="1485"/>
      <c r="E109" s="1486"/>
      <c r="F109" s="1487"/>
      <c r="G109" s="1495"/>
    </row>
    <row r="110" spans="1:7">
      <c r="A110" s="1494"/>
      <c r="B110" s="2055"/>
      <c r="C110" s="2056"/>
      <c r="D110" s="1485"/>
      <c r="E110" s="1486"/>
      <c r="F110" s="1487"/>
      <c r="G110" s="1495"/>
    </row>
    <row r="111" spans="1:7">
      <c r="A111" s="1494"/>
      <c r="B111" s="2055"/>
      <c r="C111" s="2056"/>
      <c r="D111" s="1485"/>
      <c r="E111" s="1486"/>
      <c r="F111" s="1487"/>
      <c r="G111" s="1495"/>
    </row>
    <row r="112" spans="1:7">
      <c r="A112" s="1494"/>
      <c r="B112" s="2055"/>
      <c r="C112" s="2056"/>
      <c r="D112" s="1485"/>
      <c r="E112" s="1486"/>
      <c r="F112" s="1487"/>
      <c r="G112" s="1495"/>
    </row>
    <row r="113" spans="1:7">
      <c r="A113" s="1494"/>
      <c r="B113" s="2055"/>
      <c r="C113" s="2056"/>
      <c r="D113" s="1485"/>
      <c r="E113" s="1486"/>
      <c r="F113" s="1487"/>
      <c r="G113" s="1495"/>
    </row>
    <row r="114" spans="1:7">
      <c r="A114" s="1494"/>
      <c r="B114" s="2055"/>
      <c r="C114" s="2056"/>
      <c r="D114" s="1485"/>
      <c r="E114" s="1486"/>
      <c r="F114" s="1487"/>
      <c r="G114" s="1495"/>
    </row>
    <row r="115" spans="1:7">
      <c r="A115" s="1494"/>
      <c r="B115" s="2055"/>
      <c r="C115" s="2056"/>
      <c r="D115" s="1485"/>
      <c r="E115" s="1486"/>
      <c r="F115" s="1487"/>
      <c r="G115" s="1495"/>
    </row>
    <row r="116" spans="1:7">
      <c r="A116" s="1494"/>
      <c r="B116" s="2055"/>
      <c r="C116" s="2056"/>
      <c r="D116" s="1485"/>
      <c r="E116" s="1486"/>
      <c r="F116" s="1487"/>
      <c r="G116" s="1495"/>
    </row>
    <row r="117" spans="1:7">
      <c r="A117" s="1494"/>
      <c r="B117" s="2055"/>
      <c r="C117" s="2056"/>
      <c r="D117" s="1485"/>
      <c r="E117" s="1486"/>
      <c r="F117" s="1487"/>
      <c r="G117" s="1495"/>
    </row>
    <row r="118" spans="1:7">
      <c r="A118" s="1494"/>
      <c r="B118" s="2055"/>
      <c r="C118" s="2056"/>
      <c r="D118" s="1485"/>
      <c r="E118" s="1486"/>
      <c r="F118" s="1487"/>
      <c r="G118" s="1495"/>
    </row>
    <row r="119" spans="1:7">
      <c r="A119" s="1494"/>
      <c r="B119" s="2055"/>
      <c r="C119" s="2056"/>
      <c r="D119" s="1485"/>
      <c r="E119" s="1486"/>
      <c r="F119" s="1487"/>
      <c r="G119" s="1495"/>
    </row>
    <row r="120" spans="1:7">
      <c r="A120" s="1494"/>
      <c r="B120" s="2055"/>
      <c r="C120" s="2056"/>
      <c r="D120" s="1485"/>
      <c r="E120" s="1486"/>
      <c r="F120" s="1487"/>
      <c r="G120" s="1495"/>
    </row>
    <row r="121" spans="1:7">
      <c r="A121" s="1494"/>
      <c r="B121" s="2055"/>
      <c r="C121" s="2056"/>
      <c r="D121" s="1485"/>
      <c r="E121" s="1486"/>
      <c r="F121" s="1487"/>
      <c r="G121" s="1495"/>
    </row>
    <row r="122" spans="1:7">
      <c r="A122" s="1494"/>
      <c r="B122" s="2055"/>
      <c r="C122" s="2056"/>
      <c r="D122" s="1485"/>
      <c r="E122" s="1486"/>
      <c r="F122" s="1487"/>
      <c r="G122" s="1495"/>
    </row>
    <row r="123" spans="1:7">
      <c r="A123" s="1494"/>
      <c r="B123" s="2055"/>
      <c r="C123" s="2056"/>
      <c r="D123" s="1485"/>
      <c r="E123" s="1486"/>
      <c r="F123" s="1487"/>
      <c r="G123" s="1495"/>
    </row>
    <row r="124" spans="1:7">
      <c r="A124" s="1494"/>
      <c r="B124" s="2055"/>
      <c r="C124" s="2056"/>
      <c r="D124" s="1485"/>
      <c r="E124" s="1486"/>
      <c r="F124" s="1487"/>
      <c r="G124" s="1495"/>
    </row>
    <row r="125" spans="1:7">
      <c r="A125" s="1494"/>
      <c r="B125" s="2055"/>
      <c r="C125" s="2056"/>
      <c r="D125" s="1485"/>
      <c r="E125" s="1486"/>
      <c r="F125" s="1487"/>
      <c r="G125" s="1495"/>
    </row>
    <row r="126" spans="1:7">
      <c r="A126" s="1494"/>
      <c r="B126" s="2055"/>
      <c r="C126" s="2056"/>
      <c r="D126" s="1485"/>
      <c r="E126" s="1486"/>
      <c r="F126" s="1487"/>
      <c r="G126" s="1495"/>
    </row>
    <row r="127" spans="1:7">
      <c r="A127" s="1494"/>
      <c r="B127" s="2055"/>
      <c r="C127" s="2056"/>
      <c r="D127" s="1485"/>
      <c r="E127" s="1486"/>
      <c r="F127" s="1487"/>
      <c r="G127" s="1495"/>
    </row>
    <row r="128" spans="1:7">
      <c r="A128" s="1494"/>
      <c r="B128" s="2055"/>
      <c r="C128" s="2056"/>
      <c r="D128" s="1485"/>
      <c r="E128" s="1486"/>
      <c r="F128" s="1487"/>
      <c r="G128" s="1495"/>
    </row>
    <row r="129" spans="1:7">
      <c r="A129" s="1494"/>
      <c r="B129" s="2055"/>
      <c r="C129" s="2056"/>
      <c r="D129" s="1485"/>
      <c r="E129" s="1486"/>
      <c r="F129" s="1487"/>
      <c r="G129" s="1495"/>
    </row>
    <row r="130" spans="1:7">
      <c r="A130" s="1494"/>
      <c r="B130" s="2055"/>
      <c r="C130" s="2056"/>
      <c r="D130" s="1485"/>
      <c r="E130" s="1486"/>
      <c r="F130" s="1487"/>
      <c r="G130" s="1495"/>
    </row>
    <row r="131" spans="1:7">
      <c r="A131" s="1494"/>
      <c r="B131" s="2055"/>
      <c r="C131" s="2056"/>
      <c r="D131" s="1485"/>
      <c r="E131" s="1486"/>
      <c r="F131" s="1487"/>
      <c r="G131" s="1495"/>
    </row>
    <row r="132" spans="1:7">
      <c r="A132" s="1494"/>
      <c r="B132" s="2055"/>
      <c r="C132" s="2056"/>
      <c r="D132" s="1485"/>
      <c r="E132" s="1486"/>
      <c r="F132" s="1487"/>
      <c r="G132" s="1495"/>
    </row>
    <row r="133" spans="1:7">
      <c r="A133" s="1494"/>
      <c r="B133" s="2055"/>
      <c r="C133" s="2056"/>
      <c r="D133" s="1485"/>
      <c r="E133" s="1486"/>
      <c r="F133" s="1487"/>
      <c r="G133" s="1495"/>
    </row>
    <row r="134" spans="1:7">
      <c r="A134" s="1494"/>
      <c r="B134" s="2055"/>
      <c r="C134" s="2056"/>
      <c r="D134" s="1485"/>
      <c r="E134" s="1486"/>
      <c r="F134" s="1487"/>
      <c r="G134" s="1495"/>
    </row>
    <row r="135" spans="1:7">
      <c r="A135" s="1494"/>
      <c r="B135" s="2055"/>
      <c r="C135" s="2056"/>
      <c r="D135" s="1485"/>
      <c r="E135" s="1486"/>
      <c r="F135" s="1487"/>
      <c r="G135" s="1495"/>
    </row>
    <row r="136" spans="1:7">
      <c r="A136" s="1494"/>
      <c r="B136" s="2055"/>
      <c r="C136" s="2056"/>
      <c r="D136" s="1485"/>
      <c r="E136" s="1486"/>
      <c r="F136" s="1487"/>
      <c r="G136" s="1495"/>
    </row>
    <row r="137" spans="1:7">
      <c r="A137" s="1494"/>
      <c r="B137" s="2055"/>
      <c r="C137" s="2056"/>
      <c r="D137" s="1485"/>
      <c r="E137" s="1486"/>
      <c r="F137" s="1487"/>
      <c r="G137" s="1495"/>
    </row>
    <row r="138" spans="1:7">
      <c r="A138" s="1494"/>
      <c r="B138" s="2055"/>
      <c r="C138" s="2056"/>
      <c r="D138" s="1485"/>
      <c r="E138" s="1486"/>
      <c r="F138" s="1487"/>
      <c r="G138" s="1495"/>
    </row>
    <row r="139" spans="1:7">
      <c r="A139" s="1494"/>
      <c r="B139" s="2055"/>
      <c r="C139" s="2056"/>
      <c r="D139" s="1485"/>
      <c r="E139" s="1486"/>
      <c r="F139" s="1487"/>
      <c r="G139" s="1495"/>
    </row>
    <row r="140" spans="1:7">
      <c r="A140" s="1494"/>
      <c r="B140" s="2055"/>
      <c r="C140" s="2056"/>
      <c r="D140" s="1485"/>
      <c r="E140" s="1486"/>
      <c r="F140" s="1487"/>
      <c r="G140" s="1495"/>
    </row>
    <row r="141" spans="1:7">
      <c r="A141" s="1494"/>
      <c r="B141" s="2055"/>
      <c r="C141" s="2056"/>
      <c r="D141" s="1485"/>
      <c r="E141" s="1486"/>
      <c r="F141" s="1487"/>
      <c r="G141" s="1495"/>
    </row>
    <row r="142" spans="1:7">
      <c r="A142" s="1494"/>
      <c r="B142" s="2055"/>
      <c r="C142" s="2056"/>
      <c r="D142" s="1485"/>
      <c r="E142" s="1486"/>
      <c r="F142" s="1487"/>
      <c r="G142" s="1495"/>
    </row>
    <row r="143" spans="1:7">
      <c r="A143" s="1494"/>
      <c r="B143" s="2055"/>
      <c r="C143" s="2056"/>
      <c r="D143" s="1485"/>
      <c r="E143" s="1486"/>
      <c r="F143" s="1487"/>
      <c r="G143" s="1495"/>
    </row>
    <row r="144" spans="1:7">
      <c r="A144" s="1494"/>
      <c r="B144" s="2055"/>
      <c r="C144" s="2056"/>
      <c r="D144" s="1485"/>
      <c r="E144" s="1486"/>
      <c r="F144" s="1487"/>
      <c r="G144" s="1495"/>
    </row>
    <row r="145" spans="1:7">
      <c r="A145" s="1494"/>
      <c r="B145" s="2055"/>
      <c r="C145" s="2056"/>
      <c r="D145" s="1485"/>
      <c r="E145" s="1486"/>
      <c r="F145" s="1487"/>
      <c r="G145" s="1495"/>
    </row>
    <row r="146" spans="1:7">
      <c r="A146" s="1494"/>
      <c r="B146" s="2055"/>
      <c r="C146" s="2056"/>
      <c r="D146" s="1485"/>
      <c r="E146" s="1486"/>
      <c r="F146" s="1487"/>
      <c r="G146" s="1495"/>
    </row>
    <row r="147" spans="1:7">
      <c r="A147" s="1494"/>
      <c r="B147" s="2055"/>
      <c r="C147" s="2056"/>
      <c r="D147" s="1485"/>
      <c r="E147" s="1486"/>
      <c r="F147" s="1487"/>
      <c r="G147" s="1495"/>
    </row>
    <row r="148" spans="1:7">
      <c r="A148" s="1494"/>
      <c r="B148" s="2055"/>
      <c r="C148" s="2056"/>
      <c r="D148" s="1485"/>
      <c r="E148" s="1486"/>
      <c r="F148" s="1487"/>
      <c r="G148" s="1495"/>
    </row>
    <row r="149" spans="1:7">
      <c r="A149" s="1494"/>
      <c r="B149" s="2055"/>
      <c r="C149" s="2056"/>
      <c r="D149" s="1485"/>
      <c r="E149" s="1486"/>
      <c r="F149" s="1487"/>
      <c r="G149" s="1495"/>
    </row>
    <row r="150" spans="1:7">
      <c r="A150" s="1494"/>
      <c r="B150" s="2055"/>
      <c r="C150" s="2056"/>
      <c r="D150" s="1485"/>
      <c r="E150" s="1486"/>
      <c r="F150" s="1487"/>
      <c r="G150" s="1495"/>
    </row>
    <row r="151" spans="1:7">
      <c r="A151" s="1494"/>
      <c r="B151" s="2055"/>
      <c r="C151" s="2056"/>
      <c r="D151" s="1485"/>
      <c r="E151" s="1486"/>
      <c r="F151" s="1487"/>
      <c r="G151" s="1495"/>
    </row>
    <row r="152" spans="1:7">
      <c r="A152" s="1494"/>
      <c r="B152" s="2055"/>
      <c r="C152" s="2056"/>
      <c r="D152" s="1485"/>
      <c r="E152" s="1486"/>
      <c r="F152" s="1487"/>
      <c r="G152" s="1495"/>
    </row>
    <row r="153" spans="1:7">
      <c r="A153" s="1494"/>
      <c r="B153" s="2055"/>
      <c r="C153" s="2056"/>
      <c r="D153" s="1485"/>
      <c r="E153" s="1486"/>
      <c r="F153" s="1487"/>
      <c r="G153" s="1495"/>
    </row>
    <row r="154" spans="1:7">
      <c r="A154" s="1494"/>
      <c r="B154" s="2055"/>
      <c r="C154" s="2056"/>
      <c r="D154" s="1485"/>
      <c r="E154" s="1486"/>
      <c r="F154" s="1487"/>
      <c r="G154" s="1495"/>
    </row>
    <row r="155" spans="1:7">
      <c r="A155" s="1494"/>
      <c r="B155" s="2055"/>
      <c r="C155" s="2056"/>
      <c r="D155" s="1485"/>
      <c r="E155" s="1486"/>
      <c r="F155" s="1487"/>
      <c r="G155" s="1495"/>
    </row>
    <row r="156" spans="1:7">
      <c r="A156" s="1494"/>
      <c r="B156" s="2055"/>
      <c r="C156" s="2056"/>
      <c r="D156" s="1485"/>
      <c r="E156" s="1486"/>
      <c r="F156" s="1487"/>
      <c r="G156" s="1495"/>
    </row>
    <row r="157" spans="1:7">
      <c r="A157" s="1494"/>
      <c r="B157" s="2055"/>
      <c r="C157" s="2056"/>
      <c r="D157" s="1485"/>
      <c r="E157" s="1486"/>
      <c r="F157" s="1487"/>
      <c r="G157" s="1495"/>
    </row>
    <row r="158" spans="1:7">
      <c r="A158" s="1494"/>
      <c r="B158" s="2055"/>
      <c r="C158" s="2056"/>
      <c r="D158" s="1485"/>
      <c r="E158" s="1486"/>
      <c r="F158" s="1487"/>
      <c r="G158" s="1495"/>
    </row>
    <row r="159" spans="1:7">
      <c r="A159" s="1494"/>
      <c r="B159" s="2055"/>
      <c r="C159" s="2056"/>
      <c r="D159" s="1485"/>
      <c r="E159" s="1486"/>
      <c r="F159" s="1487"/>
      <c r="G159" s="1495"/>
    </row>
    <row r="160" spans="1:7">
      <c r="A160" s="1494"/>
      <c r="B160" s="2055"/>
      <c r="C160" s="2056"/>
      <c r="D160" s="1485"/>
      <c r="E160" s="1486"/>
      <c r="F160" s="1487"/>
      <c r="G160" s="1495"/>
    </row>
    <row r="161" spans="1:7">
      <c r="A161" s="1494"/>
      <c r="B161" s="2055"/>
      <c r="C161" s="2056"/>
      <c r="D161" s="1485"/>
      <c r="E161" s="1486"/>
      <c r="F161" s="1487"/>
      <c r="G161" s="1495"/>
    </row>
    <row r="162" spans="1:7">
      <c r="A162" s="1494"/>
      <c r="B162" s="2055"/>
      <c r="C162" s="2056"/>
      <c r="D162" s="1485"/>
      <c r="E162" s="1486"/>
      <c r="F162" s="1487"/>
      <c r="G162" s="1495"/>
    </row>
    <row r="163" spans="1:7">
      <c r="A163" s="1494"/>
      <c r="B163" s="2055"/>
      <c r="C163" s="2056"/>
      <c r="D163" s="1485"/>
      <c r="E163" s="1486"/>
      <c r="F163" s="1487"/>
      <c r="G163" s="1495"/>
    </row>
    <row r="164" spans="1:7">
      <c r="A164" s="1494"/>
      <c r="B164" s="2055"/>
      <c r="C164" s="2056"/>
      <c r="D164" s="1485"/>
      <c r="E164" s="1486"/>
      <c r="F164" s="1487"/>
      <c r="G164" s="1495"/>
    </row>
    <row r="165" spans="1:7">
      <c r="A165" s="1494"/>
      <c r="B165" s="2055"/>
      <c r="C165" s="2056"/>
      <c r="D165" s="1485"/>
      <c r="E165" s="1486"/>
      <c r="F165" s="1487"/>
      <c r="G165" s="1495"/>
    </row>
    <row r="166" spans="1:7">
      <c r="A166" s="1494"/>
      <c r="B166" s="2055"/>
      <c r="C166" s="2056"/>
      <c r="D166" s="1485"/>
      <c r="E166" s="1486"/>
      <c r="F166" s="1487"/>
      <c r="G166" s="1495"/>
    </row>
    <row r="167" spans="1:7">
      <c r="A167" s="1494"/>
      <c r="B167" s="2055"/>
      <c r="C167" s="2056"/>
      <c r="D167" s="1485"/>
      <c r="E167" s="1486"/>
      <c r="F167" s="1487"/>
      <c r="G167" s="1495"/>
    </row>
    <row r="168" spans="1:7">
      <c r="A168" s="1494"/>
      <c r="B168" s="2055"/>
      <c r="C168" s="2056"/>
      <c r="D168" s="1485"/>
      <c r="E168" s="1486"/>
      <c r="F168" s="1487"/>
      <c r="G168" s="1495"/>
    </row>
    <row r="169" spans="1:7">
      <c r="A169" s="1494"/>
      <c r="B169" s="2055"/>
      <c r="C169" s="2056"/>
      <c r="D169" s="1485"/>
      <c r="E169" s="1486"/>
      <c r="F169" s="1487"/>
      <c r="G169" s="1495"/>
    </row>
    <row r="170" spans="1:7">
      <c r="A170" s="1494"/>
      <c r="B170" s="2055"/>
      <c r="C170" s="2056"/>
      <c r="D170" s="1485"/>
      <c r="E170" s="1486"/>
      <c r="F170" s="1487"/>
      <c r="G170" s="1495"/>
    </row>
    <row r="171" spans="1:7">
      <c r="A171" s="1494"/>
      <c r="B171" s="2055"/>
      <c r="C171" s="2056"/>
      <c r="D171" s="1485"/>
      <c r="E171" s="1486"/>
      <c r="F171" s="1487"/>
      <c r="G171" s="1495"/>
    </row>
    <row r="172" spans="1:7">
      <c r="A172" s="1494"/>
      <c r="B172" s="2055"/>
      <c r="C172" s="2056"/>
      <c r="D172" s="1485"/>
      <c r="E172" s="1486"/>
      <c r="F172" s="1487"/>
      <c r="G172" s="1495"/>
    </row>
    <row r="173" spans="1:7">
      <c r="A173" s="1494"/>
      <c r="B173" s="2055"/>
      <c r="C173" s="2056"/>
      <c r="D173" s="1485"/>
      <c r="E173" s="1486"/>
      <c r="F173" s="1487"/>
      <c r="G173" s="1495"/>
    </row>
    <row r="174" spans="1:7">
      <c r="A174" s="1494"/>
      <c r="B174" s="2055"/>
      <c r="C174" s="2056"/>
      <c r="D174" s="1485"/>
      <c r="E174" s="1486"/>
      <c r="F174" s="1487"/>
      <c r="G174" s="1495"/>
    </row>
    <row r="175" spans="1:7">
      <c r="A175" s="1494"/>
      <c r="B175" s="2055"/>
      <c r="C175" s="2056"/>
      <c r="D175" s="1485"/>
      <c r="E175" s="1486"/>
      <c r="F175" s="1487"/>
      <c r="G175" s="1495"/>
    </row>
    <row r="176" spans="1:7">
      <c r="A176" s="1494"/>
      <c r="B176" s="2055"/>
      <c r="C176" s="2056"/>
      <c r="D176" s="1485"/>
      <c r="E176" s="1486"/>
      <c r="F176" s="1487"/>
      <c r="G176" s="1495"/>
    </row>
    <row r="177" spans="1:7">
      <c r="A177" s="1494"/>
      <c r="B177" s="2055"/>
      <c r="C177" s="2056"/>
      <c r="D177" s="1485"/>
      <c r="E177" s="1486"/>
      <c r="F177" s="1487"/>
      <c r="G177" s="1495"/>
    </row>
    <row r="178" spans="1:7">
      <c r="A178" s="1494"/>
      <c r="B178" s="2055"/>
      <c r="C178" s="2056"/>
      <c r="D178" s="1485"/>
      <c r="E178" s="1486"/>
      <c r="F178" s="1487"/>
      <c r="G178" s="1495"/>
    </row>
    <row r="179" spans="1:7">
      <c r="A179" s="1494"/>
      <c r="B179" s="2055"/>
      <c r="C179" s="2056"/>
      <c r="D179" s="1485"/>
      <c r="E179" s="1486"/>
      <c r="F179" s="1487"/>
      <c r="G179" s="1495"/>
    </row>
    <row r="180" spans="1:7">
      <c r="A180" s="1494"/>
      <c r="B180" s="2055"/>
      <c r="C180" s="2056"/>
      <c r="D180" s="1485"/>
      <c r="E180" s="1486"/>
      <c r="F180" s="1487"/>
      <c r="G180" s="1495"/>
    </row>
    <row r="181" spans="1:7">
      <c r="A181" s="1494"/>
      <c r="B181" s="2055"/>
      <c r="C181" s="2056"/>
      <c r="D181" s="1485"/>
      <c r="E181" s="1486"/>
      <c r="F181" s="1487"/>
      <c r="G181" s="1495"/>
    </row>
    <row r="182" spans="1:7">
      <c r="A182" s="1494"/>
      <c r="B182" s="2055"/>
      <c r="C182" s="2056"/>
      <c r="D182" s="1485"/>
      <c r="E182" s="1486"/>
      <c r="F182" s="1487"/>
      <c r="G182" s="1495"/>
    </row>
    <row r="183" spans="1:7">
      <c r="A183" s="1494"/>
      <c r="B183" s="2055"/>
      <c r="C183" s="2056"/>
      <c r="D183" s="1485"/>
      <c r="E183" s="1486"/>
      <c r="F183" s="1487"/>
      <c r="G183" s="1495"/>
    </row>
    <row r="184" spans="1:7">
      <c r="A184" s="1494"/>
      <c r="B184" s="2055"/>
      <c r="C184" s="2056"/>
      <c r="D184" s="1485"/>
      <c r="E184" s="1486"/>
      <c r="F184" s="1487"/>
      <c r="G184" s="1495"/>
    </row>
    <row r="185" spans="1:7">
      <c r="A185" s="1494"/>
      <c r="B185" s="2055"/>
      <c r="C185" s="2056"/>
      <c r="D185" s="1485"/>
      <c r="E185" s="1486"/>
      <c r="F185" s="1487"/>
      <c r="G185" s="1495"/>
    </row>
    <row r="186" spans="1:7">
      <c r="A186" s="1494"/>
      <c r="B186" s="2055"/>
      <c r="C186" s="2056"/>
      <c r="D186" s="1485"/>
      <c r="E186" s="1486"/>
      <c r="F186" s="1487"/>
      <c r="G186" s="1495"/>
    </row>
    <row r="187" spans="1:7">
      <c r="A187" s="1494"/>
      <c r="B187" s="2055"/>
      <c r="C187" s="2056"/>
      <c r="D187" s="1485"/>
      <c r="E187" s="1486"/>
      <c r="F187" s="1487"/>
      <c r="G187" s="1495"/>
    </row>
    <row r="188" spans="1:7">
      <c r="A188" s="1494"/>
      <c r="B188" s="2055"/>
      <c r="C188" s="2056"/>
      <c r="D188" s="1485"/>
      <c r="E188" s="1486"/>
      <c r="F188" s="1487"/>
      <c r="G188" s="1495"/>
    </row>
    <row r="189" spans="1:7">
      <c r="A189" s="1494"/>
      <c r="B189" s="2055"/>
      <c r="C189" s="2056"/>
      <c r="D189" s="1485"/>
      <c r="E189" s="1486"/>
      <c r="F189" s="1487"/>
      <c r="G189" s="1495"/>
    </row>
    <row r="190" spans="1:7">
      <c r="A190" s="1494"/>
      <c r="B190" s="2055"/>
      <c r="C190" s="2056"/>
      <c r="D190" s="1485"/>
      <c r="E190" s="1486"/>
      <c r="F190" s="1487"/>
      <c r="G190" s="1495"/>
    </row>
    <row r="191" spans="1:7">
      <c r="A191" s="1494"/>
      <c r="B191" s="2055"/>
      <c r="C191" s="2056"/>
      <c r="D191" s="1485"/>
      <c r="E191" s="1486"/>
      <c r="F191" s="1487"/>
      <c r="G191" s="1495"/>
    </row>
    <row r="192" spans="1:7">
      <c r="A192" s="1494"/>
      <c r="B192" s="2055"/>
      <c r="C192" s="2056"/>
      <c r="D192" s="1485"/>
      <c r="E192" s="1486"/>
      <c r="F192" s="1487"/>
      <c r="G192" s="1495"/>
    </row>
    <row r="193" spans="1:7">
      <c r="A193" s="1494"/>
      <c r="B193" s="2055"/>
      <c r="C193" s="2056"/>
      <c r="D193" s="1485"/>
      <c r="E193" s="1486"/>
      <c r="F193" s="1487"/>
      <c r="G193" s="1495"/>
    </row>
    <row r="194" spans="1:7">
      <c r="A194" s="1494"/>
      <c r="B194" s="2055"/>
      <c r="C194" s="2056"/>
      <c r="D194" s="1485"/>
      <c r="E194" s="1486"/>
      <c r="F194" s="1487"/>
      <c r="G194" s="1495"/>
    </row>
    <row r="195" spans="1:7">
      <c r="A195" s="1494"/>
      <c r="B195" s="2055"/>
      <c r="C195" s="2056"/>
      <c r="D195" s="1485"/>
      <c r="E195" s="1486"/>
      <c r="F195" s="1487"/>
      <c r="G195" s="1495"/>
    </row>
    <row r="196" spans="1:7">
      <c r="A196" s="1494"/>
      <c r="B196" s="2055"/>
      <c r="C196" s="2056"/>
      <c r="D196" s="1485"/>
      <c r="E196" s="1486"/>
      <c r="F196" s="1487"/>
      <c r="G196" s="1495"/>
    </row>
    <row r="197" spans="1:7">
      <c r="A197" s="1494"/>
      <c r="B197" s="2055"/>
      <c r="C197" s="2056"/>
      <c r="D197" s="1485"/>
      <c r="E197" s="1486"/>
      <c r="F197" s="1487"/>
      <c r="G197" s="1495"/>
    </row>
    <row r="198" spans="1:7">
      <c r="A198" s="1494"/>
      <c r="B198" s="2055"/>
      <c r="C198" s="2056"/>
      <c r="D198" s="1485"/>
      <c r="E198" s="1486"/>
      <c r="F198" s="1487"/>
      <c r="G198" s="1495"/>
    </row>
    <row r="199" spans="1:7">
      <c r="A199" s="1494"/>
      <c r="B199" s="2055"/>
      <c r="C199" s="2056"/>
      <c r="D199" s="1485"/>
      <c r="E199" s="1486"/>
      <c r="F199" s="1487"/>
      <c r="G199" s="1495"/>
    </row>
    <row r="200" spans="1:7">
      <c r="A200" s="1494"/>
      <c r="B200" s="2055"/>
      <c r="C200" s="2056"/>
      <c r="D200" s="1485"/>
      <c r="E200" s="1486"/>
      <c r="F200" s="1487"/>
      <c r="G200" s="1495"/>
    </row>
    <row r="201" spans="1:7">
      <c r="A201" s="1494"/>
      <c r="B201" s="2055"/>
      <c r="C201" s="2056"/>
      <c r="D201" s="1485"/>
      <c r="E201" s="1486"/>
      <c r="F201" s="1487"/>
      <c r="G201" s="1495"/>
    </row>
    <row r="202" spans="1:7">
      <c r="A202" s="1494"/>
      <c r="B202" s="2055"/>
      <c r="C202" s="2056"/>
      <c r="D202" s="1485"/>
      <c r="E202" s="1486"/>
      <c r="F202" s="1487"/>
      <c r="G202" s="1495"/>
    </row>
    <row r="203" spans="1:7">
      <c r="A203" s="1494"/>
      <c r="B203" s="2055"/>
      <c r="C203" s="2056"/>
      <c r="D203" s="1485"/>
      <c r="E203" s="1486"/>
      <c r="F203" s="1487"/>
      <c r="G203" s="1495"/>
    </row>
    <row r="204" spans="1:7">
      <c r="A204" s="1494"/>
      <c r="B204" s="2055"/>
      <c r="C204" s="2056"/>
      <c r="D204" s="1485"/>
      <c r="E204" s="1486"/>
      <c r="F204" s="1487"/>
      <c r="G204" s="1495"/>
    </row>
    <row r="205" spans="1:7">
      <c r="A205" s="1494"/>
      <c r="B205" s="2055"/>
      <c r="C205" s="2056"/>
      <c r="D205" s="1485"/>
      <c r="E205" s="1486"/>
      <c r="F205" s="1487"/>
      <c r="G205" s="1495"/>
    </row>
    <row r="206" spans="1:7">
      <c r="A206" s="1494"/>
      <c r="B206" s="2055"/>
      <c r="C206" s="2056"/>
      <c r="D206" s="1485"/>
      <c r="E206" s="1486"/>
      <c r="F206" s="1487"/>
      <c r="G206" s="1495"/>
    </row>
    <row r="207" spans="1:7">
      <c r="A207" s="1494"/>
      <c r="B207" s="2055"/>
      <c r="C207" s="2056"/>
      <c r="D207" s="1485"/>
      <c r="E207" s="1486"/>
      <c r="F207" s="1487"/>
      <c r="G207" s="1495"/>
    </row>
    <row r="208" spans="1:7">
      <c r="A208" s="1494"/>
      <c r="B208" s="2055"/>
      <c r="C208" s="2056"/>
      <c r="D208" s="1485"/>
      <c r="E208" s="1486"/>
      <c r="F208" s="1487"/>
      <c r="G208" s="1495"/>
    </row>
    <row r="209" spans="1:7">
      <c r="A209" s="1494"/>
      <c r="B209" s="2055"/>
      <c r="C209" s="2056"/>
      <c r="D209" s="1485"/>
      <c r="E209" s="1486"/>
      <c r="F209" s="1487"/>
      <c r="G209" s="1495"/>
    </row>
    <row r="210" spans="1:7">
      <c r="A210" s="1494"/>
      <c r="B210" s="2055"/>
      <c r="C210" s="2056"/>
      <c r="D210" s="1485"/>
      <c r="E210" s="1486"/>
      <c r="F210" s="1487"/>
      <c r="G210" s="1495"/>
    </row>
    <row r="211" spans="1:7">
      <c r="A211" s="1494"/>
      <c r="B211" s="2055"/>
      <c r="C211" s="2056"/>
      <c r="D211" s="1485"/>
      <c r="E211" s="1486"/>
      <c r="F211" s="1487"/>
      <c r="G211" s="1495"/>
    </row>
    <row r="212" spans="1:7">
      <c r="A212" s="1494"/>
      <c r="B212" s="2055"/>
      <c r="C212" s="2056"/>
      <c r="D212" s="1485"/>
      <c r="E212" s="1486"/>
      <c r="F212" s="1487"/>
      <c r="G212" s="1495"/>
    </row>
    <row r="213" spans="1:7">
      <c r="A213" s="1494"/>
      <c r="B213" s="2055"/>
      <c r="C213" s="2056"/>
      <c r="D213" s="1485"/>
      <c r="E213" s="1486"/>
      <c r="F213" s="1487"/>
      <c r="G213" s="1495"/>
    </row>
    <row r="214" spans="1:7">
      <c r="A214" s="1494"/>
      <c r="B214" s="2055"/>
      <c r="C214" s="2056"/>
      <c r="D214" s="1485"/>
      <c r="E214" s="1486"/>
      <c r="F214" s="1487"/>
      <c r="G214" s="1495"/>
    </row>
    <row r="215" spans="1:7">
      <c r="A215" s="1494"/>
      <c r="B215" s="2055"/>
      <c r="C215" s="2056"/>
      <c r="D215" s="1485"/>
      <c r="E215" s="1486"/>
      <c r="F215" s="1487"/>
      <c r="G215" s="1495"/>
    </row>
    <row r="216" spans="1:7">
      <c r="A216" s="1494"/>
      <c r="B216" s="2055"/>
      <c r="C216" s="2056"/>
      <c r="D216" s="1485"/>
      <c r="E216" s="1486"/>
      <c r="F216" s="1487"/>
      <c r="G216" s="1495"/>
    </row>
    <row r="217" spans="1:7">
      <c r="A217" s="1494"/>
      <c r="B217" s="2055"/>
      <c r="C217" s="2056"/>
      <c r="D217" s="1485"/>
      <c r="E217" s="1486"/>
      <c r="F217" s="1487"/>
      <c r="G217" s="1495"/>
    </row>
    <row r="218" spans="1:7">
      <c r="A218" s="1494"/>
      <c r="B218" s="2055"/>
      <c r="C218" s="2056"/>
      <c r="D218" s="1485"/>
      <c r="E218" s="1486"/>
      <c r="F218" s="1487"/>
      <c r="G218" s="1495"/>
    </row>
    <row r="219" spans="1:7">
      <c r="A219" s="1494"/>
      <c r="B219" s="2055"/>
      <c r="C219" s="2056"/>
      <c r="D219" s="1485"/>
      <c r="E219" s="1486"/>
      <c r="F219" s="1487"/>
      <c r="G219" s="1495"/>
    </row>
    <row r="220" spans="1:7">
      <c r="A220" s="1494"/>
      <c r="B220" s="2055"/>
      <c r="C220" s="2056"/>
      <c r="D220" s="1485"/>
      <c r="E220" s="1486"/>
      <c r="F220" s="1487"/>
      <c r="G220" s="1495"/>
    </row>
    <row r="221" spans="1:7">
      <c r="A221" s="1494"/>
      <c r="B221" s="2055"/>
      <c r="C221" s="2056"/>
      <c r="D221" s="1485"/>
      <c r="E221" s="1486"/>
      <c r="F221" s="1487"/>
      <c r="G221" s="1495"/>
    </row>
    <row r="222" spans="1:7">
      <c r="A222" s="1494"/>
      <c r="B222" s="2055"/>
      <c r="C222" s="2056"/>
      <c r="D222" s="1485"/>
      <c r="E222" s="1486"/>
      <c r="F222" s="1487"/>
      <c r="G222" s="1495"/>
    </row>
    <row r="223" spans="1:7">
      <c r="A223" s="1494"/>
      <c r="B223" s="2055"/>
      <c r="C223" s="2056"/>
      <c r="D223" s="1485"/>
      <c r="E223" s="1486"/>
      <c r="F223" s="1487"/>
      <c r="G223" s="1495"/>
    </row>
    <row r="224" spans="1:7">
      <c r="A224" s="1494"/>
      <c r="B224" s="2055"/>
      <c r="C224" s="2056"/>
      <c r="D224" s="1485"/>
      <c r="E224" s="1486"/>
      <c r="F224" s="1487"/>
      <c r="G224" s="1495"/>
    </row>
    <row r="225" spans="1:7">
      <c r="A225" s="1494"/>
      <c r="B225" s="2055"/>
      <c r="C225" s="2056"/>
      <c r="D225" s="1485"/>
      <c r="E225" s="1486"/>
      <c r="F225" s="1487"/>
      <c r="G225" s="1495"/>
    </row>
    <row r="226" spans="1:7">
      <c r="A226" s="1494"/>
      <c r="B226" s="2055"/>
      <c r="C226" s="2056"/>
      <c r="D226" s="1485"/>
      <c r="E226" s="1486"/>
      <c r="F226" s="1487"/>
      <c r="G226" s="1495"/>
    </row>
    <row r="227" spans="1:7">
      <c r="A227" s="1494"/>
      <c r="B227" s="2055"/>
      <c r="C227" s="2056"/>
      <c r="D227" s="1485"/>
      <c r="E227" s="1486"/>
      <c r="F227" s="1487"/>
      <c r="G227" s="1495"/>
    </row>
    <row r="228" spans="1:7">
      <c r="A228" s="1494"/>
      <c r="B228" s="2055"/>
      <c r="C228" s="2056"/>
      <c r="D228" s="1485"/>
      <c r="E228" s="1486"/>
      <c r="F228" s="1487"/>
      <c r="G228" s="1495"/>
    </row>
    <row r="229" spans="1:7">
      <c r="A229" s="1494"/>
      <c r="B229" s="2055"/>
      <c r="C229" s="2056"/>
      <c r="D229" s="1485"/>
      <c r="E229" s="1486"/>
      <c r="F229" s="1487"/>
      <c r="G229" s="1495"/>
    </row>
    <row r="230" spans="1:7">
      <c r="A230" s="1494"/>
      <c r="B230" s="2055"/>
      <c r="C230" s="2056"/>
      <c r="D230" s="1485"/>
      <c r="E230" s="1486"/>
      <c r="F230" s="1487"/>
      <c r="G230" s="1495"/>
    </row>
    <row r="231" spans="1:7">
      <c r="A231" s="1494"/>
      <c r="B231" s="2055"/>
      <c r="C231" s="2056"/>
      <c r="D231" s="1485"/>
      <c r="E231" s="1486"/>
      <c r="F231" s="1487"/>
      <c r="G231" s="1495"/>
    </row>
    <row r="232" spans="1:7">
      <c r="A232" s="1494"/>
      <c r="B232" s="2055"/>
      <c r="C232" s="2056"/>
      <c r="D232" s="1485"/>
      <c r="E232" s="1486"/>
      <c r="F232" s="1487"/>
      <c r="G232" s="1495"/>
    </row>
    <row r="233" spans="1:7">
      <c r="A233" s="1494"/>
      <c r="B233" s="2055"/>
      <c r="C233" s="2056"/>
      <c r="D233" s="1485"/>
      <c r="E233" s="1486"/>
      <c r="F233" s="1487"/>
      <c r="G233" s="1495"/>
    </row>
    <row r="234" spans="1:7">
      <c r="A234" s="1494"/>
      <c r="B234" s="2055"/>
      <c r="C234" s="2056"/>
      <c r="D234" s="1485"/>
      <c r="E234" s="1486"/>
      <c r="F234" s="1487"/>
      <c r="G234" s="1495"/>
    </row>
    <row r="235" spans="1:7">
      <c r="A235" s="1494"/>
      <c r="B235" s="2055"/>
      <c r="C235" s="2056"/>
      <c r="D235" s="1485"/>
      <c r="E235" s="1486"/>
      <c r="F235" s="1487"/>
      <c r="G235" s="1495"/>
    </row>
    <row r="236" spans="1:7">
      <c r="A236" s="1494"/>
      <c r="B236" s="2055"/>
      <c r="C236" s="2056"/>
      <c r="D236" s="1485"/>
      <c r="E236" s="1486"/>
      <c r="F236" s="1487"/>
      <c r="G236" s="1495"/>
    </row>
    <row r="237" spans="1:7">
      <c r="A237" s="1494"/>
      <c r="B237" s="2055"/>
      <c r="C237" s="2056"/>
      <c r="D237" s="1485"/>
      <c r="E237" s="1486"/>
      <c r="F237" s="1487"/>
      <c r="G237" s="1495"/>
    </row>
    <row r="238" spans="1:7">
      <c r="A238" s="1494"/>
      <c r="B238" s="2055"/>
      <c r="C238" s="2056"/>
      <c r="D238" s="1485"/>
      <c r="E238" s="1486"/>
      <c r="F238" s="1487"/>
      <c r="G238" s="1495"/>
    </row>
    <row r="239" spans="1:7">
      <c r="A239" s="1494"/>
      <c r="B239" s="2055"/>
      <c r="C239" s="2056"/>
      <c r="D239" s="1485"/>
      <c r="E239" s="1486"/>
      <c r="F239" s="1487"/>
      <c r="G239" s="1495"/>
    </row>
    <row r="240" spans="1:7">
      <c r="A240" s="1494"/>
      <c r="B240" s="2055"/>
      <c r="C240" s="2056"/>
      <c r="D240" s="1485"/>
      <c r="E240" s="1486"/>
      <c r="F240" s="1487"/>
      <c r="G240" s="1495"/>
    </row>
    <row r="241" spans="1:7">
      <c r="A241" s="1494"/>
      <c r="B241" s="2055"/>
      <c r="C241" s="2056"/>
      <c r="D241" s="1485"/>
      <c r="E241" s="1486"/>
      <c r="F241" s="1487"/>
      <c r="G241" s="1495"/>
    </row>
    <row r="242" spans="1:7">
      <c r="A242" s="1494"/>
      <c r="B242" s="2055"/>
      <c r="C242" s="2056"/>
      <c r="D242" s="1485"/>
      <c r="E242" s="1486"/>
      <c r="F242" s="1487"/>
      <c r="G242" s="1495"/>
    </row>
    <row r="243" spans="1:7">
      <c r="A243" s="1494"/>
      <c r="B243" s="2055"/>
      <c r="C243" s="2056"/>
      <c r="D243" s="1485"/>
      <c r="E243" s="1486"/>
      <c r="F243" s="1487"/>
      <c r="G243" s="1495"/>
    </row>
    <row r="244" spans="1:7">
      <c r="A244" s="1494"/>
      <c r="B244" s="2055"/>
      <c r="C244" s="2056"/>
      <c r="D244" s="1485"/>
      <c r="E244" s="1486"/>
      <c r="F244" s="1487"/>
      <c r="G244" s="1495"/>
    </row>
    <row r="245" spans="1:7">
      <c r="A245" s="1494"/>
      <c r="B245" s="2055"/>
      <c r="C245" s="2056"/>
      <c r="D245" s="1485"/>
      <c r="E245" s="1486"/>
      <c r="F245" s="1487"/>
      <c r="G245" s="1495"/>
    </row>
    <row r="246" spans="1:7">
      <c r="A246" s="1494"/>
      <c r="B246" s="2055"/>
      <c r="C246" s="2056"/>
      <c r="D246" s="1485"/>
      <c r="E246" s="1486"/>
      <c r="F246" s="1487"/>
      <c r="G246" s="1495"/>
    </row>
    <row r="247" spans="1:7">
      <c r="A247" s="1494"/>
      <c r="B247" s="2055"/>
      <c r="C247" s="2056"/>
      <c r="D247" s="1485"/>
      <c r="E247" s="1486"/>
      <c r="F247" s="1487"/>
      <c r="G247" s="1495"/>
    </row>
    <row r="248" spans="1:7">
      <c r="A248" s="1494"/>
      <c r="B248" s="2055"/>
      <c r="C248" s="2056"/>
      <c r="D248" s="1485"/>
      <c r="E248" s="1486"/>
      <c r="F248" s="1487"/>
      <c r="G248" s="1495"/>
    </row>
    <row r="249" spans="1:7">
      <c r="A249" s="1494"/>
      <c r="B249" s="2055"/>
      <c r="C249" s="2056"/>
      <c r="D249" s="1485"/>
      <c r="E249" s="1486"/>
      <c r="F249" s="1487"/>
      <c r="G249" s="1495"/>
    </row>
    <row r="250" spans="1:7">
      <c r="A250" s="1494"/>
      <c r="B250" s="2055"/>
      <c r="C250" s="2056"/>
      <c r="D250" s="1485"/>
      <c r="E250" s="1486"/>
      <c r="F250" s="1487"/>
      <c r="G250" s="1495"/>
    </row>
    <row r="251" spans="1:7">
      <c r="A251" s="1494"/>
      <c r="B251" s="2055"/>
      <c r="C251" s="2056"/>
      <c r="D251" s="1485"/>
      <c r="E251" s="1486"/>
      <c r="F251" s="1487"/>
      <c r="G251" s="1495"/>
    </row>
    <row r="252" spans="1:7">
      <c r="A252" s="1494"/>
      <c r="B252" s="2055"/>
      <c r="C252" s="2056"/>
      <c r="D252" s="1485"/>
      <c r="E252" s="1486"/>
      <c r="F252" s="1487"/>
      <c r="G252" s="1495"/>
    </row>
    <row r="253" spans="1:7">
      <c r="A253" s="1494"/>
      <c r="B253" s="2055"/>
      <c r="C253" s="2056"/>
      <c r="D253" s="1485"/>
      <c r="E253" s="1486"/>
      <c r="F253" s="1487"/>
      <c r="G253" s="1495"/>
    </row>
    <row r="254" spans="1:7">
      <c r="A254" s="1494"/>
      <c r="B254" s="2055"/>
      <c r="C254" s="2056"/>
      <c r="D254" s="1485"/>
      <c r="E254" s="1486"/>
      <c r="F254" s="1487"/>
      <c r="G254" s="1495"/>
    </row>
    <row r="255" spans="1:7">
      <c r="A255" s="1494"/>
      <c r="B255" s="2055"/>
      <c r="C255" s="2056"/>
      <c r="D255" s="1485"/>
      <c r="E255" s="1486"/>
      <c r="F255" s="1487"/>
      <c r="G255" s="1495"/>
    </row>
    <row r="256" spans="1:7">
      <c r="A256" s="1494"/>
      <c r="B256" s="2055"/>
      <c r="C256" s="2056"/>
      <c r="D256" s="1485"/>
      <c r="E256" s="1486"/>
      <c r="F256" s="1487"/>
      <c r="G256" s="1495"/>
    </row>
    <row r="257" spans="1:7">
      <c r="A257" s="1494"/>
      <c r="B257" s="2055"/>
      <c r="C257" s="2056"/>
      <c r="D257" s="1485"/>
      <c r="E257" s="1486"/>
      <c r="F257" s="1487"/>
      <c r="G257" s="1495"/>
    </row>
    <row r="258" spans="1:7">
      <c r="A258" s="1494"/>
      <c r="B258" s="2055"/>
      <c r="C258" s="2056"/>
      <c r="D258" s="1485"/>
      <c r="E258" s="1486"/>
      <c r="F258" s="1487"/>
      <c r="G258" s="1495"/>
    </row>
    <row r="259" spans="1:7">
      <c r="A259" s="1494"/>
      <c r="B259" s="2055"/>
      <c r="C259" s="2056"/>
      <c r="D259" s="1485"/>
      <c r="E259" s="1486"/>
      <c r="F259" s="1487"/>
      <c r="G259" s="1495"/>
    </row>
    <row r="260" spans="1:7">
      <c r="A260" s="1494"/>
      <c r="B260" s="2055"/>
      <c r="C260" s="2056"/>
      <c r="D260" s="1485"/>
      <c r="E260" s="1486"/>
      <c r="F260" s="1487"/>
      <c r="G260" s="1495"/>
    </row>
    <row r="261" spans="1:7">
      <c r="A261" s="1494"/>
      <c r="B261" s="2055"/>
      <c r="C261" s="2056"/>
      <c r="D261" s="1485"/>
      <c r="E261" s="1486"/>
      <c r="F261" s="1487"/>
      <c r="G261" s="1495"/>
    </row>
    <row r="262" spans="1:7">
      <c r="A262" s="1494"/>
      <c r="B262" s="2055"/>
      <c r="C262" s="2056"/>
      <c r="D262" s="1485"/>
      <c r="E262" s="1486"/>
      <c r="F262" s="1487"/>
      <c r="G262" s="1495"/>
    </row>
    <row r="263" spans="1:7">
      <c r="A263" s="1494"/>
      <c r="B263" s="2055"/>
      <c r="C263" s="2056"/>
      <c r="D263" s="1485"/>
      <c r="E263" s="1486"/>
      <c r="F263" s="1487"/>
      <c r="G263" s="1495"/>
    </row>
    <row r="264" spans="1:7">
      <c r="A264" s="1494"/>
      <c r="B264" s="2055"/>
      <c r="C264" s="2056"/>
      <c r="D264" s="1485"/>
      <c r="E264" s="1486"/>
      <c r="F264" s="1487"/>
      <c r="G264" s="1495"/>
    </row>
    <row r="265" spans="1:7">
      <c r="A265" s="1494"/>
      <c r="B265" s="2055"/>
      <c r="C265" s="2056"/>
      <c r="D265" s="1485"/>
      <c r="E265" s="1486"/>
      <c r="F265" s="1487"/>
      <c r="G265" s="1495"/>
    </row>
    <row r="266" spans="1:7">
      <c r="A266" s="1494"/>
      <c r="B266" s="2055"/>
      <c r="C266" s="2056"/>
      <c r="D266" s="1485"/>
      <c r="E266" s="1486"/>
      <c r="F266" s="1487"/>
      <c r="G266" s="1495"/>
    </row>
    <row r="267" spans="1:7">
      <c r="A267" s="1496"/>
      <c r="B267" s="2061"/>
      <c r="C267" s="2062"/>
      <c r="D267" s="1497"/>
      <c r="E267" s="1498"/>
      <c r="F267" s="1499"/>
      <c r="G267" s="1500"/>
    </row>
  </sheetData>
  <mergeCells count="263">
    <mergeCell ref="B265:C265"/>
    <mergeCell ref="B266:C266"/>
    <mergeCell ref="B267:C267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50:C250"/>
    <mergeCell ref="B251:C251"/>
    <mergeCell ref="B252:C252"/>
    <mergeCell ref="B253:C253"/>
    <mergeCell ref="B254:C254"/>
    <mergeCell ref="B245:C245"/>
    <mergeCell ref="B246:C246"/>
    <mergeCell ref="B247:C247"/>
    <mergeCell ref="B248:C248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30:C230"/>
    <mergeCell ref="B231:C231"/>
    <mergeCell ref="B232:C232"/>
    <mergeCell ref="B233:C233"/>
    <mergeCell ref="B234:C23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9:C9"/>
    <mergeCell ref="B7:C7"/>
    <mergeCell ref="B8:C8"/>
    <mergeCell ref="B5:C5"/>
    <mergeCell ref="B6:C6"/>
  </mergeCells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1:BE60"/>
  <sheetViews>
    <sheetView zoomScaleSheetLayoutView="100" view="pageBreakPreview" workbookViewId="0">
      <selection pane="topLeft" activeCell="A29" sqref="A29"/>
    </sheetView>
  </sheetViews>
  <sheetFormatPr defaultColWidth="9.13671875" defaultRowHeight="12.5" baseColWidth="0"/>
  <cols>
    <col min="1" max="1" width="2.99609375" style="1158" customWidth="1"/>
    <col min="2" max="2" width="26.7109375" style="1158" customWidth="1"/>
    <col min="3" max="4" width="3.13671875" style="1158" customWidth="1"/>
    <col min="5" max="5" width="2.7109375" style="1158" customWidth="1"/>
    <col min="6" max="6" width="3.56640625" style="1158" customWidth="1"/>
    <col min="7" max="24" width="3.28125" style="1158" customWidth="1"/>
    <col min="25" max="25" width="4.7109375" style="1158" customWidth="1"/>
    <col min="26" max="26" width="3.28125" style="1158" customWidth="1"/>
    <col min="27" max="27" width="2.99609375" style="1158" customWidth="1"/>
    <col min="28" max="28" width="9.13671875" style="1158" customWidth="1"/>
    <col min="29" max="16384" width="9.13671875" style="1159" customWidth="1"/>
  </cols>
  <sheetData>
    <row r="1" spans="1:27">
      <c r="A1" s="1163"/>
      <c r="B1" s="1163"/>
      <c r="C1" s="1163"/>
      <c r="D1" s="1163"/>
      <c r="E1" s="1163"/>
      <c r="F1" s="1163"/>
      <c r="G1" s="1163"/>
      <c r="H1" s="1163"/>
      <c r="I1" s="1163"/>
      <c r="J1" s="1163"/>
      <c r="K1" s="1163"/>
      <c r="L1" s="1163"/>
      <c r="M1" s="1163"/>
      <c r="N1" s="1163"/>
      <c r="O1" s="1163"/>
      <c r="P1" s="1163"/>
      <c r="Q1" s="1163"/>
      <c r="R1" s="1163"/>
      <c r="S1" s="1163"/>
      <c r="T1" s="1163"/>
      <c r="U1" s="1163"/>
      <c r="V1" s="1163"/>
      <c r="W1" s="1163"/>
      <c r="X1" s="1163"/>
      <c r="Y1" s="1163"/>
      <c r="Z1" s="1163"/>
      <c r="AA1" s="1163"/>
    </row>
    <row r="2" spans="1:27" ht="18">
      <c r="A2" s="2064" t="s">
        <v>1134</v>
      </c>
      <c r="B2" s="2064"/>
      <c r="C2" s="2064"/>
      <c r="D2" s="2064"/>
      <c r="E2" s="2064"/>
      <c r="F2" s="2064"/>
      <c r="G2" s="2064"/>
      <c r="H2" s="2064"/>
      <c r="I2" s="2064"/>
      <c r="J2" s="2064"/>
      <c r="K2" s="2064"/>
      <c r="L2" s="2064"/>
      <c r="M2" s="2064"/>
      <c r="N2" s="2064"/>
      <c r="O2" s="2064"/>
      <c r="P2" s="2064"/>
      <c r="Q2" s="2064"/>
      <c r="R2" s="2064"/>
      <c r="S2" s="2064"/>
      <c r="T2" s="2064"/>
      <c r="U2" s="2064"/>
      <c r="V2" s="2064"/>
      <c r="W2" s="2064"/>
      <c r="X2" s="2064"/>
      <c r="Y2" s="2064"/>
      <c r="Z2" s="2064"/>
      <c r="AA2" s="2064"/>
    </row>
    <row r="3" spans="1:28" s="1176" customFormat="1" ht="15.5">
      <c r="A3" s="2067" t="s">
        <v>1142</v>
      </c>
      <c r="B3" s="2067"/>
      <c r="C3" s="2067"/>
      <c r="D3" s="2067"/>
      <c r="E3" s="2067"/>
      <c r="F3" s="2067"/>
      <c r="G3" s="2067"/>
      <c r="H3" s="2067"/>
      <c r="I3" s="2067"/>
      <c r="J3" s="2067"/>
      <c r="K3" s="2067"/>
      <c r="L3" s="2067"/>
      <c r="M3" s="2067"/>
      <c r="N3" s="2067"/>
      <c r="O3" s="2067"/>
      <c r="P3" s="2067"/>
      <c r="Q3" s="2067"/>
      <c r="R3" s="2067"/>
      <c r="S3" s="2067"/>
      <c r="T3" s="2067"/>
      <c r="U3" s="2067"/>
      <c r="V3" s="2067"/>
      <c r="W3" s="2067"/>
      <c r="X3" s="2067"/>
      <c r="Y3" s="2067"/>
      <c r="Z3" s="2067"/>
      <c r="AA3" s="2067"/>
      <c r="AB3" s="1175"/>
    </row>
    <row r="4" ht="44.5" customHeight="1"/>
    <row r="6" spans="1:21">
      <c r="A6" s="1158" t="s">
        <v>1135</v>
      </c>
      <c r="U6" s="1158" t="s">
        <v>295</v>
      </c>
    </row>
    <row r="7" spans="1:28" s="1174" customFormat="1" ht="13">
      <c r="A7" s="1160" t="s">
        <v>1143</v>
      </c>
      <c r="B7" s="1160"/>
      <c r="C7" s="1160"/>
      <c r="D7" s="1160"/>
      <c r="E7" s="1160"/>
      <c r="F7" s="1160"/>
      <c r="G7" s="1160"/>
      <c r="H7" s="1160"/>
      <c r="I7" s="1160"/>
      <c r="J7" s="1160"/>
      <c r="K7" s="1160"/>
      <c r="L7" s="1160"/>
      <c r="M7" s="1160"/>
      <c r="N7" s="1160"/>
      <c r="O7" s="1160"/>
      <c r="P7" s="1160"/>
      <c r="Q7" s="1160"/>
      <c r="R7" s="1160"/>
      <c r="S7" s="1160"/>
      <c r="T7" s="1160"/>
      <c r="U7" s="1160" t="s">
        <v>295</v>
      </c>
      <c r="V7" s="1160"/>
      <c r="W7" s="1160"/>
      <c r="X7" s="1160"/>
      <c r="Y7" s="1160"/>
      <c r="Z7" s="1160"/>
      <c r="AA7" s="1160"/>
      <c r="AB7" s="1160"/>
    </row>
    <row r="8" ht="12" customHeight="1"/>
    <row r="9" spans="2:27" ht="13">
      <c r="B9" s="1158" t="s">
        <v>1148</v>
      </c>
      <c r="C9" s="1158" t="s">
        <v>26</v>
      </c>
      <c r="D9" s="2065">
        <f>name</f>
        <v>0</v>
      </c>
      <c r="E9" s="2065"/>
      <c r="F9" s="2065"/>
      <c r="G9" s="2065"/>
      <c r="H9" s="2065"/>
      <c r="I9" s="2065"/>
      <c r="J9" s="2065"/>
      <c r="K9" s="2065"/>
      <c r="L9" s="2065"/>
      <c r="M9" s="2065"/>
      <c r="N9" s="2065"/>
      <c r="O9" s="2065"/>
      <c r="P9" s="2065"/>
      <c r="Q9" s="2065"/>
      <c r="R9" s="2065"/>
      <c r="S9" s="2065"/>
      <c r="T9" s="2065"/>
      <c r="U9" s="2065"/>
      <c r="V9" s="2065"/>
      <c r="W9" s="2065"/>
      <c r="X9" s="2065"/>
      <c r="Y9" s="2065"/>
      <c r="Z9" s="2065"/>
      <c r="AA9" s="2065"/>
    </row>
    <row r="10" spans="2:26" ht="13">
      <c r="B10" s="1160"/>
      <c r="C10" s="1158"/>
      <c r="D10" s="1158"/>
      <c r="E10" s="1158"/>
      <c r="F10" s="1158"/>
      <c r="G10" s="1158"/>
      <c r="H10" s="1158"/>
      <c r="I10" s="1158"/>
      <c r="J10" s="1158"/>
      <c r="K10" s="1158"/>
      <c r="L10" s="1158"/>
      <c r="M10" s="1158"/>
      <c r="N10" s="1158"/>
      <c r="O10" s="1158"/>
      <c r="P10" s="1158"/>
      <c r="Q10" s="1158"/>
      <c r="R10" s="1158"/>
      <c r="S10" s="1158"/>
      <c r="T10" s="1158"/>
      <c r="U10" s="1158"/>
      <c r="V10" s="1158"/>
      <c r="W10" s="1158"/>
      <c r="X10" s="1158"/>
      <c r="Y10" s="1158"/>
      <c r="Z10" s="1158"/>
    </row>
    <row r="11" spans="2:27" ht="13">
      <c r="B11" s="1158" t="s">
        <v>1149</v>
      </c>
      <c r="C11" s="1158" t="s">
        <v>26</v>
      </c>
      <c r="D11" s="2065" t="str">
        <f>npwp</f>
        <v>...-.</v>
      </c>
      <c r="E11" s="2065"/>
      <c r="F11" s="2065"/>
      <c r="G11" s="2065"/>
      <c r="H11" s="2065"/>
      <c r="I11" s="2065"/>
      <c r="J11" s="2065"/>
      <c r="K11" s="2065"/>
      <c r="L11" s="2065"/>
      <c r="M11" s="2065"/>
      <c r="N11" s="2065"/>
      <c r="O11" s="2065"/>
      <c r="P11" s="2065"/>
      <c r="Q11" s="2065"/>
      <c r="R11" s="2065"/>
      <c r="S11" s="2065"/>
      <c r="T11" s="2065"/>
      <c r="U11" s="2065"/>
      <c r="V11" s="2065"/>
      <c r="W11" s="2065"/>
      <c r="X11" s="2065"/>
      <c r="Y11" s="2065"/>
      <c r="Z11" s="2065"/>
      <c r="AA11" s="2065"/>
    </row>
    <row r="12" spans="2:29" ht="13">
      <c r="B12" s="1160"/>
      <c r="D12" s="2066"/>
      <c r="E12" s="2066"/>
      <c r="F12" s="2066"/>
      <c r="G12" s="2066"/>
      <c r="H12" s="2066"/>
      <c r="I12" s="2066"/>
      <c r="J12" s="2066"/>
      <c r="K12" s="2066"/>
      <c r="L12" s="2066"/>
      <c r="M12" s="2066"/>
      <c r="N12" s="2066"/>
      <c r="O12" s="2066"/>
      <c r="P12" s="2066"/>
      <c r="Q12" s="2066"/>
      <c r="R12" s="2066"/>
      <c r="S12" s="2066"/>
      <c r="T12" s="2066"/>
      <c r="U12" s="2066"/>
      <c r="V12" s="2066"/>
      <c r="W12" s="2066"/>
      <c r="X12" s="2066"/>
      <c r="Y12" s="2066"/>
      <c r="Z12" s="2066"/>
      <c r="AA12" s="2066"/>
      <c r="AC12" s="1159" t="s">
        <v>295</v>
      </c>
    </row>
    <row r="13" spans="2:27" ht="13">
      <c r="B13" s="1158" t="s">
        <v>1150</v>
      </c>
      <c r="C13" s="1158" t="s">
        <v>26</v>
      </c>
      <c r="D13" s="2063" t="s">
        <v>295</v>
      </c>
      <c r="E13" s="2063"/>
      <c r="F13" s="2063"/>
      <c r="G13" s="2063"/>
      <c r="H13" s="2063"/>
      <c r="I13" s="2063"/>
      <c r="J13" s="2063"/>
      <c r="K13" s="2063"/>
      <c r="L13" s="2063"/>
      <c r="M13" s="2063"/>
      <c r="N13" s="2063"/>
      <c r="O13" s="2063"/>
      <c r="P13" s="2063"/>
      <c r="Q13" s="2063"/>
      <c r="R13" s="2063"/>
      <c r="S13" s="2063"/>
      <c r="T13" s="2063"/>
      <c r="U13" s="2063"/>
      <c r="V13" s="2063"/>
      <c r="W13" s="2063"/>
      <c r="X13" s="2063"/>
      <c r="Y13" s="2063"/>
      <c r="Z13" s="2063"/>
      <c r="AA13" s="2063"/>
    </row>
    <row r="14" spans="2:27" ht="13">
      <c r="B14" s="1160"/>
      <c r="D14" s="2063" t="s">
        <v>295</v>
      </c>
      <c r="E14" s="2063"/>
      <c r="F14" s="2063"/>
      <c r="G14" s="2063"/>
      <c r="H14" s="2063"/>
      <c r="I14" s="2063"/>
      <c r="J14" s="2063"/>
      <c r="K14" s="2063"/>
      <c r="L14" s="2063"/>
      <c r="M14" s="2063"/>
      <c r="N14" s="2063"/>
      <c r="O14" s="2063"/>
      <c r="P14" s="2063"/>
      <c r="Q14" s="2063"/>
      <c r="R14" s="2063"/>
      <c r="S14" s="2063"/>
      <c r="T14" s="2063"/>
      <c r="U14" s="2063"/>
      <c r="V14" s="2063"/>
      <c r="W14" s="2063"/>
      <c r="X14" s="2063"/>
      <c r="Y14" s="2063"/>
      <c r="Z14" s="2063"/>
      <c r="AA14" s="2063"/>
    </row>
    <row r="15" spans="4:27" s="1158" customFormat="1">
      <c r="D15" s="2063" t="s">
        <v>295</v>
      </c>
      <c r="E15" s="2063"/>
      <c r="F15" s="2063"/>
      <c r="G15" s="2063"/>
      <c r="H15" s="2063"/>
      <c r="I15" s="2063"/>
      <c r="J15" s="2063"/>
      <c r="K15" s="2063"/>
      <c r="L15" s="2063"/>
      <c r="M15" s="2063"/>
      <c r="N15" s="2063"/>
      <c r="O15" s="2063"/>
      <c r="P15" s="2063"/>
      <c r="Q15" s="2063"/>
      <c r="R15" s="2063"/>
      <c r="S15" s="2063"/>
      <c r="T15" s="2063"/>
      <c r="U15" s="2063"/>
      <c r="V15" s="2063"/>
      <c r="W15" s="2063"/>
      <c r="X15" s="2063"/>
      <c r="Y15" s="2063"/>
      <c r="Z15" s="2063"/>
      <c r="AA15" s="2063"/>
    </row>
    <row r="16" spans="4:27" s="1158" customFormat="1">
      <c r="D16" s="2063" t="s">
        <v>295</v>
      </c>
      <c r="E16" s="2063"/>
      <c r="F16" s="2063"/>
      <c r="G16" s="2063"/>
      <c r="H16" s="2063"/>
      <c r="I16" s="2063"/>
      <c r="J16" s="2063"/>
      <c r="K16" s="2063"/>
      <c r="L16" s="2063"/>
      <c r="M16" s="2063"/>
      <c r="N16" s="2063"/>
      <c r="O16" s="2063"/>
      <c r="P16" s="2063"/>
      <c r="Q16" s="2063"/>
      <c r="R16" s="2063"/>
      <c r="S16" s="2063"/>
      <c r="T16" s="2063"/>
      <c r="U16" s="2063"/>
      <c r="V16" s="2063"/>
      <c r="W16" s="2063"/>
      <c r="X16" s="2063"/>
      <c r="Y16" s="2063"/>
      <c r="Z16" s="2063"/>
      <c r="AA16" s="2063"/>
    </row>
    <row r="17" spans="4:27" s="1158" customFormat="1" ht="11.5" customHeight="1">
      <c r="D17" s="1161"/>
      <c r="E17" s="1161"/>
      <c r="F17" s="1161"/>
      <c r="G17" s="1161"/>
      <c r="H17" s="1161"/>
      <c r="I17" s="1161"/>
      <c r="J17" s="1161"/>
      <c r="K17" s="1161"/>
      <c r="L17" s="1161"/>
      <c r="M17" s="1161"/>
      <c r="N17" s="1161"/>
      <c r="O17" s="1161"/>
      <c r="P17" s="1161"/>
      <c r="Q17" s="1161"/>
      <c r="R17" s="1161"/>
      <c r="S17" s="1161"/>
      <c r="T17" s="1161"/>
      <c r="U17" s="1161"/>
      <c r="V17" s="1161"/>
      <c r="W17" s="1161"/>
      <c r="X17" s="1161"/>
      <c r="Y17" s="1161"/>
      <c r="Z17" s="1161"/>
      <c r="AA17" s="1161"/>
    </row>
    <row r="18" spans="1:2" s="1158" customFormat="1">
      <c r="A18" s="1158" t="s">
        <v>1136</v>
      </c>
      <c r="B18" s="1162"/>
    </row>
    <row r="19" spans="1:2" s="1160" customFormat="1" ht="13">
      <c r="A19" s="1160" t="s">
        <v>1144</v>
      </c>
      <c r="B19" s="1177"/>
    </row>
    <row r="20" spans="2:2" s="1160" customFormat="1" ht="13">
      <c r="B20" s="1177"/>
    </row>
    <row r="21" spans="2:28" s="1158" customFormat="1" ht="13">
      <c r="B21" s="1162" t="s">
        <v>1151</v>
      </c>
      <c r="D21" s="1167" t="s">
        <v>1152</v>
      </c>
      <c r="E21" s="1167"/>
      <c r="F21" s="1167"/>
      <c r="G21" s="1167"/>
      <c r="H21" s="1167"/>
      <c r="I21" s="1167"/>
      <c r="J21" s="1167"/>
      <c r="L21" s="1167" t="s">
        <v>1153</v>
      </c>
      <c r="M21" s="1167"/>
      <c r="N21" s="1167"/>
      <c r="O21" s="1167"/>
      <c r="P21" s="1167"/>
      <c r="Q21" s="1167"/>
      <c r="R21" s="1167"/>
      <c r="S21" s="1167"/>
      <c r="T21" s="1167"/>
      <c r="U21" s="1158"/>
      <c r="V21" s="1158"/>
      <c r="W21" s="1158"/>
      <c r="X21" s="1158"/>
      <c r="Y21" s="1158"/>
      <c r="Z21" s="1158"/>
      <c r="AA21" s="1158"/>
      <c r="AB21" s="1158"/>
    </row>
    <row r="22" spans="2:28" s="1158" customFormat="1">
      <c r="B22" s="1164"/>
      <c r="C22" s="1164"/>
      <c r="D22" s="1164"/>
      <c r="E22" s="1164"/>
      <c r="F22" s="1164"/>
      <c r="G22" s="1164"/>
      <c r="H22" s="1164"/>
      <c r="I22" s="1165"/>
      <c r="J22" s="1165"/>
      <c r="K22" s="1164"/>
      <c r="L22" s="1164"/>
      <c r="M22" s="1164"/>
      <c r="N22" s="1164"/>
      <c r="R22" s="1158"/>
      <c r="S22" s="1158"/>
      <c r="T22" s="1158"/>
      <c r="U22" s="1158"/>
      <c r="V22" s="1158"/>
      <c r="W22" s="1158"/>
      <c r="X22" s="1158"/>
      <c r="Y22" s="1158"/>
      <c r="Z22" s="1158"/>
      <c r="AA22" s="1158"/>
      <c r="AB22" s="1158"/>
    </row>
    <row r="23" spans="2:28" s="1158" customFormat="1">
      <c r="B23" s="1164"/>
      <c r="C23" s="1164"/>
      <c r="D23" s="1164"/>
      <c r="E23" s="1164"/>
      <c r="F23" s="1164"/>
      <c r="G23" s="1164"/>
      <c r="H23" s="1164"/>
      <c r="I23" s="1165"/>
      <c r="J23" s="1165"/>
      <c r="K23" s="1164"/>
      <c r="L23" s="1164"/>
      <c r="M23" s="1164"/>
      <c r="N23" s="1164"/>
      <c r="R23" s="1158"/>
      <c r="S23" s="1158"/>
      <c r="T23" s="1158"/>
      <c r="U23" s="1158"/>
      <c r="V23" s="1158"/>
      <c r="W23" s="1158"/>
      <c r="X23" s="1158"/>
      <c r="Y23" s="1158"/>
      <c r="Z23" s="1158"/>
      <c r="AA23" s="1158"/>
      <c r="AB23" s="1158"/>
    </row>
    <row r="24" spans="2:28" s="1158" customFormat="1">
      <c r="B24" s="1164"/>
      <c r="C24" s="1164"/>
      <c r="D24" s="1164"/>
      <c r="E24" s="1164"/>
      <c r="F24" s="1164"/>
      <c r="G24" s="1164"/>
      <c r="H24" s="1164"/>
      <c r="I24" s="1165"/>
      <c r="J24" s="1165"/>
      <c r="K24" s="1164"/>
      <c r="L24" s="1164"/>
      <c r="M24" s="1164"/>
      <c r="N24" s="1164"/>
      <c r="R24" s="1158"/>
      <c r="S24" s="1158"/>
      <c r="T24" s="1158"/>
      <c r="U24" s="1158"/>
      <c r="V24" s="1158"/>
      <c r="W24" s="1158"/>
      <c r="X24" s="1158"/>
      <c r="Y24" s="1158"/>
      <c r="Z24" s="1158"/>
      <c r="AA24" s="1158"/>
      <c r="AB24" s="1158"/>
    </row>
    <row r="25" spans="2:28" s="1158" customFormat="1">
      <c r="B25" s="1164"/>
      <c r="C25" s="1164"/>
      <c r="D25" s="1164"/>
      <c r="E25" s="1164"/>
      <c r="F25" s="1164"/>
      <c r="G25" s="1164"/>
      <c r="H25" s="1164"/>
      <c r="I25" s="1165"/>
      <c r="J25" s="1165"/>
      <c r="K25" s="1164"/>
      <c r="L25" s="1164"/>
      <c r="M25" s="1164"/>
      <c r="N25" s="1164"/>
      <c r="R25" s="1158"/>
      <c r="S25" s="1158"/>
      <c r="T25" s="1158"/>
      <c r="U25" s="1158"/>
      <c r="V25" s="1158"/>
      <c r="W25" s="1158"/>
      <c r="X25" s="1158"/>
      <c r="Y25" s="1158"/>
      <c r="Z25" s="1158"/>
      <c r="AA25" s="1158"/>
      <c r="AB25" s="1158"/>
    </row>
    <row r="26" spans="2:28" s="1158" customFormat="1">
      <c r="B26" s="1164"/>
      <c r="C26" s="1164"/>
      <c r="D26" s="1164"/>
      <c r="E26" s="1164"/>
      <c r="F26" s="1164"/>
      <c r="G26" s="1164"/>
      <c r="H26" s="1164"/>
      <c r="I26" s="1165"/>
      <c r="J26" s="1165"/>
      <c r="K26" s="1164"/>
      <c r="L26" s="1164"/>
      <c r="M26" s="1164"/>
      <c r="N26" s="1164"/>
      <c r="R26" s="1158"/>
      <c r="S26" s="1158"/>
      <c r="T26" s="1158"/>
      <c r="U26" s="1158"/>
      <c r="V26" s="1158"/>
      <c r="W26" s="1158"/>
      <c r="X26" s="1158"/>
      <c r="Y26" s="1158"/>
      <c r="Z26" s="1158"/>
      <c r="AA26" s="1158"/>
      <c r="AB26" s="1158"/>
    </row>
    <row r="27" spans="9:27" s="1158" customFormat="1">
      <c r="I27" s="1163"/>
      <c r="Q27" s="1158"/>
      <c r="R27" s="1158"/>
      <c r="S27" s="1158"/>
      <c r="T27" s="1158"/>
      <c r="U27" s="1158"/>
      <c r="V27" s="1158"/>
      <c r="W27" s="1158"/>
      <c r="X27" s="1158"/>
      <c r="Y27" s="1158"/>
      <c r="Z27" s="1158"/>
      <c r="AA27" s="1158"/>
    </row>
    <row r="28" spans="1:28" s="1166" customFormat="1" ht="28.5" customHeight="1">
      <c r="A28" s="2068" t="s">
        <v>1321</v>
      </c>
      <c r="B28" s="2068"/>
      <c r="C28" s="2068"/>
      <c r="D28" s="2068"/>
      <c r="E28" s="2068"/>
      <c r="F28" s="2068"/>
      <c r="G28" s="2068"/>
      <c r="H28" s="2068"/>
      <c r="I28" s="2068"/>
      <c r="J28" s="2068"/>
      <c r="K28" s="2068"/>
      <c r="L28" s="2068"/>
      <c r="M28" s="2068"/>
      <c r="N28" s="2068"/>
      <c r="O28" s="2068"/>
      <c r="P28" s="2068"/>
      <c r="Q28" s="2068"/>
      <c r="R28" s="2068"/>
      <c r="S28" s="2068"/>
      <c r="T28" s="2068"/>
      <c r="U28" s="2068"/>
      <c r="V28" s="2068"/>
      <c r="W28" s="2068"/>
      <c r="X28" s="2068"/>
      <c r="Y28" s="2068"/>
      <c r="Z28" s="2068"/>
      <c r="AA28" s="2068"/>
      <c r="AB28" s="1304" t="s">
        <v>1322</v>
      </c>
    </row>
    <row r="29" spans="1:28" s="1178" customFormat="1" ht="28.5" customHeight="1">
      <c r="A29" s="2069" t="s">
        <v>1320</v>
      </c>
      <c r="B29" s="2069"/>
      <c r="C29" s="2069"/>
      <c r="D29" s="2069"/>
      <c r="E29" s="2069"/>
      <c r="F29" s="2069"/>
      <c r="G29" s="2069"/>
      <c r="H29" s="2069"/>
      <c r="I29" s="2069"/>
      <c r="J29" s="2069"/>
      <c r="K29" s="2069"/>
      <c r="L29" s="2069"/>
      <c r="M29" s="2069"/>
      <c r="N29" s="2069"/>
      <c r="O29" s="2069"/>
      <c r="P29" s="2069"/>
      <c r="Q29" s="2069"/>
      <c r="R29" s="2069"/>
      <c r="S29" s="2069"/>
      <c r="T29" s="2069"/>
      <c r="U29" s="2069"/>
      <c r="V29" s="2069"/>
      <c r="W29" s="2069"/>
      <c r="X29" s="2069"/>
      <c r="Y29" s="2069"/>
      <c r="Z29" s="2069"/>
      <c r="AA29" s="2069"/>
      <c r="AB29" s="1304" t="s">
        <v>1322</v>
      </c>
    </row>
    <row r="30" spans="4:27" s="1158" customFormat="1">
      <c r="D30" s="1158"/>
      <c r="E30" s="1158"/>
      <c r="F30" s="1158"/>
      <c r="G30" s="1158"/>
      <c r="H30" s="1158"/>
      <c r="I30" s="1158"/>
      <c r="J30" s="1158"/>
      <c r="K30" s="1158"/>
      <c r="L30" s="1158"/>
      <c r="M30" s="1158"/>
      <c r="N30" s="1158"/>
      <c r="O30" s="1158"/>
      <c r="P30" s="1158"/>
      <c r="Q30" s="1158"/>
      <c r="R30" s="1158"/>
      <c r="S30" s="1158"/>
      <c r="T30" s="1158"/>
      <c r="U30" s="1158"/>
      <c r="V30" s="1158"/>
      <c r="W30" s="1158"/>
      <c r="X30" s="1158"/>
      <c r="Y30" s="1158"/>
      <c r="Z30" s="1158"/>
      <c r="AA30" s="1158"/>
    </row>
    <row r="31" spans="1:57" s="1158" customFormat="1">
      <c r="A31" s="1158" t="s">
        <v>1137</v>
      </c>
      <c r="B31" s="1162"/>
      <c r="C31" s="1158"/>
      <c r="D31" s="1158"/>
      <c r="E31" s="1158"/>
      <c r="F31" s="1158"/>
      <c r="G31" s="1158"/>
      <c r="H31" s="1158"/>
      <c r="I31" s="1158"/>
      <c r="J31" s="1158"/>
      <c r="K31" s="1158"/>
      <c r="L31" s="1158"/>
      <c r="M31" s="1158"/>
      <c r="N31" s="1158"/>
      <c r="O31" s="1158"/>
      <c r="P31" s="1158"/>
      <c r="Q31" s="1158"/>
      <c r="AC31" s="1159"/>
      <c r="AD31" s="1159"/>
      <c r="AE31" s="1159"/>
      <c r="AF31" s="1159"/>
      <c r="AG31" s="1159"/>
      <c r="AH31" s="1159"/>
      <c r="AI31" s="1159"/>
      <c r="AJ31" s="1159"/>
      <c r="AK31" s="1159"/>
      <c r="AL31" s="1159"/>
      <c r="AM31" s="1159"/>
      <c r="AN31" s="1159"/>
      <c r="AO31" s="1159"/>
      <c r="AP31" s="1159"/>
      <c r="AQ31" s="1159"/>
      <c r="AR31" s="1159"/>
      <c r="AS31" s="1159"/>
      <c r="AT31" s="1159"/>
      <c r="AU31" s="1159"/>
      <c r="AV31" s="1159"/>
      <c r="AW31" s="1159"/>
      <c r="AX31" s="1159"/>
      <c r="AY31" s="1159"/>
      <c r="AZ31" s="1159"/>
      <c r="BA31" s="1159"/>
      <c r="BB31" s="1159"/>
      <c r="BC31" s="1159"/>
      <c r="BD31" s="1159"/>
      <c r="BE31" s="1159"/>
    </row>
    <row r="32" spans="1:57" s="1160" customFormat="1" ht="13">
      <c r="A32" s="1160" t="s">
        <v>1145</v>
      </c>
      <c r="B32" s="1177"/>
      <c r="C32" s="1160"/>
      <c r="D32" s="1160"/>
      <c r="E32" s="1160"/>
      <c r="F32" s="1160"/>
      <c r="G32" s="1160"/>
      <c r="H32" s="1160"/>
      <c r="I32" s="1160"/>
      <c r="J32" s="1160"/>
      <c r="K32" s="1160"/>
      <c r="L32" s="1160"/>
      <c r="M32" s="1160"/>
      <c r="N32" s="1160"/>
      <c r="O32" s="1160"/>
      <c r="P32" s="1160"/>
      <c r="Q32" s="1160"/>
      <c r="AC32" s="1174"/>
      <c r="AD32" s="1174"/>
      <c r="AE32" s="1174"/>
      <c r="AF32" s="1174"/>
      <c r="AG32" s="1174"/>
      <c r="AH32" s="1174"/>
      <c r="AI32" s="1174"/>
      <c r="AJ32" s="1174"/>
      <c r="AK32" s="1174"/>
      <c r="AL32" s="1174"/>
      <c r="AM32" s="1174"/>
      <c r="AN32" s="1174"/>
      <c r="AO32" s="1174"/>
      <c r="AP32" s="1174"/>
      <c r="AQ32" s="1174"/>
      <c r="AR32" s="1174"/>
      <c r="AS32" s="1174"/>
      <c r="AT32" s="1174"/>
      <c r="AU32" s="1174"/>
      <c r="AV32" s="1174"/>
      <c r="AW32" s="1174"/>
      <c r="AX32" s="1174"/>
      <c r="AY32" s="1174"/>
      <c r="AZ32" s="1174"/>
      <c r="BA32" s="1174"/>
      <c r="BB32" s="1174"/>
      <c r="BC32" s="1174"/>
      <c r="BD32" s="1174"/>
      <c r="BE32" s="1174"/>
    </row>
    <row r="35" spans="1:57" s="1158" customFormat="1">
      <c r="A35" s="1158" t="s">
        <v>1138</v>
      </c>
      <c r="K35" s="1158"/>
      <c r="AC35" s="1159"/>
      <c r="AD35" s="1159"/>
      <c r="AE35" s="1159"/>
      <c r="AF35" s="1159"/>
      <c r="AG35" s="1159"/>
      <c r="AH35" s="1159"/>
      <c r="AI35" s="1159"/>
      <c r="AJ35" s="1159"/>
      <c r="AK35" s="1159"/>
      <c r="AL35" s="1159"/>
      <c r="AM35" s="1159"/>
      <c r="AN35" s="1159"/>
      <c r="AO35" s="1159"/>
      <c r="AP35" s="1159"/>
      <c r="AQ35" s="1159"/>
      <c r="AR35" s="1159"/>
      <c r="AS35" s="1159"/>
      <c r="AT35" s="1159"/>
      <c r="AU35" s="1159"/>
      <c r="AV35" s="1159"/>
      <c r="AW35" s="1159"/>
      <c r="AX35" s="1159"/>
      <c r="AY35" s="1159"/>
      <c r="AZ35" s="1159"/>
      <c r="BA35" s="1159"/>
      <c r="BB35" s="1159"/>
      <c r="BC35" s="1159"/>
      <c r="BD35" s="1159"/>
      <c r="BE35" s="1159"/>
    </row>
    <row r="37" spans="1:57" s="1158" customFormat="1">
      <c r="A37" s="1158" t="s">
        <v>1139</v>
      </c>
      <c r="B37" s="1162"/>
      <c r="D37" s="1167"/>
      <c r="E37" s="1167"/>
      <c r="F37" s="1167"/>
      <c r="G37" s="1167"/>
      <c r="H37" s="1167"/>
      <c r="I37" s="1167"/>
      <c r="J37" s="1167"/>
      <c r="K37" s="1162"/>
      <c r="P37" s="1167"/>
      <c r="Q37" s="1167"/>
      <c r="R37" s="1167"/>
      <c r="S37" s="1162"/>
      <c r="T37" s="1162"/>
      <c r="U37" s="1162"/>
      <c r="V37" s="1162"/>
      <c r="W37" s="1162"/>
      <c r="X37" s="1162"/>
      <c r="Y37" s="1167"/>
      <c r="Z37" s="1167"/>
      <c r="AC37" s="1159"/>
      <c r="AD37" s="1159"/>
      <c r="AE37" s="1159"/>
      <c r="AF37" s="1159"/>
      <c r="AG37" s="1159"/>
      <c r="AH37" s="1159"/>
      <c r="AI37" s="1159"/>
      <c r="AJ37" s="1159"/>
      <c r="AK37" s="1159"/>
      <c r="AL37" s="1159"/>
      <c r="AM37" s="1159"/>
      <c r="AN37" s="1159"/>
      <c r="AO37" s="1159"/>
      <c r="AP37" s="1159"/>
      <c r="AQ37" s="1159"/>
      <c r="AR37" s="1159"/>
      <c r="AS37" s="1159"/>
      <c r="AT37" s="1159"/>
      <c r="AU37" s="1159"/>
      <c r="AV37" s="1159"/>
      <c r="AW37" s="1159"/>
      <c r="AX37" s="1159"/>
      <c r="AY37" s="1159"/>
      <c r="AZ37" s="1159"/>
      <c r="BA37" s="1159"/>
      <c r="BB37" s="1159"/>
      <c r="BC37" s="1159"/>
      <c r="BD37" s="1159"/>
      <c r="BE37" s="1159"/>
    </row>
    <row r="38" spans="2:57" s="1158" customFormat="1" ht="13">
      <c r="B38" s="1160"/>
      <c r="D38" s="1168"/>
      <c r="E38" s="1168"/>
      <c r="F38" s="1168"/>
      <c r="G38" s="1168"/>
      <c r="H38" s="1168"/>
      <c r="I38" s="1168"/>
      <c r="J38" s="1168"/>
      <c r="K38" s="1160"/>
      <c r="L38" s="1158"/>
      <c r="M38" s="1158"/>
      <c r="N38" s="1158"/>
      <c r="O38" s="1158"/>
      <c r="P38" s="1168"/>
      <c r="Q38" s="1168"/>
      <c r="R38" s="1168"/>
      <c r="S38" s="1160"/>
      <c r="T38" s="1160"/>
      <c r="U38" s="1160"/>
      <c r="V38" s="1160"/>
      <c r="W38" s="1160"/>
      <c r="X38" s="1160"/>
      <c r="Y38" s="1168"/>
      <c r="Z38" s="1168"/>
      <c r="AC38" s="1159"/>
      <c r="AD38" s="1159"/>
      <c r="AE38" s="1159"/>
      <c r="AF38" s="1159"/>
      <c r="AG38" s="1159"/>
      <c r="AH38" s="1159"/>
      <c r="AI38" s="1159"/>
      <c r="AJ38" s="1159"/>
      <c r="AK38" s="1159"/>
      <c r="AL38" s="1159"/>
      <c r="AM38" s="1159"/>
      <c r="AN38" s="1159"/>
      <c r="AO38" s="1159"/>
      <c r="AP38" s="1159"/>
      <c r="AQ38" s="1159"/>
      <c r="AR38" s="1159"/>
      <c r="AS38" s="1159"/>
      <c r="AT38" s="1159"/>
      <c r="AU38" s="1159"/>
      <c r="AV38" s="1159"/>
      <c r="AW38" s="1159"/>
      <c r="AX38" s="1159"/>
      <c r="AY38" s="1159"/>
      <c r="AZ38" s="1159"/>
      <c r="BA38" s="1159"/>
      <c r="BB38" s="1159"/>
      <c r="BC38" s="1159"/>
      <c r="BD38" s="1159"/>
      <c r="BE38" s="1159"/>
    </row>
    <row r="39" spans="1:57" s="1158" customFormat="1" ht="13">
      <c r="A39" s="1169" t="s">
        <v>1154</v>
      </c>
      <c r="E39" s="1158"/>
      <c r="F39" s="1158"/>
      <c r="G39" s="1158"/>
      <c r="H39" s="1158"/>
      <c r="I39" s="1158"/>
      <c r="J39" s="1158"/>
      <c r="K39" s="1158"/>
      <c r="L39" s="1158"/>
      <c r="M39" s="1158"/>
      <c r="N39" s="1158"/>
      <c r="O39" s="1158"/>
      <c r="P39" s="1158"/>
      <c r="Q39" s="1158"/>
      <c r="R39" s="1158"/>
      <c r="S39" s="1158"/>
      <c r="T39" s="1158"/>
      <c r="U39" s="1158"/>
      <c r="V39" s="1158"/>
      <c r="W39" s="1158"/>
      <c r="X39" s="1158"/>
      <c r="AC39" s="1159"/>
      <c r="AD39" s="1159"/>
      <c r="AE39" s="1159"/>
      <c r="AF39" s="1159"/>
      <c r="AG39" s="1159"/>
      <c r="AH39" s="1159"/>
      <c r="AI39" s="1159"/>
      <c r="AJ39" s="1159"/>
      <c r="AK39" s="1159"/>
      <c r="AL39" s="1159"/>
      <c r="AM39" s="1159"/>
      <c r="AN39" s="1159"/>
      <c r="AO39" s="1159"/>
      <c r="AP39" s="1159"/>
      <c r="AQ39" s="1159"/>
      <c r="AR39" s="1159"/>
      <c r="AS39" s="1159"/>
      <c r="AT39" s="1159"/>
      <c r="AU39" s="1159"/>
      <c r="AV39" s="1159"/>
      <c r="AW39" s="1159"/>
      <c r="AX39" s="1159"/>
      <c r="AY39" s="1159"/>
      <c r="AZ39" s="1159"/>
      <c r="BA39" s="1159"/>
      <c r="BB39" s="1159"/>
      <c r="BC39" s="1159"/>
      <c r="BD39" s="1159"/>
      <c r="BE39" s="1159"/>
    </row>
    <row r="40" spans="5:24" s="1158" customFormat="1">
      <c r="E40" s="1158"/>
      <c r="F40" s="1158"/>
      <c r="G40" s="1158"/>
      <c r="H40" s="1158"/>
      <c r="I40" s="1158"/>
      <c r="J40" s="1158"/>
      <c r="K40" s="1170"/>
      <c r="L40" s="1170"/>
      <c r="M40" s="1170"/>
      <c r="N40" s="1170"/>
      <c r="O40" s="1158"/>
      <c r="P40" s="1158"/>
      <c r="Q40" s="1158"/>
      <c r="R40" s="1158"/>
      <c r="S40" s="1158"/>
      <c r="T40" s="1170"/>
      <c r="U40" s="1170"/>
      <c r="V40" s="1170"/>
      <c r="W40" s="1170"/>
      <c r="X40" s="1158"/>
    </row>
    <row r="41" spans="5:24" s="1158" customFormat="1">
      <c r="E41" s="1158"/>
      <c r="F41" s="1158"/>
      <c r="G41" s="1158"/>
      <c r="H41" s="1158"/>
      <c r="I41" s="1158"/>
      <c r="J41" s="1158"/>
      <c r="K41" s="1170"/>
      <c r="L41" s="1170"/>
      <c r="M41" s="1170"/>
      <c r="N41" s="1170"/>
      <c r="O41" s="1158"/>
      <c r="P41" s="1158"/>
      <c r="Q41" s="1158"/>
      <c r="R41" s="1158"/>
      <c r="S41" s="1158"/>
      <c r="T41" s="1170"/>
      <c r="U41" s="1170"/>
      <c r="V41" s="1170"/>
      <c r="W41" s="1170"/>
      <c r="X41" s="1158"/>
    </row>
    <row r="42" spans="5:24">
      <c r="E42" s="1158"/>
      <c r="F42" s="1158"/>
      <c r="G42" s="1158"/>
      <c r="H42" s="1158"/>
      <c r="I42" s="1158"/>
      <c r="J42" s="1158"/>
      <c r="K42" s="1158"/>
      <c r="L42" s="1158"/>
      <c r="M42" s="1158"/>
      <c r="N42" s="1158"/>
      <c r="O42" s="1158"/>
      <c r="P42" s="1158"/>
      <c r="Q42" s="1158"/>
      <c r="R42" s="1158"/>
      <c r="S42" s="1158"/>
      <c r="T42" s="1170"/>
      <c r="U42" s="1170"/>
      <c r="V42" s="1170"/>
      <c r="W42" s="1170"/>
      <c r="X42" s="1158"/>
    </row>
    <row r="43" spans="5:57">
      <c r="E43" s="1158"/>
      <c r="F43" s="1158"/>
      <c r="G43" s="1158"/>
      <c r="H43" s="1158"/>
      <c r="I43" s="1158"/>
      <c r="J43" s="1158"/>
      <c r="K43" s="1158"/>
      <c r="L43" s="1158"/>
      <c r="M43" s="1158"/>
      <c r="N43" s="1158"/>
      <c r="O43" s="1158"/>
      <c r="P43" s="1158"/>
      <c r="Q43" s="1158"/>
      <c r="R43" s="1158"/>
      <c r="S43" s="1158"/>
      <c r="AF43" s="1158"/>
      <c r="AG43" s="1158"/>
      <c r="AH43" s="1158"/>
      <c r="AI43" s="1158"/>
      <c r="AJ43" s="1158"/>
      <c r="AK43" s="1158"/>
      <c r="AL43" s="1158"/>
      <c r="AM43" s="1158"/>
      <c r="AN43" s="1158"/>
      <c r="AO43" s="1158"/>
      <c r="AP43" s="1158"/>
      <c r="AQ43" s="1158"/>
      <c r="AR43" s="1158"/>
      <c r="AS43" s="1158"/>
      <c r="AT43" s="1158"/>
      <c r="AU43" s="1158"/>
      <c r="AV43" s="1158"/>
      <c r="AW43" s="1158"/>
      <c r="AX43" s="1158"/>
      <c r="AY43" s="1158"/>
      <c r="AZ43" s="1158"/>
      <c r="BA43" s="1158"/>
      <c r="BB43" s="1158"/>
      <c r="BC43" s="1158"/>
      <c r="BD43" s="1158"/>
      <c r="BE43" s="1158"/>
    </row>
    <row r="44" spans="1:57">
      <c r="A44" s="1171">
        <f>D9</f>
        <v>0</v>
      </c>
      <c r="B44" s="1172"/>
      <c r="C44" s="1163"/>
      <c r="D44" s="1158"/>
      <c r="E44" s="1158"/>
      <c r="F44" s="1158"/>
      <c r="G44" s="1158"/>
      <c r="H44" s="1158"/>
      <c r="I44" s="1158"/>
      <c r="J44" s="1158"/>
      <c r="K44" s="1162"/>
      <c r="L44" s="1158"/>
      <c r="M44" s="1158"/>
      <c r="N44" s="1158"/>
      <c r="O44" s="1158"/>
      <c r="P44" s="1158"/>
      <c r="Q44" s="1158"/>
      <c r="R44" s="1158"/>
      <c r="S44" s="1158"/>
      <c r="T44" s="1158"/>
      <c r="U44" s="1158"/>
      <c r="V44" s="1158"/>
      <c r="W44" s="1158"/>
      <c r="X44" s="1158"/>
      <c r="Y44" s="1158"/>
      <c r="Z44" s="1158"/>
      <c r="AF44" s="1158"/>
      <c r="AG44" s="1158"/>
      <c r="AH44" s="1158"/>
      <c r="AI44" s="1158"/>
      <c r="AJ44" s="1158"/>
      <c r="AK44" s="1158"/>
      <c r="AL44" s="1158"/>
      <c r="AM44" s="1158"/>
      <c r="AN44" s="1158"/>
      <c r="AO44" s="1158"/>
      <c r="AP44" s="1158"/>
      <c r="AQ44" s="1158"/>
      <c r="AR44" s="1158"/>
      <c r="AS44" s="1158"/>
      <c r="AT44" s="1158"/>
      <c r="AU44" s="1158"/>
      <c r="AV44" s="1158"/>
      <c r="AW44" s="1158"/>
      <c r="AX44" s="1158"/>
      <c r="AY44" s="1158"/>
      <c r="AZ44" s="1158"/>
      <c r="BA44" s="1158"/>
      <c r="BB44" s="1158"/>
      <c r="BC44" s="1158"/>
      <c r="BD44" s="1158"/>
      <c r="BE44" s="1158"/>
    </row>
    <row r="45" spans="1:57">
      <c r="A45" s="1158" t="s">
        <v>295</v>
      </c>
      <c r="E45" s="1158"/>
      <c r="F45" s="1158"/>
      <c r="G45" s="1158"/>
      <c r="H45" s="1158"/>
      <c r="I45" s="1158"/>
      <c r="J45" s="1158"/>
      <c r="K45" s="1158"/>
      <c r="L45" s="1158"/>
      <c r="M45" s="1158"/>
      <c r="N45" s="1158"/>
      <c r="O45" s="1158"/>
      <c r="P45" s="1158"/>
      <c r="Q45" s="1158"/>
      <c r="R45" s="1158"/>
      <c r="S45" s="1158"/>
      <c r="AF45" s="1158"/>
      <c r="AG45" s="1158"/>
      <c r="AH45" s="1158"/>
      <c r="AI45" s="1158"/>
      <c r="AJ45" s="1158"/>
      <c r="AK45" s="1158"/>
      <c r="AL45" s="1158"/>
      <c r="AM45" s="1158"/>
      <c r="AN45" s="1158"/>
      <c r="AO45" s="1158"/>
      <c r="AP45" s="1158"/>
      <c r="AQ45" s="1158"/>
      <c r="AR45" s="1158"/>
      <c r="AS45" s="1158"/>
      <c r="AT45" s="1158"/>
      <c r="AU45" s="1158"/>
      <c r="AV45" s="1158"/>
      <c r="AW45" s="1158"/>
      <c r="AX45" s="1158"/>
      <c r="AY45" s="1158"/>
      <c r="AZ45" s="1158"/>
      <c r="BA45" s="1158"/>
      <c r="BB45" s="1158"/>
      <c r="BC45" s="1158"/>
      <c r="BD45" s="1158"/>
      <c r="BE45" s="1158"/>
    </row>
    <row r="46" spans="32:57">
      <c r="AF46" s="1158"/>
      <c r="AG46" s="1158"/>
      <c r="AH46" s="1158"/>
      <c r="AI46" s="1158"/>
      <c r="AJ46" s="1158"/>
      <c r="AK46" s="1158"/>
      <c r="AL46" s="1158"/>
      <c r="AM46" s="1158"/>
      <c r="AN46" s="1158"/>
      <c r="AO46" s="1158"/>
      <c r="AP46" s="1158"/>
      <c r="AQ46" s="1158"/>
      <c r="AR46" s="1158"/>
      <c r="AS46" s="1158"/>
      <c r="AT46" s="1158"/>
      <c r="AU46" s="1158"/>
      <c r="AV46" s="1158"/>
      <c r="AW46" s="1158"/>
      <c r="AX46" s="1158"/>
      <c r="AY46" s="1158"/>
      <c r="AZ46" s="1158"/>
      <c r="BA46" s="1158"/>
      <c r="BB46" s="1158"/>
      <c r="BC46" s="1158"/>
      <c r="BD46" s="1158"/>
      <c r="BE46" s="1158"/>
    </row>
    <row r="47" spans="1:57">
      <c r="A47" s="1158" t="s">
        <v>1140</v>
      </c>
      <c r="AF47" s="1158"/>
      <c r="AG47" s="1158"/>
      <c r="AH47" s="1158"/>
      <c r="AI47" s="1158"/>
      <c r="AJ47" s="1158"/>
      <c r="AK47" s="1158"/>
      <c r="AL47" s="1158"/>
      <c r="AM47" s="1158"/>
      <c r="AN47" s="1158"/>
      <c r="AO47" s="1158"/>
      <c r="AP47" s="1158"/>
      <c r="AQ47" s="1158"/>
      <c r="AR47" s="1158"/>
      <c r="AS47" s="1158"/>
      <c r="AT47" s="1158"/>
      <c r="AU47" s="1158"/>
      <c r="AV47" s="1158"/>
      <c r="AW47" s="1158"/>
      <c r="AX47" s="1158"/>
      <c r="AY47" s="1158"/>
      <c r="AZ47" s="1158"/>
      <c r="BA47" s="1158"/>
      <c r="BB47" s="1158"/>
      <c r="BC47" s="1158"/>
      <c r="BD47" s="1158"/>
      <c r="BE47" s="1158"/>
    </row>
    <row r="48" spans="1:57" ht="13">
      <c r="A48" s="1169" t="s">
        <v>1141</v>
      </c>
      <c r="AF48" s="1158"/>
      <c r="AG48" s="1158"/>
      <c r="AH48" s="1158"/>
      <c r="AI48" s="1158"/>
      <c r="AJ48" s="1158"/>
      <c r="AK48" s="1158"/>
      <c r="AL48" s="1158"/>
      <c r="AM48" s="1158"/>
      <c r="AN48" s="1158"/>
      <c r="AO48" s="1158"/>
      <c r="AP48" s="1158"/>
      <c r="AQ48" s="1158"/>
      <c r="AR48" s="1158"/>
      <c r="AS48" s="1158"/>
      <c r="AT48" s="1158"/>
      <c r="AU48" s="1158"/>
      <c r="AV48" s="1158"/>
      <c r="AW48" s="1158"/>
      <c r="AX48" s="1158"/>
      <c r="AY48" s="1158"/>
      <c r="AZ48" s="1158"/>
      <c r="BA48" s="1158"/>
      <c r="BB48" s="1158"/>
      <c r="BC48" s="1158"/>
      <c r="BD48" s="1158"/>
      <c r="BE48" s="1158"/>
    </row>
    <row r="49" spans="1:57">
      <c r="A49" s="1158"/>
      <c r="B49" s="1158"/>
      <c r="C49" s="1158"/>
      <c r="D49" s="1158"/>
      <c r="E49" s="1158"/>
      <c r="F49" s="1158"/>
      <c r="G49" s="1158"/>
      <c r="H49" s="1158"/>
      <c r="I49" s="1158"/>
      <c r="J49" s="1158"/>
      <c r="K49" s="1158"/>
      <c r="L49" s="1158"/>
      <c r="M49" s="1158"/>
      <c r="N49" s="1158"/>
      <c r="O49" s="1158"/>
      <c r="P49" s="1158"/>
      <c r="Q49" s="1158"/>
      <c r="R49" s="1158"/>
      <c r="S49" s="1158"/>
      <c r="T49" s="1158"/>
      <c r="U49" s="1158"/>
      <c r="V49" s="1158"/>
      <c r="W49" s="1158"/>
      <c r="X49" s="1158"/>
      <c r="Y49" s="1158"/>
      <c r="Z49" s="1158"/>
      <c r="AA49" s="1158"/>
      <c r="AF49" s="1158"/>
      <c r="AG49" s="1158"/>
      <c r="AH49" s="1158"/>
      <c r="AI49" s="1158"/>
      <c r="AJ49" s="1158"/>
      <c r="AK49" s="1158"/>
      <c r="AL49" s="1158"/>
      <c r="AM49" s="1158"/>
      <c r="AN49" s="1158"/>
      <c r="AO49" s="1158"/>
      <c r="AP49" s="1158"/>
      <c r="AQ49" s="1158"/>
      <c r="AR49" s="1158"/>
      <c r="AS49" s="1158"/>
      <c r="AT49" s="1158"/>
      <c r="AU49" s="1158"/>
      <c r="AV49" s="1158"/>
      <c r="AW49" s="1158"/>
      <c r="AX49" s="1158"/>
      <c r="AY49" s="1158"/>
      <c r="AZ49" s="1158"/>
      <c r="BA49" s="1158"/>
      <c r="BB49" s="1158"/>
      <c r="BC49" s="1158"/>
      <c r="BD49" s="1158"/>
      <c r="BE49" s="1158"/>
    </row>
    <row r="50" spans="1:57">
      <c r="A50" s="1158"/>
      <c r="B50" s="1158"/>
      <c r="C50" s="1158"/>
      <c r="D50" s="1158"/>
      <c r="E50" s="1158"/>
      <c r="F50" s="1158"/>
      <c r="G50" s="1158"/>
      <c r="H50" s="1158"/>
      <c r="I50" s="1158"/>
      <c r="J50" s="1158"/>
      <c r="K50" s="1158"/>
      <c r="L50" s="1158"/>
      <c r="M50" s="1158"/>
      <c r="N50" s="1158"/>
      <c r="O50" s="1158"/>
      <c r="P50" s="1158"/>
      <c r="Q50" s="1158"/>
      <c r="R50" s="1158"/>
      <c r="S50" s="1158"/>
      <c r="T50" s="1158"/>
      <c r="U50" s="1158"/>
      <c r="V50" s="1158"/>
      <c r="W50" s="1158"/>
      <c r="X50" s="1158"/>
      <c r="Y50" s="1158"/>
      <c r="Z50" s="1158"/>
      <c r="AA50" s="1158"/>
      <c r="AF50" s="1158"/>
      <c r="AG50" s="1158"/>
      <c r="AH50" s="1158"/>
      <c r="AI50" s="1158"/>
      <c r="AJ50" s="1158"/>
      <c r="AK50" s="1158"/>
      <c r="AL50" s="1158"/>
      <c r="AM50" s="1158"/>
      <c r="AN50" s="1158"/>
      <c r="AO50" s="1158"/>
      <c r="AP50" s="1158"/>
      <c r="AQ50" s="1158"/>
      <c r="AR50" s="1158"/>
      <c r="AS50" s="1158"/>
      <c r="AT50" s="1158"/>
      <c r="AU50" s="1158"/>
      <c r="AV50" s="1158"/>
      <c r="AW50" s="1158"/>
      <c r="AX50" s="1158"/>
      <c r="AY50" s="1158"/>
      <c r="AZ50" s="1158"/>
      <c r="BA50" s="1158"/>
      <c r="BB50" s="1158"/>
      <c r="BC50" s="1158"/>
      <c r="BD50" s="1158"/>
      <c r="BE50" s="1158"/>
    </row>
    <row r="51" spans="1:57">
      <c r="A51" s="1158"/>
      <c r="B51" s="1158"/>
      <c r="C51" s="1158"/>
      <c r="D51" s="1158"/>
      <c r="E51" s="1158"/>
      <c r="F51" s="1158"/>
      <c r="G51" s="1158"/>
      <c r="H51" s="1158"/>
      <c r="I51" s="1158"/>
      <c r="J51" s="1158"/>
      <c r="K51" s="1158"/>
      <c r="L51" s="1158"/>
      <c r="M51" s="1158"/>
      <c r="N51" s="1158"/>
      <c r="O51" s="1158"/>
      <c r="P51" s="1158"/>
      <c r="Q51" s="1158"/>
      <c r="R51" s="1158"/>
      <c r="S51" s="1158"/>
      <c r="T51" s="1158"/>
      <c r="U51" s="1158"/>
      <c r="V51" s="1158"/>
      <c r="W51" s="1158"/>
      <c r="X51" s="1158"/>
      <c r="Y51" s="1158"/>
      <c r="Z51" s="1158"/>
      <c r="AA51" s="1158"/>
      <c r="AF51" s="1158"/>
      <c r="AG51" s="1158"/>
      <c r="AH51" s="1158"/>
      <c r="AI51" s="1158"/>
      <c r="AJ51" s="1158"/>
      <c r="AK51" s="1158"/>
      <c r="AL51" s="1158"/>
      <c r="AM51" s="1158"/>
      <c r="AN51" s="1158"/>
      <c r="AO51" s="1158"/>
      <c r="AP51" s="1158"/>
      <c r="AQ51" s="1158"/>
      <c r="AR51" s="1158"/>
      <c r="AS51" s="1158"/>
      <c r="AT51" s="1158"/>
      <c r="AU51" s="1158"/>
      <c r="AV51" s="1158"/>
      <c r="AW51" s="1158"/>
      <c r="AX51" s="1158"/>
      <c r="AY51" s="1158"/>
      <c r="AZ51" s="1158"/>
      <c r="BA51" s="1158"/>
      <c r="BB51" s="1158"/>
      <c r="BC51" s="1158"/>
      <c r="BD51" s="1158"/>
      <c r="BE51" s="1158"/>
    </row>
    <row r="52" spans="1:57">
      <c r="A52" s="1158"/>
      <c r="B52" s="1158"/>
      <c r="C52" s="1158"/>
      <c r="D52" s="1158"/>
      <c r="E52" s="1158"/>
      <c r="F52" s="1158"/>
      <c r="G52" s="1158"/>
      <c r="H52" s="1158"/>
      <c r="I52" s="1158"/>
      <c r="J52" s="1158"/>
      <c r="K52" s="1158"/>
      <c r="L52" s="1158"/>
      <c r="M52" s="1158"/>
      <c r="N52" s="1158"/>
      <c r="O52" s="1158"/>
      <c r="P52" s="1158"/>
      <c r="Q52" s="1158"/>
      <c r="R52" s="1158"/>
      <c r="S52" s="1158"/>
      <c r="T52" s="1158"/>
      <c r="U52" s="1158"/>
      <c r="V52" s="1158"/>
      <c r="W52" s="1158"/>
      <c r="X52" s="1158"/>
      <c r="Y52" s="1158"/>
      <c r="Z52" s="1158"/>
      <c r="AA52" s="1158"/>
      <c r="AF52" s="1158"/>
      <c r="AG52" s="1158"/>
      <c r="AH52" s="1158"/>
      <c r="AI52" s="1158"/>
      <c r="AJ52" s="1158"/>
      <c r="AK52" s="1158"/>
      <c r="AL52" s="1158"/>
      <c r="AM52" s="1158"/>
      <c r="AN52" s="1158"/>
      <c r="AO52" s="1158"/>
      <c r="AP52" s="1158"/>
      <c r="AQ52" s="1158"/>
      <c r="AR52" s="1158"/>
      <c r="AS52" s="1158"/>
      <c r="AT52" s="1158"/>
      <c r="AU52" s="1158"/>
      <c r="AV52" s="1158"/>
      <c r="AW52" s="1158"/>
      <c r="AX52" s="1158"/>
      <c r="AY52" s="1158"/>
      <c r="AZ52" s="1158"/>
      <c r="BA52" s="1158"/>
      <c r="BB52" s="1158"/>
      <c r="BC52" s="1158"/>
      <c r="BD52" s="1158"/>
      <c r="BE52" s="1158"/>
    </row>
    <row r="53" spans="1:57">
      <c r="A53" s="1171"/>
      <c r="B53" s="1171"/>
      <c r="C53" s="1158"/>
      <c r="D53" s="1158"/>
      <c r="E53" s="1158"/>
      <c r="F53" s="1158"/>
      <c r="G53" s="1158"/>
      <c r="H53" s="1171"/>
      <c r="I53" s="1171"/>
      <c r="J53" s="1171"/>
      <c r="K53" s="1171"/>
      <c r="L53" s="1171"/>
      <c r="M53" s="1171"/>
      <c r="N53" s="1171"/>
      <c r="O53" s="1171"/>
      <c r="P53" s="1171"/>
      <c r="Q53" s="1171"/>
      <c r="R53" s="1158"/>
      <c r="S53" s="1158"/>
      <c r="T53" s="1158"/>
      <c r="U53" s="1158"/>
      <c r="V53" s="1158"/>
      <c r="W53" s="1158"/>
      <c r="X53" s="1158"/>
      <c r="Y53" s="1158"/>
      <c r="Z53" s="1158"/>
      <c r="AA53" s="1158"/>
      <c r="AF53" s="1158"/>
      <c r="AG53" s="1158"/>
      <c r="AH53" s="1158"/>
      <c r="AI53" s="1158"/>
      <c r="AJ53" s="1158"/>
      <c r="AK53" s="1158"/>
      <c r="AL53" s="1158"/>
      <c r="AM53" s="1158"/>
      <c r="AN53" s="1158"/>
      <c r="AO53" s="1158"/>
      <c r="AP53" s="1158"/>
      <c r="AQ53" s="1158"/>
      <c r="AR53" s="1158"/>
      <c r="AS53" s="1158"/>
      <c r="AT53" s="1158"/>
      <c r="AU53" s="1158"/>
      <c r="AV53" s="1158"/>
      <c r="AW53" s="1158"/>
      <c r="AX53" s="1158"/>
      <c r="AY53" s="1158"/>
      <c r="AZ53" s="1158"/>
      <c r="BA53" s="1158"/>
      <c r="BB53" s="1158"/>
      <c r="BC53" s="1158"/>
      <c r="BD53" s="1158"/>
      <c r="BE53" s="1158"/>
    </row>
    <row r="54" spans="1:57">
      <c r="A54" s="1162"/>
      <c r="B54" s="1158"/>
      <c r="C54" s="1158"/>
      <c r="D54" s="1158"/>
      <c r="E54" s="1158"/>
      <c r="F54" s="1158"/>
      <c r="G54" s="1158"/>
      <c r="H54" s="1162"/>
      <c r="I54" s="1158"/>
      <c r="J54" s="1158"/>
      <c r="K54" s="1158"/>
      <c r="L54" s="1158"/>
      <c r="M54" s="1158"/>
      <c r="N54" s="1158"/>
      <c r="O54" s="1158"/>
      <c r="P54" s="1158"/>
      <c r="Q54" s="1158"/>
      <c r="R54" s="1158"/>
      <c r="S54" s="1158"/>
      <c r="T54" s="1158"/>
      <c r="U54" s="1158"/>
      <c r="V54" s="1158"/>
      <c r="W54" s="1158"/>
      <c r="X54" s="1158"/>
      <c r="Y54" s="1158"/>
      <c r="Z54" s="1158"/>
      <c r="AA54" s="1158"/>
      <c r="AF54" s="1158"/>
      <c r="AG54" s="1158"/>
      <c r="AH54" s="1158"/>
      <c r="AI54" s="1158"/>
      <c r="AJ54" s="1158"/>
      <c r="AK54" s="1158"/>
      <c r="AL54" s="1158"/>
      <c r="AM54" s="1158"/>
      <c r="AN54" s="1158"/>
      <c r="AO54" s="1158"/>
      <c r="AP54" s="1158"/>
      <c r="AQ54" s="1158"/>
      <c r="AR54" s="1158"/>
      <c r="AS54" s="1158"/>
      <c r="AT54" s="1158"/>
      <c r="AU54" s="1158"/>
      <c r="AV54" s="1158"/>
      <c r="AW54" s="1158"/>
      <c r="AX54" s="1158"/>
      <c r="AY54" s="1158"/>
      <c r="AZ54" s="1158"/>
      <c r="BA54" s="1158"/>
      <c r="BB54" s="1158"/>
      <c r="BC54" s="1158"/>
      <c r="BD54" s="1158"/>
      <c r="BE54" s="1158"/>
    </row>
    <row r="55" spans="1:57">
      <c r="A55" s="1158"/>
      <c r="B55" s="1158"/>
      <c r="C55" s="1158"/>
      <c r="D55" s="1158"/>
      <c r="E55" s="1158"/>
      <c r="F55" s="1158"/>
      <c r="G55" s="1158"/>
      <c r="H55" s="1158"/>
      <c r="I55" s="1158"/>
      <c r="J55" s="1158"/>
      <c r="K55" s="1158"/>
      <c r="L55" s="1158"/>
      <c r="M55" s="1158"/>
      <c r="N55" s="1158"/>
      <c r="O55" s="1158"/>
      <c r="P55" s="1158"/>
      <c r="Q55" s="1158"/>
      <c r="R55" s="1158"/>
      <c r="S55" s="1158"/>
      <c r="T55" s="1158"/>
      <c r="U55" s="1158"/>
      <c r="V55" s="1158"/>
      <c r="W55" s="1158"/>
      <c r="X55" s="1158"/>
      <c r="Y55" s="1158"/>
      <c r="Z55" s="1158"/>
      <c r="AA55" s="1158"/>
      <c r="AF55" s="1158"/>
      <c r="AG55" s="1158"/>
      <c r="AH55" s="1158"/>
      <c r="AI55" s="1158"/>
      <c r="AJ55" s="1158"/>
      <c r="AK55" s="1158"/>
      <c r="AL55" s="1158"/>
      <c r="AM55" s="1158"/>
      <c r="AN55" s="1158"/>
      <c r="AO55" s="1158"/>
      <c r="AP55" s="1158"/>
      <c r="AQ55" s="1158"/>
      <c r="AR55" s="1158"/>
      <c r="AS55" s="1158"/>
      <c r="AT55" s="1158"/>
      <c r="AU55" s="1158"/>
      <c r="AV55" s="1158"/>
      <c r="AW55" s="1158"/>
      <c r="AX55" s="1158"/>
      <c r="AY55" s="1158"/>
      <c r="AZ55" s="1158"/>
      <c r="BA55" s="1158"/>
      <c r="BB55" s="1158"/>
      <c r="BC55" s="1158"/>
      <c r="BD55" s="1158"/>
      <c r="BE55" s="1158"/>
    </row>
    <row r="56" spans="32:57">
      <c r="AF56" s="1158"/>
      <c r="AG56" s="1158"/>
      <c r="AH56" s="1158"/>
      <c r="AI56" s="1158"/>
      <c r="AJ56" s="1158"/>
      <c r="AK56" s="1158"/>
      <c r="AL56" s="1158"/>
      <c r="AM56" s="1158"/>
      <c r="AN56" s="1158"/>
      <c r="AO56" s="1158"/>
      <c r="AP56" s="1158"/>
      <c r="AQ56" s="1158"/>
      <c r="AR56" s="1158"/>
      <c r="AS56" s="1158"/>
      <c r="AT56" s="1158"/>
      <c r="AU56" s="1158"/>
      <c r="AV56" s="1158"/>
      <c r="AW56" s="1158"/>
      <c r="AX56" s="1158"/>
      <c r="AY56" s="1158"/>
      <c r="AZ56" s="1158"/>
      <c r="BA56" s="1158"/>
      <c r="BB56" s="1158"/>
      <c r="BC56" s="1158"/>
      <c r="BD56" s="1158"/>
      <c r="BE56" s="1158"/>
    </row>
    <row r="60" spans="27:57" s="1158" customFormat="1">
      <c r="AA60" s="1159"/>
      <c r="AC60" s="1159"/>
      <c r="AD60" s="1159"/>
      <c r="AE60" s="1159"/>
      <c r="AF60" s="1159"/>
      <c r="AG60" s="1159"/>
      <c r="AH60" s="1159"/>
      <c r="AI60" s="1159"/>
      <c r="AJ60" s="1159"/>
      <c r="AK60" s="1159"/>
      <c r="AL60" s="1159"/>
      <c r="AM60" s="1159"/>
      <c r="AN60" s="1159"/>
      <c r="AO60" s="1159"/>
      <c r="AP60" s="1159"/>
      <c r="AQ60" s="1159"/>
      <c r="AR60" s="1159"/>
      <c r="AS60" s="1159"/>
      <c r="AT60" s="1159"/>
      <c r="AU60" s="1159"/>
      <c r="AV60" s="1159"/>
      <c r="AW60" s="1159"/>
      <c r="AX60" s="1159"/>
      <c r="AY60" s="1159"/>
      <c r="AZ60" s="1159"/>
      <c r="BA60" s="1159"/>
      <c r="BB60" s="1159"/>
      <c r="BC60" s="1159"/>
      <c r="BD60" s="1159"/>
      <c r="BE60" s="1159"/>
    </row>
  </sheetData>
  <sheetProtection password="BDAF" sheet="1" objects="1" scenarios="1" selectLockedCells="1" selectUnlockedCells="1"/>
  <mergeCells count="18">
    <mergeCell ref="K40:N40"/>
    <mergeCell ref="T40:W40"/>
    <mergeCell ref="D14:AA14"/>
    <mergeCell ref="D15:AA15"/>
    <mergeCell ref="D16:AA16"/>
    <mergeCell ref="A28:AA28"/>
    <mergeCell ref="E37:J37"/>
    <mergeCell ref="E38:J38"/>
    <mergeCell ref="A29:AA29"/>
    <mergeCell ref="D21:J21"/>
    <mergeCell ref="L21:T21"/>
    <mergeCell ref="D13:AA13"/>
    <mergeCell ref="A1:AA1"/>
    <mergeCell ref="A2:AA2"/>
    <mergeCell ref="D9:AA9"/>
    <mergeCell ref="D11:AA11"/>
    <mergeCell ref="D12:AA12"/>
    <mergeCell ref="A3:AA3"/>
  </mergeCells>
  <printOptions horizontalCentered="1"/>
  <pageMargins left="0.78740157480315" right="0.31496062992126" top="0.708661417" bottom="0.118110236220472" header="0.31496062992126" footer="0.196850393700787"/>
  <pageSetup paperSize="14" scale="76" orientation="portrait" r:id="rId1"/>
  <rowBreaks count="1" manualBreakCount="1">
    <brk id="55" max="26" man="1"/>
  </rowBreak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</sheetPr>
  <dimension ref="A1:Z117"/>
  <sheetViews>
    <sheetView zoomScale="115" zoomScaleNormal="115" view="normal" workbookViewId="0">
      <pane xSplit="1" ySplit="4" topLeftCell="Q98" activePane="bottomRight" state="frozen"/>
      <selection pane="bottomRight" activeCell="C55" sqref="C55"/>
    </sheetView>
  </sheetViews>
  <sheetFormatPr defaultColWidth="8.8515625" defaultRowHeight="12.5" baseColWidth="0"/>
  <cols>
    <col min="1" max="1" width="26.99609375" style="1197" customWidth="1"/>
    <col min="2" max="9" width="11.99609375" style="1061" customWidth="1"/>
    <col min="10" max="10" width="11.99609375" style="1196" customWidth="1"/>
    <col min="11" max="26" width="11.99609375" style="1061" customWidth="1"/>
    <col min="27" max="27" width="14.28125" style="1197" customWidth="1"/>
    <col min="28" max="16384" width="8.8515625" style="1197" customWidth="1"/>
  </cols>
  <sheetData>
    <row r="1" spans="1:1" ht="13">
      <c r="A1" s="1195" t="s">
        <v>946</v>
      </c>
    </row>
    <row r="2" spans="1:1" ht="13.5" thickBot="1">
      <c r="A2" s="1195" t="s">
        <v>1155</v>
      </c>
    </row>
    <row r="3" spans="1:26" s="1200" customFormat="1" ht="26.5" thickBot="1">
      <c r="A3" s="1198" t="s">
        <v>892</v>
      </c>
      <c r="B3" s="883" t="s">
        <v>893</v>
      </c>
      <c r="C3" s="883" t="s">
        <v>894</v>
      </c>
      <c r="D3" s="883" t="s">
        <v>895</v>
      </c>
      <c r="E3" s="883" t="s">
        <v>896</v>
      </c>
      <c r="F3" s="883" t="s">
        <v>897</v>
      </c>
      <c r="G3" s="883" t="s">
        <v>898</v>
      </c>
      <c r="H3" s="883" t="s">
        <v>899</v>
      </c>
      <c r="I3" s="883" t="s">
        <v>900</v>
      </c>
      <c r="J3" s="1199" t="s">
        <v>901</v>
      </c>
      <c r="K3" s="883" t="s">
        <v>902</v>
      </c>
      <c r="L3" s="883" t="s">
        <v>903</v>
      </c>
      <c r="M3" s="883" t="s">
        <v>904</v>
      </c>
      <c r="N3" s="883" t="s">
        <v>905</v>
      </c>
      <c r="O3" s="883" t="s">
        <v>906</v>
      </c>
      <c r="P3" s="883" t="s">
        <v>907</v>
      </c>
      <c r="Q3" s="883" t="s">
        <v>908</v>
      </c>
      <c r="R3" s="883" t="s">
        <v>909</v>
      </c>
      <c r="S3" s="883" t="s">
        <v>910</v>
      </c>
      <c r="T3" s="883" t="s">
        <v>911</v>
      </c>
      <c r="U3" s="883" t="s">
        <v>912</v>
      </c>
      <c r="V3" s="883" t="s">
        <v>913</v>
      </c>
      <c r="W3" s="883" t="s">
        <v>914</v>
      </c>
      <c r="X3" s="883" t="s">
        <v>915</v>
      </c>
      <c r="Y3" s="883" t="s">
        <v>916</v>
      </c>
      <c r="Z3" s="884" t="s">
        <v>917</v>
      </c>
    </row>
    <row r="4" spans="1:26" s="1200" customFormat="1" ht="14" thickTop="1" thickBot="1">
      <c r="A4" s="1201" t="s">
        <v>496</v>
      </c>
      <c r="B4" s="885" t="s">
        <v>918</v>
      </c>
      <c r="C4" s="885" t="s">
        <v>919</v>
      </c>
      <c r="D4" s="885" t="s">
        <v>920</v>
      </c>
      <c r="E4" s="886" t="s">
        <v>921</v>
      </c>
      <c r="F4" s="885" t="s">
        <v>922</v>
      </c>
      <c r="G4" s="885" t="s">
        <v>923</v>
      </c>
      <c r="H4" s="885" t="s">
        <v>924</v>
      </c>
      <c r="I4" s="885" t="s">
        <v>925</v>
      </c>
      <c r="J4" s="1202" t="s">
        <v>926</v>
      </c>
      <c r="K4" s="885" t="s">
        <v>927</v>
      </c>
      <c r="L4" s="886" t="s">
        <v>928</v>
      </c>
      <c r="M4" s="885" t="s">
        <v>929</v>
      </c>
      <c r="N4" s="885" t="s">
        <v>930</v>
      </c>
      <c r="O4" s="885" t="s">
        <v>931</v>
      </c>
      <c r="P4" s="885" t="s">
        <v>932</v>
      </c>
      <c r="Q4" s="885" t="s">
        <v>933</v>
      </c>
      <c r="R4" s="885" t="s">
        <v>934</v>
      </c>
      <c r="S4" s="885" t="s">
        <v>935</v>
      </c>
      <c r="T4" s="885" t="s">
        <v>936</v>
      </c>
      <c r="U4" s="885" t="s">
        <v>937</v>
      </c>
      <c r="V4" s="885" t="s">
        <v>938</v>
      </c>
      <c r="W4" s="885" t="s">
        <v>939</v>
      </c>
      <c r="X4" s="885" t="s">
        <v>940</v>
      </c>
      <c r="Y4" s="885" t="s">
        <v>941</v>
      </c>
      <c r="Z4" s="887" t="s">
        <v>942</v>
      </c>
    </row>
    <row r="5" spans="1:26" s="1061" customFormat="1" ht="13.5" thickTop="1">
      <c r="A5" s="1173" t="s">
        <v>1156</v>
      </c>
      <c r="B5" s="1203">
        <v>10568.28</v>
      </c>
      <c r="C5" s="1204" t="s">
        <v>1157</v>
      </c>
      <c r="D5" s="1203">
        <v>10775.88</v>
      </c>
      <c r="E5" s="1204">
        <v>2076.83</v>
      </c>
      <c r="F5" s="1203">
        <v>2179.21</v>
      </c>
      <c r="G5" s="1204">
        <v>16227.31</v>
      </c>
      <c r="H5" s="1203">
        <v>1734.36</v>
      </c>
      <c r="I5" s="1204" t="s">
        <v>1158</v>
      </c>
      <c r="J5" s="1203">
        <v>120.09</v>
      </c>
      <c r="K5" s="1204">
        <v>44906.94</v>
      </c>
      <c r="L5" s="1203" t="s">
        <v>1159</v>
      </c>
      <c r="M5" s="1204">
        <v>3339.14</v>
      </c>
      <c r="N5" s="1203" t="s">
        <v>1160</v>
      </c>
      <c r="O5" s="1204">
        <v>9608.17</v>
      </c>
      <c r="P5" s="1203">
        <v>1648.12</v>
      </c>
      <c r="Q5" s="1204" t="s">
        <v>1161</v>
      </c>
      <c r="R5" s="1203" t="s">
        <v>1162</v>
      </c>
      <c r="S5" s="1204">
        <v>3613.91</v>
      </c>
      <c r="T5" s="1203">
        <v>10135.92</v>
      </c>
      <c r="U5" s="1204" t="s">
        <v>1163</v>
      </c>
      <c r="V5" s="1203">
        <v>1650.44</v>
      </c>
      <c r="W5" s="1204" t="s">
        <v>1164</v>
      </c>
      <c r="X5" s="1203" t="s">
        <v>1165</v>
      </c>
      <c r="Y5" s="1204" t="s">
        <v>1166</v>
      </c>
      <c r="Z5" s="1203" t="s">
        <v>1167</v>
      </c>
    </row>
    <row r="6" spans="1:26" s="1061" customFormat="1" ht="13">
      <c r="A6" s="1173" t="s">
        <v>1168</v>
      </c>
      <c r="B6" s="1203">
        <v>10556.43</v>
      </c>
      <c r="C6" s="1204">
        <v>10127</v>
      </c>
      <c r="D6" s="1203">
        <v>10784.67</v>
      </c>
      <c r="E6" s="1204">
        <v>2072.2</v>
      </c>
      <c r="F6" s="1203">
        <v>2174.64</v>
      </c>
      <c r="G6" s="1204">
        <v>16191.33</v>
      </c>
      <c r="H6" s="1203">
        <v>1719.76</v>
      </c>
      <c r="I6" s="1204" t="s">
        <v>1169</v>
      </c>
      <c r="J6" s="1203">
        <v>119.25</v>
      </c>
      <c r="K6" s="1204">
        <v>44597.18</v>
      </c>
      <c r="L6" s="1203" t="s">
        <v>1170</v>
      </c>
      <c r="M6" s="1204">
        <v>3356.82</v>
      </c>
      <c r="N6" s="1203">
        <v>9.92</v>
      </c>
      <c r="O6" s="1204">
        <v>9600.25</v>
      </c>
      <c r="P6" s="1203">
        <v>1566.5</v>
      </c>
      <c r="Q6" s="1204" t="s">
        <v>1171</v>
      </c>
      <c r="R6" s="1203" t="s">
        <v>1172</v>
      </c>
      <c r="S6" s="1204">
        <v>3584.82</v>
      </c>
      <c r="T6" s="1203">
        <v>10123.64</v>
      </c>
      <c r="U6" s="1204" t="s">
        <v>1173</v>
      </c>
      <c r="V6" s="1203">
        <v>1648.44</v>
      </c>
      <c r="W6" s="1204" t="s">
        <v>1174</v>
      </c>
      <c r="X6" s="1203" t="s">
        <v>1175</v>
      </c>
      <c r="Y6" s="1204" t="s">
        <v>1176</v>
      </c>
      <c r="Z6" s="1203" t="s">
        <v>1177</v>
      </c>
    </row>
    <row r="7" spans="1:26" s="1061" customFormat="1" ht="13">
      <c r="A7" s="1173" t="s">
        <v>1178</v>
      </c>
      <c r="B7" s="1205">
        <v>10553.24</v>
      </c>
      <c r="C7" s="1206">
        <v>10073.57</v>
      </c>
      <c r="D7" s="1205">
        <v>10721.24</v>
      </c>
      <c r="E7" s="1206">
        <v>2063.41</v>
      </c>
      <c r="F7" s="1205">
        <v>2168.56</v>
      </c>
      <c r="G7" s="1206">
        <v>16152.84</v>
      </c>
      <c r="H7" s="1205">
        <v>1711.8</v>
      </c>
      <c r="I7" s="1206">
        <v>210.36</v>
      </c>
      <c r="J7" s="1203">
        <v>120.17</v>
      </c>
      <c r="K7" s="1206">
        <v>44410.03</v>
      </c>
      <c r="L7" s="1205">
        <v>12.54</v>
      </c>
      <c r="M7" s="1206">
        <v>3358.72</v>
      </c>
      <c r="N7" s="1205">
        <v>9.93</v>
      </c>
      <c r="O7" s="1206">
        <v>9676.17</v>
      </c>
      <c r="P7" s="1205">
        <v>1559.68</v>
      </c>
      <c r="Q7" s="1206">
        <v>120.91</v>
      </c>
      <c r="R7" s="1205">
        <v>265.91</v>
      </c>
      <c r="S7" s="1206">
        <v>3570.39</v>
      </c>
      <c r="T7" s="1205">
        <v>10072.97</v>
      </c>
      <c r="U7" s="1206">
        <v>87.03</v>
      </c>
      <c r="V7" s="1205">
        <v>1646.56</v>
      </c>
      <c r="W7" s="1206">
        <v>13743.89</v>
      </c>
      <c r="X7" s="1205">
        <v>417.72</v>
      </c>
      <c r="Y7" s="1206">
        <v>18224.07</v>
      </c>
      <c r="Z7" s="1205">
        <v>13391</v>
      </c>
    </row>
    <row r="8" spans="1:26" s="1061" customFormat="1" ht="13">
      <c r="A8" s="1173" t="s">
        <v>1179</v>
      </c>
      <c r="B8" s="1205">
        <v>10649.16</v>
      </c>
      <c r="C8" s="1206">
        <v>10094.14</v>
      </c>
      <c r="D8" s="1205">
        <v>10710.63</v>
      </c>
      <c r="E8" s="1206">
        <v>2078.01</v>
      </c>
      <c r="F8" s="1205">
        <v>2191.14</v>
      </c>
      <c r="G8" s="1206">
        <v>16313.09</v>
      </c>
      <c r="H8" s="1205">
        <v>1706.02</v>
      </c>
      <c r="I8" s="1206">
        <v>208.71</v>
      </c>
      <c r="J8" s="1203">
        <v>120.31</v>
      </c>
      <c r="K8" s="1206">
        <v>44374.66</v>
      </c>
      <c r="L8" s="1205">
        <v>12.5</v>
      </c>
      <c r="M8" s="1206">
        <v>3377.97</v>
      </c>
      <c r="N8" s="1205">
        <v>9.93</v>
      </c>
      <c r="O8" s="1206">
        <v>9710.38</v>
      </c>
      <c r="P8" s="1205">
        <v>1584.22</v>
      </c>
      <c r="Q8" s="1206">
        <v>120.48</v>
      </c>
      <c r="R8" s="1205">
        <v>263.05</v>
      </c>
      <c r="S8" s="1206">
        <v>3556.73</v>
      </c>
      <c r="T8" s="1205">
        <v>10092.92</v>
      </c>
      <c r="U8" s="1206">
        <v>86.67</v>
      </c>
      <c r="V8" s="1205">
        <v>1659.32</v>
      </c>
      <c r="W8" s="1206">
        <v>13868</v>
      </c>
      <c r="X8" s="1205">
        <v>418.03</v>
      </c>
      <c r="Y8" s="1206">
        <v>18473.97</v>
      </c>
      <c r="Z8" s="1205">
        <v>13339</v>
      </c>
    </row>
    <row r="9" spans="1:26" s="1061" customFormat="1" ht="13">
      <c r="A9" s="1173" t="s">
        <v>1180</v>
      </c>
      <c r="B9" s="1203">
        <v>10729</v>
      </c>
      <c r="C9" s="1204">
        <v>10162.76</v>
      </c>
      <c r="D9" s="1203">
        <v>10772.64</v>
      </c>
      <c r="E9" s="1204">
        <v>2097.79</v>
      </c>
      <c r="F9" s="1203">
        <v>2214.92</v>
      </c>
      <c r="G9" s="1204">
        <v>16489.27</v>
      </c>
      <c r="H9" s="1203">
        <v>1702.78</v>
      </c>
      <c r="I9" s="1204">
        <v>209.08</v>
      </c>
      <c r="J9" s="1203">
        <v>121.83</v>
      </c>
      <c r="K9" s="1204">
        <v>44370.23</v>
      </c>
      <c r="L9" s="1203">
        <v>12.49</v>
      </c>
      <c r="M9" s="1204">
        <v>3420.1</v>
      </c>
      <c r="N9" s="1203">
        <v>9.96</v>
      </c>
      <c r="O9" s="1204">
        <v>9770.5</v>
      </c>
      <c r="P9" s="1203">
        <v>1601.64</v>
      </c>
      <c r="Q9" s="1204">
        <v>120.3</v>
      </c>
      <c r="R9" s="1203">
        <v>261.31</v>
      </c>
      <c r="S9" s="1204">
        <v>3549.74</v>
      </c>
      <c r="T9" s="1203">
        <v>10160.9</v>
      </c>
      <c r="U9" s="1204">
        <v>86.55</v>
      </c>
      <c r="V9" s="1203">
        <v>1680.6</v>
      </c>
      <c r="W9" s="1204">
        <v>14126.66</v>
      </c>
      <c r="X9" s="1203">
        <v>422.61</v>
      </c>
      <c r="Y9" s="1204">
        <v>18817.61</v>
      </c>
      <c r="Z9" s="1203">
        <v>13313</v>
      </c>
    </row>
    <row r="10" spans="1:26" s="1061" customFormat="1" ht="13">
      <c r="A10" s="1173" t="s">
        <v>1181</v>
      </c>
      <c r="B10" s="1203">
        <v>10759.05</v>
      </c>
      <c r="C10" s="1204">
        <v>10225.83</v>
      </c>
      <c r="D10" s="1203">
        <v>10878.93</v>
      </c>
      <c r="E10" s="1204">
        <v>2130.07</v>
      </c>
      <c r="F10" s="1203">
        <v>2247.45</v>
      </c>
      <c r="G10" s="1204">
        <v>16729.37</v>
      </c>
      <c r="H10" s="1203">
        <v>1718.36</v>
      </c>
      <c r="I10" s="1204">
        <v>210.58</v>
      </c>
      <c r="J10" s="1203">
        <v>122.75</v>
      </c>
      <c r="K10" s="1204">
        <v>44843.59</v>
      </c>
      <c r="L10" s="1203">
        <v>12.48</v>
      </c>
      <c r="M10" s="1204">
        <v>3451.61</v>
      </c>
      <c r="N10" s="1203">
        <v>10.13</v>
      </c>
      <c r="O10" s="1204">
        <v>9860.76</v>
      </c>
      <c r="P10" s="1203">
        <v>1622.52</v>
      </c>
      <c r="Q10" s="1204">
        <v>121.17</v>
      </c>
      <c r="R10" s="1203">
        <v>260.82</v>
      </c>
      <c r="S10" s="1204">
        <v>3583.72</v>
      </c>
      <c r="T10" s="1203">
        <v>10225.36</v>
      </c>
      <c r="U10" s="1204">
        <v>87.27</v>
      </c>
      <c r="V10" s="1203">
        <v>1704.43</v>
      </c>
      <c r="W10" s="1204">
        <v>14434.83</v>
      </c>
      <c r="X10" s="1203">
        <v>427.98</v>
      </c>
      <c r="Y10" s="1204">
        <v>19038.52</v>
      </c>
      <c r="Z10" s="1203">
        <v>13440</v>
      </c>
    </row>
    <row r="11" spans="1:26" s="1061" customFormat="1" ht="13">
      <c r="A11" s="1173" t="s">
        <v>1182</v>
      </c>
      <c r="B11" s="1203">
        <v>10644.08</v>
      </c>
      <c r="C11" s="1204">
        <v>10246.37</v>
      </c>
      <c r="D11" s="1203">
        <v>10820.5</v>
      </c>
      <c r="E11" s="1204">
        <v>2151.11</v>
      </c>
      <c r="F11" s="1203">
        <v>2243.14</v>
      </c>
      <c r="G11" s="1204">
        <v>16697.33</v>
      </c>
      <c r="H11" s="1203">
        <v>1738.17</v>
      </c>
      <c r="I11" s="1204">
        <v>211.4</v>
      </c>
      <c r="J11" s="1203">
        <v>124.66</v>
      </c>
      <c r="K11" s="1204">
        <v>45288.15</v>
      </c>
      <c r="L11" s="1203">
        <v>12.49</v>
      </c>
      <c r="M11" s="1204">
        <v>3462.85</v>
      </c>
      <c r="N11" s="1203">
        <v>10.24</v>
      </c>
      <c r="O11" s="1204">
        <v>9874.55</v>
      </c>
      <c r="P11" s="1203" t="s">
        <v>1146</v>
      </c>
      <c r="Q11" s="1204">
        <v>122.79</v>
      </c>
      <c r="R11" s="1203">
        <v>264.15</v>
      </c>
      <c r="S11" s="1204">
        <v>3624.03</v>
      </c>
      <c r="T11" s="1203">
        <v>10251.78</v>
      </c>
      <c r="U11" s="1204">
        <v>87.98</v>
      </c>
      <c r="V11" s="1203">
        <v>1686.09</v>
      </c>
      <c r="W11" s="1204">
        <v>14481.52</v>
      </c>
      <c r="X11" s="1203">
        <v>429.14</v>
      </c>
      <c r="Y11" s="1204">
        <v>18875.73</v>
      </c>
      <c r="Z11" s="1203">
        <v>13592</v>
      </c>
    </row>
    <row r="12" spans="1:26" s="1061" customFormat="1" ht="13">
      <c r="A12" s="1173" t="s">
        <v>1183</v>
      </c>
      <c r="B12" s="1203">
        <v>10746.49</v>
      </c>
      <c r="C12" s="1204">
        <v>10336.72</v>
      </c>
      <c r="D12" s="1203">
        <v>10837.76</v>
      </c>
      <c r="E12" s="1204">
        <v>2153.8</v>
      </c>
      <c r="F12" s="1203">
        <v>2265.83</v>
      </c>
      <c r="G12" s="1204">
        <v>16879.85</v>
      </c>
      <c r="H12" s="1203">
        <v>1736.28</v>
      </c>
      <c r="I12" s="1204">
        <v>211.96</v>
      </c>
      <c r="J12" s="1203">
        <v>127.33</v>
      </c>
      <c r="K12" s="1204">
        <v>45324.48</v>
      </c>
      <c r="L12" s="1203">
        <v>12.65</v>
      </c>
      <c r="M12" s="1204">
        <v>3473.79</v>
      </c>
      <c r="N12" s="1203">
        <v>10.25</v>
      </c>
      <c r="O12" s="1204">
        <v>10005.52</v>
      </c>
      <c r="P12" s="1203">
        <v>1597.68</v>
      </c>
      <c r="Q12" s="1204">
        <v>122.62</v>
      </c>
      <c r="R12" s="1203">
        <v>260.42</v>
      </c>
      <c r="S12" s="1204">
        <v>3621.14</v>
      </c>
      <c r="T12" s="1203">
        <v>10338.77</v>
      </c>
      <c r="U12" s="1204">
        <v>87.48</v>
      </c>
      <c r="V12" s="1203">
        <v>1704.34</v>
      </c>
      <c r="W12" s="1204">
        <v>14635.11</v>
      </c>
      <c r="X12" s="1203">
        <v>433.4</v>
      </c>
      <c r="Y12" s="1204">
        <v>19030.78</v>
      </c>
      <c r="Z12" s="1203">
        <v>13581</v>
      </c>
    </row>
    <row r="13" spans="1:26" s="1061" customFormat="1" ht="13">
      <c r="A13" s="1173" t="s">
        <v>1184</v>
      </c>
      <c r="B13" s="1203">
        <v>10705.88</v>
      </c>
      <c r="C13" s="1204">
        <v>10326.73</v>
      </c>
      <c r="D13" s="1203">
        <v>10774.98</v>
      </c>
      <c r="E13" s="1204">
        <v>2155.76</v>
      </c>
      <c r="F13" s="1203">
        <v>2256.05</v>
      </c>
      <c r="G13" s="1204">
        <v>16800.17</v>
      </c>
      <c r="H13" s="1203">
        <v>1744.31</v>
      </c>
      <c r="I13" s="1204">
        <v>210.5</v>
      </c>
      <c r="J13" s="1203">
        <v>127.47</v>
      </c>
      <c r="K13" s="1204">
        <v>45507.84</v>
      </c>
      <c r="L13" s="1203">
        <v>12.67</v>
      </c>
      <c r="M13" s="1204">
        <v>3489.59</v>
      </c>
      <c r="N13" s="1203">
        <v>10.29</v>
      </c>
      <c r="O13" s="1204">
        <v>9992.92</v>
      </c>
      <c r="P13" s="1203">
        <v>1596.81</v>
      </c>
      <c r="Q13" s="1204">
        <v>123.22</v>
      </c>
      <c r="R13" s="1203">
        <v>262.32</v>
      </c>
      <c r="S13" s="1204">
        <v>3639.12</v>
      </c>
      <c r="T13" s="1203">
        <v>10338.93</v>
      </c>
      <c r="U13" s="1204">
        <v>87.9</v>
      </c>
      <c r="V13" s="1203">
        <v>1677.96</v>
      </c>
      <c r="W13" s="1204">
        <v>14584.41</v>
      </c>
      <c r="X13" s="1203">
        <v>433.81</v>
      </c>
      <c r="Y13" s="1204">
        <v>19059.7</v>
      </c>
      <c r="Z13" s="1203">
        <v>13648</v>
      </c>
    </row>
    <row r="14" spans="1:26" s="1061" customFormat="1" ht="13">
      <c r="A14" s="1173" t="s">
        <v>1185</v>
      </c>
      <c r="B14" s="1203">
        <v>10679.82</v>
      </c>
      <c r="C14" s="1204">
        <v>10400.06</v>
      </c>
      <c r="D14" s="1203">
        <v>10664.88</v>
      </c>
      <c r="E14" s="1204">
        <v>2170.81</v>
      </c>
      <c r="F14" s="1203">
        <v>2270.16</v>
      </c>
      <c r="G14" s="1204">
        <v>16908.13</v>
      </c>
      <c r="H14" s="1203">
        <v>1756.7</v>
      </c>
      <c r="I14" s="1204">
        <v>211.12</v>
      </c>
      <c r="J14" s="1203">
        <v>129.46</v>
      </c>
      <c r="K14" s="1204">
        <v>45823.89</v>
      </c>
      <c r="L14" s="1203">
        <v>12.72</v>
      </c>
      <c r="M14" s="1204">
        <v>3517.33</v>
      </c>
      <c r="N14" s="1203">
        <v>10.29</v>
      </c>
      <c r="O14" s="1204">
        <v>9947.8</v>
      </c>
      <c r="P14" s="1203">
        <v>1755.89</v>
      </c>
      <c r="Q14" s="1204">
        <v>124.22</v>
      </c>
      <c r="R14" s="1203">
        <v>264.59</v>
      </c>
      <c r="S14" s="1204">
        <v>3667.5</v>
      </c>
      <c r="T14" s="1203">
        <v>10415.81</v>
      </c>
      <c r="U14" s="1204">
        <v>88.7</v>
      </c>
      <c r="V14" s="1203">
        <v>1665.26</v>
      </c>
      <c r="W14" s="1204">
        <v>14623.11</v>
      </c>
      <c r="X14" s="1203">
        <v>437.38</v>
      </c>
      <c r="Y14" s="1204">
        <v>18993.59</v>
      </c>
      <c r="Z14" s="1203">
        <v>13755</v>
      </c>
    </row>
    <row r="15" spans="1:26" s="1061" customFormat="1" ht="13">
      <c r="A15" s="1173" t="s">
        <v>1186</v>
      </c>
      <c r="B15" s="1203">
        <v>10808.7</v>
      </c>
      <c r="C15" s="1204">
        <v>10487.29</v>
      </c>
      <c r="D15" s="1203">
        <v>10718.23</v>
      </c>
      <c r="E15" s="1204">
        <v>2178.69</v>
      </c>
      <c r="F15" s="1203">
        <v>2283.68</v>
      </c>
      <c r="G15" s="1204">
        <v>17011.18</v>
      </c>
      <c r="H15" s="1203">
        <v>1758.5</v>
      </c>
      <c r="I15" s="1204">
        <v>211.87</v>
      </c>
      <c r="J15" s="1203">
        <v>129.58</v>
      </c>
      <c r="K15" s="1204">
        <v>45928.05</v>
      </c>
      <c r="L15" s="1203">
        <v>12.91</v>
      </c>
      <c r="M15" s="1204">
        <v>3528.64</v>
      </c>
      <c r="N15" s="1203">
        <v>10.37</v>
      </c>
      <c r="O15" s="1204">
        <v>10042.84</v>
      </c>
      <c r="P15" s="1203">
        <v>1771.16</v>
      </c>
      <c r="Q15" s="1204">
        <v>124.47</v>
      </c>
      <c r="R15" s="1203">
        <v>264.83</v>
      </c>
      <c r="S15" s="1204">
        <v>3675.47</v>
      </c>
      <c r="T15" s="1203">
        <v>10485.22</v>
      </c>
      <c r="U15" s="1204">
        <v>88.63</v>
      </c>
      <c r="V15" s="1203">
        <v>1671.97</v>
      </c>
      <c r="W15" s="1204">
        <v>14539.08</v>
      </c>
      <c r="X15" s="1203">
        <v>440.12</v>
      </c>
      <c r="Y15" s="1204">
        <v>19125.17</v>
      </c>
      <c r="Z15" s="1203">
        <v>13785</v>
      </c>
    </row>
    <row r="16" spans="1:26" s="1061" customFormat="1" ht="13">
      <c r="A16" s="1173" t="s">
        <v>1187</v>
      </c>
      <c r="B16" s="1203">
        <v>10712.5</v>
      </c>
      <c r="C16" s="1204">
        <v>10460.04</v>
      </c>
      <c r="D16" s="1203">
        <v>10550.07</v>
      </c>
      <c r="E16" s="1204">
        <v>2174.06</v>
      </c>
      <c r="F16" s="1203">
        <v>2275.05</v>
      </c>
      <c r="G16" s="1204">
        <v>16947.47</v>
      </c>
      <c r="H16" s="1203">
        <v>1753.6</v>
      </c>
      <c r="I16" s="1204">
        <v>211.89</v>
      </c>
      <c r="J16" s="1203">
        <v>129.48</v>
      </c>
      <c r="K16" s="1204">
        <v>45837.52</v>
      </c>
      <c r="L16" s="1203">
        <v>12.89</v>
      </c>
      <c r="M16" s="1204">
        <v>3518.62</v>
      </c>
      <c r="N16" s="1203">
        <v>10.36</v>
      </c>
      <c r="O16" s="1204">
        <v>10001.81</v>
      </c>
      <c r="P16" s="1203">
        <v>1780.2</v>
      </c>
      <c r="Q16" s="1204">
        <v>124.18</v>
      </c>
      <c r="R16" s="1203">
        <v>264.46</v>
      </c>
      <c r="S16" s="1204">
        <v>3666.82</v>
      </c>
      <c r="T16" s="1203">
        <v>10463.22</v>
      </c>
      <c r="U16" s="1204">
        <v>88.19</v>
      </c>
      <c r="V16" s="1203">
        <v>1677.58</v>
      </c>
      <c r="W16" s="1204">
        <v>14488.48</v>
      </c>
      <c r="X16" s="1203">
        <v>440.52</v>
      </c>
      <c r="Y16" s="1204">
        <v>19179.08</v>
      </c>
      <c r="Z16" s="1203">
        <v>13752</v>
      </c>
    </row>
    <row r="17" spans="1:26" s="1061" customFormat="1" ht="13">
      <c r="A17" s="1173" t="s">
        <v>1188</v>
      </c>
      <c r="B17" s="1203" t="s">
        <v>1189</v>
      </c>
      <c r="C17" s="1204" t="s">
        <v>1190</v>
      </c>
      <c r="D17" s="1203" t="s">
        <v>1191</v>
      </c>
      <c r="E17" s="1204" t="s">
        <v>1192</v>
      </c>
      <c r="F17" s="1203">
        <v>2276.31</v>
      </c>
      <c r="G17" s="1204" t="s">
        <v>1193</v>
      </c>
      <c r="H17" s="1203" t="s">
        <v>1194</v>
      </c>
      <c r="I17" s="1204" t="s">
        <v>1195</v>
      </c>
      <c r="J17" s="1203">
        <v>130.44</v>
      </c>
      <c r="K17" s="1204" t="s">
        <v>1196</v>
      </c>
      <c r="L17" s="1203" t="s">
        <v>1197</v>
      </c>
      <c r="M17" s="1204" t="s">
        <v>1198</v>
      </c>
      <c r="N17" s="1203" t="s">
        <v>1199</v>
      </c>
      <c r="O17" s="1204" t="s">
        <v>1200</v>
      </c>
      <c r="P17" s="1203" t="s">
        <v>1201</v>
      </c>
      <c r="Q17" s="1204" t="s">
        <v>1202</v>
      </c>
      <c r="R17" s="1203" t="s">
        <v>1203</v>
      </c>
      <c r="S17" s="1204" t="s">
        <v>1204</v>
      </c>
      <c r="T17" s="1203" t="s">
        <v>1205</v>
      </c>
      <c r="U17" s="1204" t="s">
        <v>1206</v>
      </c>
      <c r="V17" s="1203" t="s">
        <v>1207</v>
      </c>
      <c r="W17" s="1204" t="s">
        <v>1208</v>
      </c>
      <c r="X17" s="1203" t="s">
        <v>1209</v>
      </c>
      <c r="Y17" s="1204" t="s">
        <v>1210</v>
      </c>
      <c r="Z17" s="1203" t="s">
        <v>1211</v>
      </c>
    </row>
    <row r="18" spans="1:26" s="1061" customFormat="1" ht="13">
      <c r="A18" s="1173" t="s">
        <v>1212</v>
      </c>
      <c r="B18" s="1203" t="s">
        <v>1213</v>
      </c>
      <c r="C18" s="1204" t="s">
        <v>1214</v>
      </c>
      <c r="D18" s="1203" t="s">
        <v>1215</v>
      </c>
      <c r="E18" s="1204" t="s">
        <v>1216</v>
      </c>
      <c r="F18" s="1203">
        <v>2275.42</v>
      </c>
      <c r="G18" s="1204" t="s">
        <v>1217</v>
      </c>
      <c r="H18" s="1203" t="s">
        <v>1218</v>
      </c>
      <c r="I18" s="1204" t="s">
        <v>1219</v>
      </c>
      <c r="J18" s="1203">
        <v>129.43</v>
      </c>
      <c r="K18" s="1204" t="s">
        <v>1220</v>
      </c>
      <c r="L18" s="1203" t="s">
        <v>1221</v>
      </c>
      <c r="M18" s="1204" t="s">
        <v>1222</v>
      </c>
      <c r="N18" s="1203" t="s">
        <v>1223</v>
      </c>
      <c r="O18" s="1204" t="s">
        <v>1224</v>
      </c>
      <c r="P18" s="1203" t="s">
        <v>1225</v>
      </c>
      <c r="Q18" s="1204" t="s">
        <v>1226</v>
      </c>
      <c r="R18" s="1203" t="s">
        <v>1227</v>
      </c>
      <c r="S18" s="1204" t="s">
        <v>1228</v>
      </c>
      <c r="T18" s="1203" t="s">
        <v>1229</v>
      </c>
      <c r="U18" s="1204" t="s">
        <v>1230</v>
      </c>
      <c r="V18" s="1203" t="s">
        <v>1231</v>
      </c>
      <c r="W18" s="1204" t="s">
        <v>1232</v>
      </c>
      <c r="X18" s="1203" t="s">
        <v>1233</v>
      </c>
      <c r="Y18" s="1204" t="s">
        <v>1234</v>
      </c>
      <c r="Z18" s="1203" t="s">
        <v>1235</v>
      </c>
    </row>
    <row r="19" spans="1:26" s="1061" customFormat="1" ht="13">
      <c r="A19" s="1173" t="s">
        <v>1236</v>
      </c>
      <c r="B19" s="1203">
        <v>10595.85</v>
      </c>
      <c r="C19" s="1204">
        <v>10431.29</v>
      </c>
      <c r="D19" s="1203">
        <v>10806.74</v>
      </c>
      <c r="E19" s="1204">
        <v>2185.36</v>
      </c>
      <c r="F19" s="1203">
        <v>2271.85</v>
      </c>
      <c r="G19" s="1204">
        <v>16919.77</v>
      </c>
      <c r="H19" s="1203">
        <v>1754.12</v>
      </c>
      <c r="I19" s="1204">
        <v>211.72</v>
      </c>
      <c r="J19" s="1203">
        <v>128.77</v>
      </c>
      <c r="K19" s="1204">
        <v>45883.39</v>
      </c>
      <c r="L19" s="1203">
        <v>12.92</v>
      </c>
      <c r="M19" s="1204">
        <v>3559.19</v>
      </c>
      <c r="N19" s="1203">
        <v>10.41</v>
      </c>
      <c r="O19" s="1204">
        <v>10040.73</v>
      </c>
      <c r="P19" s="1203">
        <v>1762.52</v>
      </c>
      <c r="Q19" s="1204">
        <v>118.93</v>
      </c>
      <c r="R19" s="1203">
        <v>264.32</v>
      </c>
      <c r="S19" s="1204">
        <v>3671.17</v>
      </c>
      <c r="T19" s="1203">
        <v>10482.24</v>
      </c>
      <c r="U19" s="1204">
        <v>88.48</v>
      </c>
      <c r="V19" s="1203">
        <v>1641.94</v>
      </c>
      <c r="W19" s="1204">
        <v>14355.12</v>
      </c>
      <c r="X19" s="1203">
        <v>440.54</v>
      </c>
      <c r="Y19" s="1204">
        <v>19397.46</v>
      </c>
      <c r="Z19" s="1203">
        <v>13768</v>
      </c>
    </row>
    <row r="20" spans="1:26" s="1061" customFormat="1" ht="13">
      <c r="A20" s="1173" t="s">
        <v>1237</v>
      </c>
      <c r="B20" s="1203">
        <v>10690.29</v>
      </c>
      <c r="C20" s="1204">
        <v>10422.99</v>
      </c>
      <c r="D20" s="1203">
        <v>10942.51</v>
      </c>
      <c r="E20" s="1204">
        <v>2195.01</v>
      </c>
      <c r="F20" s="1203">
        <v>2284.76</v>
      </c>
      <c r="G20" s="1204">
        <v>17014.85</v>
      </c>
      <c r="H20" s="1203">
        <v>1754.09</v>
      </c>
      <c r="I20" s="1204">
        <v>210.74</v>
      </c>
      <c r="J20" s="1203">
        <v>128.53</v>
      </c>
      <c r="K20" s="1204">
        <v>45914.45</v>
      </c>
      <c r="L20" s="1203">
        <v>12.88</v>
      </c>
      <c r="M20" s="1204">
        <v>3547.35</v>
      </c>
      <c r="N20" s="1203">
        <v>10.42</v>
      </c>
      <c r="O20" s="1204">
        <v>10138.41</v>
      </c>
      <c r="P20" s="1203">
        <v>1771.31</v>
      </c>
      <c r="Q20" s="1204">
        <v>119</v>
      </c>
      <c r="R20" s="1203">
        <v>264.66</v>
      </c>
      <c r="S20" s="1204">
        <v>3671.69</v>
      </c>
      <c r="T20" s="1203">
        <v>10505.06</v>
      </c>
      <c r="U20" s="1204">
        <v>88.37</v>
      </c>
      <c r="V20" s="1203">
        <v>1637.93</v>
      </c>
      <c r="W20" s="1204">
        <v>14335.06</v>
      </c>
      <c r="X20" s="1203">
        <v>441.46</v>
      </c>
      <c r="Y20" s="1204">
        <v>19640.12</v>
      </c>
      <c r="Z20" s="1203">
        <v>13770</v>
      </c>
    </row>
    <row r="21" spans="1:26" s="1061" customFormat="1" ht="13">
      <c r="A21" s="1173" t="s">
        <v>1238</v>
      </c>
      <c r="B21" s="1203">
        <v>10640.43</v>
      </c>
      <c r="C21" s="1204">
        <v>10511.25</v>
      </c>
      <c r="D21" s="1203">
        <v>10866.9</v>
      </c>
      <c r="E21" s="1204">
        <v>2203.15</v>
      </c>
      <c r="F21" s="1203">
        <v>2285.58</v>
      </c>
      <c r="G21" s="1204">
        <v>17023.35</v>
      </c>
      <c r="H21" s="1203">
        <v>1766.32</v>
      </c>
      <c r="I21" s="1204">
        <v>209.92</v>
      </c>
      <c r="J21" s="1203">
        <v>128.37</v>
      </c>
      <c r="K21" s="1204">
        <v>46176.98</v>
      </c>
      <c r="L21" s="1203">
        <v>12.97</v>
      </c>
      <c r="M21" s="1204">
        <v>3556.81</v>
      </c>
      <c r="N21" s="1203">
        <v>10.47</v>
      </c>
      <c r="O21" s="1204">
        <v>10000.78</v>
      </c>
      <c r="P21" s="1203">
        <v>1769.42</v>
      </c>
      <c r="Q21" s="1204">
        <v>119.77</v>
      </c>
      <c r="R21" s="1203">
        <v>265.64</v>
      </c>
      <c r="S21" s="1204">
        <v>3695.07</v>
      </c>
      <c r="T21" s="1203">
        <v>10515.6</v>
      </c>
      <c r="U21" s="1204">
        <v>88.54</v>
      </c>
      <c r="V21" s="1203">
        <v>1638.25</v>
      </c>
      <c r="W21" s="1204">
        <v>14224.53</v>
      </c>
      <c r="X21" s="1203">
        <v>441.72</v>
      </c>
      <c r="Y21" s="1204">
        <v>19446.43</v>
      </c>
      <c r="Z21" s="1203">
        <v>13858</v>
      </c>
    </row>
    <row r="22" spans="1:26" s="1061" customFormat="1" ht="13">
      <c r="A22" s="1173" t="s">
        <v>1239</v>
      </c>
      <c r="B22" s="1203">
        <v>10525.94</v>
      </c>
      <c r="C22" s="1204">
        <v>10548.62</v>
      </c>
      <c r="D22" s="1203">
        <v>10818.53</v>
      </c>
      <c r="E22" s="1204">
        <v>2199.8</v>
      </c>
      <c r="F22" s="1203">
        <v>2266.11</v>
      </c>
      <c r="G22" s="1204">
        <v>16882.08</v>
      </c>
      <c r="H22" s="1203">
        <v>1770.64</v>
      </c>
      <c r="I22" s="1204">
        <v>208.38</v>
      </c>
      <c r="J22" s="1203">
        <v>127.31</v>
      </c>
      <c r="K22" s="1204">
        <v>46199.48</v>
      </c>
      <c r="L22" s="1203">
        <v>12.91</v>
      </c>
      <c r="M22" s="1204">
        <v>3549.86</v>
      </c>
      <c r="N22" s="1203">
        <v>10.47</v>
      </c>
      <c r="O22" s="1204">
        <v>9841.26</v>
      </c>
      <c r="P22" s="1203">
        <v>1745.55</v>
      </c>
      <c r="Q22" s="1204">
        <v>12.1</v>
      </c>
      <c r="R22" s="1203">
        <v>266.86</v>
      </c>
      <c r="S22" s="1204">
        <v>3704.82</v>
      </c>
      <c r="T22" s="1203">
        <v>10484.62</v>
      </c>
      <c r="U22" s="1204">
        <v>88.14</v>
      </c>
      <c r="V22" s="1203">
        <v>1613.13</v>
      </c>
      <c r="W22" s="1204">
        <v>14099.94</v>
      </c>
      <c r="X22" s="1203">
        <v>440.91</v>
      </c>
      <c r="Y22" s="1204">
        <v>19280.15</v>
      </c>
      <c r="Z22" s="1203">
        <v>13894</v>
      </c>
    </row>
    <row r="23" spans="1:26" s="1061" customFormat="1" ht="13">
      <c r="A23" s="1173" t="s">
        <v>1240</v>
      </c>
      <c r="B23" s="1203">
        <v>10496.6</v>
      </c>
      <c r="C23" s="1204">
        <v>10514.49</v>
      </c>
      <c r="D23" s="1203">
        <v>10847.26</v>
      </c>
      <c r="E23" s="1204">
        <v>2195.14</v>
      </c>
      <c r="F23" s="1203">
        <v>2239.25</v>
      </c>
      <c r="G23" s="1204">
        <v>16680.95</v>
      </c>
      <c r="H23" s="1203">
        <v>1778.2</v>
      </c>
      <c r="I23" s="1204">
        <v>208.86</v>
      </c>
      <c r="J23" s="1203">
        <v>127.78</v>
      </c>
      <c r="K23" s="1204">
        <v>46317.14</v>
      </c>
      <c r="L23" s="1203">
        <v>12.96</v>
      </c>
      <c r="M23" s="1204">
        <v>3543.33</v>
      </c>
      <c r="N23" s="1203">
        <v>10.45</v>
      </c>
      <c r="O23" s="1204">
        <v>9797.57</v>
      </c>
      <c r="P23" s="1203">
        <v>1729.08</v>
      </c>
      <c r="Q23" s="1204">
        <v>120.58</v>
      </c>
      <c r="R23" s="1203">
        <v>269.49</v>
      </c>
      <c r="S23" s="1204">
        <v>3721.9</v>
      </c>
      <c r="T23" s="1203">
        <v>10461.26</v>
      </c>
      <c r="U23" s="1204">
        <v>88.57</v>
      </c>
      <c r="V23" s="1203">
        <v>1578.97</v>
      </c>
      <c r="W23" s="1204">
        <v>13955.74</v>
      </c>
      <c r="X23" s="1203">
        <v>439.45</v>
      </c>
      <c r="Y23" s="1204">
        <v>18930.18</v>
      </c>
      <c r="Z23" s="1203">
        <v>13959</v>
      </c>
    </row>
    <row r="24" spans="1:26" s="1061" customFormat="1" ht="13">
      <c r="A24" s="1173" t="s">
        <v>1241</v>
      </c>
      <c r="B24" s="1203">
        <v>10530.02</v>
      </c>
      <c r="C24" s="1204">
        <v>10507.14</v>
      </c>
      <c r="D24" s="1203">
        <v>10936.97</v>
      </c>
      <c r="E24" s="1204">
        <v>2208.88</v>
      </c>
      <c r="F24" s="1203">
        <v>2239.9</v>
      </c>
      <c r="G24" s="1204">
        <v>16685.79</v>
      </c>
      <c r="H24" s="1203">
        <v>1784.21</v>
      </c>
      <c r="I24" s="1204">
        <v>207.92</v>
      </c>
      <c r="J24" s="1203">
        <v>127.81</v>
      </c>
      <c r="K24" s="1204">
        <v>46432.11</v>
      </c>
      <c r="L24" s="1203">
        <v>13.06</v>
      </c>
      <c r="M24" s="1204">
        <v>3543.94</v>
      </c>
      <c r="N24" s="1203">
        <v>10.46</v>
      </c>
      <c r="O24" s="1204">
        <v>9732.26</v>
      </c>
      <c r="P24" s="1203">
        <v>1744.12</v>
      </c>
      <c r="Q24" s="1204">
        <v>121.09</v>
      </c>
      <c r="R24" s="1203">
        <v>268.58</v>
      </c>
      <c r="S24" s="1204">
        <v>3734.55</v>
      </c>
      <c r="T24" s="1203">
        <v>10464.48</v>
      </c>
      <c r="U24" s="1204">
        <v>88.68</v>
      </c>
      <c r="V24" s="1203">
        <v>1619.58</v>
      </c>
      <c r="W24" s="1204">
        <v>13979.39</v>
      </c>
      <c r="X24" s="1203">
        <v>438.13</v>
      </c>
      <c r="Y24" s="1204">
        <v>18970.68</v>
      </c>
      <c r="Z24" s="1203">
        <v>14006</v>
      </c>
    </row>
    <row r="25" spans="1:26" s="1061" customFormat="1" ht="13">
      <c r="A25" s="1173" t="s">
        <v>1242</v>
      </c>
      <c r="B25" s="1203">
        <v>10658.45</v>
      </c>
      <c r="C25" s="1204">
        <v>10588.85</v>
      </c>
      <c r="D25" s="1203">
        <v>11034.26</v>
      </c>
      <c r="E25" s="1204">
        <v>2222.96</v>
      </c>
      <c r="F25" s="1203">
        <v>2237.75</v>
      </c>
      <c r="G25" s="1204">
        <v>16665.12</v>
      </c>
      <c r="H25" s="1203">
        <v>1800.66</v>
      </c>
      <c r="I25" s="1204">
        <v>208.14</v>
      </c>
      <c r="J25" s="1203">
        <v>127.57</v>
      </c>
      <c r="K25" s="1204">
        <v>46784.28</v>
      </c>
      <c r="L25" s="1203">
        <v>13.09</v>
      </c>
      <c r="M25" s="1204">
        <v>3558.5</v>
      </c>
      <c r="N25" s="1203">
        <v>10.51</v>
      </c>
      <c r="O25" s="1204">
        <v>9774.79</v>
      </c>
      <c r="P25" s="1203">
        <v>1748.48</v>
      </c>
      <c r="Q25" s="1204">
        <v>122.06</v>
      </c>
      <c r="R25" s="1203">
        <v>270.06</v>
      </c>
      <c r="S25" s="1204">
        <v>3768.79</v>
      </c>
      <c r="T25" s="1203">
        <v>10539.58</v>
      </c>
      <c r="U25" s="1204">
        <v>89.54</v>
      </c>
      <c r="V25" s="1203">
        <v>1623.05</v>
      </c>
      <c r="W25" s="1204">
        <v>14148.43</v>
      </c>
      <c r="X25" s="1203">
        <v>440.04</v>
      </c>
      <c r="Y25" s="1204">
        <v>19032</v>
      </c>
      <c r="Z25" s="1203">
        <v>14134</v>
      </c>
    </row>
    <row r="26" spans="1:26" s="1061" customFormat="1" ht="13">
      <c r="A26" s="1173" t="s">
        <v>1243</v>
      </c>
      <c r="B26" s="1203">
        <v>10693</v>
      </c>
      <c r="C26" s="1204">
        <v>10592.45</v>
      </c>
      <c r="D26" s="1203">
        <v>10958.54</v>
      </c>
      <c r="E26" s="1204">
        <v>2217.11</v>
      </c>
      <c r="F26" s="1203">
        <v>2222.19</v>
      </c>
      <c r="G26" s="1204">
        <v>16553.45</v>
      </c>
      <c r="H26" s="1203">
        <v>1801.17</v>
      </c>
      <c r="I26" s="1204">
        <v>207.42</v>
      </c>
      <c r="J26" s="1203">
        <v>128.7</v>
      </c>
      <c r="K26" s="1204">
        <v>46775.1</v>
      </c>
      <c r="L26" s="1203">
        <v>13.12</v>
      </c>
      <c r="M26" s="1204">
        <v>3552.81</v>
      </c>
      <c r="N26" s="1203">
        <v>10.48</v>
      </c>
      <c r="O26" s="1204">
        <v>9790.89</v>
      </c>
      <c r="P26" s="1203">
        <v>1741.89</v>
      </c>
      <c r="Q26" s="1204">
        <v>122.17</v>
      </c>
      <c r="R26" s="1203">
        <v>269.31</v>
      </c>
      <c r="S26" s="1204">
        <v>3769.11</v>
      </c>
      <c r="T26" s="1203">
        <v>10543.31</v>
      </c>
      <c r="U26" s="1204">
        <v>89.49</v>
      </c>
      <c r="V26" s="1203">
        <v>1617.47</v>
      </c>
      <c r="W26" s="1204">
        <v>14241.15</v>
      </c>
      <c r="X26" s="1203">
        <v>441.95</v>
      </c>
      <c r="Y26" s="1204">
        <v>18880.39</v>
      </c>
      <c r="Z26" s="1203">
        <v>14136</v>
      </c>
    </row>
    <row r="27" spans="1:26" s="1061" customFormat="1" ht="13">
      <c r="A27" s="1173" t="s">
        <v>1244</v>
      </c>
      <c r="B27" s="1203">
        <v>10580.97</v>
      </c>
      <c r="C27" s="1204">
        <v>10454.95</v>
      </c>
      <c r="D27" s="1203">
        <v>10768.63</v>
      </c>
      <c r="E27" s="1204">
        <v>2173.07</v>
      </c>
      <c r="F27" s="1203">
        <v>2185.1</v>
      </c>
      <c r="G27" s="1204">
        <v>16263.79</v>
      </c>
      <c r="H27" s="1203">
        <v>1774.51</v>
      </c>
      <c r="I27" s="1204">
        <v>207.01</v>
      </c>
      <c r="J27" s="1203">
        <v>127.27</v>
      </c>
      <c r="K27" s="1204">
        <v>46059.64</v>
      </c>
      <c r="L27" s="1203">
        <v>12.95</v>
      </c>
      <c r="M27" s="1204">
        <v>3498.9</v>
      </c>
      <c r="N27" s="1203">
        <v>10.33</v>
      </c>
      <c r="O27" s="1204">
        <v>9754.27</v>
      </c>
      <c r="P27" s="1203">
        <v>1706.35</v>
      </c>
      <c r="Q27" s="1204">
        <v>120.27</v>
      </c>
      <c r="R27" s="1203">
        <v>264.79</v>
      </c>
      <c r="S27" s="1204">
        <v>3712.35</v>
      </c>
      <c r="T27" s="1203">
        <v>10405.95</v>
      </c>
      <c r="U27" s="1204">
        <v>87.89</v>
      </c>
      <c r="V27" s="1203">
        <v>1583.43</v>
      </c>
      <c r="W27" s="1204">
        <v>14094.28</v>
      </c>
      <c r="X27" s="1203">
        <v>434.68</v>
      </c>
      <c r="Y27" s="1204">
        <v>18532.57</v>
      </c>
      <c r="Z27" s="1203">
        <v>13923</v>
      </c>
    </row>
    <row r="28" spans="1:26" s="1061" customFormat="1" ht="13">
      <c r="A28" s="1173" t="s">
        <v>1245</v>
      </c>
      <c r="B28" s="1203">
        <v>10452.09</v>
      </c>
      <c r="C28" s="1204">
        <v>10442.51</v>
      </c>
      <c r="D28" s="1203">
        <v>10617.11</v>
      </c>
      <c r="E28" s="1204">
        <v>2166.82</v>
      </c>
      <c r="F28" s="1203">
        <v>2206.28</v>
      </c>
      <c r="G28" s="1204">
        <v>16442.21</v>
      </c>
      <c r="H28" s="1203">
        <v>1798.93</v>
      </c>
      <c r="I28" s="1204">
        <v>207.56</v>
      </c>
      <c r="J28" s="1203">
        <v>128.38</v>
      </c>
      <c r="K28" s="1204">
        <v>46634.84</v>
      </c>
      <c r="L28" s="1203">
        <v>12.7</v>
      </c>
      <c r="M28" s="1204">
        <v>3518.12</v>
      </c>
      <c r="N28" s="1203">
        <v>10.28</v>
      </c>
      <c r="O28" s="1204">
        <v>9726.82</v>
      </c>
      <c r="P28" s="1203">
        <v>1738.17</v>
      </c>
      <c r="Q28" s="1204">
        <v>116</v>
      </c>
      <c r="R28" s="1203">
        <v>264.26</v>
      </c>
      <c r="S28" s="1204">
        <v>3763.88</v>
      </c>
      <c r="T28" s="1203">
        <v>10381</v>
      </c>
      <c r="U28" s="1204">
        <v>88.64</v>
      </c>
      <c r="V28" s="1203">
        <v>1592.25</v>
      </c>
      <c r="W28" s="1204">
        <v>14255.95</v>
      </c>
      <c r="X28" s="1203">
        <v>429.07</v>
      </c>
      <c r="Y28" s="1204">
        <v>18699.31</v>
      </c>
      <c r="Z28" s="1203">
        <v>14116</v>
      </c>
    </row>
    <row r="29" spans="1:26" s="1061" customFormat="1" ht="13">
      <c r="A29" s="1173" t="s">
        <v>1246</v>
      </c>
      <c r="B29" s="1203">
        <v>10550.13</v>
      </c>
      <c r="C29" s="1204">
        <v>10532.87</v>
      </c>
      <c r="D29" s="1203">
        <v>10803.97</v>
      </c>
      <c r="E29" s="1204">
        <v>2159.91</v>
      </c>
      <c r="F29" s="1203">
        <v>2230.81</v>
      </c>
      <c r="G29" s="1204">
        <v>16622.62</v>
      </c>
      <c r="H29" s="1203">
        <v>1822.32</v>
      </c>
      <c r="I29" s="1204">
        <v>208.66</v>
      </c>
      <c r="J29" s="1203">
        <v>129.41</v>
      </c>
      <c r="K29" s="1204">
        <v>47256.12</v>
      </c>
      <c r="L29" s="1203">
        <v>12.8</v>
      </c>
      <c r="M29" s="1204">
        <v>3544.94</v>
      </c>
      <c r="N29" s="1203">
        <v>10.28</v>
      </c>
      <c r="O29" s="1204">
        <v>9711.52</v>
      </c>
      <c r="P29" s="1203">
        <v>1751.75</v>
      </c>
      <c r="Q29" s="1204">
        <v>117.55</v>
      </c>
      <c r="R29" s="1203">
        <v>267.41</v>
      </c>
      <c r="S29" s="1204">
        <v>3813.24</v>
      </c>
      <c r="T29" s="1203">
        <v>10477.38</v>
      </c>
      <c r="U29" s="1204">
        <v>90.33</v>
      </c>
      <c r="V29" s="1203">
        <v>1596.58</v>
      </c>
      <c r="W29" s="1204">
        <v>14392.25</v>
      </c>
      <c r="X29" s="1203">
        <v>432.55</v>
      </c>
      <c r="Y29" s="1204">
        <v>18823.55</v>
      </c>
      <c r="Z29" s="1203">
        <v>14301</v>
      </c>
    </row>
    <row r="30" spans="1:26" s="1061" customFormat="1" ht="13">
      <c r="A30" s="1173" t="s">
        <v>1247</v>
      </c>
      <c r="B30" s="1203">
        <v>10672.7</v>
      </c>
      <c r="C30" s="1204">
        <v>10618.56</v>
      </c>
      <c r="D30" s="1203">
        <v>10953.82</v>
      </c>
      <c r="E30" s="1204">
        <v>2163.77</v>
      </c>
      <c r="F30" s="1203">
        <v>2259.22</v>
      </c>
      <c r="G30" s="1204">
        <v>16837.52</v>
      </c>
      <c r="H30" s="1203">
        <v>1830.7</v>
      </c>
      <c r="I30" s="1204">
        <v>208.74</v>
      </c>
      <c r="J30" s="1203">
        <v>129.79</v>
      </c>
      <c r="K30" s="1204">
        <v>47482.59</v>
      </c>
      <c r="L30" s="1203">
        <v>12.89</v>
      </c>
      <c r="M30" s="1204">
        <v>3559.31</v>
      </c>
      <c r="N30" s="1203">
        <v>10.29</v>
      </c>
      <c r="O30" s="1204">
        <v>9786.07</v>
      </c>
      <c r="P30" s="1203">
        <v>1784.85</v>
      </c>
      <c r="Q30" s="1204">
        <v>118.01</v>
      </c>
      <c r="R30" s="1203">
        <v>269.05</v>
      </c>
      <c r="S30" s="1204">
        <v>3830.47</v>
      </c>
      <c r="T30" s="1203">
        <v>10563.96</v>
      </c>
      <c r="U30" s="1204">
        <v>90.3</v>
      </c>
      <c r="V30" s="1203">
        <v>1642.85</v>
      </c>
      <c r="W30" s="1204">
        <v>14486.9</v>
      </c>
      <c r="X30" s="1203">
        <v>433.56</v>
      </c>
      <c r="Y30" s="1204">
        <v>19034</v>
      </c>
      <c r="Z30" s="1203">
        <v>14366</v>
      </c>
    </row>
    <row r="31" spans="1:26" s="1061" customFormat="1" ht="13">
      <c r="A31" s="1173" t="s">
        <v>1248</v>
      </c>
      <c r="B31" s="1203">
        <v>10656.46</v>
      </c>
      <c r="C31" s="1204">
        <v>10592.8</v>
      </c>
      <c r="D31" s="1203">
        <v>10934.5</v>
      </c>
      <c r="E31" s="1204">
        <v>2145.8</v>
      </c>
      <c r="F31" s="1203">
        <v>2256.44</v>
      </c>
      <c r="G31" s="1204">
        <v>16819.73</v>
      </c>
      <c r="H31" s="1203">
        <v>1833.07</v>
      </c>
      <c r="I31" s="1204">
        <v>209.7</v>
      </c>
      <c r="J31" s="1203">
        <v>128.09</v>
      </c>
      <c r="K31" s="1204">
        <v>47512.57</v>
      </c>
      <c r="L31" s="1203">
        <v>12.79</v>
      </c>
      <c r="M31" s="1204">
        <v>3557.68</v>
      </c>
      <c r="N31" s="1203">
        <v>10.22</v>
      </c>
      <c r="O31" s="1204">
        <v>9746.89</v>
      </c>
      <c r="P31" s="1203">
        <v>1774.64</v>
      </c>
      <c r="Q31" s="1204">
        <v>118.23</v>
      </c>
      <c r="R31" s="1203">
        <v>268.81</v>
      </c>
      <c r="S31" s="1204">
        <v>3836.33</v>
      </c>
      <c r="T31" s="1203">
        <v>10553.52</v>
      </c>
      <c r="U31" s="1204">
        <v>90.16</v>
      </c>
      <c r="V31" s="1203">
        <v>1627.04</v>
      </c>
      <c r="W31" s="1204">
        <v>14406.42</v>
      </c>
      <c r="X31" s="1203">
        <v>432.41</v>
      </c>
      <c r="Y31" s="1204">
        <v>19022.16</v>
      </c>
      <c r="Z31" s="1203">
        <v>14388</v>
      </c>
    </row>
    <row r="32" spans="1:26" s="1061" customFormat="1" ht="13">
      <c r="A32" s="1173" t="s">
        <v>1249</v>
      </c>
      <c r="B32" s="1203">
        <v>10694.89</v>
      </c>
      <c r="C32" s="1204">
        <v>10658.23</v>
      </c>
      <c r="D32" s="1203">
        <v>10979.36</v>
      </c>
      <c r="E32" s="1204">
        <v>2131.78</v>
      </c>
      <c r="F32" s="1203">
        <v>2268.87</v>
      </c>
      <c r="G32" s="1204">
        <v>16906.65</v>
      </c>
      <c r="H32" s="1203">
        <v>1844.6</v>
      </c>
      <c r="I32" s="1204">
        <v>210.29</v>
      </c>
      <c r="J32" s="1203">
        <v>129.42</v>
      </c>
      <c r="K32" s="1204">
        <v>47793.87</v>
      </c>
      <c r="L32" s="1203">
        <v>12.79</v>
      </c>
      <c r="M32" s="1204">
        <v>3563.05</v>
      </c>
      <c r="N32" s="1203">
        <v>10.17</v>
      </c>
      <c r="O32" s="1204">
        <v>9821.89</v>
      </c>
      <c r="P32" s="1203">
        <v>1766.6</v>
      </c>
      <c r="Q32" s="1204">
        <v>112.88</v>
      </c>
      <c r="R32" s="1203">
        <v>270.61</v>
      </c>
      <c r="S32" s="1204">
        <v>3860.38</v>
      </c>
      <c r="T32" s="1203">
        <v>10597.6</v>
      </c>
      <c r="U32" s="1204">
        <v>90.62</v>
      </c>
      <c r="V32" s="1203">
        <v>1631.93</v>
      </c>
      <c r="W32" s="1204">
        <v>14549.77</v>
      </c>
      <c r="X32" s="1203">
        <v>433.47</v>
      </c>
      <c r="Y32" s="1204">
        <v>18943.07</v>
      </c>
      <c r="Z32" s="1203">
        <v>14478</v>
      </c>
    </row>
    <row r="33" spans="1:26" s="1061" customFormat="1" ht="13">
      <c r="A33" s="1173" t="s">
        <v>1250</v>
      </c>
      <c r="B33" s="1203">
        <v>10699.81</v>
      </c>
      <c r="C33" s="1204">
        <v>10655.89</v>
      </c>
      <c r="D33" s="1203">
        <v>11063.61</v>
      </c>
      <c r="E33" s="1204">
        <v>2119</v>
      </c>
      <c r="F33" s="1203">
        <v>2264.92</v>
      </c>
      <c r="G33" s="1204">
        <v>16873.72</v>
      </c>
      <c r="H33" s="1203">
        <v>1839.51</v>
      </c>
      <c r="I33" s="1204">
        <v>210.13</v>
      </c>
      <c r="J33" s="1203">
        <v>129.97</v>
      </c>
      <c r="K33" s="1204">
        <v>47696.43</v>
      </c>
      <c r="L33" s="1203">
        <v>12.88</v>
      </c>
      <c r="M33" s="1204">
        <v>3555.7</v>
      </c>
      <c r="N33" s="1203">
        <v>10.06</v>
      </c>
      <c r="O33" s="1204">
        <v>9832.8</v>
      </c>
      <c r="P33" s="1203">
        <v>1769.94</v>
      </c>
      <c r="Q33" s="1204">
        <v>113.54</v>
      </c>
      <c r="R33" s="1203">
        <v>270.95</v>
      </c>
      <c r="S33" s="1204">
        <v>3849.21</v>
      </c>
      <c r="T33" s="1203">
        <v>10604.89</v>
      </c>
      <c r="U33" s="1204">
        <v>90.44</v>
      </c>
      <c r="V33" s="1203">
        <v>1643.54</v>
      </c>
      <c r="W33" s="1204">
        <v>14563.08</v>
      </c>
      <c r="X33" s="1203">
        <v>433.33</v>
      </c>
      <c r="Y33" s="1204">
        <v>18957.09</v>
      </c>
      <c r="Z33" s="1203">
        <v>14436</v>
      </c>
    </row>
    <row r="34" spans="1:26" s="1061" customFormat="1" ht="13">
      <c r="A34" s="1173" t="s">
        <v>1251</v>
      </c>
      <c r="B34" s="1203">
        <v>10696.16</v>
      </c>
      <c r="C34" s="1204">
        <v>10647</v>
      </c>
      <c r="D34" s="1203">
        <v>11132.35</v>
      </c>
      <c r="E34" s="1204">
        <v>2111.37</v>
      </c>
      <c r="F34" s="1203">
        <v>2250.3</v>
      </c>
      <c r="G34" s="1204">
        <v>16770.91</v>
      </c>
      <c r="H34" s="1203">
        <v>1844.21</v>
      </c>
      <c r="I34" s="1204">
        <v>210.82</v>
      </c>
      <c r="J34" s="1203">
        <v>129.86</v>
      </c>
      <c r="K34" s="1204">
        <v>47785.43</v>
      </c>
      <c r="L34" s="1203">
        <v>12.87</v>
      </c>
      <c r="M34" s="1204">
        <v>3549.58</v>
      </c>
      <c r="N34" s="1203">
        <v>10.02</v>
      </c>
      <c r="O34" s="1204">
        <v>9770.9</v>
      </c>
      <c r="P34" s="1203">
        <v>1757.73</v>
      </c>
      <c r="Q34" s="1204">
        <v>117.14</v>
      </c>
      <c r="R34" s="1203">
        <v>273.1</v>
      </c>
      <c r="S34" s="1204">
        <v>3859.67</v>
      </c>
      <c r="T34" s="1203">
        <v>10593.2</v>
      </c>
      <c r="U34" s="1204">
        <v>90.64</v>
      </c>
      <c r="V34" s="1203">
        <v>1626.33</v>
      </c>
      <c r="W34" s="1204">
        <v>14548.73</v>
      </c>
      <c r="X34" s="1203">
        <v>435.04</v>
      </c>
      <c r="Y34" s="1204">
        <v>18827.86</v>
      </c>
      <c r="Z34" s="1203">
        <v>14476</v>
      </c>
    </row>
    <row r="35" spans="1:26" s="1061" customFormat="1" ht="13">
      <c r="A35" s="1173" t="s">
        <v>1252</v>
      </c>
      <c r="B35" s="1203">
        <v>10657.97</v>
      </c>
      <c r="C35" s="1204">
        <v>10642.6</v>
      </c>
      <c r="D35" s="1203">
        <v>11065.47</v>
      </c>
      <c r="E35" s="1204">
        <v>2113.87</v>
      </c>
      <c r="F35" s="1203">
        <v>2234.95</v>
      </c>
      <c r="G35" s="1204">
        <v>16661.17</v>
      </c>
      <c r="H35" s="1203">
        <v>1844.33</v>
      </c>
      <c r="I35" s="1204">
        <v>210.24</v>
      </c>
      <c r="J35" s="1203">
        <v>130.54</v>
      </c>
      <c r="K35" s="1204">
        <v>47767.59</v>
      </c>
      <c r="L35" s="1203">
        <v>12.87</v>
      </c>
      <c r="M35" s="1204">
        <v>3547.81</v>
      </c>
      <c r="N35" s="1203">
        <v>9.95</v>
      </c>
      <c r="O35" s="1204">
        <v>9632.97</v>
      </c>
      <c r="P35" s="1203">
        <v>1744.39</v>
      </c>
      <c r="Q35" s="1204">
        <v>117.01</v>
      </c>
      <c r="R35" s="1203">
        <v>272.59</v>
      </c>
      <c r="S35" s="1204">
        <v>3860.25</v>
      </c>
      <c r="T35" s="1203">
        <v>10577.48</v>
      </c>
      <c r="U35" s="1204">
        <v>90.52</v>
      </c>
      <c r="V35" s="1203">
        <v>1602.94</v>
      </c>
      <c r="W35" s="1204">
        <v>14560.1</v>
      </c>
      <c r="X35" s="1203">
        <v>435.09</v>
      </c>
      <c r="Y35" s="1204">
        <v>18575.08</v>
      </c>
      <c r="Z35" s="1203">
        <v>14478</v>
      </c>
    </row>
    <row r="36" spans="1:26" s="1061" customFormat="1" ht="13">
      <c r="A36" s="1173" t="s">
        <v>1253</v>
      </c>
      <c r="B36" s="1203">
        <v>10615.86</v>
      </c>
      <c r="C36" s="1204">
        <v>10663.94</v>
      </c>
      <c r="D36" s="1203">
        <v>11147.08</v>
      </c>
      <c r="E36" s="1204">
        <v>2122.47</v>
      </c>
      <c r="F36" s="1203">
        <v>2229.52</v>
      </c>
      <c r="G36" s="1204">
        <v>16624.38</v>
      </c>
      <c r="H36" s="1203">
        <v>1859.75</v>
      </c>
      <c r="I36" s="1204">
        <v>208.47</v>
      </c>
      <c r="J36" s="1203">
        <v>131.81</v>
      </c>
      <c r="K36" s="1204">
        <v>48101.04</v>
      </c>
      <c r="L36" s="1203">
        <v>12.96</v>
      </c>
      <c r="M36" s="1204">
        <v>3558.86</v>
      </c>
      <c r="N36" s="1203">
        <v>9.71</v>
      </c>
      <c r="O36" s="1204">
        <v>9629.57</v>
      </c>
      <c r="P36" s="1203">
        <v>1727.22</v>
      </c>
      <c r="Q36" s="1204">
        <v>117.26</v>
      </c>
      <c r="R36" s="1203">
        <v>273.26</v>
      </c>
      <c r="S36" s="1204">
        <v>3892.38</v>
      </c>
      <c r="T36" s="1203">
        <v>10615.67</v>
      </c>
      <c r="U36" s="1204">
        <v>91.05</v>
      </c>
      <c r="V36" s="1203">
        <v>1591.75</v>
      </c>
      <c r="W36" s="1204">
        <v>14671.44</v>
      </c>
      <c r="X36" s="1203">
        <v>438.8</v>
      </c>
      <c r="Y36" s="1204">
        <v>18577.97</v>
      </c>
      <c r="Z36" s="1203">
        <v>14599</v>
      </c>
    </row>
    <row r="37" spans="1:26" s="1061" customFormat="1" ht="13">
      <c r="A37" s="1173" t="s">
        <v>1254</v>
      </c>
      <c r="B37" s="1203">
        <v>10713.33</v>
      </c>
      <c r="C37" s="1204">
        <v>10755.74</v>
      </c>
      <c r="D37" s="1203">
        <v>11246.96</v>
      </c>
      <c r="E37" s="1204">
        <v>2142.62</v>
      </c>
      <c r="F37" s="1203">
        <v>2279.73</v>
      </c>
      <c r="G37" s="1204">
        <v>17004.15</v>
      </c>
      <c r="H37" s="1203">
        <v>1863.81</v>
      </c>
      <c r="I37" s="1204">
        <v>208.83</v>
      </c>
      <c r="J37" s="1203">
        <v>131.7</v>
      </c>
      <c r="K37" s="1204">
        <v>48289.46</v>
      </c>
      <c r="L37" s="1203">
        <v>13.1</v>
      </c>
      <c r="M37" s="1204">
        <v>3565.78</v>
      </c>
      <c r="N37" s="1203">
        <v>9.66</v>
      </c>
      <c r="O37" s="1204">
        <v>9771.71</v>
      </c>
      <c r="P37" s="1203">
        <v>1753.71</v>
      </c>
      <c r="Q37" s="1204">
        <v>119.23</v>
      </c>
      <c r="R37" s="1203">
        <v>273.86</v>
      </c>
      <c r="S37" s="1204">
        <v>3900.79</v>
      </c>
      <c r="T37" s="1203">
        <v>10709.53</v>
      </c>
      <c r="U37" s="1204">
        <v>90.93</v>
      </c>
      <c r="V37" s="1203">
        <v>1606.85</v>
      </c>
      <c r="W37" s="1204">
        <v>14888.67</v>
      </c>
      <c r="X37" s="1203">
        <v>448</v>
      </c>
      <c r="Y37" s="1204">
        <v>18826.53</v>
      </c>
      <c r="Z37" s="1203">
        <v>14631</v>
      </c>
    </row>
    <row r="38" spans="1:26" s="1061" customFormat="1" ht="13">
      <c r="A38" s="1173" t="s">
        <v>1255</v>
      </c>
      <c r="B38" s="1203">
        <v>10667.86</v>
      </c>
      <c r="C38" s="1204">
        <v>10834.06</v>
      </c>
      <c r="D38" s="1203">
        <v>11318.47</v>
      </c>
      <c r="E38" s="1204">
        <v>2155.71</v>
      </c>
      <c r="F38" s="1203">
        <v>2302.12</v>
      </c>
      <c r="G38" s="1204">
        <v>17163.24</v>
      </c>
      <c r="H38" s="1203">
        <v>1878.56</v>
      </c>
      <c r="I38" s="1204">
        <v>208.01</v>
      </c>
      <c r="J38" s="1203">
        <v>132.62</v>
      </c>
      <c r="K38" s="1204">
        <v>48710.93</v>
      </c>
      <c r="L38" s="1203">
        <v>13.27</v>
      </c>
      <c r="M38" s="1204">
        <v>3578.83</v>
      </c>
      <c r="N38" s="1203">
        <v>9.64</v>
      </c>
      <c r="O38" s="1204">
        <v>9787.89</v>
      </c>
      <c r="P38" s="1203">
        <v>1764.93</v>
      </c>
      <c r="Q38" s="1204">
        <v>118.72</v>
      </c>
      <c r="R38" s="1203">
        <v>275.75</v>
      </c>
      <c r="S38" s="1204">
        <v>3931.19</v>
      </c>
      <c r="T38" s="1203">
        <v>10762.16</v>
      </c>
      <c r="U38" s="1204">
        <v>91.29</v>
      </c>
      <c r="V38" s="1203">
        <v>1615.87</v>
      </c>
      <c r="W38" s="1204">
        <v>15207.41</v>
      </c>
      <c r="X38" s="1203">
        <v>450.59</v>
      </c>
      <c r="Y38" s="1204">
        <v>19087.44</v>
      </c>
      <c r="Z38" s="1203">
        <v>14745</v>
      </c>
    </row>
    <row r="39" spans="1:26" s="1061" customFormat="1" ht="13">
      <c r="A39" s="1173" t="s">
        <v>1256</v>
      </c>
      <c r="B39" s="1203">
        <v>10651.73</v>
      </c>
      <c r="C39" s="1204">
        <v>10869.14</v>
      </c>
      <c r="D39" s="1203">
        <v>11301.25</v>
      </c>
      <c r="E39" s="1204">
        <v>2171.18</v>
      </c>
      <c r="F39" s="1203">
        <v>2313.16</v>
      </c>
      <c r="G39" s="1204">
        <v>17247.81</v>
      </c>
      <c r="H39" s="1203">
        <v>1896.21</v>
      </c>
      <c r="I39" s="1204">
        <v>207.41</v>
      </c>
      <c r="J39" s="1203">
        <v>133.94</v>
      </c>
      <c r="K39" s="1204">
        <v>49135.34</v>
      </c>
      <c r="L39" s="1203">
        <v>13.26</v>
      </c>
      <c r="M39" s="1204">
        <v>3591.53</v>
      </c>
      <c r="N39" s="1203">
        <v>9.65</v>
      </c>
      <c r="O39" s="1204">
        <v>9761.65</v>
      </c>
      <c r="P39" s="1203">
        <v>1767.42</v>
      </c>
      <c r="Q39" s="1204">
        <v>120.69</v>
      </c>
      <c r="R39" s="1203">
        <v>277</v>
      </c>
      <c r="S39" s="1204">
        <v>3968.17</v>
      </c>
      <c r="T39" s="1203">
        <v>10807.58</v>
      </c>
      <c r="U39" s="1204">
        <v>91.9</v>
      </c>
      <c r="V39" s="1203">
        <v>1640.68</v>
      </c>
      <c r="W39" s="1204">
        <v>15344.22</v>
      </c>
      <c r="X39" s="1203">
        <v>453.57</v>
      </c>
      <c r="Y39" s="1204">
        <v>19210.74</v>
      </c>
      <c r="Z39" s="1203">
        <v>14885</v>
      </c>
    </row>
    <row r="40" spans="1:26" s="1061" customFormat="1" ht="13">
      <c r="A40" s="1173" t="s">
        <v>1257</v>
      </c>
      <c r="B40" s="1203">
        <v>10657.85</v>
      </c>
      <c r="C40" s="1204">
        <v>10880.38</v>
      </c>
      <c r="D40" s="1203">
        <v>11405.6</v>
      </c>
      <c r="E40" s="1204">
        <v>2165.3</v>
      </c>
      <c r="F40" s="1203">
        <v>2322.28</v>
      </c>
      <c r="G40" s="1204">
        <v>17323.94</v>
      </c>
      <c r="H40" s="1203">
        <v>1893.27</v>
      </c>
      <c r="I40" s="1204">
        <v>205.81</v>
      </c>
      <c r="J40" s="1203">
        <v>132.88</v>
      </c>
      <c r="K40" s="1204">
        <v>49051.71</v>
      </c>
      <c r="L40" s="1203">
        <v>13.22</v>
      </c>
      <c r="M40" s="1204">
        <v>3584.94</v>
      </c>
      <c r="N40" s="1203">
        <v>9.53</v>
      </c>
      <c r="O40" s="1204">
        <v>9762.93</v>
      </c>
      <c r="P40" s="1203">
        <v>1807.94</v>
      </c>
      <c r="Q40" s="1204">
        <v>120.64</v>
      </c>
      <c r="R40" s="1203">
        <v>274.76</v>
      </c>
      <c r="S40" s="1204">
        <v>3960.73</v>
      </c>
      <c r="T40" s="1203">
        <v>10825.63</v>
      </c>
      <c r="U40" s="1204">
        <v>90.7</v>
      </c>
      <c r="V40" s="1203">
        <v>1657.45</v>
      </c>
      <c r="W40" s="1204">
        <v>15379.31</v>
      </c>
      <c r="X40" s="1203">
        <v>455.03</v>
      </c>
      <c r="Y40" s="1204">
        <v>19469.42</v>
      </c>
      <c r="Z40" s="1203">
        <v>14856</v>
      </c>
    </row>
    <row r="41" spans="1:26" s="1061" customFormat="1" ht="13">
      <c r="A41" s="1173" t="s">
        <v>1258</v>
      </c>
      <c r="B41" s="1203">
        <v>10802.71</v>
      </c>
      <c r="C41" s="1204">
        <v>10939.72</v>
      </c>
      <c r="D41" s="1203">
        <v>11492.93</v>
      </c>
      <c r="E41" s="1204">
        <v>2168.88</v>
      </c>
      <c r="F41" s="1203">
        <v>2338.71</v>
      </c>
      <c r="G41" s="1204">
        <v>17445.34</v>
      </c>
      <c r="H41" s="1203">
        <v>1899.6</v>
      </c>
      <c r="I41" s="1204">
        <v>205.28</v>
      </c>
      <c r="J41" s="1203">
        <v>132.01</v>
      </c>
      <c r="K41" s="1204">
        <v>49097.17</v>
      </c>
      <c r="L41" s="1203">
        <v>13.28</v>
      </c>
      <c r="M41" s="1204">
        <v>3594.63</v>
      </c>
      <c r="N41" s="1203">
        <v>9.27</v>
      </c>
      <c r="O41" s="1204">
        <v>9890.37</v>
      </c>
      <c r="P41" s="1203">
        <v>1824.41</v>
      </c>
      <c r="Q41" s="1204">
        <v>120.64</v>
      </c>
      <c r="R41" s="1203">
        <v>274.44</v>
      </c>
      <c r="S41" s="1204">
        <v>3963.13</v>
      </c>
      <c r="T41" s="1203">
        <v>10882.22</v>
      </c>
      <c r="U41" s="1204">
        <v>88.27</v>
      </c>
      <c r="V41" s="1203">
        <v>1687.57</v>
      </c>
      <c r="W41" s="1204">
        <v>15433.29</v>
      </c>
      <c r="X41" s="1203">
        <v>458.55</v>
      </c>
      <c r="Y41" s="1204">
        <v>19532.22</v>
      </c>
      <c r="Z41" s="1203">
        <v>14864</v>
      </c>
    </row>
    <row r="42" spans="1:26" s="1061" customFormat="1" ht="13">
      <c r="A42" s="1173" t="s">
        <v>1259</v>
      </c>
      <c r="B42" s="1203">
        <v>10790.12</v>
      </c>
      <c r="C42" s="1204">
        <v>10974.95</v>
      </c>
      <c r="D42" s="1203">
        <v>11555.5</v>
      </c>
      <c r="E42" s="1204">
        <v>2168.51</v>
      </c>
      <c r="F42" s="1203">
        <v>2327.57</v>
      </c>
      <c r="G42" s="1204">
        <v>17356.09</v>
      </c>
      <c r="H42" s="1203">
        <v>1908.09</v>
      </c>
      <c r="I42" s="1204">
        <v>205.46</v>
      </c>
      <c r="J42" s="1203">
        <v>131.47</v>
      </c>
      <c r="K42" s="1204">
        <v>49250.72</v>
      </c>
      <c r="L42" s="1203">
        <v>13.41</v>
      </c>
      <c r="M42" s="1204">
        <v>3605.84</v>
      </c>
      <c r="N42" s="1203">
        <v>9.5</v>
      </c>
      <c r="O42" s="1204">
        <v>9888.51</v>
      </c>
      <c r="P42" s="1203">
        <v>1832.64</v>
      </c>
      <c r="Q42" s="1204">
        <v>121.01</v>
      </c>
      <c r="R42" s="1203">
        <v>275.53</v>
      </c>
      <c r="S42" s="1204">
        <v>3980.37</v>
      </c>
      <c r="T42" s="1203">
        <v>10904.03</v>
      </c>
      <c r="U42" s="1204">
        <v>88.27</v>
      </c>
      <c r="V42" s="1203">
        <v>1679.04</v>
      </c>
      <c r="W42" s="1204">
        <v>15253.21</v>
      </c>
      <c r="X42" s="1203">
        <v>461.32</v>
      </c>
      <c r="Y42" s="1204">
        <v>19512.8</v>
      </c>
      <c r="Z42" s="1203">
        <v>14928</v>
      </c>
    </row>
    <row r="43" spans="1:26" s="1061" customFormat="1" ht="13">
      <c r="A43" s="1173" t="s">
        <v>1260</v>
      </c>
      <c r="B43" s="1203">
        <v>10751.6</v>
      </c>
      <c r="C43" s="1204">
        <v>11041.45</v>
      </c>
      <c r="D43" s="1203">
        <v>11712.97</v>
      </c>
      <c r="E43" s="1204">
        <v>2187.43</v>
      </c>
      <c r="F43" s="1203">
        <v>2330.25</v>
      </c>
      <c r="G43" s="1204">
        <v>17376.3</v>
      </c>
      <c r="H43" s="1203">
        <v>1924.54</v>
      </c>
      <c r="I43" s="1204">
        <v>205.73</v>
      </c>
      <c r="J43" s="1203">
        <v>132.25</v>
      </c>
      <c r="K43" s="1204">
        <v>49652.54</v>
      </c>
      <c r="L43" s="1203">
        <v>13.44</v>
      </c>
      <c r="M43" s="1204">
        <v>3639.7</v>
      </c>
      <c r="N43" s="1203">
        <v>9.9</v>
      </c>
      <c r="O43" s="1204">
        <v>9851.86</v>
      </c>
      <c r="P43" s="1203">
        <v>1836.25</v>
      </c>
      <c r="Q43" s="1204">
        <v>122.09</v>
      </c>
      <c r="R43" s="1203">
        <v>277.73</v>
      </c>
      <c r="S43" s="1204">
        <v>4020.03</v>
      </c>
      <c r="T43" s="1203">
        <v>10946.53</v>
      </c>
      <c r="U43" s="1204">
        <v>88.86</v>
      </c>
      <c r="V43" s="1203">
        <v>1670.17</v>
      </c>
      <c r="W43" s="1204">
        <v>15244.91</v>
      </c>
      <c r="X43" s="1203">
        <v>463.49</v>
      </c>
      <c r="Y43" s="1204">
        <v>19599.1</v>
      </c>
      <c r="Z43" s="1203">
        <v>15076</v>
      </c>
    </row>
    <row r="44" spans="1:26" s="1061" customFormat="1" ht="13">
      <c r="A44" s="1173" t="s">
        <v>1261</v>
      </c>
      <c r="B44" s="1203">
        <v>10821.68</v>
      </c>
      <c r="C44" s="1204">
        <v>11107.31</v>
      </c>
      <c r="D44" s="1203">
        <v>11686.79</v>
      </c>
      <c r="E44" s="1204">
        <v>2200.95</v>
      </c>
      <c r="F44" s="1203">
        <v>2359.12</v>
      </c>
      <c r="G44" s="1204">
        <v>17600.18</v>
      </c>
      <c r="H44" s="1203">
        <v>1941.77</v>
      </c>
      <c r="I44" s="1204">
        <v>205.79</v>
      </c>
      <c r="J44" s="1203">
        <v>135.74</v>
      </c>
      <c r="K44" s="1204">
        <v>50189.02</v>
      </c>
      <c r="L44" s="1203">
        <v>13.42</v>
      </c>
      <c r="M44" s="1204">
        <v>3662.3</v>
      </c>
      <c r="N44" s="1203">
        <v>9.68</v>
      </c>
      <c r="O44" s="1204">
        <v>9920.35</v>
      </c>
      <c r="P44" s="1203">
        <v>1858.88</v>
      </c>
      <c r="Q44" s="1204">
        <v>114.19</v>
      </c>
      <c r="R44" s="1203">
        <v>281.08</v>
      </c>
      <c r="S44" s="1204">
        <v>4055.64</v>
      </c>
      <c r="T44" s="1203">
        <v>11041.22</v>
      </c>
      <c r="U44" s="1204">
        <v>89.18</v>
      </c>
      <c r="V44" s="1203">
        <v>1691.56</v>
      </c>
      <c r="W44" s="1204">
        <v>15376.56</v>
      </c>
      <c r="X44" s="1203">
        <v>464.18</v>
      </c>
      <c r="Y44" s="1204">
        <v>20048.24</v>
      </c>
      <c r="Z44" s="1203">
        <v>15215</v>
      </c>
    </row>
    <row r="45" spans="1:26" s="1061" customFormat="1" ht="13">
      <c r="A45" s="1173" t="s">
        <v>1262</v>
      </c>
      <c r="B45" s="1203">
        <v>10774.29</v>
      </c>
      <c r="C45" s="1204">
        <v>11069.35</v>
      </c>
      <c r="D45" s="1203">
        <v>11609.31</v>
      </c>
      <c r="E45" s="1204">
        <v>2189.02</v>
      </c>
      <c r="F45" s="1203">
        <v>2336.28</v>
      </c>
      <c r="G45" s="1204">
        <v>17430.27</v>
      </c>
      <c r="H45" s="1203">
        <v>1937.18</v>
      </c>
      <c r="I45" s="1204">
        <v>206.45</v>
      </c>
      <c r="J45" s="1203">
        <v>134.92</v>
      </c>
      <c r="K45" s="1204">
        <v>50087.73</v>
      </c>
      <c r="L45" s="1203">
        <v>13.42</v>
      </c>
      <c r="M45" s="1204">
        <v>3652.47</v>
      </c>
      <c r="N45" s="1203">
        <v>9.57</v>
      </c>
      <c r="O45" s="1204">
        <v>9958.76</v>
      </c>
      <c r="P45" s="1203">
        <v>1841.31</v>
      </c>
      <c r="Q45" s="1204">
        <v>113.47</v>
      </c>
      <c r="R45" s="1203">
        <v>281.98</v>
      </c>
      <c r="S45" s="1204">
        <v>4047.67</v>
      </c>
      <c r="T45" s="1203">
        <v>11005.74</v>
      </c>
      <c r="U45" s="1204">
        <v>88.38</v>
      </c>
      <c r="V45" s="1203">
        <v>1686.73</v>
      </c>
      <c r="W45" s="1204">
        <v>15249.73</v>
      </c>
      <c r="X45" s="1203">
        <v>465.5</v>
      </c>
      <c r="Y45" s="1204">
        <v>19783.28</v>
      </c>
      <c r="Z45" s="1203">
        <v>15187</v>
      </c>
    </row>
    <row r="46" spans="1:26" s="1061" customFormat="1" ht="13">
      <c r="A46" s="1173" t="s">
        <v>1263</v>
      </c>
      <c r="B46" s="1203">
        <v>10760.93</v>
      </c>
      <c r="C46" s="1204">
        <v>11068.08</v>
      </c>
      <c r="D46" s="1203">
        <v>11616.73</v>
      </c>
      <c r="E46" s="1204">
        <v>2185.76</v>
      </c>
      <c r="F46" s="1203">
        <v>2321.18</v>
      </c>
      <c r="G46" s="1204">
        <v>17319.77</v>
      </c>
      <c r="H46" s="1203">
        <v>1939.95</v>
      </c>
      <c r="I46" s="1204">
        <v>207.44</v>
      </c>
      <c r="J46" s="1203">
        <v>135.45</v>
      </c>
      <c r="K46" s="1204">
        <v>50121.79</v>
      </c>
      <c r="L46" s="1203">
        <v>13.36</v>
      </c>
      <c r="M46" s="1204">
        <v>3644.13</v>
      </c>
      <c r="N46" s="1203">
        <v>9.6</v>
      </c>
      <c r="O46" s="1204">
        <v>9928.79</v>
      </c>
      <c r="P46" s="1203">
        <v>1818.86</v>
      </c>
      <c r="Q46" s="1204">
        <v>114.97</v>
      </c>
      <c r="R46" s="1203">
        <v>283.45</v>
      </c>
      <c r="S46" s="1204">
        <v>4055.28</v>
      </c>
      <c r="T46" s="1203">
        <v>11009.09</v>
      </c>
      <c r="U46" s="1204">
        <v>87.81</v>
      </c>
      <c r="V46" s="1203">
        <v>1665.77</v>
      </c>
      <c r="W46" s="1204">
        <v>15221.32</v>
      </c>
      <c r="X46" s="1203">
        <v>459.92</v>
      </c>
      <c r="Y46" s="1204">
        <v>19511.94</v>
      </c>
      <c r="Z46" s="1203">
        <v>15213</v>
      </c>
    </row>
    <row r="47" spans="1:26" s="1061" customFormat="1" ht="13">
      <c r="A47" s="1173" t="s">
        <v>1264</v>
      </c>
      <c r="B47" s="1203">
        <v>10785.69</v>
      </c>
      <c r="C47" s="1204">
        <v>10959.1</v>
      </c>
      <c r="D47" s="1203">
        <v>11456.15</v>
      </c>
      <c r="E47" s="1204">
        <v>2169.95</v>
      </c>
      <c r="F47" s="1203">
        <v>2293.08</v>
      </c>
      <c r="G47" s="1204">
        <v>17106.19</v>
      </c>
      <c r="H47" s="1203">
        <v>1918.47</v>
      </c>
      <c r="I47" s="1204">
        <v>205.14</v>
      </c>
      <c r="J47" s="1203">
        <v>132.89</v>
      </c>
      <c r="K47" s="1204">
        <v>49449.4</v>
      </c>
      <c r="L47" s="1203">
        <v>13.31</v>
      </c>
      <c r="M47" s="1204">
        <v>3599.37</v>
      </c>
      <c r="N47" s="1203">
        <v>9.44</v>
      </c>
      <c r="O47" s="1204">
        <v>9960.51</v>
      </c>
      <c r="P47" s="1203">
        <v>1793.86</v>
      </c>
      <c r="Q47" s="1204">
        <v>113.39</v>
      </c>
      <c r="R47" s="1203">
        <v>281.87</v>
      </c>
      <c r="S47" s="1204">
        <v>4005.63</v>
      </c>
      <c r="T47" s="1203">
        <v>10907.43</v>
      </c>
      <c r="U47" s="1204">
        <v>86.06</v>
      </c>
      <c r="V47" s="1203">
        <v>1655.29</v>
      </c>
      <c r="W47" s="1204">
        <v>14955.51</v>
      </c>
      <c r="X47" s="1203">
        <v>455.67</v>
      </c>
      <c r="Y47" s="1204">
        <v>19487.08</v>
      </c>
      <c r="Z47" s="1203">
        <v>15026</v>
      </c>
    </row>
    <row r="48" spans="1:26" s="1061" customFormat="1" ht="13">
      <c r="A48" s="1173" t="s">
        <v>1265</v>
      </c>
      <c r="B48" s="1203">
        <v>10626.17</v>
      </c>
      <c r="C48" s="1204">
        <v>10744.05</v>
      </c>
      <c r="D48" s="1203">
        <v>11146</v>
      </c>
      <c r="E48" s="1204">
        <v>2117.26</v>
      </c>
      <c r="F48" s="1203">
        <v>2230.35</v>
      </c>
      <c r="G48" s="1204">
        <v>16637.73</v>
      </c>
      <c r="H48" s="1203">
        <v>1877.32</v>
      </c>
      <c r="I48" s="1204">
        <v>202.34</v>
      </c>
      <c r="J48" s="1203">
        <v>129.13</v>
      </c>
      <c r="K48" s="1204">
        <v>48353.55</v>
      </c>
      <c r="L48" s="1203">
        <v>13.05</v>
      </c>
      <c r="M48" s="1204">
        <v>3519.15</v>
      </c>
      <c r="N48" s="1203">
        <v>9.24</v>
      </c>
      <c r="O48" s="1204">
        <v>9918.72</v>
      </c>
      <c r="P48" s="1203">
        <v>1742.73</v>
      </c>
      <c r="Q48" s="1204">
        <v>109.75</v>
      </c>
      <c r="R48" s="1203">
        <v>277.46</v>
      </c>
      <c r="S48" s="1204">
        <v>3919.27</v>
      </c>
      <c r="T48" s="1203">
        <v>10663.83</v>
      </c>
      <c r="U48" s="1204">
        <v>83.87</v>
      </c>
      <c r="V48" s="1203">
        <v>1619.07</v>
      </c>
      <c r="W48" s="1204">
        <v>14599.02</v>
      </c>
      <c r="X48" s="1203">
        <v>445.61</v>
      </c>
      <c r="Y48" s="1204">
        <v>19077.64</v>
      </c>
      <c r="Z48" s="1203">
        <v>14702</v>
      </c>
    </row>
    <row r="49" spans="1:26" s="1061" customFormat="1" ht="13">
      <c r="A49" s="1173" t="s">
        <v>1266</v>
      </c>
      <c r="B49" s="1203">
        <v>10686.55</v>
      </c>
      <c r="C49" s="1204">
        <v>10721.51</v>
      </c>
      <c r="D49" s="1203">
        <v>11133.06</v>
      </c>
      <c r="E49" s="1204">
        <v>2118.02</v>
      </c>
      <c r="F49" s="1203">
        <v>2234.21</v>
      </c>
      <c r="G49" s="1204">
        <v>16671.67</v>
      </c>
      <c r="H49" s="1203">
        <v>1875.71</v>
      </c>
      <c r="I49" s="1204">
        <v>203.36</v>
      </c>
      <c r="J49" s="1203">
        <v>129.62</v>
      </c>
      <c r="K49" s="1204">
        <v>48282.05</v>
      </c>
      <c r="L49" s="1203">
        <v>13</v>
      </c>
      <c r="M49" s="1204">
        <v>3503.79</v>
      </c>
      <c r="N49" s="1203">
        <v>9.18</v>
      </c>
      <c r="O49" s="1204">
        <v>10028.26</v>
      </c>
      <c r="P49" s="1203">
        <v>1733.03</v>
      </c>
      <c r="Q49" s="1204">
        <v>109.64</v>
      </c>
      <c r="R49" s="1203">
        <v>277.8</v>
      </c>
      <c r="S49" s="1204">
        <v>3915.26</v>
      </c>
      <c r="T49" s="1203">
        <v>10673.83</v>
      </c>
      <c r="U49" s="1204">
        <v>83.23</v>
      </c>
      <c r="V49" s="1203">
        <v>1624.1</v>
      </c>
      <c r="W49" s="1204">
        <v>14628.3</v>
      </c>
      <c r="X49" s="1203">
        <v>445.46</v>
      </c>
      <c r="Y49" s="1204">
        <v>18921.19</v>
      </c>
      <c r="Z49" s="1203">
        <v>14688</v>
      </c>
    </row>
    <row r="50" spans="1:26" s="1061" customFormat="1" ht="13">
      <c r="A50" s="1173" t="s">
        <v>1267</v>
      </c>
      <c r="B50" s="1203">
        <v>10525.8</v>
      </c>
      <c r="C50" s="1204">
        <v>10636.62</v>
      </c>
      <c r="D50" s="1203">
        <v>10985.58</v>
      </c>
      <c r="E50" s="1204">
        <v>2095.56</v>
      </c>
      <c r="F50" s="1203">
        <v>2213.09</v>
      </c>
      <c r="G50" s="1204">
        <v>16513.33</v>
      </c>
      <c r="H50" s="1203">
        <v>1857.51</v>
      </c>
      <c r="I50" s="1204">
        <v>205.23</v>
      </c>
      <c r="J50" s="1203">
        <v>128.43</v>
      </c>
      <c r="K50" s="1204">
        <v>47849.93</v>
      </c>
      <c r="L50" s="1203">
        <v>12.87</v>
      </c>
      <c r="M50" s="1204">
        <v>3468.2</v>
      </c>
      <c r="N50" s="1203">
        <v>9.11</v>
      </c>
      <c r="O50" s="1204">
        <v>9876.19</v>
      </c>
      <c r="P50" s="1203">
        <v>1697.05</v>
      </c>
      <c r="Q50" s="1204">
        <v>108.51</v>
      </c>
      <c r="R50" s="1203">
        <v>277.39</v>
      </c>
      <c r="S50" s="1204">
        <v>3875.05</v>
      </c>
      <c r="T50" s="1203">
        <v>10580.74</v>
      </c>
      <c r="U50" s="1204">
        <v>81.02</v>
      </c>
      <c r="V50" s="1203">
        <v>1602.61</v>
      </c>
      <c r="W50" s="1204">
        <v>14585.87</v>
      </c>
      <c r="X50" s="1203">
        <v>440.49</v>
      </c>
      <c r="Y50" s="1204">
        <v>18642.16</v>
      </c>
      <c r="Z50" s="1203">
        <v>14540</v>
      </c>
    </row>
    <row r="51" spans="1:26" s="1061" customFormat="1" ht="13">
      <c r="A51" s="1173" t="s">
        <v>1268</v>
      </c>
      <c r="B51" s="1203">
        <v>10522.46</v>
      </c>
      <c r="C51" s="1204">
        <v>10534.31</v>
      </c>
      <c r="D51" s="1203">
        <v>10855.28</v>
      </c>
      <c r="E51" s="1204">
        <v>2076.72</v>
      </c>
      <c r="F51" s="1203">
        <v>2188.91</v>
      </c>
      <c r="G51" s="1204">
        <v>16334.46</v>
      </c>
      <c r="H51" s="1203">
        <v>1840.02</v>
      </c>
      <c r="I51" s="1204">
        <v>205.08</v>
      </c>
      <c r="J51" s="1203">
        <v>126.74</v>
      </c>
      <c r="K51" s="1204">
        <v>47317.18</v>
      </c>
      <c r="L51" s="1203">
        <v>12.84</v>
      </c>
      <c r="M51" s="1204">
        <v>3439.89</v>
      </c>
      <c r="N51" s="1203">
        <v>9.07</v>
      </c>
      <c r="O51" s="1204">
        <v>9881.29</v>
      </c>
      <c r="P51" s="1203">
        <v>1680.27</v>
      </c>
      <c r="Q51" s="1204">
        <v>105.67</v>
      </c>
      <c r="R51" s="1203">
        <v>274.5</v>
      </c>
      <c r="S51" s="1204">
        <v>3836.73</v>
      </c>
      <c r="T51" s="1203">
        <v>10493.19</v>
      </c>
      <c r="U51" s="1204">
        <v>80.2</v>
      </c>
      <c r="V51" s="1203">
        <v>1586.79</v>
      </c>
      <c r="W51" s="1204">
        <v>14441.9</v>
      </c>
      <c r="X51" s="1203">
        <v>437.35</v>
      </c>
      <c r="Y51" s="1204">
        <v>18401.93</v>
      </c>
      <c r="Z51" s="1203">
        <v>14396</v>
      </c>
    </row>
    <row r="52" spans="1:26" s="1061" customFormat="1" ht="13">
      <c r="A52" s="1173" t="s">
        <v>1269</v>
      </c>
      <c r="B52" s="1203">
        <v>10478.26</v>
      </c>
      <c r="C52" s="1204">
        <v>10613.87</v>
      </c>
      <c r="D52" s="1203">
        <v>10841.39</v>
      </c>
      <c r="E52" s="1204">
        <v>2100.35</v>
      </c>
      <c r="F52" s="1203">
        <v>2201.58</v>
      </c>
      <c r="G52" s="1204">
        <v>16432.37</v>
      </c>
      <c r="H52" s="1203">
        <v>1849.48</v>
      </c>
      <c r="I52" s="1204" t="s">
        <v>1270</v>
      </c>
      <c r="J52" s="1203">
        <v>128.09</v>
      </c>
      <c r="K52" s="1204">
        <v>47515.49</v>
      </c>
      <c r="L52" s="1203">
        <v>12.93</v>
      </c>
      <c r="M52" s="1204">
        <v>3472.07</v>
      </c>
      <c r="N52" s="1203" t="s">
        <v>1271</v>
      </c>
      <c r="O52" s="1204">
        <v>9956.73</v>
      </c>
      <c r="P52" s="1203">
        <v>1699.98</v>
      </c>
      <c r="Q52" s="1204" t="s">
        <v>1272</v>
      </c>
      <c r="R52" s="1203" t="s">
        <v>1273</v>
      </c>
      <c r="S52" s="1204">
        <v>3850.73</v>
      </c>
      <c r="T52" s="1203">
        <v>10556.67</v>
      </c>
      <c r="U52" s="1204" t="s">
        <v>1274</v>
      </c>
      <c r="V52" s="1203">
        <v>1603.48</v>
      </c>
      <c r="W52" s="1204">
        <v>14539.56</v>
      </c>
      <c r="X52" s="1203" t="s">
        <v>1275</v>
      </c>
      <c r="Y52" s="1204">
        <v>18402.33</v>
      </c>
      <c r="Z52" s="1203">
        <v>14447</v>
      </c>
    </row>
    <row r="53" spans="1:26" s="1061" customFormat="1" ht="13">
      <c r="A53" s="1173" t="s">
        <v>1276</v>
      </c>
      <c r="B53" s="1203">
        <v>10496.87</v>
      </c>
      <c r="C53" s="1204">
        <v>10667.2</v>
      </c>
      <c r="D53" s="1203">
        <v>10903.69</v>
      </c>
      <c r="E53" s="1204">
        <v>2115.26</v>
      </c>
      <c r="F53" s="1203">
        <v>2213.3</v>
      </c>
      <c r="G53" s="1204">
        <v>16522.28</v>
      </c>
      <c r="H53" s="1203">
        <v>1865.84</v>
      </c>
      <c r="I53" s="1204">
        <v>202.87</v>
      </c>
      <c r="J53" s="1203">
        <v>128.54</v>
      </c>
      <c r="K53" s="1204">
        <v>47912.72</v>
      </c>
      <c r="L53" s="1203">
        <v>12.91</v>
      </c>
      <c r="M53" s="1204">
        <v>3484.27</v>
      </c>
      <c r="N53" s="1203">
        <v>9.34</v>
      </c>
      <c r="O53" s="1204">
        <v>9965.86</v>
      </c>
      <c r="P53" s="1203">
        <v>1697.67</v>
      </c>
      <c r="Q53" s="1204">
        <v>104.25</v>
      </c>
      <c r="R53" s="1203">
        <v>275.76</v>
      </c>
      <c r="S53" s="1204">
        <v>3886.65</v>
      </c>
      <c r="T53" s="1203">
        <v>10611.04</v>
      </c>
      <c r="U53" s="1204">
        <v>81.17</v>
      </c>
      <c r="V53" s="1203">
        <v>1607.24</v>
      </c>
      <c r="W53" s="1204">
        <v>14647.87</v>
      </c>
      <c r="X53" s="1203">
        <v>444.53</v>
      </c>
      <c r="Y53" s="1204">
        <v>18348.02</v>
      </c>
      <c r="Z53" s="1203">
        <v>14581</v>
      </c>
    </row>
    <row r="54" spans="1:26" s="1061" customFormat="1" ht="13">
      <c r="A54" s="1173" t="s">
        <v>1277</v>
      </c>
      <c r="B54" s="1203">
        <v>10516.7</v>
      </c>
      <c r="C54" s="1204">
        <v>10652.81</v>
      </c>
      <c r="D54" s="1203">
        <v>10881.16</v>
      </c>
      <c r="E54" s="1204">
        <v>2108.06</v>
      </c>
      <c r="F54" s="1203">
        <v>2209.65</v>
      </c>
      <c r="G54" s="1204">
        <v>16492.65</v>
      </c>
      <c r="H54" s="1203">
        <v>1856.26</v>
      </c>
      <c r="I54" s="1204">
        <v>204.81</v>
      </c>
      <c r="J54" s="1203">
        <v>128.56</v>
      </c>
      <c r="K54" s="1204">
        <v>47689.81</v>
      </c>
      <c r="L54" s="1203">
        <v>12.98</v>
      </c>
      <c r="M54" s="1204">
        <v>3484.81</v>
      </c>
      <c r="N54" s="1203">
        <v>9.37</v>
      </c>
      <c r="O54" s="1204">
        <v>9993.26</v>
      </c>
      <c r="P54" s="1203">
        <v>1706.22</v>
      </c>
      <c r="Q54" s="1204">
        <v>103.87</v>
      </c>
      <c r="R54" s="1203">
        <v>274.99</v>
      </c>
      <c r="S54" s="1204">
        <v>3864.86</v>
      </c>
      <c r="T54" s="1203">
        <v>10595.4</v>
      </c>
      <c r="U54" s="1204">
        <v>80.99</v>
      </c>
      <c r="V54" s="1203">
        <v>1609.37</v>
      </c>
      <c r="W54" s="1204">
        <v>14592.9</v>
      </c>
      <c r="X54" s="1203">
        <v>441.96</v>
      </c>
      <c r="Y54" s="1204">
        <v>18469.85</v>
      </c>
      <c r="Z54" s="1203">
        <v>14500</v>
      </c>
    </row>
    <row r="55" ht="13" thickBot="1"/>
    <row r="56" spans="1:26" s="1200" customFormat="1" ht="26">
      <c r="A56" s="1207" t="s">
        <v>892</v>
      </c>
      <c r="B56" s="883" t="s">
        <v>893</v>
      </c>
      <c r="C56" s="883" t="s">
        <v>894</v>
      </c>
      <c r="D56" s="883" t="s">
        <v>895</v>
      </c>
      <c r="E56" s="883" t="s">
        <v>896</v>
      </c>
      <c r="F56" s="883" t="s">
        <v>897</v>
      </c>
      <c r="G56" s="883" t="s">
        <v>898</v>
      </c>
      <c r="H56" s="883" t="s">
        <v>899</v>
      </c>
      <c r="I56" s="883" t="s">
        <v>900</v>
      </c>
      <c r="J56" s="1199" t="s">
        <v>901</v>
      </c>
      <c r="K56" s="883" t="s">
        <v>902</v>
      </c>
      <c r="L56" s="883" t="s">
        <v>903</v>
      </c>
      <c r="M56" s="883" t="s">
        <v>904</v>
      </c>
      <c r="N56" s="883" t="s">
        <v>905</v>
      </c>
      <c r="O56" s="883" t="s">
        <v>906</v>
      </c>
      <c r="P56" s="883" t="s">
        <v>907</v>
      </c>
      <c r="Q56" s="883" t="s">
        <v>908</v>
      </c>
      <c r="R56" s="883" t="s">
        <v>909</v>
      </c>
      <c r="S56" s="883" t="s">
        <v>910</v>
      </c>
      <c r="T56" s="883" t="s">
        <v>911</v>
      </c>
      <c r="U56" s="883" t="s">
        <v>912</v>
      </c>
      <c r="V56" s="883" t="s">
        <v>913</v>
      </c>
      <c r="W56" s="883" t="s">
        <v>914</v>
      </c>
      <c r="X56" s="883" t="s">
        <v>915</v>
      </c>
      <c r="Y56" s="883" t="s">
        <v>916</v>
      </c>
      <c r="Z56" s="884" t="s">
        <v>917</v>
      </c>
    </row>
    <row r="57" spans="1:26" s="1200" customFormat="1" ht="13">
      <c r="A57" s="1208"/>
      <c r="B57" s="888"/>
      <c r="C57" s="888"/>
      <c r="D57" s="888"/>
      <c r="E57" s="888"/>
      <c r="F57" s="888"/>
      <c r="G57" s="888"/>
      <c r="H57" s="888"/>
      <c r="I57" s="888"/>
      <c r="J57" s="1209"/>
      <c r="K57" s="888"/>
      <c r="L57" s="888"/>
      <c r="M57" s="888"/>
      <c r="N57" s="888"/>
      <c r="O57" s="888"/>
      <c r="P57" s="888"/>
      <c r="Q57" s="888"/>
      <c r="R57" s="888"/>
      <c r="S57" s="888"/>
      <c r="T57" s="888"/>
      <c r="U57" s="888"/>
      <c r="V57" s="888"/>
      <c r="W57" s="888"/>
      <c r="X57" s="888"/>
      <c r="Y57" s="888"/>
      <c r="Z57" s="889"/>
    </row>
    <row r="58" spans="1:26">
      <c r="A58" s="890" t="s">
        <v>943</v>
      </c>
      <c r="B58" s="1062">
        <f t="shared" si="0" ref="B58:Z58">ROUNDDOWN(AVERAGE(B5:B54),2)</f>
        <v>10651.05</v>
      </c>
      <c r="C58" s="1062">
        <f t="shared" si="0">ROUNDDOWN(AVERAGE(C5:C54),2)</f>
        <v>10596.52</v>
      </c>
      <c r="D58" s="1062">
        <f t="shared" si="0">ROUNDDOWN(AVERAGE(D5:D54),2)</f>
        <v>11017.43</v>
      </c>
      <c r="E58" s="1062">
        <f t="shared" si="0">ROUNDDOWN(AVERAGE(E5:E54),2)</f>
        <v>2149.46</v>
      </c>
      <c r="F58" s="1062">
        <f t="shared" si="0">ROUNDDOWN(AVERAGE(F5:F54),2)</f>
        <v>2255.39</v>
      </c>
      <c r="G58" s="1062">
        <f t="shared" si="0">ROUNDDOWN(AVERAGE(G5:G54),2)</f>
        <v>16803.6</v>
      </c>
      <c r="H58" s="1062">
        <f t="shared" si="0">ROUNDDOWN(AVERAGE(H5:H54),2)</f>
        <v>1818.86</v>
      </c>
      <c r="I58" s="1062">
        <f t="shared" si="0">ROUNDDOWN(AVERAGE(I5:I54),2)</f>
        <v>208.16</v>
      </c>
      <c r="J58" s="1210">
        <f t="shared" si="0">ROUNDDOWN(AVERAGE(J5:J54),2)</f>
        <v>128.73</v>
      </c>
      <c r="K58" s="1062">
        <f t="shared" si="0">ROUNDDOWN(AVERAGE(K5:K54),2)</f>
        <v>47161.29</v>
      </c>
      <c r="L58" s="1062">
        <f t="shared" si="0">ROUNDDOWN(AVERAGE(L5:L54),2)</f>
        <v>12.95</v>
      </c>
      <c r="M58" s="1062">
        <f t="shared" si="0">ROUNDDOWN(AVERAGE(M5:M54),2)</f>
        <v>3526.09</v>
      </c>
      <c r="N58" s="1062">
        <f t="shared" si="0">ROUNDDOWN(AVERAGE(N5:N54),2)</f>
        <v>9.94</v>
      </c>
      <c r="O58" s="1062">
        <f t="shared" si="0">ROUNDDOWN(AVERAGE(O5:O54),2)</f>
        <v>9848.45</v>
      </c>
      <c r="P58" s="1062">
        <f t="shared" si="0">ROUNDDOWN(AVERAGE(P5:P54),2)</f>
        <v>1733.52</v>
      </c>
      <c r="Q58" s="1062">
        <f t="shared" si="0">ROUNDDOWN(AVERAGE(Q5:Q54),2)</f>
        <v>115.3</v>
      </c>
      <c r="R58" s="1062">
        <f t="shared" si="0">ROUNDDOWN(AVERAGE(R5:R54),2)</f>
        <v>270.68</v>
      </c>
      <c r="S58" s="1062">
        <f t="shared" si="0">ROUNDDOWN(AVERAGE(S5:S54),2)</f>
        <v>3800.12</v>
      </c>
      <c r="T58" s="1062">
        <f t="shared" si="0">ROUNDDOWN(AVERAGE(T5:T54),2)</f>
        <v>10551</v>
      </c>
      <c r="U58" s="1062">
        <f t="shared" si="0">ROUNDDOWN(AVERAGE(U5:U54),2)</f>
        <v>87.97</v>
      </c>
      <c r="V58" s="1062">
        <f t="shared" si="0">ROUNDDOWN(AVERAGE(V5:V54),2)</f>
        <v>1639.4</v>
      </c>
      <c r="W58" s="1062">
        <f t="shared" si="0">ROUNDDOWN(AVERAGE(W5:W54),2)</f>
        <v>14586.58</v>
      </c>
      <c r="X58" s="1062">
        <f t="shared" si="0">ROUNDDOWN(AVERAGE(X5:X54),2)</f>
        <v>441.2</v>
      </c>
      <c r="Y58" s="1062">
        <f t="shared" si="0">ROUNDDOWN(AVERAGE(Y5:Y54),2)</f>
        <v>19015.65</v>
      </c>
      <c r="Z58" s="1063">
        <f t="shared" si="0">ROUNDDOWN(AVERAGE(Z5:Z54),2)</f>
        <v>14286.13</v>
      </c>
    </row>
    <row r="59" spans="1:26">
      <c r="A59" s="891"/>
      <c r="B59" s="1062"/>
      <c r="C59" s="1062"/>
      <c r="D59" s="1062"/>
      <c r="E59" s="1062"/>
      <c r="F59" s="1062"/>
      <c r="G59" s="1062"/>
      <c r="H59" s="1062"/>
      <c r="I59" s="1062"/>
      <c r="J59" s="1210"/>
      <c r="K59" s="1062"/>
      <c r="L59" s="1062"/>
      <c r="M59" s="1062"/>
      <c r="N59" s="1062"/>
      <c r="O59" s="1062"/>
      <c r="P59" s="1062"/>
      <c r="Q59" s="1062"/>
      <c r="R59" s="1062"/>
      <c r="S59" s="1062"/>
      <c r="T59" s="1062"/>
      <c r="U59" s="1062"/>
      <c r="V59" s="1062"/>
      <c r="W59" s="1062"/>
      <c r="X59" s="1062"/>
      <c r="Y59" s="1062"/>
      <c r="Z59" s="1063"/>
    </row>
    <row r="60" spans="1:26">
      <c r="A60" s="890" t="s">
        <v>944</v>
      </c>
      <c r="B60" s="1062"/>
      <c r="C60" s="1062"/>
      <c r="D60" s="1062"/>
      <c r="E60" s="1062"/>
      <c r="F60" s="1062"/>
      <c r="G60" s="1062"/>
      <c r="H60" s="1062"/>
      <c r="I60" s="1062"/>
      <c r="J60" s="1210"/>
      <c r="K60" s="1062"/>
      <c r="L60" s="1062"/>
      <c r="M60" s="1062"/>
      <c r="N60" s="1062"/>
      <c r="O60" s="1062"/>
      <c r="P60" s="1062"/>
      <c r="Q60" s="1062"/>
      <c r="R60" s="1062"/>
      <c r="S60" s="1062"/>
      <c r="T60" s="1062"/>
      <c r="U60" s="1062"/>
      <c r="V60" s="1062"/>
      <c r="W60" s="1062"/>
      <c r="X60" s="1062"/>
      <c r="Y60" s="1062"/>
      <c r="Z60" s="1063"/>
    </row>
    <row r="61" spans="1:26">
      <c r="A61" s="1211" t="s">
        <v>1278</v>
      </c>
      <c r="B61" s="1062">
        <f t="shared" si="1" ref="B61:Z61">ROUNDDOWN(AVERAGE(B5:B8),2)</f>
        <v>10581.77</v>
      </c>
      <c r="C61" s="1062">
        <f t="shared" si="1">ROUNDDOWN(AVERAGE(C5:C8),2)</f>
        <v>10098.23</v>
      </c>
      <c r="D61" s="1062">
        <f t="shared" si="1">ROUNDDOWN(AVERAGE(D5:D8),2)</f>
        <v>10748.1</v>
      </c>
      <c r="E61" s="1062">
        <f t="shared" si="1">ROUNDDOWN(AVERAGE(E5:E8),2)</f>
        <v>2072.61</v>
      </c>
      <c r="F61" s="1062">
        <f t="shared" si="1">ROUNDDOWN(AVERAGE(F5:F8),2)</f>
        <v>2178.38</v>
      </c>
      <c r="G61" s="1062">
        <f t="shared" si="1">ROUNDDOWN(AVERAGE(G5:G8),2)</f>
        <v>16221.14</v>
      </c>
      <c r="H61" s="1062">
        <f t="shared" si="1">ROUNDDOWN(AVERAGE(H5:H8),2)</f>
        <v>1717.98</v>
      </c>
      <c r="I61" s="1062">
        <f t="shared" si="1">ROUNDDOWN(AVERAGE(I5:I8),2)</f>
        <v>209.53</v>
      </c>
      <c r="J61" s="1062">
        <f t="shared" si="1">ROUNDDOWN(AVERAGE(J5:J8),2)</f>
        <v>119.95</v>
      </c>
      <c r="K61" s="1062">
        <f t="shared" si="1">ROUNDDOWN(AVERAGE(K5:K8),2)</f>
        <v>44572.2</v>
      </c>
      <c r="L61" s="1062">
        <f t="shared" si="1">ROUNDDOWN(AVERAGE(L5:L8),2)</f>
        <v>12.52</v>
      </c>
      <c r="M61" s="1062">
        <f t="shared" si="1">ROUNDDOWN(AVERAGE(M5:M8),2)</f>
        <v>3358.16</v>
      </c>
      <c r="N61" s="1062">
        <f t="shared" si="1">ROUNDDOWN(AVERAGE(N5:N8),2)</f>
        <v>9.92</v>
      </c>
      <c r="O61" s="1062">
        <f t="shared" si="1">ROUNDDOWN(AVERAGE(O5:O8),2)</f>
        <v>9648.74</v>
      </c>
      <c r="P61" s="1062">
        <f t="shared" si="1">ROUNDDOWN(AVERAGE(P5:P8),2)</f>
        <v>1589.63</v>
      </c>
      <c r="Q61" s="1062">
        <f t="shared" si="1">ROUNDDOWN(AVERAGE(Q5:Q8),2)</f>
        <v>120.69</v>
      </c>
      <c r="R61" s="1062">
        <f t="shared" si="1">ROUNDDOWN(AVERAGE(R5:R8),2)</f>
        <v>264.48</v>
      </c>
      <c r="S61" s="1062">
        <f t="shared" si="1">ROUNDDOWN(AVERAGE(S5:S8),2)</f>
        <v>3581.46</v>
      </c>
      <c r="T61" s="1062">
        <f t="shared" si="1">ROUNDDOWN(AVERAGE(T5:T8),2)</f>
        <v>10106.36</v>
      </c>
      <c r="U61" s="1062">
        <f t="shared" si="1">ROUNDDOWN(AVERAGE(U5:U8),2)</f>
        <v>86.85</v>
      </c>
      <c r="V61" s="1062">
        <f t="shared" si="1">ROUNDDOWN(AVERAGE(V5:V8),2)</f>
        <v>1651.19</v>
      </c>
      <c r="W61" s="1062">
        <f t="shared" si="1">ROUNDDOWN(AVERAGE(W5:W8),2)</f>
        <v>13805.94</v>
      </c>
      <c r="X61" s="1062">
        <f t="shared" si="1">ROUNDDOWN(AVERAGE(X5:X8),2)</f>
        <v>417.87</v>
      </c>
      <c r="Y61" s="1062">
        <f t="shared" si="1">ROUNDDOWN(AVERAGE(Y5:Y8),2)</f>
        <v>18349.02</v>
      </c>
      <c r="Z61" s="1062">
        <f t="shared" si="1">ROUNDDOWN(AVERAGE(Z5:Z8),2)</f>
        <v>13365</v>
      </c>
    </row>
    <row r="62" spans="1:26">
      <c r="A62" s="1212" t="s">
        <v>1279</v>
      </c>
      <c r="B62" s="1062">
        <f t="shared" si="2" ref="B62:Z62">ROUNDDOWN(AVERAGE(B9:B13),2)</f>
        <v>10716.9</v>
      </c>
      <c r="C62" s="1062">
        <f t="shared" si="2">ROUNDDOWN(AVERAGE(C9:C13),2)</f>
        <v>10259.68</v>
      </c>
      <c r="D62" s="1062">
        <f t="shared" si="2">ROUNDDOWN(AVERAGE(D9:D13),2)</f>
        <v>10816.96</v>
      </c>
      <c r="E62" s="1062">
        <f t="shared" si="2">ROUNDDOWN(AVERAGE(E9:E13),2)</f>
        <v>2137.7</v>
      </c>
      <c r="F62" s="1062">
        <f t="shared" si="2">ROUNDDOWN(AVERAGE(F9:F13),2)</f>
        <v>2245.47</v>
      </c>
      <c r="G62" s="1062">
        <f t="shared" si="2">ROUNDDOWN(AVERAGE(G9:G13),2)</f>
        <v>16719.19</v>
      </c>
      <c r="H62" s="1062">
        <f t="shared" si="2">ROUNDDOWN(AVERAGE(H9:H13),2)</f>
        <v>1727.98</v>
      </c>
      <c r="I62" s="1062">
        <f t="shared" si="2">ROUNDDOWN(AVERAGE(I9:I13),2)</f>
        <v>210.7</v>
      </c>
      <c r="J62" s="1062">
        <f t="shared" si="2">ROUNDDOWN(AVERAGE(J9:J13),2)</f>
        <v>124.8</v>
      </c>
      <c r="K62" s="1062">
        <f t="shared" si="2">ROUNDDOWN(AVERAGE(K9:K13),2)</f>
        <v>45066.85</v>
      </c>
      <c r="L62" s="1062">
        <f t="shared" si="2">ROUNDDOWN(AVERAGE(L9:L13),2)</f>
        <v>12.55</v>
      </c>
      <c r="M62" s="1062">
        <f t="shared" si="2">ROUNDDOWN(AVERAGE(M9:M13),2)</f>
        <v>3459.58</v>
      </c>
      <c r="N62" s="1062">
        <f t="shared" si="2">ROUNDDOWN(AVERAGE(N9:N13),2)</f>
        <v>10.17</v>
      </c>
      <c r="O62" s="1062">
        <f t="shared" si="2">ROUNDDOWN(AVERAGE(O9:O13),2)</f>
        <v>9900.85</v>
      </c>
      <c r="P62" s="1062">
        <f t="shared" si="2">ROUNDDOWN(AVERAGE(P9:P13),2)</f>
        <v>1604.66</v>
      </c>
      <c r="Q62" s="1062">
        <f t="shared" si="2">ROUNDDOWN(AVERAGE(Q9:Q13),2)</f>
        <v>122.02</v>
      </c>
      <c r="R62" s="1062">
        <f t="shared" si="2">ROUNDDOWN(AVERAGE(R9:R13),2)</f>
        <v>261.8</v>
      </c>
      <c r="S62" s="1062">
        <f t="shared" si="2">ROUNDDOWN(AVERAGE(S9:S13),2)</f>
        <v>3603.55</v>
      </c>
      <c r="T62" s="1062">
        <f t="shared" si="2">ROUNDDOWN(AVERAGE(T9:T13),2)</f>
        <v>10263.14</v>
      </c>
      <c r="U62" s="1062">
        <f t="shared" si="2">ROUNDDOWN(AVERAGE(U9:U13),2)</f>
        <v>87.43</v>
      </c>
      <c r="V62" s="1062">
        <f t="shared" si="2">ROUNDDOWN(AVERAGE(V9:V13),2)</f>
        <v>1690.68</v>
      </c>
      <c r="W62" s="1062">
        <f t="shared" si="2">ROUNDDOWN(AVERAGE(W9:W13),2)</f>
        <v>14452.5</v>
      </c>
      <c r="X62" s="1062">
        <f t="shared" si="2">ROUNDDOWN(AVERAGE(X9:X13),2)</f>
        <v>429.38</v>
      </c>
      <c r="Y62" s="1062">
        <f t="shared" si="2">ROUNDDOWN(AVERAGE(Y9:Y13),2)</f>
        <v>18964.46</v>
      </c>
      <c r="Z62" s="1062">
        <f t="shared" si="2">ROUNDDOWN(AVERAGE(Z9:Z13),2)</f>
        <v>13514.8</v>
      </c>
    </row>
    <row r="63" spans="1:26" s="1197" customFormat="1">
      <c r="A63" s="1212" t="s">
        <v>1280</v>
      </c>
      <c r="B63" s="1062">
        <f t="shared" si="3" ref="B63:Z63">ROUNDDOWN(AVERAGE(B13:B17),2)</f>
        <v>10726.72</v>
      </c>
      <c r="C63" s="1062">
        <f t="shared" si="3">ROUNDDOWN(AVERAGE(C13:C17),2)</f>
        <v>10418.53</v>
      </c>
      <c r="D63" s="1062">
        <f t="shared" si="3">ROUNDDOWN(AVERAGE(D13:D17),2)</f>
        <v>10677.04</v>
      </c>
      <c r="E63" s="1062">
        <f t="shared" si="3">ROUNDDOWN(AVERAGE(E13:E17),2)</f>
        <v>2169.83</v>
      </c>
      <c r="F63" s="1062">
        <f t="shared" si="3">ROUNDDOWN(AVERAGE(F13:F17),2)</f>
        <v>2272.25</v>
      </c>
      <c r="G63" s="1062">
        <f t="shared" si="3">ROUNDDOWN(AVERAGE(G13:G17),2)</f>
        <v>16916.73</v>
      </c>
      <c r="H63" s="1062">
        <f t="shared" si="3">ROUNDDOWN(AVERAGE(H13:H17),2)</f>
        <v>1753.27</v>
      </c>
      <c r="I63" s="1062">
        <f t="shared" si="3">ROUNDDOWN(AVERAGE(I13:I17),2)</f>
        <v>211.34</v>
      </c>
      <c r="J63" s="1062">
        <f t="shared" si="3">ROUNDDOWN(AVERAGE(J13:J17),2)</f>
        <v>129.28</v>
      </c>
      <c r="K63" s="1062">
        <f t="shared" si="3">ROUNDDOWN(AVERAGE(K13:K17),2)</f>
        <v>45774.32</v>
      </c>
      <c r="L63" s="1062">
        <f t="shared" si="3">ROUNDDOWN(AVERAGE(L13:L17),2)</f>
        <v>12.79</v>
      </c>
      <c r="M63" s="1062">
        <f t="shared" si="3">ROUNDDOWN(AVERAGE(M13:M17),2)</f>
        <v>3513.54</v>
      </c>
      <c r="N63" s="1062">
        <f t="shared" si="3">ROUNDDOWN(AVERAGE(N13:N17),2)</f>
        <v>10.32</v>
      </c>
      <c r="O63" s="1062">
        <f t="shared" si="3">ROUNDDOWN(AVERAGE(O13:O17),2)</f>
        <v>9996.34</v>
      </c>
      <c r="P63" s="1062">
        <f t="shared" si="3">ROUNDDOWN(AVERAGE(P13:P17),2)</f>
        <v>1726.01</v>
      </c>
      <c r="Q63" s="1062">
        <f t="shared" si="3">ROUNDDOWN(AVERAGE(Q13:Q17),2)</f>
        <v>124.02</v>
      </c>
      <c r="R63" s="1062">
        <f t="shared" si="3">ROUNDDOWN(AVERAGE(R13:R17),2)</f>
        <v>264.05</v>
      </c>
      <c r="S63" s="1062">
        <f t="shared" si="3">ROUNDDOWN(AVERAGE(S13:S17),2)</f>
        <v>3662.22</v>
      </c>
      <c r="T63" s="1062">
        <f t="shared" si="3">ROUNDDOWN(AVERAGE(T13:T17),2)</f>
        <v>10425.79</v>
      </c>
      <c r="U63" s="1062">
        <f t="shared" si="3">ROUNDDOWN(AVERAGE(U13:U17),2)</f>
        <v>88.35</v>
      </c>
      <c r="V63" s="1062">
        <f t="shared" si="3">ROUNDDOWN(AVERAGE(V13:V17),2)</f>
        <v>1673.19</v>
      </c>
      <c r="W63" s="1062">
        <f t="shared" si="3">ROUNDDOWN(AVERAGE(W13:W17),2)</f>
        <v>14558.77</v>
      </c>
      <c r="X63" s="1062">
        <f t="shared" si="3">ROUNDDOWN(AVERAGE(X13:X17),2)</f>
        <v>437.95</v>
      </c>
      <c r="Y63" s="1062">
        <f t="shared" si="3">ROUNDDOWN(AVERAGE(Y13:Y17),2)</f>
        <v>19089.38</v>
      </c>
      <c r="Z63" s="1062">
        <f t="shared" si="3">ROUNDDOWN(AVERAGE(Z13:Z17),2)</f>
        <v>13735</v>
      </c>
    </row>
    <row r="64" spans="1:26" s="1197" customFormat="1">
      <c r="A64" s="1212" t="s">
        <v>1281</v>
      </c>
      <c r="B64" s="1062">
        <f t="shared" si="4" ref="B64:Z64">ROUNDDOWN(AVERAGE(B17:B21),2)</f>
        <v>10642.19</v>
      </c>
      <c r="C64" s="1062">
        <f t="shared" si="4">ROUNDDOWN(AVERAGE(C17:C21),2)</f>
        <v>10455.17</v>
      </c>
      <c r="D64" s="1062">
        <f t="shared" si="4">ROUNDDOWN(AVERAGE(D17:D21),2)</f>
        <v>10872.05</v>
      </c>
      <c r="E64" s="1062">
        <f t="shared" si="4">ROUNDDOWN(AVERAGE(E17:E21),2)</f>
        <v>2194.5</v>
      </c>
      <c r="F64" s="1062">
        <f t="shared" si="4">ROUNDDOWN(AVERAGE(F17:F21),2)</f>
        <v>2278.78</v>
      </c>
      <c r="G64" s="1062">
        <f t="shared" si="4">ROUNDDOWN(AVERAGE(G17:G21),2)</f>
        <v>16985.99</v>
      </c>
      <c r="H64" s="1062">
        <f t="shared" si="4">ROUNDDOWN(AVERAGE(H17:H21),2)</f>
        <v>1758.17</v>
      </c>
      <c r="I64" s="1062">
        <f t="shared" si="4">ROUNDDOWN(AVERAGE(I17:I21),2)</f>
        <v>210.79</v>
      </c>
      <c r="J64" s="1062">
        <f t="shared" si="4">ROUNDDOWN(AVERAGE(J17:J21),2)</f>
        <v>129.1</v>
      </c>
      <c r="K64" s="1062">
        <f t="shared" si="4">ROUNDDOWN(AVERAGE(K17:K21),2)</f>
        <v>45991.6</v>
      </c>
      <c r="L64" s="1062">
        <f t="shared" si="4">ROUNDDOWN(AVERAGE(L17:L21),2)</f>
        <v>12.92</v>
      </c>
      <c r="M64" s="1062">
        <f t="shared" si="4">ROUNDDOWN(AVERAGE(M17:M21),2)</f>
        <v>3554.45</v>
      </c>
      <c r="N64" s="1062">
        <f t="shared" si="4">ROUNDDOWN(AVERAGE(N17:N21),2)</f>
        <v>10.43</v>
      </c>
      <c r="O64" s="1062">
        <f t="shared" si="4">ROUNDDOWN(AVERAGE(O17:O21),2)</f>
        <v>10059.97</v>
      </c>
      <c r="P64" s="1062">
        <f t="shared" si="4">ROUNDDOWN(AVERAGE(P17:P21),2)</f>
        <v>1767.75</v>
      </c>
      <c r="Q64" s="1062">
        <f t="shared" si="4">ROUNDDOWN(AVERAGE(Q17:Q21),2)</f>
        <v>119.23</v>
      </c>
      <c r="R64" s="1062">
        <f t="shared" si="4">ROUNDDOWN(AVERAGE(R17:R21),2)</f>
        <v>264.87</v>
      </c>
      <c r="S64" s="1062">
        <f t="shared" si="4">ROUNDDOWN(AVERAGE(S17:S21),2)</f>
        <v>3679.31</v>
      </c>
      <c r="T64" s="1062">
        <f t="shared" si="4">ROUNDDOWN(AVERAGE(T17:T21),2)</f>
        <v>10500.96</v>
      </c>
      <c r="U64" s="1062">
        <f t="shared" si="4">ROUNDDOWN(AVERAGE(U17:U21),2)</f>
        <v>88.46</v>
      </c>
      <c r="V64" s="1062">
        <f t="shared" si="4">ROUNDDOWN(AVERAGE(V17:V21),2)</f>
        <v>1639.37</v>
      </c>
      <c r="W64" s="1062">
        <f t="shared" si="4">ROUNDDOWN(AVERAGE(W17:W21),2)</f>
        <v>14304.9</v>
      </c>
      <c r="X64" s="1062">
        <f t="shared" si="4">ROUNDDOWN(AVERAGE(X17:X21),2)</f>
        <v>441.24</v>
      </c>
      <c r="Y64" s="1062">
        <f t="shared" si="4">ROUNDDOWN(AVERAGE(Y17:Y21),2)</f>
        <v>19494.67</v>
      </c>
      <c r="Z64" s="1062">
        <f t="shared" si="4">ROUNDDOWN(AVERAGE(Z17:Z21),2)</f>
        <v>13798.66</v>
      </c>
    </row>
    <row r="65" spans="1:26" s="1197" customFormat="1">
      <c r="A65" s="1212" t="s">
        <v>1282</v>
      </c>
      <c r="B65" s="1062">
        <f t="shared" si="5" ref="B65:Z65">ROUNDDOWN(AVERAGE(B21:B26),2)</f>
        <v>10590.74</v>
      </c>
      <c r="C65" s="1062">
        <f t="shared" si="5">ROUNDDOWN(AVERAGE(C21:C26),2)</f>
        <v>10543.8</v>
      </c>
      <c r="D65" s="1062">
        <f t="shared" si="5">ROUNDDOWN(AVERAGE(D21:D26),2)</f>
        <v>10910.41</v>
      </c>
      <c r="E65" s="1062">
        <f t="shared" si="5">ROUNDDOWN(AVERAGE(E21:E26),2)</f>
        <v>2207.84</v>
      </c>
      <c r="F65" s="1062">
        <f t="shared" si="5">ROUNDDOWN(AVERAGE(F21:F26),2)</f>
        <v>2248.46</v>
      </c>
      <c r="G65" s="1062">
        <f t="shared" si="5">ROUNDDOWN(AVERAGE(G21:G26),2)</f>
        <v>16748.45</v>
      </c>
      <c r="H65" s="1062">
        <f t="shared" si="5">ROUNDDOWN(AVERAGE(H21:H26),2)</f>
        <v>1783.53</v>
      </c>
      <c r="I65" s="1062">
        <f t="shared" si="5">ROUNDDOWN(AVERAGE(I21:I26),2)</f>
        <v>208.44</v>
      </c>
      <c r="J65" s="1062">
        <f t="shared" si="5">ROUNDDOWN(AVERAGE(J21:J26),2)</f>
        <v>127.92</v>
      </c>
      <c r="K65" s="1062">
        <f t="shared" si="5">ROUNDDOWN(AVERAGE(K21:K26),2)</f>
        <v>46447.51</v>
      </c>
      <c r="L65" s="1062">
        <f t="shared" si="5">ROUNDDOWN(AVERAGE(L21:L26),2)</f>
        <v>13.01</v>
      </c>
      <c r="M65" s="1062">
        <f t="shared" si="5">ROUNDDOWN(AVERAGE(M21:M26),2)</f>
        <v>3550.87</v>
      </c>
      <c r="N65" s="1062">
        <f t="shared" si="5">ROUNDDOWN(AVERAGE(N21:N26),2)</f>
        <v>10.47</v>
      </c>
      <c r="O65" s="1062">
        <f t="shared" si="5">ROUNDDOWN(AVERAGE(O21:O26),2)</f>
        <v>9822.92</v>
      </c>
      <c r="P65" s="1062">
        <f t="shared" si="5">ROUNDDOWN(AVERAGE(P21:P26),2)</f>
        <v>1746.42</v>
      </c>
      <c r="Q65" s="1062">
        <f t="shared" si="5">ROUNDDOWN(AVERAGE(Q21:Q26),2)</f>
        <v>102.96</v>
      </c>
      <c r="R65" s="1062">
        <f t="shared" si="5">ROUNDDOWN(AVERAGE(R21:R26),2)</f>
        <v>268.32</v>
      </c>
      <c r="S65" s="1062">
        <f t="shared" si="5">ROUNDDOWN(AVERAGE(S21:S26),2)</f>
        <v>3732.37</v>
      </c>
      <c r="T65" s="1062">
        <f t="shared" si="5">ROUNDDOWN(AVERAGE(T21:T26),2)</f>
        <v>10501.47</v>
      </c>
      <c r="U65" s="1062">
        <f t="shared" si="5">ROUNDDOWN(AVERAGE(U21:U26),2)</f>
        <v>88.82</v>
      </c>
      <c r="V65" s="1062">
        <f t="shared" si="5">ROUNDDOWN(AVERAGE(V21:V26),2)</f>
        <v>1615.07</v>
      </c>
      <c r="W65" s="1062">
        <f t="shared" si="5">ROUNDDOWN(AVERAGE(W21:W26),2)</f>
        <v>14108.19</v>
      </c>
      <c r="X65" s="1062">
        <f t="shared" si="5">ROUNDDOWN(AVERAGE(X21:X26),2)</f>
        <v>440.36</v>
      </c>
      <c r="Y65" s="1062">
        <f t="shared" si="5">ROUNDDOWN(AVERAGE(Y21:Y26),2)</f>
        <v>19089.97</v>
      </c>
      <c r="Z65" s="1062">
        <f t="shared" si="5">ROUNDDOWN(AVERAGE(Z21:Z26),2)</f>
        <v>13997.83</v>
      </c>
    </row>
    <row r="66" spans="1:26" s="1197" customFormat="1">
      <c r="A66" s="1212" t="s">
        <v>1283</v>
      </c>
      <c r="B66" s="1062">
        <f t="shared" si="6" ref="B66:Z66">ROUNDDOWN(AVERAGE(B26:B28),2)</f>
        <v>10575.35</v>
      </c>
      <c r="C66" s="1062">
        <f t="shared" si="6">ROUNDDOWN(AVERAGE(C26:C28),2)</f>
        <v>10496.63</v>
      </c>
      <c r="D66" s="1062">
        <f t="shared" si="6">ROUNDDOWN(AVERAGE(D26:D28),2)</f>
        <v>10781.42</v>
      </c>
      <c r="E66" s="1062">
        <f t="shared" si="6">ROUNDDOWN(AVERAGE(E26:E28),2)</f>
        <v>2185.66</v>
      </c>
      <c r="F66" s="1062">
        <f t="shared" si="6">ROUNDDOWN(AVERAGE(F26:F28),2)</f>
        <v>2204.52</v>
      </c>
      <c r="G66" s="1062">
        <f t="shared" si="6">ROUNDDOWN(AVERAGE(G26:G28),2)</f>
        <v>16419.81</v>
      </c>
      <c r="H66" s="1062">
        <f t="shared" si="6">ROUNDDOWN(AVERAGE(H26:H28),2)</f>
        <v>1791.53</v>
      </c>
      <c r="I66" s="1062">
        <f t="shared" si="6">ROUNDDOWN(AVERAGE(I26:I28),2)</f>
        <v>207.33</v>
      </c>
      <c r="J66" s="1062">
        <f t="shared" si="6">ROUNDDOWN(AVERAGE(J26:J28),2)</f>
        <v>128.11</v>
      </c>
      <c r="K66" s="1062">
        <f t="shared" si="6">ROUNDDOWN(AVERAGE(K26:K28),2)</f>
        <v>46489.86</v>
      </c>
      <c r="L66" s="1062">
        <f t="shared" si="6">ROUNDDOWN(AVERAGE(L26:L28),2)</f>
        <v>12.92</v>
      </c>
      <c r="M66" s="1062">
        <f t="shared" si="6">ROUNDDOWN(AVERAGE(M26:M28),2)</f>
        <v>3523.27</v>
      </c>
      <c r="N66" s="1062">
        <f t="shared" si="6">ROUNDDOWN(AVERAGE(N26:N28),2)</f>
        <v>10.36</v>
      </c>
      <c r="O66" s="1062">
        <f t="shared" si="6">ROUNDDOWN(AVERAGE(O26:O28),2)</f>
        <v>9757.32</v>
      </c>
      <c r="P66" s="1062">
        <f t="shared" si="6">ROUNDDOWN(AVERAGE(P26:P28),2)</f>
        <v>1728.8</v>
      </c>
      <c r="Q66" s="1062">
        <f t="shared" si="6">ROUNDDOWN(AVERAGE(Q26:Q28),2)</f>
        <v>119.48</v>
      </c>
      <c r="R66" s="1062">
        <f t="shared" si="6">ROUNDDOWN(AVERAGE(R26:R28),2)</f>
        <v>266.12</v>
      </c>
      <c r="S66" s="1062">
        <f t="shared" si="6">ROUNDDOWN(AVERAGE(S26:S28),2)</f>
        <v>3748.44</v>
      </c>
      <c r="T66" s="1062">
        <f t="shared" si="6">ROUNDDOWN(AVERAGE(T26:T28),2)</f>
        <v>10443.42</v>
      </c>
      <c r="U66" s="1062">
        <f t="shared" si="6">ROUNDDOWN(AVERAGE(U26:U28),2)</f>
        <v>88.67</v>
      </c>
      <c r="V66" s="1062">
        <f t="shared" si="6">ROUNDDOWN(AVERAGE(V26:V28),2)</f>
        <v>1597.71</v>
      </c>
      <c r="W66" s="1062">
        <f t="shared" si="6">ROUNDDOWN(AVERAGE(W26:W28),2)</f>
        <v>14197.12</v>
      </c>
      <c r="X66" s="1062">
        <f t="shared" si="6">ROUNDDOWN(AVERAGE(X26:X28),2)</f>
        <v>435.23</v>
      </c>
      <c r="Y66" s="1062">
        <f t="shared" si="6">ROUNDDOWN(AVERAGE(Y26:Y28),2)</f>
        <v>18704.09</v>
      </c>
      <c r="Z66" s="1062">
        <f t="shared" si="6">ROUNDDOWN(AVERAGE(Z26:Z28),2)</f>
        <v>14058.33</v>
      </c>
    </row>
    <row r="67" spans="1:26" s="1197" customFormat="1">
      <c r="A67" s="1212" t="s">
        <v>1284</v>
      </c>
      <c r="B67" s="1062">
        <f t="shared" si="7" ref="B67:Z67">ROUNDDOWN(AVERAGE(B28:B32),2)</f>
        <v>10605.25</v>
      </c>
      <c r="C67" s="1062">
        <f t="shared" si="7">ROUNDDOWN(AVERAGE(C28:C32),2)</f>
        <v>10568.99</v>
      </c>
      <c r="D67" s="1062">
        <f t="shared" si="7">ROUNDDOWN(AVERAGE(D28:D32),2)</f>
        <v>10857.75</v>
      </c>
      <c r="E67" s="1062">
        <f t="shared" si="7">ROUNDDOWN(AVERAGE(E28:E32),2)</f>
        <v>2153.61</v>
      </c>
      <c r="F67" s="1062">
        <f t="shared" si="7">ROUNDDOWN(AVERAGE(F28:F32),2)</f>
        <v>2244.32</v>
      </c>
      <c r="G67" s="1062">
        <f t="shared" si="7">ROUNDDOWN(AVERAGE(G28:G32),2)</f>
        <v>16725.74</v>
      </c>
      <c r="H67" s="1062">
        <f t="shared" si="7">ROUNDDOWN(AVERAGE(H28:H32),2)</f>
        <v>1825.92</v>
      </c>
      <c r="I67" s="1062">
        <f t="shared" si="7">ROUNDDOWN(AVERAGE(I28:I32),2)</f>
        <v>208.99</v>
      </c>
      <c r="J67" s="1062">
        <f t="shared" si="7">ROUNDDOWN(AVERAGE(J28:J32),2)</f>
        <v>129.01</v>
      </c>
      <c r="K67" s="1062">
        <f t="shared" si="7">ROUNDDOWN(AVERAGE(K28:K32),2)</f>
        <v>47335.99</v>
      </c>
      <c r="L67" s="1062">
        <f t="shared" si="7">ROUNDDOWN(AVERAGE(L28:L32),2)</f>
        <v>12.79</v>
      </c>
      <c r="M67" s="1062">
        <f t="shared" si="7">ROUNDDOWN(AVERAGE(M28:M32),2)</f>
        <v>3548.62</v>
      </c>
      <c r="N67" s="1062">
        <f t="shared" si="7">ROUNDDOWN(AVERAGE(N28:N32),2)</f>
        <v>10.24</v>
      </c>
      <c r="O67" s="1062">
        <f t="shared" si="7">ROUNDDOWN(AVERAGE(O28:O32),2)</f>
        <v>9758.63</v>
      </c>
      <c r="P67" s="1062">
        <f t="shared" si="7">ROUNDDOWN(AVERAGE(P28:P32),2)</f>
        <v>1763.2</v>
      </c>
      <c r="Q67" s="1062">
        <f t="shared" si="7">ROUNDDOWN(AVERAGE(Q28:Q32),2)</f>
        <v>116.53</v>
      </c>
      <c r="R67" s="1062">
        <f t="shared" si="7">ROUNDDOWN(AVERAGE(R28:R32),2)</f>
        <v>268.02</v>
      </c>
      <c r="S67" s="1062">
        <f t="shared" si="7">ROUNDDOWN(AVERAGE(S28:S32),2)</f>
        <v>3820.86</v>
      </c>
      <c r="T67" s="1062">
        <f t="shared" si="7">ROUNDDOWN(AVERAGE(T28:T32),2)</f>
        <v>10514.69</v>
      </c>
      <c r="U67" s="1062">
        <f t="shared" si="7">ROUNDDOWN(AVERAGE(U28:U32),2)</f>
        <v>90.01</v>
      </c>
      <c r="V67" s="1062">
        <f t="shared" si="7">ROUNDDOWN(AVERAGE(V28:V32),2)</f>
        <v>1618.13</v>
      </c>
      <c r="W67" s="1062">
        <f t="shared" si="7">ROUNDDOWN(AVERAGE(W28:W32),2)</f>
        <v>14418.25</v>
      </c>
      <c r="X67" s="1062">
        <f t="shared" si="7">ROUNDDOWN(AVERAGE(X28:X32),2)</f>
        <v>432.21</v>
      </c>
      <c r="Y67" s="1062">
        <f t="shared" si="7">ROUNDDOWN(AVERAGE(Y28:Y32),2)</f>
        <v>18904.41</v>
      </c>
      <c r="Z67" s="1062">
        <f t="shared" si="7">ROUNDDOWN(AVERAGE(Z28:Z32),2)</f>
        <v>14329.8</v>
      </c>
    </row>
    <row r="68" spans="1:26" s="1197" customFormat="1">
      <c r="A68" s="1212" t="s">
        <v>1285</v>
      </c>
      <c r="B68" s="1062">
        <f t="shared" si="8" ref="B68:Z68">ROUNDDOWN(AVERAGE(B33:B37),2)</f>
        <v>10676.62</v>
      </c>
      <c r="C68" s="1062">
        <f t="shared" si="8">ROUNDDOWN(AVERAGE(C33:C37),2)</f>
        <v>10673.03</v>
      </c>
      <c r="D68" s="1062">
        <f t="shared" si="8">ROUNDDOWN(AVERAGE(D33:D37),2)</f>
        <v>11131.09</v>
      </c>
      <c r="E68" s="1062">
        <f t="shared" si="8">ROUNDDOWN(AVERAGE(E33:E37),2)</f>
        <v>2121.86</v>
      </c>
      <c r="F68" s="1062">
        <f t="shared" si="8">ROUNDDOWN(AVERAGE(F33:F37),2)</f>
        <v>2251.88</v>
      </c>
      <c r="G68" s="1062">
        <f t="shared" si="8">ROUNDDOWN(AVERAGE(G33:G37),2)</f>
        <v>16786.86</v>
      </c>
      <c r="H68" s="1062">
        <f t="shared" si="8">ROUNDDOWN(AVERAGE(H33:H37),2)</f>
        <v>1850.32</v>
      </c>
      <c r="I68" s="1062">
        <f t="shared" si="8">ROUNDDOWN(AVERAGE(I33:I37),2)</f>
        <v>209.69</v>
      </c>
      <c r="J68" s="1062">
        <f t="shared" si="8">ROUNDDOWN(AVERAGE(J33:J37),2)</f>
        <v>130.77</v>
      </c>
      <c r="K68" s="1062">
        <f t="shared" si="8">ROUNDDOWN(AVERAGE(K33:K37),2)</f>
        <v>47927.99</v>
      </c>
      <c r="L68" s="1062">
        <f t="shared" si="8">ROUNDDOWN(AVERAGE(L33:L37),2)</f>
        <v>12.93</v>
      </c>
      <c r="M68" s="1062">
        <f t="shared" si="8">ROUNDDOWN(AVERAGE(M33:M37),2)</f>
        <v>3555.54</v>
      </c>
      <c r="N68" s="1062">
        <f t="shared" si="8">ROUNDDOWN(AVERAGE(N33:N37),2)</f>
        <v>9.88</v>
      </c>
      <c r="O68" s="1062">
        <f t="shared" si="8">ROUNDDOWN(AVERAGE(O33:O37),2)</f>
        <v>9727.59</v>
      </c>
      <c r="P68" s="1062">
        <f t="shared" si="8">ROUNDDOWN(AVERAGE(P33:P37),2)</f>
        <v>1750.59</v>
      </c>
      <c r="Q68" s="1062">
        <f t="shared" si="8">ROUNDDOWN(AVERAGE(Q33:Q37),2)</f>
        <v>116.83</v>
      </c>
      <c r="R68" s="1062">
        <f t="shared" si="8">ROUNDDOWN(AVERAGE(R33:R37),2)</f>
        <v>272.75</v>
      </c>
      <c r="S68" s="1062">
        <f t="shared" si="8">ROUNDDOWN(AVERAGE(S33:S37),2)</f>
        <v>3872.46</v>
      </c>
      <c r="T68" s="1062">
        <f t="shared" si="8">ROUNDDOWN(AVERAGE(T33:T37),2)</f>
        <v>10620.15</v>
      </c>
      <c r="U68" s="1062">
        <f t="shared" si="8">ROUNDDOWN(AVERAGE(U33:U37),2)</f>
        <v>90.71</v>
      </c>
      <c r="V68" s="1062">
        <f t="shared" si="8">ROUNDDOWN(AVERAGE(V33:V37),2)</f>
        <v>1614.28</v>
      </c>
      <c r="W68" s="1062">
        <f t="shared" si="8">ROUNDDOWN(AVERAGE(W33:W37),2)</f>
        <v>14646.4</v>
      </c>
      <c r="X68" s="1062">
        <f t="shared" si="8">ROUNDDOWN(AVERAGE(X33:X37),2)</f>
        <v>438.05</v>
      </c>
      <c r="Y68" s="1062">
        <f t="shared" si="8">ROUNDDOWN(AVERAGE(Y33:Y37),2)</f>
        <v>18752.9</v>
      </c>
      <c r="Z68" s="1062">
        <f t="shared" si="8">ROUNDDOWN(AVERAGE(Z33:Z37),2)</f>
        <v>14524</v>
      </c>
    </row>
    <row r="69" spans="1:26" s="1197" customFormat="1">
      <c r="A69" s="1212" t="s">
        <v>1286</v>
      </c>
      <c r="B69" s="1062">
        <f t="shared" si="9" ref="B69:Z69">ROUNDDOWN(AVERAGE(B38:B41),2)</f>
        <v>10695.03</v>
      </c>
      <c r="C69" s="1062">
        <f t="shared" si="9">ROUNDDOWN(AVERAGE(C38:C41),2)</f>
        <v>10880.82</v>
      </c>
      <c r="D69" s="1062">
        <f t="shared" si="9">ROUNDDOWN(AVERAGE(D38:D41),2)</f>
        <v>11379.56</v>
      </c>
      <c r="E69" s="1062">
        <f t="shared" si="9">ROUNDDOWN(AVERAGE(E38:E41),2)</f>
        <v>2165.26</v>
      </c>
      <c r="F69" s="1062">
        <f t="shared" si="9">ROUNDDOWN(AVERAGE(F38:F41),2)</f>
        <v>2319.06</v>
      </c>
      <c r="G69" s="1062">
        <f t="shared" si="9">ROUNDDOWN(AVERAGE(G38:G41),2)</f>
        <v>17295.08</v>
      </c>
      <c r="H69" s="1062">
        <f t="shared" si="9">ROUNDDOWN(AVERAGE(H38:H41),2)</f>
        <v>1891.91</v>
      </c>
      <c r="I69" s="1062">
        <f t="shared" si="9">ROUNDDOWN(AVERAGE(I38:I41),2)</f>
        <v>206.62</v>
      </c>
      <c r="J69" s="1062">
        <f t="shared" si="9">ROUNDDOWN(AVERAGE(J38:J41),2)</f>
        <v>132.86</v>
      </c>
      <c r="K69" s="1062">
        <f t="shared" si="9">ROUNDDOWN(AVERAGE(K38:K41),2)</f>
        <v>48998.78</v>
      </c>
      <c r="L69" s="1062">
        <f t="shared" si="9">ROUNDDOWN(AVERAGE(L38:L41),2)</f>
        <v>13.25</v>
      </c>
      <c r="M69" s="1062">
        <f t="shared" si="9">ROUNDDOWN(AVERAGE(M38:M41),2)</f>
        <v>3587.48</v>
      </c>
      <c r="N69" s="1062">
        <f t="shared" si="9">ROUNDDOWN(AVERAGE(N38:N41),2)</f>
        <v>9.52</v>
      </c>
      <c r="O69" s="1062">
        <f t="shared" si="9">ROUNDDOWN(AVERAGE(O38:O41),2)</f>
        <v>9800.71</v>
      </c>
      <c r="P69" s="1062">
        <f t="shared" si="9">ROUNDDOWN(AVERAGE(P38:P41),2)</f>
        <v>1791.17</v>
      </c>
      <c r="Q69" s="1062">
        <f t="shared" si="9">ROUNDDOWN(AVERAGE(Q38:Q41),2)</f>
        <v>120.17</v>
      </c>
      <c r="R69" s="1062">
        <f t="shared" si="9">ROUNDDOWN(AVERAGE(R38:R41),2)</f>
        <v>275.48</v>
      </c>
      <c r="S69" s="1062">
        <f t="shared" si="9">ROUNDDOWN(AVERAGE(S38:S41),2)</f>
        <v>3955.8</v>
      </c>
      <c r="T69" s="1062">
        <f t="shared" si="9">ROUNDDOWN(AVERAGE(T38:T41),2)</f>
        <v>10819.39</v>
      </c>
      <c r="U69" s="1062">
        <f t="shared" si="9">ROUNDDOWN(AVERAGE(U38:U41),2)</f>
        <v>90.54</v>
      </c>
      <c r="V69" s="1062">
        <f t="shared" si="9">ROUNDDOWN(AVERAGE(V38:V41),2)</f>
        <v>1650.39</v>
      </c>
      <c r="W69" s="1062">
        <f t="shared" si="9">ROUNDDOWN(AVERAGE(W38:W41),2)</f>
        <v>15341.05</v>
      </c>
      <c r="X69" s="1062">
        <f t="shared" si="9">ROUNDDOWN(AVERAGE(X38:X41),2)</f>
        <v>454.43</v>
      </c>
      <c r="Y69" s="1062">
        <f t="shared" si="9">ROUNDDOWN(AVERAGE(Y38:Y41),2)</f>
        <v>19324.95</v>
      </c>
      <c r="Z69" s="1062">
        <f t="shared" si="9">ROUNDDOWN(AVERAGE(Z38:Z41),2)</f>
        <v>14837.5</v>
      </c>
    </row>
    <row r="70" spans="1:26" s="1197" customFormat="1">
      <c r="A70" s="1212" t="s">
        <v>1287</v>
      </c>
      <c r="B70" s="1062">
        <f t="shared" si="10" ref="B70:Z70">ROUNDDOWN(AVERAGE(B41:B46),2)</f>
        <v>10783.55</v>
      </c>
      <c r="C70" s="1062">
        <f t="shared" si="10">ROUNDDOWN(AVERAGE(C41:C46),2)</f>
        <v>11033.47</v>
      </c>
      <c r="D70" s="1062">
        <f t="shared" si="10">ROUNDDOWN(AVERAGE(D41:D46),2)</f>
        <v>11612.37</v>
      </c>
      <c r="E70" s="1062">
        <f t="shared" si="10">ROUNDDOWN(AVERAGE(E41:E46),2)</f>
        <v>2183.42</v>
      </c>
      <c r="F70" s="1062">
        <f t="shared" si="10">ROUNDDOWN(AVERAGE(F41:F46),2)</f>
        <v>2335.51</v>
      </c>
      <c r="G70" s="1062">
        <f t="shared" si="10">ROUNDDOWN(AVERAGE(G41:G46),2)</f>
        <v>17421.32</v>
      </c>
      <c r="H70" s="1062">
        <f t="shared" si="10">ROUNDDOWN(AVERAGE(H41:H46),2)</f>
        <v>1925.18</v>
      </c>
      <c r="I70" s="1062">
        <f t="shared" si="10">ROUNDDOWN(AVERAGE(I41:I46),2)</f>
        <v>206.02</v>
      </c>
      <c r="J70" s="1062">
        <f t="shared" si="10">ROUNDDOWN(AVERAGE(J41:J46),2)</f>
        <v>133.64</v>
      </c>
      <c r="K70" s="1062">
        <f t="shared" si="10">ROUNDDOWN(AVERAGE(K41:K46),2)</f>
        <v>49733.16</v>
      </c>
      <c r="L70" s="1062">
        <f t="shared" si="10">ROUNDDOWN(AVERAGE(L41:L46),2)</f>
        <v>13.38</v>
      </c>
      <c r="M70" s="1062">
        <f t="shared" si="10">ROUNDDOWN(AVERAGE(M41:M46),2)</f>
        <v>3633.17</v>
      </c>
      <c r="N70" s="1062">
        <f t="shared" si="10">ROUNDDOWN(AVERAGE(N41:N46),2)</f>
        <v>9.58</v>
      </c>
      <c r="O70" s="1062">
        <f t="shared" si="10">ROUNDDOWN(AVERAGE(O41:O46),2)</f>
        <v>9906.44</v>
      </c>
      <c r="P70" s="1062">
        <f t="shared" si="10">ROUNDDOWN(AVERAGE(P41:P46),2)</f>
        <v>1835.39</v>
      </c>
      <c r="Q70" s="1062">
        <f t="shared" si="10">ROUNDDOWN(AVERAGE(Q41:Q46),2)</f>
        <v>117.72</v>
      </c>
      <c r="R70" s="1062">
        <f t="shared" si="10">ROUNDDOWN(AVERAGE(R41:R46),2)</f>
        <v>279.03</v>
      </c>
      <c r="S70" s="1062">
        <f t="shared" si="10">ROUNDDOWN(AVERAGE(S41:S46),2)</f>
        <v>4020.35</v>
      </c>
      <c r="T70" s="1062">
        <f t="shared" si="10">ROUNDDOWN(AVERAGE(T41:T46),2)</f>
        <v>10964.8</v>
      </c>
      <c r="U70" s="1062">
        <f t="shared" si="10">ROUNDDOWN(AVERAGE(U41:U46),2)</f>
        <v>88.46</v>
      </c>
      <c r="V70" s="1062">
        <f t="shared" si="10">ROUNDDOWN(AVERAGE(V41:V46),2)</f>
        <v>1680.14</v>
      </c>
      <c r="W70" s="1062">
        <f t="shared" si="10">ROUNDDOWN(AVERAGE(W41:W46),2)</f>
        <v>15296.5</v>
      </c>
      <c r="X70" s="1062">
        <f t="shared" si="10">ROUNDDOWN(AVERAGE(X41:X46),2)</f>
        <v>462.16</v>
      </c>
      <c r="Y70" s="1062">
        <f t="shared" si="10">ROUNDDOWN(AVERAGE(Y41:Y46),2)</f>
        <v>19664.59</v>
      </c>
      <c r="Z70" s="1062">
        <f t="shared" si="10">ROUNDDOWN(AVERAGE(Z41:Z46),2)</f>
        <v>15080.5</v>
      </c>
    </row>
    <row r="71" spans="1:26" s="1197" customFormat="1">
      <c r="A71" s="1212" t="s">
        <v>1288</v>
      </c>
      <c r="B71" s="1062">
        <f t="shared" si="11" ref="B71:Z71">ROUNDDOWN(AVERAGE(B46:B50),2)</f>
        <v>10677.02</v>
      </c>
      <c r="C71" s="1062">
        <f t="shared" si="11">ROUNDDOWN(AVERAGE(C46:C50),2)</f>
        <v>10825.87</v>
      </c>
      <c r="D71" s="1062">
        <f t="shared" si="11">ROUNDDOWN(AVERAGE(D46:D50),2)</f>
        <v>11267.5</v>
      </c>
      <c r="E71" s="1062">
        <f t="shared" si="11">ROUNDDOWN(AVERAGE(E46:E50),2)</f>
        <v>2137.31</v>
      </c>
      <c r="F71" s="1062">
        <f t="shared" si="11">ROUNDDOWN(AVERAGE(F46:F50),2)</f>
        <v>2258.38</v>
      </c>
      <c r="G71" s="1062">
        <f t="shared" si="11">ROUNDDOWN(AVERAGE(G46:G50),2)</f>
        <v>16849.73</v>
      </c>
      <c r="H71" s="1062">
        <f t="shared" si="11">ROUNDDOWN(AVERAGE(H46:H50),2)</f>
        <v>1893.79</v>
      </c>
      <c r="I71" s="1062">
        <f t="shared" si="11">ROUNDDOWN(AVERAGE(I46:I50),2)</f>
        <v>204.7</v>
      </c>
      <c r="J71" s="1062">
        <f t="shared" si="11">ROUNDDOWN(AVERAGE(J46:J50),2)</f>
        <v>131.1</v>
      </c>
      <c r="K71" s="1062">
        <f t="shared" si="11">ROUNDDOWN(AVERAGE(K46:K50),2)</f>
        <v>48811.34</v>
      </c>
      <c r="L71" s="1062">
        <f t="shared" si="11">ROUNDDOWN(AVERAGE(L46:L50),2)</f>
        <v>13.11</v>
      </c>
      <c r="M71" s="1062">
        <f t="shared" si="11">ROUNDDOWN(AVERAGE(M46:M50),2)</f>
        <v>3546.92</v>
      </c>
      <c r="N71" s="1062">
        <f t="shared" si="11">ROUNDDOWN(AVERAGE(N46:N50),2)</f>
        <v>9.31</v>
      </c>
      <c r="O71" s="1062">
        <f t="shared" si="11">ROUNDDOWN(AVERAGE(O46:O50),2)</f>
        <v>9942.49</v>
      </c>
      <c r="P71" s="1062">
        <f t="shared" si="11">ROUNDDOWN(AVERAGE(P46:P50),2)</f>
        <v>1757.1</v>
      </c>
      <c r="Q71" s="1062">
        <f t="shared" si="11">ROUNDDOWN(AVERAGE(Q46:Q50),2)</f>
        <v>111.25</v>
      </c>
      <c r="R71" s="1062">
        <f t="shared" si="11">ROUNDDOWN(AVERAGE(R46:R50),2)</f>
        <v>279.59</v>
      </c>
      <c r="S71" s="1062">
        <f t="shared" si="11">ROUNDDOWN(AVERAGE(S46:S50),2)</f>
        <v>3954.09</v>
      </c>
      <c r="T71" s="1062">
        <f t="shared" si="11">ROUNDDOWN(AVERAGE(T46:T50),2)</f>
        <v>10766.98</v>
      </c>
      <c r="U71" s="1062">
        <f t="shared" si="11">ROUNDDOWN(AVERAGE(U46:U50),2)</f>
        <v>84.39</v>
      </c>
      <c r="V71" s="1062">
        <f t="shared" si="11">ROUNDDOWN(AVERAGE(V46:V50),2)</f>
        <v>1633.36</v>
      </c>
      <c r="W71" s="1062">
        <f t="shared" si="11">ROUNDDOWN(AVERAGE(W46:W50),2)</f>
        <v>14798</v>
      </c>
      <c r="X71" s="1062">
        <f t="shared" si="11">ROUNDDOWN(AVERAGE(X46:X50),2)</f>
        <v>449.43</v>
      </c>
      <c r="Y71" s="1062">
        <f t="shared" si="11">ROUNDDOWN(AVERAGE(Y46:Y50),2)</f>
        <v>19128</v>
      </c>
      <c r="Z71" s="1062">
        <f t="shared" si="11">ROUNDDOWN(AVERAGE(Z46:Z50),2)</f>
        <v>14833.8</v>
      </c>
    </row>
    <row r="72" spans="1:26" s="1197" customFormat="1">
      <c r="A72" s="1212" t="s">
        <v>1289</v>
      </c>
      <c r="B72" s="1062">
        <f t="shared" si="12" ref="B72:Z72">ROUNDDOWN(AVERAGE(B50:B54),2)</f>
        <v>10508.01</v>
      </c>
      <c r="C72" s="1062">
        <f t="shared" si="12">ROUNDDOWN(AVERAGE(C50:C54),2)</f>
        <v>10620.96</v>
      </c>
      <c r="D72" s="1062">
        <f t="shared" si="12">ROUNDDOWN(AVERAGE(D50:D54),2)</f>
        <v>10893.42</v>
      </c>
      <c r="E72" s="1062">
        <f t="shared" si="12">ROUNDDOWN(AVERAGE(E50:E54),2)</f>
        <v>2099.19</v>
      </c>
      <c r="F72" s="1062">
        <f t="shared" si="12">ROUNDDOWN(AVERAGE(F50:F54),2)</f>
        <v>2205.3</v>
      </c>
      <c r="G72" s="1062">
        <f t="shared" si="12">ROUNDDOWN(AVERAGE(G50:G54),2)</f>
        <v>16459.01</v>
      </c>
      <c r="H72" s="1062">
        <f t="shared" si="12">ROUNDDOWN(AVERAGE(H50:H54),2)</f>
        <v>1853.82</v>
      </c>
      <c r="I72" s="1062">
        <f t="shared" si="12">ROUNDDOWN(AVERAGE(I50:I54),2)</f>
        <v>204.49</v>
      </c>
      <c r="J72" s="1062">
        <f t="shared" si="12">ROUNDDOWN(AVERAGE(J50:J54),2)</f>
        <v>128.07</v>
      </c>
      <c r="K72" s="1062">
        <f t="shared" si="12">ROUNDDOWN(AVERAGE(K50:K54),2)</f>
        <v>47657.02</v>
      </c>
      <c r="L72" s="1062">
        <f t="shared" si="12">ROUNDDOWN(AVERAGE(L50:L54),2)</f>
        <v>12.9</v>
      </c>
      <c r="M72" s="1062">
        <f t="shared" si="12">ROUNDDOWN(AVERAGE(M50:M54),2)</f>
        <v>3469.84</v>
      </c>
      <c r="N72" s="1062">
        <f t="shared" si="12">ROUNDDOWN(AVERAGE(N50:N54),2)</f>
        <v>9.22</v>
      </c>
      <c r="O72" s="1062">
        <f t="shared" si="12">ROUNDDOWN(AVERAGE(O50:O54),2)</f>
        <v>9934.66</v>
      </c>
      <c r="P72" s="1062">
        <f t="shared" si="12">ROUNDDOWN(AVERAGE(P50:P54),2)</f>
        <v>1696.23</v>
      </c>
      <c r="Q72" s="1062">
        <f t="shared" si="12">ROUNDDOWN(AVERAGE(Q50:Q54),2)</f>
        <v>105.57</v>
      </c>
      <c r="R72" s="1062">
        <f t="shared" si="12">ROUNDDOWN(AVERAGE(R50:R54),2)</f>
        <v>275.66</v>
      </c>
      <c r="S72" s="1062">
        <f t="shared" si="12">ROUNDDOWN(AVERAGE(S50:S54),2)</f>
        <v>3862.8</v>
      </c>
      <c r="T72" s="1062">
        <f t="shared" si="12">ROUNDDOWN(AVERAGE(T50:T54),2)</f>
        <v>10567.4</v>
      </c>
      <c r="U72" s="1062">
        <f t="shared" si="12">ROUNDDOWN(AVERAGE(U50:U54),2)</f>
        <v>80.84</v>
      </c>
      <c r="V72" s="1062">
        <f t="shared" si="12">ROUNDDOWN(AVERAGE(V50:V54),2)</f>
        <v>1601.89</v>
      </c>
      <c r="W72" s="1062">
        <f t="shared" si="12">ROUNDDOWN(AVERAGE(W50:W54),2)</f>
        <v>14561.62</v>
      </c>
      <c r="X72" s="1062">
        <f t="shared" si="12">ROUNDDOWN(AVERAGE(X50:X54),2)</f>
        <v>441.08</v>
      </c>
      <c r="Y72" s="1062">
        <f t="shared" si="12">ROUNDDOWN(AVERAGE(Y50:Y54),2)</f>
        <v>18452.85</v>
      </c>
      <c r="Z72" s="1062">
        <f t="shared" si="12">ROUNDDOWN(AVERAGE(Z50:Z54),2)</f>
        <v>14492.8</v>
      </c>
    </row>
    <row r="73" spans="1:26" s="1197" customFormat="1">
      <c r="A73" s="1212"/>
      <c r="B73" s="1062"/>
      <c r="C73" s="1062"/>
      <c r="D73" s="1062"/>
      <c r="E73" s="1062"/>
      <c r="F73" s="1062"/>
      <c r="G73" s="1062"/>
      <c r="H73" s="1062"/>
      <c r="I73" s="1062"/>
      <c r="J73" s="1210"/>
      <c r="K73" s="1062"/>
      <c r="L73" s="1062"/>
      <c r="M73" s="1062"/>
      <c r="N73" s="1062"/>
      <c r="O73" s="1062"/>
      <c r="P73" s="1062"/>
      <c r="Q73" s="1062"/>
      <c r="R73" s="1062"/>
      <c r="S73" s="1062"/>
      <c r="T73" s="1062"/>
      <c r="U73" s="1062"/>
      <c r="V73" s="1062"/>
      <c r="W73" s="1062"/>
      <c r="X73" s="1062"/>
      <c r="Y73" s="1062"/>
      <c r="Z73" s="1063"/>
    </row>
    <row r="74" spans="1:26" s="1197" customFormat="1">
      <c r="A74" s="890" t="s">
        <v>945</v>
      </c>
      <c r="B74" s="1062"/>
      <c r="C74" s="1062"/>
      <c r="D74" s="1062"/>
      <c r="E74" s="1062"/>
      <c r="F74" s="1062"/>
      <c r="G74" s="1062"/>
      <c r="H74" s="1062"/>
      <c r="I74" s="1062"/>
      <c r="J74" s="1210"/>
      <c r="K74" s="1062"/>
      <c r="L74" s="1062"/>
      <c r="M74" s="1062"/>
      <c r="N74" s="1062"/>
      <c r="O74" s="1062"/>
      <c r="P74" s="1062"/>
      <c r="Q74" s="1062"/>
      <c r="R74" s="1062"/>
      <c r="S74" s="1062"/>
      <c r="T74" s="1062"/>
      <c r="U74" s="1062"/>
      <c r="V74" s="1062"/>
      <c r="W74" s="1062"/>
      <c r="X74" s="1062"/>
      <c r="Y74" s="1062"/>
      <c r="Z74" s="1063"/>
    </row>
    <row r="75" spans="1:26" s="1197" customFormat="1">
      <c r="A75" s="1212" t="s">
        <v>1290</v>
      </c>
      <c r="B75" s="1062">
        <f t="shared" si="13" ref="B75:Z75">ROUNDDOWN(AVERAGE(B5:B13),2)</f>
        <v>10656.84</v>
      </c>
      <c r="C75" s="1062">
        <f t="shared" si="13">ROUNDDOWN(AVERAGE(C5:C13),2)</f>
        <v>10199.14</v>
      </c>
      <c r="D75" s="1062">
        <f t="shared" si="13">ROUNDDOWN(AVERAGE(D5:D13),2)</f>
        <v>10786.35</v>
      </c>
      <c r="E75" s="1062">
        <f t="shared" si="13">ROUNDDOWN(AVERAGE(E5:E13),2)</f>
        <v>2108.77</v>
      </c>
      <c r="F75" s="1062">
        <f t="shared" si="13">ROUNDDOWN(AVERAGE(F5:F13),2)</f>
        <v>2215.66</v>
      </c>
      <c r="G75" s="1062">
        <f t="shared" si="13">ROUNDDOWN(AVERAGE(G5:G13),2)</f>
        <v>16497.84</v>
      </c>
      <c r="H75" s="1062">
        <f t="shared" si="13">ROUNDDOWN(AVERAGE(H5:H13),2)</f>
        <v>1723.53</v>
      </c>
      <c r="I75" s="1062">
        <f t="shared" si="13">ROUNDDOWN(AVERAGE(I5:I13),2)</f>
        <v>210.37</v>
      </c>
      <c r="J75" s="1062">
        <f t="shared" si="13">ROUNDDOWN(AVERAGE(J5:J13),2)</f>
        <v>122.65</v>
      </c>
      <c r="K75" s="1062">
        <f t="shared" si="13">ROUNDDOWN(AVERAGE(K5:K13),2)</f>
        <v>44847.01</v>
      </c>
      <c r="L75" s="1062">
        <f t="shared" si="13">ROUNDDOWN(AVERAGE(L5:L13),2)</f>
        <v>12.54</v>
      </c>
      <c r="M75" s="1062">
        <f t="shared" si="13">ROUNDDOWN(AVERAGE(M5:M13),2)</f>
        <v>3414.51</v>
      </c>
      <c r="N75" s="1062">
        <f t="shared" si="13">ROUNDDOWN(AVERAGE(N5:N13),2)</f>
        <v>10.08</v>
      </c>
      <c r="O75" s="1062">
        <f t="shared" si="13">ROUNDDOWN(AVERAGE(O5:O13),2)</f>
        <v>9788.8</v>
      </c>
      <c r="P75" s="1062">
        <f t="shared" si="13">ROUNDDOWN(AVERAGE(P5:P13),2)</f>
        <v>1597.14</v>
      </c>
      <c r="Q75" s="1062">
        <f t="shared" si="13">ROUNDDOWN(AVERAGE(Q5:Q13),2)</f>
        <v>121.64</v>
      </c>
      <c r="R75" s="1062">
        <f t="shared" si="13">ROUNDDOWN(AVERAGE(R5:R13),2)</f>
        <v>262.56</v>
      </c>
      <c r="S75" s="1062">
        <f t="shared" si="13">ROUNDDOWN(AVERAGE(S5:S13),2)</f>
        <v>3593.73</v>
      </c>
      <c r="T75" s="1062">
        <f t="shared" si="13">ROUNDDOWN(AVERAGE(T5:T13),2)</f>
        <v>10193.46</v>
      </c>
      <c r="U75" s="1062">
        <f t="shared" si="13">ROUNDDOWN(AVERAGE(U5:U13),2)</f>
        <v>87.26</v>
      </c>
      <c r="V75" s="1062">
        <f t="shared" si="13">ROUNDDOWN(AVERAGE(V5:V13),2)</f>
        <v>1673.13</v>
      </c>
      <c r="W75" s="1062">
        <f t="shared" si="13">ROUNDDOWN(AVERAGE(W5:W13),2)</f>
        <v>14267.77</v>
      </c>
      <c r="X75" s="1062">
        <f t="shared" si="13">ROUNDDOWN(AVERAGE(X5:X13),2)</f>
        <v>426.09</v>
      </c>
      <c r="Y75" s="1062">
        <f t="shared" si="13">ROUNDDOWN(AVERAGE(Y5:Y13),2)</f>
        <v>18788.62</v>
      </c>
      <c r="Z75" s="1062">
        <f t="shared" si="13">ROUNDDOWN(AVERAGE(Z5:Z13),2)</f>
        <v>13472</v>
      </c>
    </row>
    <row r="76" spans="1:26" s="1197" customFormat="1">
      <c r="A76" s="1212" t="s">
        <v>1291</v>
      </c>
      <c r="B76" s="1062">
        <f t="shared" si="14" ref="B76:Z76">ROUNDDOWN(AVERAGE(B5:B17),2)</f>
        <v>10676.05</v>
      </c>
      <c r="C76" s="1062">
        <f t="shared" si="14">ROUNDDOWN(AVERAGE(C5:C17),2)</f>
        <v>10267.31</v>
      </c>
      <c r="D76" s="1062">
        <f t="shared" si="14">ROUNDDOWN(AVERAGE(D5:D17),2)</f>
        <v>10750.86</v>
      </c>
      <c r="E76" s="1062">
        <f t="shared" si="14">ROUNDDOWN(AVERAGE(E5:E17),2)</f>
        <v>2125.21</v>
      </c>
      <c r="F76" s="1062">
        <f t="shared" si="14">ROUNDDOWN(AVERAGE(F5:F17),2)</f>
        <v>2234.31</v>
      </c>
      <c r="G76" s="1062">
        <f t="shared" si="14">ROUNDDOWN(AVERAGE(G5:G17),2)</f>
        <v>16612.27</v>
      </c>
      <c r="H76" s="1062">
        <f t="shared" si="14">ROUNDDOWN(AVERAGE(H5:H17),2)</f>
        <v>1731.72</v>
      </c>
      <c r="I76" s="1062">
        <f t="shared" si="14">ROUNDDOWN(AVERAGE(I5:I17),2)</f>
        <v>210.74</v>
      </c>
      <c r="J76" s="1062">
        <f t="shared" si="14">ROUNDDOWN(AVERAGE(J5:J17),2)</f>
        <v>124.83</v>
      </c>
      <c r="K76" s="1062">
        <f t="shared" si="14">ROUNDDOWN(AVERAGE(K5:K17),2)</f>
        <v>45101.04</v>
      </c>
      <c r="L76" s="1062">
        <f t="shared" si="14">ROUNDDOWN(AVERAGE(L5:L17),2)</f>
        <v>12.63</v>
      </c>
      <c r="M76" s="1062">
        <f t="shared" si="14">ROUNDDOWN(AVERAGE(M5:M17),2)</f>
        <v>3441.26</v>
      </c>
      <c r="N76" s="1062">
        <f t="shared" si="14">ROUNDDOWN(AVERAGE(N5:N17),2)</f>
        <v>10.15</v>
      </c>
      <c r="O76" s="1062">
        <f t="shared" si="14">ROUNDDOWN(AVERAGE(O5:O17),2)</f>
        <v>9840.97</v>
      </c>
      <c r="P76" s="1062">
        <f t="shared" si="14">ROUNDDOWN(AVERAGE(P5:P17),2)</f>
        <v>1644.03</v>
      </c>
      <c r="Q76" s="1062">
        <f t="shared" si="14">ROUNDDOWN(AVERAGE(Q5:Q17),2)</f>
        <v>122.43</v>
      </c>
      <c r="R76" s="1062">
        <f t="shared" si="14">ROUNDDOWN(AVERAGE(R5:R17),2)</f>
        <v>263.18</v>
      </c>
      <c r="S76" s="1062">
        <f t="shared" si="14">ROUNDDOWN(AVERAGE(S5:S17),2)</f>
        <v>3612.78</v>
      </c>
      <c r="T76" s="1062">
        <f t="shared" si="14">ROUNDDOWN(AVERAGE(T5:T17),2)</f>
        <v>10258.78</v>
      </c>
      <c r="U76" s="1062">
        <f t="shared" si="14">ROUNDDOWN(AVERAGE(U5:U17),2)</f>
        <v>87.64</v>
      </c>
      <c r="V76" s="1062">
        <f t="shared" si="14">ROUNDDOWN(AVERAGE(V5:V17),2)</f>
        <v>1672.74</v>
      </c>
      <c r="W76" s="1062">
        <f t="shared" si="14">ROUNDDOWN(AVERAGE(W5:W17),2)</f>
        <v>14352.5</v>
      </c>
      <c r="X76" s="1062">
        <f t="shared" si="14">ROUNDDOWN(AVERAGE(X5:X17),2)</f>
        <v>430.07</v>
      </c>
      <c r="Y76" s="1062">
        <f t="shared" si="14">ROUNDDOWN(AVERAGE(Y5:Y17),2)</f>
        <v>18881.82</v>
      </c>
      <c r="Z76" s="1062">
        <f t="shared" si="14">ROUNDDOWN(AVERAGE(Z5:Z17),2)</f>
        <v>13559.6</v>
      </c>
    </row>
    <row r="77" spans="1:26" s="1197" customFormat="1">
      <c r="A77" s="1212" t="s">
        <v>1292</v>
      </c>
      <c r="B77" s="1062">
        <f t="shared" si="15" ref="B77:Z77">ROUNDDOWN(AVERAGE(B5:B21),2)</f>
        <v>10669.28</v>
      </c>
      <c r="C77" s="1062">
        <f t="shared" si="15">ROUNDDOWN(AVERAGE(C5:C21),2)</f>
        <v>10307.57</v>
      </c>
      <c r="D77" s="1062">
        <f t="shared" si="15">ROUNDDOWN(AVERAGE(D5:D21),2)</f>
        <v>10775.1</v>
      </c>
      <c r="E77" s="1062">
        <f t="shared" si="15">ROUNDDOWN(AVERAGE(E5:E21),2)</f>
        <v>2139.07</v>
      </c>
      <c r="F77" s="1062">
        <f t="shared" si="15">ROUNDDOWN(AVERAGE(F5:F21),2)</f>
        <v>2244.92</v>
      </c>
      <c r="G77" s="1062">
        <f t="shared" si="15">ROUNDDOWN(AVERAGE(G5:G21),2)</f>
        <v>16687.02</v>
      </c>
      <c r="H77" s="1062">
        <f t="shared" si="15">ROUNDDOWN(AVERAGE(H5:H21),2)</f>
        <v>1737.01</v>
      </c>
      <c r="I77" s="1062">
        <f t="shared" si="15">ROUNDDOWN(AVERAGE(I5:I21),2)</f>
        <v>210.75</v>
      </c>
      <c r="J77" s="1062">
        <f t="shared" si="15">ROUNDDOWN(AVERAGE(J5:J21),2)</f>
        <v>125.76</v>
      </c>
      <c r="K77" s="1062">
        <f t="shared" si="15">ROUNDDOWN(AVERAGE(K5:K21),2)</f>
        <v>45279.15</v>
      </c>
      <c r="L77" s="1062">
        <f t="shared" si="15">ROUNDDOWN(AVERAGE(L5:L21),2)</f>
        <v>12.7</v>
      </c>
      <c r="M77" s="1062">
        <f t="shared" si="15">ROUNDDOWN(AVERAGE(M5:M21),2)</f>
        <v>3463.9</v>
      </c>
      <c r="N77" s="1062">
        <f t="shared" si="15">ROUNDDOWN(AVERAGE(N5:N21),2)</f>
        <v>10.21</v>
      </c>
      <c r="O77" s="1062">
        <f t="shared" si="15">ROUNDDOWN(AVERAGE(O5:O21),2)</f>
        <v>9884.77</v>
      </c>
      <c r="P77" s="1062">
        <f t="shared" si="15">ROUNDDOWN(AVERAGE(P5:P21),2)</f>
        <v>1670.54</v>
      </c>
      <c r="Q77" s="1062">
        <f t="shared" si="15">ROUNDDOWN(AVERAGE(Q5:Q21),2)</f>
        <v>121.69</v>
      </c>
      <c r="R77" s="1062">
        <f t="shared" si="15">ROUNDDOWN(AVERAGE(R5:R21),2)</f>
        <v>263.57</v>
      </c>
      <c r="S77" s="1062">
        <f t="shared" si="15">ROUNDDOWN(AVERAGE(S5:S21),2)</f>
        <v>3626.08</v>
      </c>
      <c r="T77" s="1062">
        <f t="shared" si="15">ROUNDDOWN(AVERAGE(T5:T21),2)</f>
        <v>10307.22</v>
      </c>
      <c r="U77" s="1062">
        <f t="shared" si="15">ROUNDDOWN(AVERAGE(U5:U21),2)</f>
        <v>87.83</v>
      </c>
      <c r="V77" s="1062">
        <f t="shared" si="15">ROUNDDOWN(AVERAGE(V5:V21),2)</f>
        <v>1666.07</v>
      </c>
      <c r="W77" s="1062">
        <f t="shared" si="15">ROUNDDOWN(AVERAGE(W5:W21),2)</f>
        <v>14341.52</v>
      </c>
      <c r="X77" s="1062">
        <f t="shared" si="15">ROUNDDOWN(AVERAGE(X5:X21),2)</f>
        <v>432.64</v>
      </c>
      <c r="Y77" s="1062">
        <f t="shared" si="15">ROUNDDOWN(AVERAGE(Y5:Y21),2)</f>
        <v>19023.24</v>
      </c>
      <c r="Z77" s="1062">
        <f t="shared" si="15">ROUNDDOWN(AVERAGE(Z5:Z21),2)</f>
        <v>13614.76</v>
      </c>
    </row>
    <row r="78" spans="1:26" s="1197" customFormat="1">
      <c r="A78" s="1212" t="s">
        <v>1293</v>
      </c>
      <c r="B78" s="1062">
        <f t="shared" si="16" ref="B78:Z78">ROUNDDOWN(AVERAGE(B5:B26),2)</f>
        <v>10647.16</v>
      </c>
      <c r="C78" s="1062">
        <f t="shared" si="16">ROUNDDOWN(AVERAGE(C5:C26),2)</f>
        <v>10371.45</v>
      </c>
      <c r="D78" s="1062">
        <f t="shared" si="16">ROUNDDOWN(AVERAGE(D5:D26),2)</f>
        <v>10811.1</v>
      </c>
      <c r="E78" s="1062">
        <f t="shared" si="16">ROUNDDOWN(AVERAGE(E5:E26),2)</f>
        <v>2156.49</v>
      </c>
      <c r="F78" s="1062">
        <f t="shared" si="16">ROUNDDOWN(AVERAGE(F5:F26),2)</f>
        <v>2244.04</v>
      </c>
      <c r="G78" s="1062">
        <f t="shared" si="16">ROUNDDOWN(AVERAGE(G5:G26),2)</f>
        <v>16688.63</v>
      </c>
      <c r="H78" s="1062">
        <f t="shared" si="16">ROUNDDOWN(AVERAGE(H5:H26),2)</f>
        <v>1749.5</v>
      </c>
      <c r="I78" s="1062">
        <f t="shared" si="16">ROUNDDOWN(AVERAGE(I5:I26),2)</f>
        <v>210.03</v>
      </c>
      <c r="J78" s="1062">
        <f t="shared" si="16">ROUNDDOWN(AVERAGE(J5:J26),2)</f>
        <v>126.23</v>
      </c>
      <c r="K78" s="1062">
        <f t="shared" si="16">ROUNDDOWN(AVERAGE(K5:K26),2)</f>
        <v>45584.77</v>
      </c>
      <c r="L78" s="1062">
        <f t="shared" si="16">ROUNDDOWN(AVERAGE(L5:L26),2)</f>
        <v>12.79</v>
      </c>
      <c r="M78" s="1062">
        <f t="shared" si="16">ROUNDDOWN(AVERAGE(M5:M26),2)</f>
        <v>3485.34</v>
      </c>
      <c r="N78" s="1062">
        <f t="shared" si="16">ROUNDDOWN(AVERAGE(N5:N26),2)</f>
        <v>10.28</v>
      </c>
      <c r="O78" s="1062">
        <f t="shared" si="16">ROUNDDOWN(AVERAGE(O5:O26),2)</f>
        <v>9860.41</v>
      </c>
      <c r="P78" s="1062">
        <f t="shared" si="16">ROUNDDOWN(AVERAGE(P5:P26),2)</f>
        <v>1689.3</v>
      </c>
      <c r="Q78" s="1062">
        <f t="shared" si="16">ROUNDDOWN(AVERAGE(Q5:Q26),2)</f>
        <v>115.55</v>
      </c>
      <c r="R78" s="1062">
        <f t="shared" si="16">ROUNDDOWN(AVERAGE(R5:R26),2)</f>
        <v>265.04</v>
      </c>
      <c r="S78" s="1062">
        <f t="shared" si="16">ROUNDDOWN(AVERAGE(S5:S26),2)</f>
        <v>3654.52</v>
      </c>
      <c r="T78" s="1062">
        <f t="shared" si="16">ROUNDDOWN(AVERAGE(T5:T26),2)</f>
        <v>10355.07</v>
      </c>
      <c r="U78" s="1062">
        <f t="shared" si="16">ROUNDDOWN(AVERAGE(U5:U26),2)</f>
        <v>88.12</v>
      </c>
      <c r="V78" s="1062">
        <f t="shared" si="16">ROUNDDOWN(AVERAGE(V5:V26),2)</f>
        <v>1652.16</v>
      </c>
      <c r="W78" s="1062">
        <f t="shared" si="16">ROUNDDOWN(AVERAGE(W5:W26),2)</f>
        <v>14270.24</v>
      </c>
      <c r="X78" s="1062">
        <f t="shared" si="16">ROUNDDOWN(AVERAGE(X5:X26),2)</f>
        <v>434.71</v>
      </c>
      <c r="Y78" s="1062">
        <f t="shared" si="16">ROUNDDOWN(AVERAGE(Y5:Y26),2)</f>
        <v>19021.97</v>
      </c>
      <c r="Z78" s="1062">
        <f t="shared" si="16">ROUNDDOWN(AVERAGE(Z5:Z26),2)</f>
        <v>13728.94</v>
      </c>
    </row>
    <row r="79" spans="1:26" s="1197" customFormat="1">
      <c r="A79" s="1212" t="s">
        <v>1294</v>
      </c>
      <c r="B79" s="1062">
        <f t="shared" si="17" ref="B79:Z79">ROUNDDOWN(AVERAGE(B5:B28),2)</f>
        <v>10635.28</v>
      </c>
      <c r="C79" s="1062">
        <f t="shared" si="17">ROUNDDOWN(AVERAGE(C5:C28),2)</f>
        <v>10378.81</v>
      </c>
      <c r="D79" s="1062">
        <f t="shared" si="17">ROUNDDOWN(AVERAGE(D5:D28),2)</f>
        <v>10800.35</v>
      </c>
      <c r="E79" s="1062">
        <f t="shared" si="17">ROUNDDOWN(AVERAGE(E5:E28),2)</f>
        <v>2157.72</v>
      </c>
      <c r="F79" s="1062">
        <f t="shared" si="17">ROUNDDOWN(AVERAGE(F5:F28),2)</f>
        <v>2240.01</v>
      </c>
      <c r="G79" s="1062">
        <f t="shared" si="17">ROUNDDOWN(AVERAGE(G5:G28),2)</f>
        <v>16658.12</v>
      </c>
      <c r="H79" s="1062">
        <f t="shared" si="17">ROUNDDOWN(AVERAGE(H5:H28),2)</f>
        <v>1752.88</v>
      </c>
      <c r="I79" s="1062">
        <f t="shared" si="17">ROUNDDOWN(AVERAGE(I5:I28),2)</f>
        <v>209.75</v>
      </c>
      <c r="J79" s="1062">
        <f t="shared" si="17">ROUNDDOWN(AVERAGE(J5:J28),2)</f>
        <v>126.36</v>
      </c>
      <c r="K79" s="1062">
        <f t="shared" si="17">ROUNDDOWN(AVERAGE(K5:K28),2)</f>
        <v>45654.08</v>
      </c>
      <c r="L79" s="1062">
        <f t="shared" si="17">ROUNDDOWN(AVERAGE(L5:L28),2)</f>
        <v>12.79</v>
      </c>
      <c r="M79" s="1062">
        <f t="shared" si="17">ROUNDDOWN(AVERAGE(M5:M28),2)</f>
        <v>3487.45</v>
      </c>
      <c r="N79" s="1062">
        <f t="shared" si="17">ROUNDDOWN(AVERAGE(N5:N28),2)</f>
        <v>10.28</v>
      </c>
      <c r="O79" s="1062">
        <f t="shared" si="17">ROUNDDOWN(AVERAGE(O5:O28),2)</f>
        <v>9849.52</v>
      </c>
      <c r="P79" s="1062">
        <f t="shared" si="17">ROUNDDOWN(AVERAGE(P5:P28),2)</f>
        <v>1692.44</v>
      </c>
      <c r="Q79" s="1062">
        <f t="shared" si="17">ROUNDDOWN(AVERAGE(Q5:Q28),2)</f>
        <v>115.81</v>
      </c>
      <c r="R79" s="1062">
        <f t="shared" si="17">ROUNDDOWN(AVERAGE(R5:R28),2)</f>
        <v>264.99</v>
      </c>
      <c r="S79" s="1062">
        <f t="shared" si="17">ROUNDDOWN(AVERAGE(S5:S28),2)</f>
        <v>3662.12</v>
      </c>
      <c r="T79" s="1062">
        <f t="shared" si="17">ROUNDDOWN(AVERAGE(T5:T28),2)</f>
        <v>10358.57</v>
      </c>
      <c r="U79" s="1062">
        <f t="shared" si="17">ROUNDDOWN(AVERAGE(U5:U28),2)</f>
        <v>88.13</v>
      </c>
      <c r="V79" s="1062">
        <f t="shared" si="17">ROUNDDOWN(AVERAGE(V5:V28),2)</f>
        <v>1646.31</v>
      </c>
      <c r="W79" s="1062">
        <f t="shared" si="17">ROUNDDOWN(AVERAGE(W5:W28),2)</f>
        <v>14260.73</v>
      </c>
      <c r="X79" s="1062">
        <f t="shared" si="17">ROUNDDOWN(AVERAGE(X5:X28),2)</f>
        <v>434.43</v>
      </c>
      <c r="Y79" s="1062">
        <f t="shared" si="17">ROUNDDOWN(AVERAGE(Y5:Y28),2)</f>
        <v>18981.37</v>
      </c>
      <c r="Z79" s="1062">
        <f t="shared" si="17">ROUNDDOWN(AVERAGE(Z5:Z28),2)</f>
        <v>13758</v>
      </c>
    </row>
    <row r="80" spans="1:26" s="1197" customFormat="1">
      <c r="A80" s="1212" t="s">
        <v>1295</v>
      </c>
      <c r="B80" s="1062">
        <f t="shared" si="18" ref="B80:Z80">ROUNDDOWN(AVERAGE(B5:B32),2)</f>
        <v>10636.55</v>
      </c>
      <c r="C80" s="1062">
        <f t="shared" si="18">ROUNDDOWN(AVERAGE(C5:C32),2)</f>
        <v>10414.3</v>
      </c>
      <c r="D80" s="1062">
        <f t="shared" si="18">ROUNDDOWN(AVERAGE(D5:D32),2)</f>
        <v>10818.44</v>
      </c>
      <c r="E80" s="1062">
        <f t="shared" si="18">ROUNDDOWN(AVERAGE(E5:E32),2)</f>
        <v>2156.58</v>
      </c>
      <c r="F80" s="1062">
        <f t="shared" si="18">ROUNDDOWN(AVERAGE(F5:F32),2)</f>
        <v>2241.98</v>
      </c>
      <c r="G80" s="1062">
        <f t="shared" si="18">ROUNDDOWN(AVERAGE(G5:G32),2)</f>
        <v>16679.43</v>
      </c>
      <c r="H80" s="1062">
        <f t="shared" si="18">ROUNDDOWN(AVERAGE(H5:H32),2)</f>
        <v>1765.16</v>
      </c>
      <c r="I80" s="1062">
        <f t="shared" si="18">ROUNDDOWN(AVERAGE(I5:I32),2)</f>
        <v>209.68</v>
      </c>
      <c r="J80" s="1062">
        <f t="shared" si="18">ROUNDDOWN(AVERAGE(J5:J32),2)</f>
        <v>126.76</v>
      </c>
      <c r="K80" s="1062">
        <f t="shared" si="18">ROUNDDOWN(AVERAGE(K5:K32),2)</f>
        <v>45939.81</v>
      </c>
      <c r="L80" s="1062">
        <f t="shared" si="18">ROUNDDOWN(AVERAGE(L5:L32),2)</f>
        <v>12.79</v>
      </c>
      <c r="M80" s="1062">
        <f t="shared" si="18">ROUNDDOWN(AVERAGE(M5:M32),2)</f>
        <v>3498.03</v>
      </c>
      <c r="N80" s="1062">
        <f t="shared" si="18">ROUNDDOWN(AVERAGE(N5:N32),2)</f>
        <v>10.27</v>
      </c>
      <c r="O80" s="1062">
        <f t="shared" si="18">ROUNDDOWN(AVERAGE(O5:O32),2)</f>
        <v>9836.76</v>
      </c>
      <c r="P80" s="1062">
        <f t="shared" si="18">ROUNDDOWN(AVERAGE(P5:P32),2)</f>
        <v>1704.76</v>
      </c>
      <c r="Q80" s="1062">
        <f t="shared" si="18">ROUNDDOWN(AVERAGE(Q5:Q32),2)</f>
        <v>115.95</v>
      </c>
      <c r="R80" s="1062">
        <f t="shared" si="18">ROUNDDOWN(AVERAGE(R5:R32),2)</f>
        <v>265.65</v>
      </c>
      <c r="S80" s="1062">
        <f t="shared" si="18">ROUNDDOWN(AVERAGE(S5:S32),2)</f>
        <v>3688.73</v>
      </c>
      <c r="T80" s="1062">
        <f t="shared" si="18">ROUNDDOWN(AVERAGE(T5:T32),2)</f>
        <v>10387.73</v>
      </c>
      <c r="U80" s="1062">
        <f t="shared" si="18">ROUNDDOWN(AVERAGE(U5:U32),2)</f>
        <v>88.5</v>
      </c>
      <c r="V80" s="1062">
        <f t="shared" si="18">ROUNDDOWN(AVERAGE(V5:V32),2)</f>
        <v>1642.97</v>
      </c>
      <c r="W80" s="1062">
        <f t="shared" si="18">ROUNDDOWN(AVERAGE(W5:W32),2)</f>
        <v>14293.75</v>
      </c>
      <c r="X80" s="1062">
        <f t="shared" si="18">ROUNDDOWN(AVERAGE(X5:X32),2)</f>
        <v>434.19</v>
      </c>
      <c r="Y80" s="1062">
        <f t="shared" si="18">ROUNDDOWN(AVERAGE(Y5:Y32),2)</f>
        <v>18977.09</v>
      </c>
      <c r="Z80" s="1062">
        <f t="shared" si="18">ROUNDDOWN(AVERAGE(Z5:Z32),2)</f>
        <v>13862.2</v>
      </c>
    </row>
    <row r="81" spans="1:26" s="1197" customFormat="1">
      <c r="A81" s="1212" t="s">
        <v>1296</v>
      </c>
      <c r="B81" s="1062">
        <f t="shared" si="19" ref="B81:Z81">ROUNDDOWN(AVERAGE(B5:B37),2)</f>
        <v>10643.01</v>
      </c>
      <c r="C81" s="1062">
        <f t="shared" si="19">ROUNDDOWN(AVERAGE(C5:C37),2)</f>
        <v>10457.42</v>
      </c>
      <c r="D81" s="1062">
        <f t="shared" si="19">ROUNDDOWN(AVERAGE(D5:D37),2)</f>
        <v>10868.87</v>
      </c>
      <c r="E81" s="1062">
        <f t="shared" si="19">ROUNDDOWN(AVERAGE(E5:E37),2)</f>
        <v>2150.98</v>
      </c>
      <c r="F81" s="1062">
        <f t="shared" si="19">ROUNDDOWN(AVERAGE(F5:F37),2)</f>
        <v>2243.48</v>
      </c>
      <c r="G81" s="1062">
        <f t="shared" si="19">ROUNDDOWN(AVERAGE(G5:G37),2)</f>
        <v>16696.75</v>
      </c>
      <c r="H81" s="1062">
        <f t="shared" si="19">ROUNDDOWN(AVERAGE(H5:H37),2)</f>
        <v>1778.89</v>
      </c>
      <c r="I81" s="1062">
        <f t="shared" si="19">ROUNDDOWN(AVERAGE(I5:I37),2)</f>
        <v>209.69</v>
      </c>
      <c r="J81" s="1062">
        <f t="shared" si="19">ROUNDDOWN(AVERAGE(J5:J37),2)</f>
        <v>127.37</v>
      </c>
      <c r="K81" s="1062">
        <f t="shared" si="19">ROUNDDOWN(AVERAGE(K5:K37),2)</f>
        <v>46260.48</v>
      </c>
      <c r="L81" s="1062">
        <f t="shared" si="19">ROUNDDOWN(AVERAGE(L5:L37),2)</f>
        <v>12.82</v>
      </c>
      <c r="M81" s="1062">
        <f t="shared" si="19">ROUNDDOWN(AVERAGE(M5:M37),2)</f>
        <v>3507.31</v>
      </c>
      <c r="N81" s="1062">
        <f t="shared" si="19">ROUNDDOWN(AVERAGE(N5:N37),2)</f>
        <v>10.21</v>
      </c>
      <c r="O81" s="1062">
        <f t="shared" si="19">ROUNDDOWN(AVERAGE(O5:O37),2)</f>
        <v>9819.15</v>
      </c>
      <c r="P81" s="1062">
        <f t="shared" si="19">ROUNDDOWN(AVERAGE(P5:P37),2)</f>
        <v>1712.4</v>
      </c>
      <c r="Q81" s="1062">
        <f t="shared" si="19">ROUNDDOWN(AVERAGE(Q5:Q37),2)</f>
        <v>116.1</v>
      </c>
      <c r="R81" s="1062">
        <f t="shared" si="19">ROUNDDOWN(AVERAGE(R5:R37),2)</f>
        <v>266.87</v>
      </c>
      <c r="S81" s="1062">
        <f t="shared" si="19">ROUNDDOWN(AVERAGE(S5:S37),2)</f>
        <v>3718.36</v>
      </c>
      <c r="T81" s="1062">
        <f t="shared" si="19">ROUNDDOWN(AVERAGE(T5:T37),2)</f>
        <v>10425.21</v>
      </c>
      <c r="U81" s="1062">
        <f t="shared" si="19">ROUNDDOWN(AVERAGE(U5:U37),2)</f>
        <v>88.88</v>
      </c>
      <c r="V81" s="1062">
        <f t="shared" si="19">ROUNDDOWN(AVERAGE(V5:V37),2)</f>
        <v>1638.34</v>
      </c>
      <c r="W81" s="1062">
        <f t="shared" si="19">ROUNDDOWN(AVERAGE(W5:W37),2)</f>
        <v>14354.55</v>
      </c>
      <c r="X81" s="1062">
        <f t="shared" si="19">ROUNDDOWN(AVERAGE(X5:X37),2)</f>
        <v>434.85</v>
      </c>
      <c r="Y81" s="1062">
        <f t="shared" si="19">ROUNDDOWN(AVERAGE(Y5:Y37),2)</f>
        <v>18938.44</v>
      </c>
      <c r="Z81" s="1062">
        <f t="shared" si="19">ROUNDDOWN(AVERAGE(Z5:Z37),2)</f>
        <v>13976.31</v>
      </c>
    </row>
    <row r="82" spans="1:26" s="1197" customFormat="1">
      <c r="A82" s="1212" t="s">
        <v>1297</v>
      </c>
      <c r="B82" s="1062">
        <f t="shared" si="20" ref="B82:Z82">ROUNDDOWN(AVERAGE(B5:B43),2)</f>
        <v>10655.55</v>
      </c>
      <c r="C82" s="1062">
        <f t="shared" si="20">ROUNDDOWN(AVERAGE(C5:C43),2)</f>
        <v>10535.06</v>
      </c>
      <c r="D82" s="1062">
        <f t="shared" si="20">ROUNDDOWN(AVERAGE(D5:D43),2)</f>
        <v>10965.45</v>
      </c>
      <c r="E82" s="1062">
        <f t="shared" si="20">ROUNDDOWN(AVERAGE(E5:E43),2)</f>
        <v>2153.98</v>
      </c>
      <c r="F82" s="1062">
        <f t="shared" si="20">ROUNDDOWN(AVERAGE(F5:F43),2)</f>
        <v>2255.62</v>
      </c>
      <c r="G82" s="1062">
        <f t="shared" si="20">ROUNDDOWN(AVERAGE(G5:G43),2)</f>
        <v>16797.62</v>
      </c>
      <c r="H82" s="1062">
        <f t="shared" si="20">ROUNDDOWN(AVERAGE(H5:H43),2)</f>
        <v>1798.54</v>
      </c>
      <c r="I82" s="1062">
        <f t="shared" si="20">ROUNDDOWN(AVERAGE(I5:I43),2)</f>
        <v>209.1</v>
      </c>
      <c r="J82" s="1062">
        <f t="shared" si="20">ROUNDDOWN(AVERAGE(J5:J43),2)</f>
        <v>128.16</v>
      </c>
      <c r="K82" s="1062">
        <f t="shared" si="20">ROUNDDOWN(AVERAGE(K5:K43),2)</f>
        <v>46729.01</v>
      </c>
      <c r="L82" s="1062">
        <f t="shared" si="20">ROUNDDOWN(AVERAGE(L5:L43),2)</f>
        <v>12.9</v>
      </c>
      <c r="M82" s="1062">
        <f t="shared" si="20">ROUNDDOWN(AVERAGE(M5:M43),2)</f>
        <v>3522.22</v>
      </c>
      <c r="N82" s="1062">
        <f t="shared" si="20">ROUNDDOWN(AVERAGE(N5:N43),2)</f>
        <v>10.1</v>
      </c>
      <c r="O82" s="1062">
        <f t="shared" si="20">ROUNDDOWN(AVERAGE(O5:O43),2)</f>
        <v>9819.91</v>
      </c>
      <c r="P82" s="1062">
        <f t="shared" si="20">ROUNDDOWN(AVERAGE(P5:P43),2)</f>
        <v>1727.93</v>
      </c>
      <c r="Q82" s="1062">
        <f t="shared" si="20">ROUNDDOWN(AVERAGE(Q5:Q43),2)</f>
        <v>116.88</v>
      </c>
      <c r="R82" s="1062">
        <f t="shared" si="20">ROUNDDOWN(AVERAGE(R5:R43),2)</f>
        <v>268.41</v>
      </c>
      <c r="S82" s="1062">
        <f t="shared" si="20">ROUNDDOWN(AVERAGE(S5:S43),2)</f>
        <v>3759.27</v>
      </c>
      <c r="T82" s="1062">
        <f t="shared" si="20">ROUNDDOWN(AVERAGE(T5:T43),2)</f>
        <v>10494.86</v>
      </c>
      <c r="U82" s="1062">
        <f t="shared" si="20">ROUNDDOWN(AVERAGE(U5:U43),2)</f>
        <v>89.05</v>
      </c>
      <c r="V82" s="1062">
        <f t="shared" si="20">ROUNDDOWN(AVERAGE(V5:V43),2)</f>
        <v>1641.61</v>
      </c>
      <c r="W82" s="1062">
        <f t="shared" si="20">ROUNDDOWN(AVERAGE(W5:W43),2)</f>
        <v>14518.41</v>
      </c>
      <c r="X82" s="1062">
        <f t="shared" si="20">ROUNDDOWN(AVERAGE(X5:X43),2)</f>
        <v>438.67</v>
      </c>
      <c r="Y82" s="1062">
        <f t="shared" si="20">ROUNDDOWN(AVERAGE(Y5:Y43),2)</f>
        <v>19017.9</v>
      </c>
      <c r="Z82" s="1062">
        <f t="shared" si="20">ROUNDDOWN(AVERAGE(Z5:Z43),2)</f>
        <v>14133.34</v>
      </c>
    </row>
    <row r="83" spans="1:26" s="1197" customFormat="1">
      <c r="A83" s="1212" t="s">
        <v>1298</v>
      </c>
      <c r="B83" s="1062">
        <f t="shared" si="21" ref="B83:Z83">ROUNDDOWN(AVERAGE(B5:B46),2)</f>
        <v>10665.3</v>
      </c>
      <c r="C83" s="1062">
        <f t="shared" si="21">ROUNDDOWN(AVERAGE(C5:C46),2)</f>
        <v>10577.1</v>
      </c>
      <c r="D83" s="1062">
        <f t="shared" si="21">ROUNDDOWN(AVERAGE(D5:D46),2)</f>
        <v>11015.86</v>
      </c>
      <c r="E83" s="1062">
        <f t="shared" si="21">ROUNDDOWN(AVERAGE(E5:E46),2)</f>
        <v>2156.82</v>
      </c>
      <c r="F83" s="1062">
        <f t="shared" si="21">ROUNDDOWN(AVERAGE(F5:F46),2)</f>
        <v>2261.56</v>
      </c>
      <c r="G83" s="1062">
        <f t="shared" si="21">ROUNDDOWN(AVERAGE(G5:G46),2)</f>
        <v>16846.56</v>
      </c>
      <c r="H83" s="1062">
        <f t="shared" si="21">ROUNDDOWN(AVERAGE(H5:H46),2)</f>
        <v>1809.12</v>
      </c>
      <c r="I83" s="1062">
        <f t="shared" si="21">ROUNDDOWN(AVERAGE(I5:I46),2)</f>
        <v>208.9</v>
      </c>
      <c r="J83" s="1062">
        <f t="shared" si="21">ROUNDDOWN(AVERAGE(J5:J46),2)</f>
        <v>128.68</v>
      </c>
      <c r="K83" s="1062">
        <f t="shared" si="21">ROUNDDOWN(AVERAGE(K5:K46),2)</f>
        <v>46984.3</v>
      </c>
      <c r="L83" s="1062">
        <f t="shared" si="21">ROUNDDOWN(AVERAGE(L5:L46),2)</f>
        <v>12.94</v>
      </c>
      <c r="M83" s="1062">
        <f t="shared" si="21">ROUNDDOWN(AVERAGE(M5:M46),2)</f>
        <v>3532.02</v>
      </c>
      <c r="N83" s="1062">
        <f t="shared" si="21">ROUNDDOWN(AVERAGE(N5:N46),2)</f>
        <v>10.06</v>
      </c>
      <c r="O83" s="1062">
        <f t="shared" si="21">ROUNDDOWN(AVERAGE(O5:O46),2)</f>
        <v>9828.62</v>
      </c>
      <c r="P83" s="1062">
        <f t="shared" si="21">ROUNDDOWN(AVERAGE(P5:P46),2)</f>
        <v>1736.53</v>
      </c>
      <c r="Q83" s="1062">
        <f t="shared" si="21">ROUNDDOWN(AVERAGE(Q5:Q46),2)</f>
        <v>116.67</v>
      </c>
      <c r="R83" s="1062">
        <f t="shared" si="21">ROUNDDOWN(AVERAGE(R5:R46),2)</f>
        <v>269.5</v>
      </c>
      <c r="S83" s="1062">
        <f t="shared" si="21">ROUNDDOWN(AVERAGE(S5:S46),2)</f>
        <v>3781.29</v>
      </c>
      <c r="T83" s="1062">
        <f t="shared" si="21">ROUNDDOWN(AVERAGE(T5:T46),2)</f>
        <v>10534.14</v>
      </c>
      <c r="U83" s="1062">
        <f t="shared" si="21">ROUNDDOWN(AVERAGE(U5:U46),2)</f>
        <v>89.01</v>
      </c>
      <c r="V83" s="1062">
        <f t="shared" si="21">ROUNDDOWN(AVERAGE(V5:V46),2)</f>
        <v>1644.59</v>
      </c>
      <c r="W83" s="1062">
        <f t="shared" si="21">ROUNDDOWN(AVERAGE(W5:W46),2)</f>
        <v>14578.73</v>
      </c>
      <c r="X83" s="1062">
        <f t="shared" si="21">ROUNDDOWN(AVERAGE(X5:X46),2)</f>
        <v>440.6</v>
      </c>
      <c r="Y83" s="1062">
        <f t="shared" si="21">ROUNDDOWN(AVERAGE(Y5:Y46),2)</f>
        <v>19078.15</v>
      </c>
      <c r="Z83" s="1062">
        <f t="shared" si="21">ROUNDDOWN(AVERAGE(Z5:Z46),2)</f>
        <v>14217.94</v>
      </c>
    </row>
    <row r="84" spans="1:26" s="1197" customFormat="1">
      <c r="A84" s="1212" t="s">
        <v>1299</v>
      </c>
      <c r="B84" s="1062">
        <f t="shared" si="22" ref="B84:Z84">ROUNDDOWN(AVERAGE(B5:B50),2)</f>
        <v>10664.46</v>
      </c>
      <c r="C84" s="1062">
        <f t="shared" si="22">ROUNDDOWN(AVERAGE(C5:C50),2)</f>
        <v>10594.61</v>
      </c>
      <c r="D84" s="1062">
        <f t="shared" si="22">ROUNDDOWN(AVERAGE(D5:D50),2)</f>
        <v>11030.8</v>
      </c>
      <c r="E84" s="1062">
        <f t="shared" si="22">ROUNDDOWN(AVERAGE(E5:E50),2)</f>
        <v>2153.95</v>
      </c>
      <c r="F84" s="1062">
        <f t="shared" si="22">ROUNDDOWN(AVERAGE(F5:F50),2)</f>
        <v>2259.92</v>
      </c>
      <c r="G84" s="1062">
        <f t="shared" si="22">ROUNDDOWN(AVERAGE(G5:G50),2)</f>
        <v>16836.16</v>
      </c>
      <c r="H84" s="1062">
        <f t="shared" si="22">ROUNDDOWN(AVERAGE(H5:H50),2)</f>
        <v>1815.77</v>
      </c>
      <c r="I84" s="1062">
        <f t="shared" si="22">ROUNDDOWN(AVERAGE(I5:I50),2)</f>
        <v>208.43</v>
      </c>
      <c r="J84" s="1062">
        <f t="shared" si="22">ROUNDDOWN(AVERAGE(J5:J50),2)</f>
        <v>128.79</v>
      </c>
      <c r="K84" s="1062">
        <f t="shared" si="22">ROUNDDOWN(AVERAGE(K5:K50),2)</f>
        <v>47120.61</v>
      </c>
      <c r="L84" s="1062">
        <f t="shared" si="22">ROUNDDOWN(AVERAGE(L5:L50),2)</f>
        <v>12.95</v>
      </c>
      <c r="M84" s="1062">
        <f t="shared" si="22">ROUNDDOWN(AVERAGE(M5:M50),2)</f>
        <v>3531.17</v>
      </c>
      <c r="N84" s="1062">
        <f t="shared" si="22">ROUNDDOWN(AVERAGE(N5:N50),2)</f>
        <v>9.99</v>
      </c>
      <c r="O84" s="1062">
        <f t="shared" si="22">ROUNDDOWN(AVERAGE(O5:O50),2)</f>
        <v>9839.28</v>
      </c>
      <c r="P84" s="1062">
        <f t="shared" si="22">ROUNDDOWN(AVERAGE(P5:P50),2)</f>
        <v>1737.01</v>
      </c>
      <c r="Q84" s="1062">
        <f t="shared" si="22">ROUNDDOWN(AVERAGE(Q5:Q50),2)</f>
        <v>116.06</v>
      </c>
      <c r="R84" s="1062">
        <f t="shared" si="22">ROUNDDOWN(AVERAGE(R5:R50),2)</f>
        <v>270.37</v>
      </c>
      <c r="S84" s="1062">
        <f t="shared" si="22">ROUNDDOWN(AVERAGE(S5:S50),2)</f>
        <v>3794.7</v>
      </c>
      <c r="T84" s="1062">
        <f t="shared" si="22">ROUNDDOWN(AVERAGE(T5:T50),2)</f>
        <v>10549.81</v>
      </c>
      <c r="U84" s="1062">
        <f t="shared" si="22">ROUNDDOWN(AVERAGE(U5:U50),2)</f>
        <v>88.48</v>
      </c>
      <c r="V84" s="1062">
        <f t="shared" si="22">ROUNDDOWN(AVERAGE(V5:V50),2)</f>
        <v>1642.83</v>
      </c>
      <c r="W84" s="1062">
        <f t="shared" si="22">ROUNDDOWN(AVERAGE(W5:W50),2)</f>
        <v>14589.54</v>
      </c>
      <c r="X84" s="1062">
        <f t="shared" si="22">ROUNDDOWN(AVERAGE(X5:X50),2)</f>
        <v>441.19</v>
      </c>
      <c r="Y84" s="1062">
        <f t="shared" si="22">ROUNDDOWN(AVERAGE(Y5:Y50),2)</f>
        <v>19073.76</v>
      </c>
      <c r="Z84" s="1062">
        <f t="shared" si="22">ROUNDDOWN(AVERAGE(Z5:Z50),2)</f>
        <v>14267.57</v>
      </c>
    </row>
    <row r="85" spans="1:26" s="1197" customFormat="1">
      <c r="A85" s="1212" t="s">
        <v>1300</v>
      </c>
      <c r="B85" s="1062">
        <f t="shared" si="23" ref="B85:Z85">ROUNDDOWN(AVERAGE(B9:B54),2)</f>
        <v>10657.35</v>
      </c>
      <c r="C85" s="1062">
        <f t="shared" si="23">ROUNDDOWN(AVERAGE(C9:C54),2)</f>
        <v>10630.49</v>
      </c>
      <c r="D85" s="1062">
        <f t="shared" si="23">ROUNDDOWN(AVERAGE(D9:D54),2)</f>
        <v>11041.91</v>
      </c>
      <c r="E85" s="1062">
        <f t="shared" si="23">ROUNDDOWN(AVERAGE(E9:E54),2)</f>
        <v>2156.45</v>
      </c>
      <c r="F85" s="1062">
        <f t="shared" si="23">ROUNDDOWN(AVERAGE(F9:F54),2)</f>
        <v>2262.09</v>
      </c>
      <c r="G85" s="1062">
        <f t="shared" si="23">ROUNDDOWN(AVERAGE(G9:G54),2)</f>
        <v>16856.55</v>
      </c>
      <c r="H85" s="1062">
        <f t="shared" si="23">ROUNDDOWN(AVERAGE(H9:H54),2)</f>
        <v>1828.03</v>
      </c>
      <c r="I85" s="1062">
        <f t="shared" si="23">ROUNDDOWN(AVERAGE(I9:I54),2)</f>
        <v>208.09</v>
      </c>
      <c r="J85" s="1062">
        <f t="shared" si="23">ROUNDDOWN(AVERAGE(J9:J54),2)</f>
        <v>129.49</v>
      </c>
      <c r="K85" s="1062">
        <f t="shared" si="23">ROUNDDOWN(AVERAGE(K9:K54),2)</f>
        <v>47396.66</v>
      </c>
      <c r="L85" s="1062">
        <f t="shared" si="23">ROUNDDOWN(AVERAGE(L9:L54),2)</f>
        <v>12.97</v>
      </c>
      <c r="M85" s="1062">
        <f t="shared" si="23">ROUNDDOWN(AVERAGE(M9:M54),2)</f>
        <v>3541.36</v>
      </c>
      <c r="N85" s="1062">
        <f t="shared" si="23">ROUNDDOWN(AVERAGE(N9:N54),2)</f>
        <v>9.94</v>
      </c>
      <c r="O85" s="1062">
        <f t="shared" si="23">ROUNDDOWN(AVERAGE(O9:O54),2)</f>
        <v>9866.6</v>
      </c>
      <c r="P85" s="1062">
        <f t="shared" si="23">ROUNDDOWN(AVERAGE(P9:P54),2)</f>
        <v>1746.9</v>
      </c>
      <c r="Q85" s="1062">
        <f t="shared" si="23">ROUNDDOWN(AVERAGE(Q9:Q54),2)</f>
        <v>115.05</v>
      </c>
      <c r="R85" s="1062">
        <f t="shared" si="23">ROUNDDOWN(AVERAGE(R9:R54),2)</f>
        <v>270.97</v>
      </c>
      <c r="S85" s="1062">
        <f t="shared" si="23">ROUNDDOWN(AVERAGE(S9:S54),2)</f>
        <v>3819.99</v>
      </c>
      <c r="T85" s="1062">
        <f t="shared" si="23">ROUNDDOWN(AVERAGE(T9:T54),2)</f>
        <v>10591.42</v>
      </c>
      <c r="U85" s="1062">
        <f t="shared" si="23">ROUNDDOWN(AVERAGE(U9:U54),2)</f>
        <v>88.02</v>
      </c>
      <c r="V85" s="1062">
        <f t="shared" si="23">ROUNDDOWN(AVERAGE(V9:V54),2)</f>
        <v>1638.33</v>
      </c>
      <c r="W85" s="1062">
        <f t="shared" si="23">ROUNDDOWN(AVERAGE(W9:W54),2)</f>
        <v>14622.06</v>
      </c>
      <c r="X85" s="1062">
        <f t="shared" si="23">ROUNDDOWN(AVERAGE(X9:X54),2)</f>
        <v>442.28</v>
      </c>
      <c r="Y85" s="1062">
        <f t="shared" si="23">ROUNDDOWN(AVERAGE(Y9:Y54),2)</f>
        <v>19045.95</v>
      </c>
      <c r="Z85" s="1062">
        <f t="shared" si="23">ROUNDDOWN(AVERAGE(Z9:Z54),2)</f>
        <v>14328</v>
      </c>
    </row>
    <row r="86" spans="1:26" s="1197" customFormat="1">
      <c r="A86" s="1212" t="s">
        <v>1301</v>
      </c>
      <c r="B86" s="1062">
        <f t="shared" si="24" ref="B86:Z86">ROUNDDOWN(AVERAGE(B13:B54),2)</f>
        <v>10651.12</v>
      </c>
      <c r="C86" s="1062">
        <f t="shared" si="24">ROUNDDOWN(AVERAGE(C13:C54),2)</f>
        <v>10669.25</v>
      </c>
      <c r="D86" s="1062">
        <f t="shared" si="24">ROUNDDOWN(AVERAGE(D13:D54),2)</f>
        <v>11063.36</v>
      </c>
      <c r="E86" s="1062">
        <f t="shared" si="24">ROUNDDOWN(AVERAGE(E13:E54),2)</f>
        <v>2158.77</v>
      </c>
      <c r="F86" s="1062">
        <f t="shared" si="24">ROUNDDOWN(AVERAGE(F13:F54),2)</f>
        <v>2263.92</v>
      </c>
      <c r="G86" s="1062">
        <f t="shared" si="24">ROUNDDOWN(AVERAGE(G13:G54),2)</f>
        <v>16872.31</v>
      </c>
      <c r="H86" s="1062">
        <f t="shared" si="24">ROUNDDOWN(AVERAGE(H13:H54),2)</f>
        <v>1838.45</v>
      </c>
      <c r="I86" s="1062">
        <f t="shared" si="24">ROUNDDOWN(AVERAGE(I13:I54),2)</f>
        <v>207.82</v>
      </c>
      <c r="J86" s="1062">
        <f t="shared" si="24">ROUNDDOWN(AVERAGE(J13:J54),2)</f>
        <v>130</v>
      </c>
      <c r="K86" s="1062">
        <f t="shared" si="24">ROUNDDOWN(AVERAGE(K13:K54),2)</f>
        <v>47640.67</v>
      </c>
      <c r="L86" s="1062">
        <f t="shared" si="24">ROUNDDOWN(AVERAGE(L13:L54),2)</f>
        <v>13.01</v>
      </c>
      <c r="M86" s="1062">
        <f t="shared" si="24">ROUNDDOWN(AVERAGE(M13:M54),2)</f>
        <v>3550.29</v>
      </c>
      <c r="N86" s="1062">
        <f t="shared" si="24">ROUNDDOWN(AVERAGE(N13:N54),2)</f>
        <v>9.92</v>
      </c>
      <c r="O86" s="1062">
        <f t="shared" si="24">ROUNDDOWN(AVERAGE(O13:O54),2)</f>
        <v>9865.48</v>
      </c>
      <c r="P86" s="1062">
        <f t="shared" si="24">ROUNDDOWN(AVERAGE(P13:P54),2)</f>
        <v>1757.38</v>
      </c>
      <c r="Q86" s="1062">
        <f t="shared" si="24">ROUNDDOWN(AVERAGE(Q13:Q54),2)</f>
        <v>114.36</v>
      </c>
      <c r="R86" s="1062">
        <f t="shared" si="24">ROUNDDOWN(AVERAGE(R13:R54),2)</f>
        <v>271.93</v>
      </c>
      <c r="S86" s="1062">
        <f t="shared" si="24">ROUNDDOWN(AVERAGE(S13:S54),2)</f>
        <v>3842.53</v>
      </c>
      <c r="T86" s="1062">
        <f t="shared" si="24">ROUNDDOWN(AVERAGE(T13:T54),2)</f>
        <v>10626.14</v>
      </c>
      <c r="U86" s="1062">
        <f t="shared" si="24">ROUNDDOWN(AVERAGE(U13:U54),2)</f>
        <v>88.1</v>
      </c>
      <c r="V86" s="1062">
        <f t="shared" si="24">ROUNDDOWN(AVERAGE(V13:V54),2)</f>
        <v>1632.78</v>
      </c>
      <c r="W86" s="1062">
        <f t="shared" si="24">ROUNDDOWN(AVERAGE(W13:W54),2)</f>
        <v>14642.32</v>
      </c>
      <c r="X86" s="1062">
        <f t="shared" si="24">ROUNDDOWN(AVERAGE(X13:X54),2)</f>
        <v>443.72</v>
      </c>
      <c r="Y86" s="1062">
        <f t="shared" si="24">ROUNDDOWN(AVERAGE(Y13:Y54),2)</f>
        <v>19056.48</v>
      </c>
      <c r="Z86" s="1062">
        <f t="shared" si="24">ROUNDDOWN(AVERAGE(Z13:Z54),2)</f>
        <v>14412.65</v>
      </c>
    </row>
    <row r="87" spans="1:26" s="1197" customFormat="1">
      <c r="A87" s="1212" t="s">
        <v>1302</v>
      </c>
      <c r="B87" s="1062">
        <f t="shared" si="25" ref="B87:Z87">ROUNDDOWN(AVERAGE(B17:B54),2)</f>
        <v>10642.72</v>
      </c>
      <c r="C87" s="1062">
        <f t="shared" si="25">ROUNDDOWN(AVERAGE(C17:C54),2)</f>
        <v>10697.11</v>
      </c>
      <c r="D87" s="1062">
        <f t="shared" si="25">ROUNDDOWN(AVERAGE(D17:D54),2)</f>
        <v>11106.28</v>
      </c>
      <c r="E87" s="1062">
        <f t="shared" si="25">ROUNDDOWN(AVERAGE(E17:E54),2)</f>
        <v>2157.55</v>
      </c>
      <c r="F87" s="1062">
        <f t="shared" si="25">ROUNDDOWN(AVERAGE(F17:F54),2)</f>
        <v>2263.16</v>
      </c>
      <c r="G87" s="1062">
        <f t="shared" si="25">ROUNDDOWN(AVERAGE(G17:G54),2)</f>
        <v>16867.38</v>
      </c>
      <c r="H87" s="1062">
        <f t="shared" si="25">ROUNDDOWN(AVERAGE(H17:H54),2)</f>
        <v>1847.91</v>
      </c>
      <c r="I87" s="1062">
        <f t="shared" si="25">ROUNDDOWN(AVERAGE(I17:I54),2)</f>
        <v>207.42</v>
      </c>
      <c r="J87" s="1062">
        <f t="shared" si="25">ROUNDDOWN(AVERAGE(J17:J54),2)</f>
        <v>130.11</v>
      </c>
      <c r="K87" s="1062">
        <f t="shared" si="25">ROUNDDOWN(AVERAGE(K17:K54),2)</f>
        <v>47848.04</v>
      </c>
      <c r="L87" s="1062">
        <f t="shared" si="25">ROUNDDOWN(AVERAGE(L17:L54),2)</f>
        <v>13.04</v>
      </c>
      <c r="M87" s="1062">
        <f t="shared" si="25">ROUNDDOWN(AVERAGE(M17:M54),2)</f>
        <v>3554.37</v>
      </c>
      <c r="N87" s="1062">
        <f t="shared" si="25">ROUNDDOWN(AVERAGE(N17:N54),2)</f>
        <v>9.87</v>
      </c>
      <c r="O87" s="1062">
        <f t="shared" si="25">ROUNDDOWN(AVERAGE(O17:O54),2)</f>
        <v>9850.94</v>
      </c>
      <c r="P87" s="1062">
        <f t="shared" si="25">ROUNDDOWN(AVERAGE(P17:P54),2)</f>
        <v>1760.86</v>
      </c>
      <c r="Q87" s="1062">
        <f t="shared" si="25">ROUNDDOWN(AVERAGE(Q17:Q54),2)</f>
        <v>113.26</v>
      </c>
      <c r="R87" s="1062">
        <f t="shared" si="25">ROUNDDOWN(AVERAGE(R17:R54),2)</f>
        <v>272.83</v>
      </c>
      <c r="S87" s="1062">
        <f t="shared" si="25">ROUNDDOWN(AVERAGE(S17:S54),2)</f>
        <v>3862.56</v>
      </c>
      <c r="T87" s="1062">
        <f t="shared" si="25">ROUNDDOWN(AVERAGE(T17:T54),2)</f>
        <v>10648.4</v>
      </c>
      <c r="U87" s="1062">
        <f t="shared" si="25">ROUNDDOWN(AVERAGE(U17:U54),2)</f>
        <v>88.07</v>
      </c>
      <c r="V87" s="1062">
        <f t="shared" si="25">ROUNDDOWN(AVERAGE(V17:V54),2)</f>
        <v>1628.29</v>
      </c>
      <c r="W87" s="1062">
        <f t="shared" si="25">ROUNDDOWN(AVERAGE(W17:W54),2)</f>
        <v>14651.6</v>
      </c>
      <c r="X87" s="1062">
        <f t="shared" si="25">ROUNDDOWN(AVERAGE(X17:X54),2)</f>
        <v>444.38</v>
      </c>
      <c r="Y87" s="1062">
        <f t="shared" si="25">ROUNDDOWN(AVERAGE(Y17:Y54),2)</f>
        <v>19052.83</v>
      </c>
      <c r="Z87" s="1062">
        <f t="shared" si="25">ROUNDDOWN(AVERAGE(Z17:Z54),2)</f>
        <v>14487.94</v>
      </c>
    </row>
    <row r="88" spans="1:26" s="1197" customFormat="1">
      <c r="A88" s="1212" t="s">
        <v>1303</v>
      </c>
      <c r="B88" s="1062">
        <f t="shared" si="26" ref="B88:Z88">ROUNDDOWN(AVERAGE(B21:B54),2)</f>
        <v>10642.7</v>
      </c>
      <c r="C88" s="1062">
        <f t="shared" si="26">ROUNDDOWN(AVERAGE(C21:C54),2)</f>
        <v>10712.99</v>
      </c>
      <c r="D88" s="1062">
        <f t="shared" si="26">ROUNDDOWN(AVERAGE(D21:D54),2)</f>
        <v>11119.91</v>
      </c>
      <c r="E88" s="1062">
        <f t="shared" si="26">ROUNDDOWN(AVERAGE(E21:E54),2)</f>
        <v>2155.63</v>
      </c>
      <c r="F88" s="1062">
        <f t="shared" si="26">ROUNDDOWN(AVERAGE(F21:F54),2)</f>
        <v>2261.52</v>
      </c>
      <c r="G88" s="1062">
        <f t="shared" si="26">ROUNDDOWN(AVERAGE(G21:G54),2)</f>
        <v>16861.5</v>
      </c>
      <c r="H88" s="1062">
        <f t="shared" si="26">ROUNDDOWN(AVERAGE(H21:H54),2)</f>
        <v>1853.43</v>
      </c>
      <c r="I88" s="1062">
        <f t="shared" si="26">ROUNDDOWN(AVERAGE(I21:I54),2)</f>
        <v>207.19</v>
      </c>
      <c r="J88" s="1062">
        <f t="shared" si="26">ROUNDDOWN(AVERAGE(J21:J54),2)</f>
        <v>130.2</v>
      </c>
      <c r="K88" s="1062">
        <f t="shared" si="26">ROUNDDOWN(AVERAGE(K21:K54),2)</f>
        <v>47962.69</v>
      </c>
      <c r="L88" s="1062">
        <f t="shared" si="26">ROUNDDOWN(AVERAGE(L21:L54),2)</f>
        <v>13.04</v>
      </c>
      <c r="M88" s="1062">
        <f t="shared" si="26">ROUNDDOWN(AVERAGE(M21:M54),2)</f>
        <v>3554.43</v>
      </c>
      <c r="N88" s="1062">
        <f t="shared" si="26">ROUNDDOWN(AVERAGE(N21:N54),2)</f>
        <v>9.84</v>
      </c>
      <c r="O88" s="1062">
        <f t="shared" si="26">ROUNDDOWN(AVERAGE(O21:O54),2)</f>
        <v>9836.9</v>
      </c>
      <c r="P88" s="1062">
        <f t="shared" si="26">ROUNDDOWN(AVERAGE(P21:P54),2)</f>
        <v>1760.51</v>
      </c>
      <c r="Q88" s="1062">
        <f t="shared" si="26">ROUNDDOWN(AVERAGE(Q21:Q54),2)</f>
        <v>112.92</v>
      </c>
      <c r="R88" s="1062">
        <f t="shared" si="26">ROUNDDOWN(AVERAGE(R21:R54),2)</f>
        <v>273.33</v>
      </c>
      <c r="S88" s="1062">
        <f t="shared" si="26">ROUNDDOWN(AVERAGE(S21:S54),2)</f>
        <v>3873.81</v>
      </c>
      <c r="T88" s="1062">
        <f t="shared" si="26">ROUNDDOWN(AVERAGE(T21:T54),2)</f>
        <v>10657.51</v>
      </c>
      <c r="U88" s="1062">
        <f t="shared" si="26">ROUNDDOWN(AVERAGE(U21:U54),2)</f>
        <v>88.05</v>
      </c>
      <c r="V88" s="1062">
        <f t="shared" si="26">ROUNDDOWN(AVERAGE(V21:V54),2)</f>
        <v>1627.6</v>
      </c>
      <c r="W88" s="1062">
        <f t="shared" si="26">ROUNDDOWN(AVERAGE(W21:W54),2)</f>
        <v>14669.63</v>
      </c>
      <c r="X88" s="1062">
        <f t="shared" si="26">ROUNDDOWN(AVERAGE(X21:X54),2)</f>
        <v>444.58</v>
      </c>
      <c r="Y88" s="1062">
        <f t="shared" si="26">ROUNDDOWN(AVERAGE(Y21:Y54),2)</f>
        <v>19025.42</v>
      </c>
      <c r="Z88" s="1062">
        <f t="shared" si="26">ROUNDDOWN(AVERAGE(Z21:Z54),2)</f>
        <v>14530.23</v>
      </c>
    </row>
    <row r="89" spans="1:26" s="1197" customFormat="1">
      <c r="A89" s="1212" t="s">
        <v>1304</v>
      </c>
      <c r="B89" s="1062">
        <f t="shared" si="27" ref="B89:Z89">ROUNDDOWN(AVERAGE(B26:B54),2)</f>
        <v>10655.19</v>
      </c>
      <c r="C89" s="1062">
        <f t="shared" si="27">ROUNDDOWN(AVERAGE(C26:C54),2)</f>
        <v>10743.84</v>
      </c>
      <c r="D89" s="1062">
        <f t="shared" si="27">ROUNDDOWN(AVERAGE(D26:D54),2)</f>
        <v>11157.69</v>
      </c>
      <c r="E89" s="1062">
        <f t="shared" si="27">ROUNDDOWN(AVERAGE(E26:E54),2)</f>
        <v>2146.94</v>
      </c>
      <c r="F89" s="1062">
        <f t="shared" si="27">ROUNDDOWN(AVERAGE(F26:F54),2)</f>
        <v>2262.86</v>
      </c>
      <c r="G89" s="1062">
        <f t="shared" si="27">ROUNDDOWN(AVERAGE(G26:G54),2)</f>
        <v>16874.27</v>
      </c>
      <c r="H89" s="1062">
        <f t="shared" si="27">ROUNDDOWN(AVERAGE(H26:H54),2)</f>
        <v>1866.09</v>
      </c>
      <c r="I89" s="1062">
        <f t="shared" si="27">ROUNDDOWN(AVERAGE(I26:I54),2)</f>
        <v>206.93</v>
      </c>
      <c r="J89" s="1062">
        <f t="shared" si="27">ROUNDDOWN(AVERAGE(J26:J54),2)</f>
        <v>130.62</v>
      </c>
      <c r="K89" s="1062">
        <f t="shared" si="27">ROUNDDOWN(AVERAGE(K26:K54),2)</f>
        <v>48235.23</v>
      </c>
      <c r="L89" s="1062">
        <f t="shared" si="27">ROUNDDOWN(AVERAGE(L26:L54),2)</f>
        <v>13.05</v>
      </c>
      <c r="M89" s="1062">
        <f t="shared" si="27">ROUNDDOWN(AVERAGE(M26:M54),2)</f>
        <v>3555.11</v>
      </c>
      <c r="N89" s="1062">
        <f t="shared" si="27">ROUNDDOWN(AVERAGE(N26:N54),2)</f>
        <v>9.73</v>
      </c>
      <c r="O89" s="1062">
        <f t="shared" si="27">ROUNDDOWN(AVERAGE(O26:O54),2)</f>
        <v>9838.21</v>
      </c>
      <c r="P89" s="1062">
        <f t="shared" si="27">ROUNDDOWN(AVERAGE(P26:P54),2)</f>
        <v>1762.78</v>
      </c>
      <c r="Q89" s="1062">
        <f t="shared" si="27">ROUNDDOWN(AVERAGE(Q26:Q54),2)</f>
        <v>115.38</v>
      </c>
      <c r="R89" s="1062">
        <f t="shared" si="27">ROUNDDOWN(AVERAGE(R26:R54),2)</f>
        <v>274.26</v>
      </c>
      <c r="S89" s="1062">
        <f t="shared" si="27">ROUNDDOWN(AVERAGE(S26:S54),2)</f>
        <v>3899.46</v>
      </c>
      <c r="T89" s="1062">
        <f t="shared" si="27">ROUNDDOWN(AVERAGE(T26:T54),2)</f>
        <v>10685.85</v>
      </c>
      <c r="U89" s="1062">
        <f t="shared" si="27">ROUNDDOWN(AVERAGE(U26:U54),2)</f>
        <v>87.93</v>
      </c>
      <c r="V89" s="1062">
        <f t="shared" si="27">ROUNDDOWN(AVERAGE(V26:V54),2)</f>
        <v>1629.85</v>
      </c>
      <c r="W89" s="1062">
        <f t="shared" si="27">ROUNDDOWN(AVERAGE(W26:W54),2)</f>
        <v>14771.02</v>
      </c>
      <c r="X89" s="1062">
        <f t="shared" si="27">ROUNDDOWN(AVERAGE(X26:X54),2)</f>
        <v>445.39</v>
      </c>
      <c r="Y89" s="1062">
        <f t="shared" si="27">ROUNDDOWN(AVERAGE(Y26:Y54),2)</f>
        <v>19007.06</v>
      </c>
      <c r="Z89" s="1062">
        <f t="shared" si="27">ROUNDDOWN(AVERAGE(Z26:Z54),2)</f>
        <v>14626.79</v>
      </c>
    </row>
    <row r="90" spans="1:26" s="1197" customFormat="1">
      <c r="A90" s="1212" t="s">
        <v>1305</v>
      </c>
      <c r="B90" s="1062">
        <f t="shared" si="28" ref="B90:Z90">ROUNDDOWN(AVERAGE(B28:B54),2)</f>
        <v>10656.54</v>
      </c>
      <c r="C90" s="1062">
        <f t="shared" si="28">ROUNDDOWN(AVERAGE(C28:C54),2)</f>
        <v>10760.15</v>
      </c>
      <c r="D90" s="1062">
        <f t="shared" si="28">ROUNDDOWN(AVERAGE(D28:D54),2)</f>
        <v>11179.48</v>
      </c>
      <c r="E90" s="1062">
        <f t="shared" si="28">ROUNDDOWN(AVERAGE(E28:E54),2)</f>
        <v>2143.38</v>
      </c>
      <c r="F90" s="1062">
        <f t="shared" si="28">ROUNDDOWN(AVERAGE(F28:F54),2)</f>
        <v>2267.25</v>
      </c>
      <c r="G90" s="1062">
        <f t="shared" si="28">ROUNDDOWN(AVERAGE(G28:G54),2)</f>
        <v>16908.76</v>
      </c>
      <c r="H90" s="1062">
        <f t="shared" si="28">ROUNDDOWN(AVERAGE(H28:H54),2)</f>
        <v>1871.88</v>
      </c>
      <c r="I90" s="1062">
        <f t="shared" si="28">ROUNDDOWN(AVERAGE(I28:I54),2)</f>
        <v>206.9</v>
      </c>
      <c r="J90" s="1062">
        <f t="shared" si="28">ROUNDDOWN(AVERAGE(J28:J54),2)</f>
        <v>130.82</v>
      </c>
      <c r="K90" s="1062">
        <f t="shared" si="28">ROUNDDOWN(AVERAGE(K28:K54),2)</f>
        <v>48369.88</v>
      </c>
      <c r="L90" s="1062">
        <f t="shared" si="28">ROUNDDOWN(AVERAGE(L28:L54),2)</f>
        <v>13.06</v>
      </c>
      <c r="M90" s="1062">
        <f t="shared" si="28">ROUNDDOWN(AVERAGE(M28:M54),2)</f>
        <v>3557.28</v>
      </c>
      <c r="N90" s="1062">
        <f t="shared" si="28">ROUNDDOWN(AVERAGE(N28:N54),2)</f>
        <v>9.68</v>
      </c>
      <c r="O90" s="1062">
        <f t="shared" si="28">ROUNDDOWN(AVERAGE(O28:O54),2)</f>
        <v>9843.07</v>
      </c>
      <c r="P90" s="1062">
        <f t="shared" si="28">ROUNDDOWN(AVERAGE(P28:P54),2)</f>
        <v>1765.64</v>
      </c>
      <c r="Q90" s="1062">
        <f t="shared" si="28">ROUNDDOWN(AVERAGE(Q28:Q54),2)</f>
        <v>114.93</v>
      </c>
      <c r="R90" s="1062">
        <f t="shared" si="28">ROUNDDOWN(AVERAGE(R28:R54),2)</f>
        <v>274.82</v>
      </c>
      <c r="S90" s="1062">
        <f t="shared" si="28">ROUNDDOWN(AVERAGE(S28:S54),2)</f>
        <v>3911.22</v>
      </c>
      <c r="T90" s="1062">
        <f t="shared" si="28">ROUNDDOWN(AVERAGE(T28:T54),2)</f>
        <v>10701.5</v>
      </c>
      <c r="U90" s="1062">
        <f t="shared" si="28">ROUNDDOWN(AVERAGE(U28:U54),2)</f>
        <v>87.87</v>
      </c>
      <c r="V90" s="1062">
        <f t="shared" si="28">ROUNDDOWN(AVERAGE(V28:V54),2)</f>
        <v>1632.03</v>
      </c>
      <c r="W90" s="1062">
        <f t="shared" si="28">ROUNDDOWN(AVERAGE(W28:W54),2)</f>
        <v>14815.71</v>
      </c>
      <c r="X90" s="1062">
        <f t="shared" si="28">ROUNDDOWN(AVERAGE(X28:X54),2)</f>
        <v>445.94</v>
      </c>
      <c r="Y90" s="1062">
        <f t="shared" si="28">ROUNDDOWN(AVERAGE(Y28:Y54),2)</f>
        <v>19029.33</v>
      </c>
      <c r="Z90" s="1062">
        <f t="shared" si="28">ROUNDDOWN(AVERAGE(Z28:Z54),2)</f>
        <v>14671.03</v>
      </c>
    </row>
    <row r="91" spans="1:26" s="1197" customFormat="1">
      <c r="A91" s="1212" t="s">
        <v>1306</v>
      </c>
      <c r="B91" s="1062">
        <f t="shared" si="29" ref="B91:Z91">ROUNDDOWN(AVERAGE(B33:B54),2)</f>
        <v>10668.2</v>
      </c>
      <c r="C91" s="1062">
        <f t="shared" si="29">ROUNDDOWN(AVERAGE(C33:C54),2)</f>
        <v>10803.59</v>
      </c>
      <c r="D91" s="1062">
        <f t="shared" si="29">ROUNDDOWN(AVERAGE(D33:D54),2)</f>
        <v>11252.6</v>
      </c>
      <c r="E91" s="1062">
        <f t="shared" si="29">ROUNDDOWN(AVERAGE(E33:E54),2)</f>
        <v>2141.05</v>
      </c>
      <c r="F91" s="1062">
        <f t="shared" si="29">ROUNDDOWN(AVERAGE(F33:F54),2)</f>
        <v>2272.46</v>
      </c>
      <c r="G91" s="1062">
        <f t="shared" si="29">ROUNDDOWN(AVERAGE(G33:G54),2)</f>
        <v>16950.36</v>
      </c>
      <c r="H91" s="1062">
        <f t="shared" si="29">ROUNDDOWN(AVERAGE(H33:H54),2)</f>
        <v>1882.33</v>
      </c>
      <c r="I91" s="1062">
        <f t="shared" si="29">ROUNDDOWN(AVERAGE(I33:I54),2)</f>
        <v>206.41</v>
      </c>
      <c r="J91" s="1062">
        <f t="shared" si="29">ROUNDDOWN(AVERAGE(J33:J54),2)</f>
        <v>131.23</v>
      </c>
      <c r="K91" s="1062">
        <f t="shared" si="29">ROUNDDOWN(AVERAGE(K33:K54),2)</f>
        <v>48604.86</v>
      </c>
      <c r="L91" s="1062">
        <f t="shared" si="29">ROUNDDOWN(AVERAGE(L33:L54),2)</f>
        <v>13.12</v>
      </c>
      <c r="M91" s="1062">
        <f t="shared" si="29">ROUNDDOWN(AVERAGE(M33:M54),2)</f>
        <v>3559.25</v>
      </c>
      <c r="N91" s="1062">
        <f t="shared" si="29">ROUNDDOWN(AVERAGE(N33:N54),2)</f>
        <v>9.54</v>
      </c>
      <c r="O91" s="1062">
        <f t="shared" si="29">ROUNDDOWN(AVERAGE(O33:O54),2)</f>
        <v>9862.26</v>
      </c>
      <c r="P91" s="1062">
        <f t="shared" si="29">ROUNDDOWN(AVERAGE(P33:P54),2)</f>
        <v>1766.2</v>
      </c>
      <c r="Q91" s="1062">
        <f t="shared" si="29">ROUNDDOWN(AVERAGE(Q33:Q54),2)</f>
        <v>114.55</v>
      </c>
      <c r="R91" s="1062">
        <f t="shared" si="29">ROUNDDOWN(AVERAGE(R33:R54),2)</f>
        <v>276.44</v>
      </c>
      <c r="S91" s="1062">
        <f t="shared" si="29">ROUNDDOWN(AVERAGE(S33:S54),2)</f>
        <v>3931.75</v>
      </c>
      <c r="T91" s="1062">
        <f t="shared" si="29">ROUNDDOWN(AVERAGE(T33:T54),2)</f>
        <v>10743.95</v>
      </c>
      <c r="U91" s="1062">
        <f t="shared" si="29">ROUNDDOWN(AVERAGE(U33:U54),2)</f>
        <v>87.37</v>
      </c>
      <c r="V91" s="1062">
        <f t="shared" si="29">ROUNDDOWN(AVERAGE(V33:V54),2)</f>
        <v>1635.19</v>
      </c>
      <c r="W91" s="1062">
        <f t="shared" si="29">ROUNDDOWN(AVERAGE(W33:W54),2)</f>
        <v>14906.04</v>
      </c>
      <c r="X91" s="1062">
        <f t="shared" si="29">ROUNDDOWN(AVERAGE(X33:X54),2)</f>
        <v>449.21</v>
      </c>
      <c r="Y91" s="1062">
        <f t="shared" si="29">ROUNDDOWN(AVERAGE(Y33:Y54),2)</f>
        <v>19057.72</v>
      </c>
      <c r="Z91" s="1062">
        <f t="shared" si="29">ROUNDDOWN(AVERAGE(Z33:Z54),2)</f>
        <v>14748.59</v>
      </c>
    </row>
    <row r="92" spans="1:26" s="1197" customFormat="1">
      <c r="A92" s="1212" t="s">
        <v>1307</v>
      </c>
      <c r="B92" s="1062">
        <f t="shared" si="30" ref="B92:Z92">ROUNDDOWN(AVERAGE(B37:B54),2)</f>
        <v>10668.36</v>
      </c>
      <c r="C92" s="1062">
        <f t="shared" si="30">ROUNDDOWN(AVERAGE(C37:C54),2)</f>
        <v>10837.2</v>
      </c>
      <c r="D92" s="1062">
        <f t="shared" si="30">ROUNDDOWN(AVERAGE(D37:D54),2)</f>
        <v>11286.04</v>
      </c>
      <c r="E92" s="1062">
        <f t="shared" si="30">ROUNDDOWN(AVERAGE(E37:E54),2)</f>
        <v>2146.47</v>
      </c>
      <c r="F92" s="1062">
        <f t="shared" si="30">ROUNDDOWN(AVERAGE(F37:F54),2)</f>
        <v>2278.58</v>
      </c>
      <c r="G92" s="1062">
        <f t="shared" si="30">ROUNDDOWN(AVERAGE(G37:G54),2)</f>
        <v>16998.76</v>
      </c>
      <c r="H92" s="1062">
        <f t="shared" si="30">ROUNDDOWN(AVERAGE(H37:H54),2)</f>
        <v>1890.19</v>
      </c>
      <c r="I92" s="1062">
        <f t="shared" si="30">ROUNDDOWN(AVERAGE(I37:I54),2)</f>
        <v>205.59</v>
      </c>
      <c r="J92" s="1062">
        <f t="shared" si="30">ROUNDDOWN(AVERAGE(J37:J54),2)</f>
        <v>131.38</v>
      </c>
      <c r="K92" s="1062">
        <f t="shared" si="30">ROUNDDOWN(AVERAGE(K37:K54),2)</f>
        <v>48775.36</v>
      </c>
      <c r="L92" s="1062">
        <f t="shared" si="30">ROUNDDOWN(AVERAGE(L37:L54),2)</f>
        <v>13.17</v>
      </c>
      <c r="M92" s="1062">
        <f t="shared" si="30">ROUNDDOWN(AVERAGE(M37:M54),2)</f>
        <v>3560.65</v>
      </c>
      <c r="N92" s="1062">
        <f t="shared" si="30">ROUNDDOWN(AVERAGE(N37:N54),2)</f>
        <v>9.45</v>
      </c>
      <c r="O92" s="1062">
        <f t="shared" si="30">ROUNDDOWN(AVERAGE(O37:O54),2)</f>
        <v>9894.64</v>
      </c>
      <c r="P92" s="1062">
        <f t="shared" si="30">ROUNDDOWN(AVERAGE(P37:P54),2)</f>
        <v>1769.84</v>
      </c>
      <c r="Q92" s="1062">
        <f t="shared" si="30">ROUNDDOWN(AVERAGE(Q37:Q54),2)</f>
        <v>114.16</v>
      </c>
      <c r="R92" s="1062">
        <f t="shared" si="30">ROUNDDOWN(AVERAGE(R37:R54),2)</f>
        <v>277.37</v>
      </c>
      <c r="S92" s="1062">
        <f t="shared" si="30">ROUNDDOWN(AVERAGE(S37:S54),2)</f>
        <v>3946.51</v>
      </c>
      <c r="T92" s="1062">
        <f t="shared" si="30">ROUNDDOWN(AVERAGE(T37:T54),2)</f>
        <v>10776.43</v>
      </c>
      <c r="U92" s="1062">
        <f t="shared" si="30">ROUNDDOWN(AVERAGE(U37:U54),2)</f>
        <v>86.59</v>
      </c>
      <c r="V92" s="1062">
        <f t="shared" si="30">ROUNDDOWN(AVERAGE(V37:V54),2)</f>
        <v>1639.42</v>
      </c>
      <c r="W92" s="1062">
        <f t="shared" si="30">ROUNDDOWN(AVERAGE(W37:W54),2)</f>
        <v>14977.19</v>
      </c>
      <c r="X92" s="1062">
        <f t="shared" si="30">ROUNDDOWN(AVERAGE(X37:X54),2)</f>
        <v>452.42</v>
      </c>
      <c r="Y92" s="1062">
        <f t="shared" si="30">ROUNDDOWN(AVERAGE(Y37:Y54),2)</f>
        <v>19129.55</v>
      </c>
      <c r="Z92" s="1062">
        <f t="shared" si="30">ROUNDDOWN(AVERAGE(Z37:Z54),2)</f>
        <v>14804.44</v>
      </c>
    </row>
    <row r="93" spans="1:26" s="1197" customFormat="1">
      <c r="A93" s="1212" t="s">
        <v>1308</v>
      </c>
      <c r="B93" s="1062">
        <f t="shared" si="31" ref="B93:Z93">ROUNDDOWN(AVERAGE(B41:B54),2)</f>
        <v>10667.13</v>
      </c>
      <c r="C93" s="1062">
        <f t="shared" si="31">ROUNDDOWN(AVERAGE(C41:C54),2)</f>
        <v>10837.88</v>
      </c>
      <c r="D93" s="1062">
        <f t="shared" si="31">ROUNDDOWN(AVERAGE(D41:D54),2)</f>
        <v>11276.89</v>
      </c>
      <c r="E93" s="1062">
        <f t="shared" si="31">ROUNDDOWN(AVERAGE(E41:E54),2)</f>
        <v>2142.98</v>
      </c>
      <c r="F93" s="1062">
        <f t="shared" si="31">ROUNDDOWN(AVERAGE(F41:F54),2)</f>
        <v>2271.23</v>
      </c>
      <c r="G93" s="1062">
        <f t="shared" si="31">ROUNDDOWN(AVERAGE(G41:G54),2)</f>
        <v>16945.61</v>
      </c>
      <c r="H93" s="1062">
        <f t="shared" si="31">ROUNDDOWN(AVERAGE(H41:H54),2)</f>
        <v>1892.26</v>
      </c>
      <c r="I93" s="1062">
        <f t="shared" si="31">ROUNDDOWN(AVERAGE(I41:I54),2)</f>
        <v>204.99</v>
      </c>
      <c r="J93" s="1062">
        <f t="shared" si="31">ROUNDDOWN(AVERAGE(J41:J54),2)</f>
        <v>130.98</v>
      </c>
      <c r="K93" s="1062">
        <f t="shared" si="31">ROUNDDOWN(AVERAGE(K41:K54),2)</f>
        <v>48769.22</v>
      </c>
      <c r="L93" s="1062">
        <f t="shared" si="31">ROUNDDOWN(AVERAGE(L41:L54),2)</f>
        <v>13.15</v>
      </c>
      <c r="M93" s="1062">
        <f t="shared" si="31">ROUNDDOWN(AVERAGE(M41:M54),2)</f>
        <v>3555.04</v>
      </c>
      <c r="N93" s="1062">
        <f t="shared" si="31">ROUNDDOWN(AVERAGE(N41:N54),2)</f>
        <v>9.4</v>
      </c>
      <c r="O93" s="1062">
        <f t="shared" si="31">ROUNDDOWN(AVERAGE(O41:O54),2)</f>
        <v>9929.96</v>
      </c>
      <c r="P93" s="1062">
        <f t="shared" si="31">ROUNDDOWN(AVERAGE(P41:P54),2)</f>
        <v>1768.79</v>
      </c>
      <c r="Q93" s="1062">
        <f t="shared" si="31">ROUNDDOWN(AVERAGE(Q41:Q54),2)</f>
        <v>112.41</v>
      </c>
      <c r="R93" s="1062">
        <f t="shared" si="31">ROUNDDOWN(AVERAGE(R41:R54),2)</f>
        <v>277.99</v>
      </c>
      <c r="S93" s="1062">
        <f t="shared" si="31">ROUNDDOWN(AVERAGE(S41:S54),2)</f>
        <v>3948.3</v>
      </c>
      <c r="T93" s="1062">
        <f t="shared" si="31">ROUNDDOWN(AVERAGE(T41:T54),2)</f>
        <v>10776.49</v>
      </c>
      <c r="U93" s="1062">
        <f t="shared" si="31">ROUNDDOWN(AVERAGE(U41:U54),2)</f>
        <v>85.17</v>
      </c>
      <c r="V93" s="1062">
        <f t="shared" si="31">ROUNDDOWN(AVERAGE(V41:V54),2)</f>
        <v>1642.05</v>
      </c>
      <c r="W93" s="1062">
        <f t="shared" si="31">ROUNDDOWN(AVERAGE(W41:W54),2)</f>
        <v>14912.13</v>
      </c>
      <c r="X93" s="1062">
        <f t="shared" si="31">ROUNDDOWN(AVERAGE(X41:X54),2)</f>
        <v>452.61</v>
      </c>
      <c r="Y93" s="1062">
        <f t="shared" si="31">ROUNDDOWN(AVERAGE(Y41:Y54),2)</f>
        <v>19124.12</v>
      </c>
      <c r="Z93" s="1062">
        <f t="shared" si="31">ROUNDDOWN(AVERAGE(Z41:Z54),2)</f>
        <v>14811.64</v>
      </c>
    </row>
    <row r="94" spans="1:26" s="1197" customFormat="1" ht="13" thickBot="1">
      <c r="A94" s="1213" t="s">
        <v>1309</v>
      </c>
      <c r="B94" s="1064">
        <f t="shared" si="32" ref="B94:Z94">ROUNDDOWN(AVERAGE(B46:B54),2)</f>
        <v>10599.93</v>
      </c>
      <c r="C94" s="1064">
        <f t="shared" si="32">ROUNDDOWN(AVERAGE(C46:C54),2)</f>
        <v>10733.06</v>
      </c>
      <c r="D94" s="1064">
        <f t="shared" si="32">ROUNDDOWN(AVERAGE(D46:D54),2)</f>
        <v>11091</v>
      </c>
      <c r="E94" s="1064">
        <f t="shared" si="32">ROUNDDOWN(AVERAGE(E46:E54),2)</f>
        <v>2120.77</v>
      </c>
      <c r="F94" s="1064">
        <f t="shared" si="32">ROUNDDOWN(AVERAGE(F46:F54),2)</f>
        <v>2233.92</v>
      </c>
      <c r="G94" s="1064">
        <f t="shared" si="32">ROUNDDOWN(AVERAGE(G46:G54),2)</f>
        <v>16670.05</v>
      </c>
      <c r="H94" s="1064">
        <f t="shared" si="32">ROUNDDOWN(AVERAGE(H46:H54),2)</f>
        <v>1875.61</v>
      </c>
      <c r="I94" s="1064">
        <f t="shared" si="32">ROUNDDOWN(AVERAGE(I46:I54),2)</f>
        <v>204.53</v>
      </c>
      <c r="J94" s="1064">
        <f t="shared" si="32">ROUNDDOWN(AVERAGE(J46:J54),2)</f>
        <v>129.71</v>
      </c>
      <c r="K94" s="1064">
        <f t="shared" si="32">ROUNDDOWN(AVERAGE(K46:K54),2)</f>
        <v>48276.88</v>
      </c>
      <c r="L94" s="1064">
        <f t="shared" si="32">ROUNDDOWN(AVERAGE(L46:L54),2)</f>
        <v>13.02</v>
      </c>
      <c r="M94" s="1064">
        <f t="shared" si="32">ROUNDDOWN(AVERAGE(M46:M54),2)</f>
        <v>3512.85</v>
      </c>
      <c r="N94" s="1064">
        <f t="shared" si="32">ROUNDDOWN(AVERAGE(N46:N54),2)</f>
        <v>9.29</v>
      </c>
      <c r="O94" s="1064">
        <f t="shared" si="32">ROUNDDOWN(AVERAGE(O46:O54),2)</f>
        <v>9945.51</v>
      </c>
      <c r="P94" s="1064">
        <f t="shared" si="32">ROUNDDOWN(AVERAGE(P46:P54),2)</f>
        <v>1729.96</v>
      </c>
      <c r="Q94" s="1064">
        <f t="shared" si="32">ROUNDDOWN(AVERAGE(Q46:Q54),2)</f>
        <v>108.75</v>
      </c>
      <c r="R94" s="1064">
        <f t="shared" si="32">ROUNDDOWN(AVERAGE(R46:R54),2)</f>
        <v>277.9</v>
      </c>
      <c r="S94" s="1064">
        <f t="shared" si="32">ROUNDDOWN(AVERAGE(S46:S54),2)</f>
        <v>3912.16</v>
      </c>
      <c r="T94" s="1064">
        <f t="shared" si="32">ROUNDDOWN(AVERAGE(T46:T54),2)</f>
        <v>10676.8</v>
      </c>
      <c r="U94" s="1064">
        <f t="shared" si="32">ROUNDDOWN(AVERAGE(U46:U54),2)</f>
        <v>83.04</v>
      </c>
      <c r="V94" s="1064">
        <f t="shared" si="32">ROUNDDOWN(AVERAGE(V46:V54),2)</f>
        <v>1619.3</v>
      </c>
      <c r="W94" s="1064">
        <f t="shared" si="32">ROUNDDOWN(AVERAGE(W46:W54),2)</f>
        <v>14690.25</v>
      </c>
      <c r="X94" s="1064">
        <f t="shared" si="32">ROUNDDOWN(AVERAGE(X46:X54),2)</f>
        <v>446.37</v>
      </c>
      <c r="Y94" s="1064">
        <f t="shared" si="32">ROUNDDOWN(AVERAGE(Y46:Y54),2)</f>
        <v>18806.9</v>
      </c>
      <c r="Z94" s="1064">
        <f t="shared" si="32">ROUNDDOWN(AVERAGE(Z46:Z54),2)</f>
        <v>14677</v>
      </c>
    </row>
    <row r="98" spans="2:2">
      <c r="B98" s="1061">
        <v>10057.38</v>
      </c>
    </row>
    <row r="99" spans="2:2">
      <c r="B99" s="1061">
        <v>10065.77</v>
      </c>
    </row>
    <row r="100" spans="2:2">
      <c r="B100" s="1061">
        <v>10050.74</v>
      </c>
    </row>
    <row r="101" spans="2:2">
      <c r="B101" s="1061">
        <v>10093.29</v>
      </c>
    </row>
    <row r="102" spans="2:2">
      <c r="B102" s="1061">
        <v>10123.13</v>
      </c>
    </row>
    <row r="103" spans="2:2">
      <c r="B103" s="1061">
        <v>10110.57</v>
      </c>
    </row>
    <row r="104" spans="2:2">
      <c r="B104" s="1061">
        <v>10097.19</v>
      </c>
    </row>
    <row r="105" spans="2:2">
      <c r="B105" s="1061">
        <v>10102.2</v>
      </c>
    </row>
    <row r="106" spans="2:2">
      <c r="B106" s="1061">
        <v>10096.9</v>
      </c>
    </row>
    <row r="107" spans="2:2">
      <c r="B107" s="1061">
        <v>10065.67</v>
      </c>
    </row>
    <row r="108" spans="2:2">
      <c r="B108" s="1061">
        <v>10047.68</v>
      </c>
    </row>
    <row r="109" spans="2:2">
      <c r="B109" s="1061">
        <v>10059.51</v>
      </c>
    </row>
    <row r="110" spans="2:2">
      <c r="B110" s="1061">
        <v>10056.95</v>
      </c>
    </row>
    <row r="111" spans="2:2">
      <c r="B111" s="1061">
        <v>10063.36</v>
      </c>
    </row>
    <row r="112" spans="2:2">
      <c r="B112" s="1061">
        <v>10034.77</v>
      </c>
    </row>
    <row r="113" spans="2:2">
      <c r="B113" s="1061">
        <v>9995.18</v>
      </c>
    </row>
    <row r="114" spans="2:2">
      <c r="B114" s="1061">
        <v>9987.17</v>
      </c>
    </row>
    <row r="115" spans="2:2">
      <c r="B115" s="1061">
        <v>9983.07</v>
      </c>
    </row>
    <row r="116" spans="2:2">
      <c r="B116" s="1061">
        <v>9930.01</v>
      </c>
    </row>
    <row r="117" spans="2:2">
      <c r="B117" s="1061">
        <v>9870.43</v>
      </c>
    </row>
  </sheetData>
  <sheetProtection password="BDAF" sheet="1" objects="1" scenarios="1" selectLockedCells="1" selectUnlockedCells="1"/>
  <pageMargins left="0.62992125984251968" right="0.6692913385826772" top="0.47244094488188981" bottom="0.15748031496062992" header="0.31496062992125984" footer="0.31496062992125984"/>
  <pageSetup paperSize="9" orientation="portrait" r:id="rId1"/>
  <headerFooter>
    <oddHeader>&amp;R&amp;"Arial,Bold"&amp;12C.2.4.&amp;P</oddHeader>
  </headerFooter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3:AA47"/>
  <sheetViews>
    <sheetView showZeros="0" view="normal" workbookViewId="0">
      <selection pane="topLeft" activeCell="P15" sqref="P15"/>
    </sheetView>
  </sheetViews>
  <sheetFormatPr defaultColWidth="9.13671875" defaultRowHeight="14.5" baseColWidth="0"/>
  <cols>
    <col min="1" max="1" width="9.13671875" style="982" customWidth="1"/>
    <col min="2" max="2" width="1.99609375" style="982" customWidth="1"/>
    <col min="3" max="6" width="9.13671875" style="982" customWidth="1"/>
    <col min="7" max="9" width="4.421875" style="982" customWidth="1"/>
    <col min="10" max="10" width="4.28125" style="982" customWidth="1"/>
    <col min="11" max="26" width="4.421875" style="982" customWidth="1"/>
    <col min="27" max="27" width="2.421875" style="982" customWidth="1"/>
    <col min="28" max="16384" width="9.13671875" style="982" customWidth="1"/>
  </cols>
  <sheetData>
    <row r="3" spans="2:27" ht="15" thickBot="1">
      <c r="B3" s="979"/>
      <c r="C3" s="980"/>
      <c r="D3" s="980"/>
      <c r="E3" s="980"/>
      <c r="F3" s="980"/>
      <c r="G3" s="980"/>
      <c r="H3" s="980"/>
      <c r="I3" s="980"/>
      <c r="J3" s="980"/>
      <c r="K3" s="980"/>
      <c r="L3" s="980"/>
      <c r="M3" s="980"/>
      <c r="N3" s="980"/>
      <c r="O3" s="980"/>
      <c r="P3" s="980"/>
      <c r="Q3" s="980"/>
      <c r="R3" s="980"/>
      <c r="S3" s="980"/>
      <c r="T3" s="980"/>
      <c r="U3" s="980"/>
      <c r="V3" s="980"/>
      <c r="W3" s="980"/>
      <c r="X3" s="980"/>
      <c r="Y3" s="980"/>
      <c r="Z3" s="980"/>
      <c r="AA3" s="981"/>
    </row>
    <row r="4" spans="2:27" ht="15.5" thickTop="1" thickBot="1">
      <c r="B4" s="983"/>
      <c r="C4" s="767" t="s">
        <v>25</v>
      </c>
      <c r="D4" s="768"/>
      <c r="E4" s="769"/>
      <c r="F4" s="766" t="s">
        <v>26</v>
      </c>
      <c r="G4" s="433" t="str">
        <f>'FE-1770S'!L12</f>
        <v/>
      </c>
      <c r="H4" s="433" t="str">
        <f>'FE-1770S'!M12</f>
        <v/>
      </c>
      <c r="I4" s="769"/>
      <c r="J4" s="433" t="str">
        <f>'FE-1770S'!O12</f>
        <v/>
      </c>
      <c r="K4" s="433" t="str">
        <f>'FE-1770S'!P12</f>
        <v/>
      </c>
      <c r="L4" s="433" t="str">
        <f>'FE-1770S'!Q12</f>
        <v/>
      </c>
      <c r="M4" s="769"/>
      <c r="N4" s="433" t="str">
        <f>'FE-1770S'!S12</f>
        <v/>
      </c>
      <c r="O4" s="433" t="str">
        <f>'FE-1770S'!T12</f>
        <v/>
      </c>
      <c r="P4" s="433" t="str">
        <f>'FE-1770S'!U12</f>
        <v/>
      </c>
      <c r="Q4" s="769"/>
      <c r="R4" s="433" t="str">
        <f>'FE-1770S'!W12</f>
        <v/>
      </c>
      <c r="S4" s="769"/>
      <c r="T4" s="433" t="str">
        <f>'FE-1770S'!Y12</f>
        <v/>
      </c>
      <c r="U4" s="433" t="str">
        <f>'FE-1770S'!Z12</f>
        <v/>
      </c>
      <c r="V4" s="433" t="str">
        <f>'FE-1770S'!AA12</f>
        <v/>
      </c>
      <c r="W4" s="769"/>
      <c r="X4" s="433" t="str">
        <f>'FE-1770S'!AC12</f>
        <v/>
      </c>
      <c r="Y4" s="433" t="str">
        <f>'FE-1770S'!AD12</f>
        <v/>
      </c>
      <c r="Z4" s="433" t="str">
        <f>'FE-1770S'!AE12</f>
        <v/>
      </c>
      <c r="AA4" s="984"/>
    </row>
    <row r="5" spans="2:27" ht="15" thickTop="1">
      <c r="B5" s="983"/>
      <c r="C5" s="767"/>
      <c r="D5" s="768"/>
      <c r="E5" s="769"/>
      <c r="F5" s="766"/>
      <c r="G5" s="990"/>
      <c r="H5" s="769">
        <f>npwp02</f>
        <v>0</v>
      </c>
      <c r="I5" s="769"/>
      <c r="J5" s="769"/>
      <c r="K5" s="769"/>
      <c r="L5" s="769"/>
      <c r="M5" s="769"/>
      <c r="N5" s="769"/>
      <c r="O5" s="769"/>
      <c r="P5" s="769"/>
      <c r="Q5" s="769"/>
      <c r="R5" s="769"/>
      <c r="S5" s="769"/>
      <c r="T5" s="769"/>
      <c r="U5" s="769"/>
      <c r="V5" s="769"/>
      <c r="W5" s="769"/>
      <c r="X5" s="769"/>
      <c r="Y5" s="769"/>
      <c r="Z5" s="769"/>
      <c r="AA5" s="984"/>
    </row>
    <row r="6" spans="2:27">
      <c r="B6" s="983"/>
      <c r="C6" s="767"/>
      <c r="D6" s="768"/>
      <c r="E6" s="769"/>
      <c r="F6" s="766"/>
      <c r="G6" s="990"/>
      <c r="H6" s="769"/>
      <c r="I6" s="769"/>
      <c r="J6" s="769"/>
      <c r="K6" s="769"/>
      <c r="L6" s="769"/>
      <c r="M6" s="769"/>
      <c r="N6" s="769"/>
      <c r="O6" s="769"/>
      <c r="P6" s="769"/>
      <c r="Q6" s="769"/>
      <c r="R6" s="769"/>
      <c r="S6" s="769"/>
      <c r="T6" s="769"/>
      <c r="U6" s="769"/>
      <c r="V6" s="769"/>
      <c r="W6" s="769"/>
      <c r="X6" s="769"/>
      <c r="Y6" s="769"/>
      <c r="Z6" s="769"/>
      <c r="AA6" s="984"/>
    </row>
    <row r="7" spans="2:27">
      <c r="B7" s="983"/>
      <c r="C7" s="767" t="s">
        <v>27</v>
      </c>
      <c r="D7" s="768"/>
      <c r="E7" s="769"/>
      <c r="F7" s="766" t="s">
        <v>26</v>
      </c>
      <c r="G7" s="996">
        <f>'FE-1770S'!H124</f>
        <v>0</v>
      </c>
      <c r="H7" s="985"/>
      <c r="I7" s="985"/>
      <c r="J7" s="985"/>
      <c r="K7" s="985"/>
      <c r="L7" s="985"/>
      <c r="M7" s="985"/>
      <c r="N7" s="985"/>
      <c r="O7" s="985"/>
      <c r="P7" s="985"/>
      <c r="Q7" s="985"/>
      <c r="R7" s="985"/>
      <c r="S7" s="985"/>
      <c r="T7" s="985" t="s">
        <v>295</v>
      </c>
      <c r="U7" s="985"/>
      <c r="V7" s="985"/>
      <c r="W7" s="985"/>
      <c r="X7" s="985"/>
      <c r="Y7" s="985"/>
      <c r="Z7" s="985"/>
      <c r="AA7" s="984"/>
    </row>
    <row r="8" spans="2:27">
      <c r="B8" s="983"/>
      <c r="C8" s="767"/>
      <c r="D8" s="768"/>
      <c r="E8" s="769"/>
      <c r="F8" s="766"/>
      <c r="G8" s="766"/>
      <c r="H8" s="766"/>
      <c r="I8" s="766"/>
      <c r="J8" s="766"/>
      <c r="K8" s="766"/>
      <c r="L8" s="766"/>
      <c r="M8" s="766"/>
      <c r="N8" s="766"/>
      <c r="O8" s="766"/>
      <c r="P8" s="766"/>
      <c r="Q8" s="766"/>
      <c r="R8" s="766"/>
      <c r="S8" s="766"/>
      <c r="T8" s="766" t="s">
        <v>295</v>
      </c>
      <c r="U8" s="766"/>
      <c r="V8" s="766"/>
      <c r="W8" s="766"/>
      <c r="X8" s="766"/>
      <c r="Y8" s="766"/>
      <c r="Z8" s="766"/>
      <c r="AA8" s="984"/>
    </row>
    <row r="9" spans="2:27">
      <c r="B9" s="983"/>
      <c r="C9" s="767"/>
      <c r="D9" s="768"/>
      <c r="E9" s="769"/>
      <c r="F9" s="766"/>
      <c r="G9" s="766"/>
      <c r="H9" s="766"/>
      <c r="I9" s="766"/>
      <c r="J9" s="766"/>
      <c r="K9" s="766"/>
      <c r="L9" s="766"/>
      <c r="M9" s="766"/>
      <c r="N9" s="766"/>
      <c r="O9" s="766"/>
      <c r="P9" s="766"/>
      <c r="Q9" s="766"/>
      <c r="R9" s="766"/>
      <c r="S9" s="766"/>
      <c r="T9" s="766"/>
      <c r="U9" s="766"/>
      <c r="V9" s="766"/>
      <c r="W9" s="766"/>
      <c r="X9" s="766"/>
      <c r="Y9" s="766"/>
      <c r="Z9" s="766"/>
      <c r="AA9" s="984"/>
    </row>
    <row r="10" spans="2:27" ht="15" thickBot="1">
      <c r="B10" s="983"/>
      <c r="C10" s="767"/>
      <c r="D10" s="768"/>
      <c r="E10" s="769"/>
      <c r="F10" s="766"/>
      <c r="G10" s="766"/>
      <c r="H10" s="766"/>
      <c r="I10" s="766"/>
      <c r="J10" s="766"/>
      <c r="K10" s="766"/>
      <c r="L10" s="766"/>
      <c r="M10" s="766"/>
      <c r="N10" s="766"/>
      <c r="O10" s="766"/>
      <c r="P10" s="766"/>
      <c r="Q10" s="766"/>
      <c r="R10" s="766"/>
      <c r="S10" s="766"/>
      <c r="T10" s="766" t="s">
        <v>295</v>
      </c>
      <c r="U10" s="766"/>
      <c r="V10" s="766"/>
      <c r="W10" s="766"/>
      <c r="X10" s="766"/>
      <c r="Y10" s="766"/>
      <c r="Z10" s="766"/>
      <c r="AA10" s="984"/>
    </row>
    <row r="11" spans="2:27" ht="15.5" thickTop="1" thickBot="1">
      <c r="B11" s="983"/>
      <c r="C11" s="767" t="s">
        <v>822</v>
      </c>
      <c r="D11" s="768"/>
      <c r="E11" s="768"/>
      <c r="F11" s="766" t="s">
        <v>26</v>
      </c>
      <c r="G11" s="240"/>
      <c r="H11" s="240"/>
      <c r="I11" s="240"/>
      <c r="J11" s="240"/>
      <c r="K11" s="240"/>
      <c r="L11" s="240"/>
      <c r="M11" s="240"/>
      <c r="N11" s="240"/>
      <c r="O11" s="240" t="s">
        <v>295</v>
      </c>
      <c r="P11" s="240" t="s">
        <v>295</v>
      </c>
      <c r="Q11" s="240" t="s">
        <v>295</v>
      </c>
      <c r="R11" s="240" t="s">
        <v>295</v>
      </c>
      <c r="S11" s="240" t="s">
        <v>295</v>
      </c>
      <c r="T11" s="240" t="s">
        <v>295</v>
      </c>
      <c r="U11" s="769"/>
      <c r="V11" s="769"/>
      <c r="W11" s="769"/>
      <c r="X11" s="769"/>
      <c r="Y11" s="769"/>
      <c r="Z11" s="769"/>
      <c r="AA11" s="984"/>
    </row>
    <row r="12" spans="2:27" ht="15" thickTop="1">
      <c r="B12" s="983"/>
      <c r="C12" s="767"/>
      <c r="D12" s="768"/>
      <c r="E12" s="768"/>
      <c r="F12" s="766"/>
      <c r="G12" s="769"/>
      <c r="H12" s="769"/>
      <c r="I12" s="769"/>
      <c r="J12" s="769"/>
      <c r="K12" s="769"/>
      <c r="L12" s="769"/>
      <c r="M12" s="769"/>
      <c r="N12" s="769"/>
      <c r="O12" s="769"/>
      <c r="P12" s="769"/>
      <c r="Q12" s="769"/>
      <c r="R12" s="769"/>
      <c r="S12" s="769"/>
      <c r="T12" s="769"/>
      <c r="U12" s="769"/>
      <c r="V12" s="769"/>
      <c r="W12" s="769"/>
      <c r="X12" s="769"/>
      <c r="Y12" s="769"/>
      <c r="Z12" s="769"/>
      <c r="AA12" s="984"/>
    </row>
    <row r="13" spans="2:27">
      <c r="B13" s="983"/>
      <c r="C13" s="767"/>
      <c r="D13" s="768"/>
      <c r="E13" s="768"/>
      <c r="F13" s="766"/>
      <c r="G13" s="769"/>
      <c r="H13" s="769"/>
      <c r="I13" s="769"/>
      <c r="J13" s="769"/>
      <c r="K13" s="769"/>
      <c r="L13" s="769"/>
      <c r="M13" s="769"/>
      <c r="N13" s="769"/>
      <c r="O13" s="769"/>
      <c r="P13" s="769"/>
      <c r="Q13" s="769"/>
      <c r="R13" s="769"/>
      <c r="S13" s="769"/>
      <c r="T13" s="769"/>
      <c r="U13" s="769"/>
      <c r="V13" s="769"/>
      <c r="W13" s="769"/>
      <c r="X13" s="769"/>
      <c r="Y13" s="769"/>
      <c r="Z13" s="769"/>
      <c r="AA13" s="984"/>
    </row>
    <row r="14" spans="2:27" ht="15" thickBot="1">
      <c r="B14" s="983"/>
      <c r="C14" s="767"/>
      <c r="D14" s="768"/>
      <c r="E14" s="768"/>
      <c r="F14" s="766"/>
      <c r="G14" s="769"/>
      <c r="H14" s="769"/>
      <c r="I14" s="769"/>
      <c r="J14" s="769"/>
      <c r="K14" s="769"/>
      <c r="L14" s="769"/>
      <c r="M14" s="769"/>
      <c r="N14" s="769"/>
      <c r="O14" s="769"/>
      <c r="P14" s="769"/>
      <c r="Q14" s="769"/>
      <c r="R14" s="769"/>
      <c r="S14" s="769"/>
      <c r="T14" s="769"/>
      <c r="U14" s="769"/>
      <c r="V14" s="769"/>
      <c r="W14" s="769"/>
      <c r="X14" s="769"/>
      <c r="Y14" s="769"/>
      <c r="Z14" s="769"/>
      <c r="AA14" s="984"/>
    </row>
    <row r="15" spans="2:27" ht="15.5" thickTop="1" thickBot="1">
      <c r="B15" s="983"/>
      <c r="C15" s="986" t="s">
        <v>29</v>
      </c>
      <c r="D15" s="987"/>
      <c r="E15" s="987"/>
      <c r="F15" s="988" t="s">
        <v>26</v>
      </c>
      <c r="G15" s="240">
        <f>year01</f>
        <v>0</v>
      </c>
      <c r="H15" s="240">
        <f>year02</f>
        <v>0</v>
      </c>
      <c r="I15" s="240">
        <f>year03</f>
        <v>0</v>
      </c>
      <c r="J15" s="240">
        <f>year04</f>
        <v>0</v>
      </c>
      <c r="K15" s="768"/>
      <c r="L15" s="768"/>
      <c r="M15" s="768"/>
      <c r="N15" s="768"/>
      <c r="O15" s="768"/>
      <c r="P15" s="768"/>
      <c r="Q15" s="767"/>
      <c r="R15" s="767"/>
      <c r="S15" s="767"/>
      <c r="T15" s="767"/>
      <c r="U15" s="767"/>
      <c r="V15" s="767"/>
      <c r="W15" s="769"/>
      <c r="X15" s="767"/>
      <c r="Y15" s="767"/>
      <c r="Z15" s="767"/>
      <c r="AA15" s="984"/>
    </row>
    <row r="16" spans="2:27" ht="15" thickTop="1">
      <c r="B16" s="983"/>
      <c r="C16" s="986"/>
      <c r="D16" s="987"/>
      <c r="E16" s="987"/>
      <c r="F16" s="988"/>
      <c r="G16" s="768"/>
      <c r="H16" s="768"/>
      <c r="I16" s="768"/>
      <c r="J16" s="768"/>
      <c r="K16" s="768"/>
      <c r="L16" s="768"/>
      <c r="M16" s="768"/>
      <c r="N16" s="768"/>
      <c r="O16" s="768"/>
      <c r="P16" s="768"/>
      <c r="Q16" s="767"/>
      <c r="R16" s="767"/>
      <c r="S16" s="767"/>
      <c r="T16" s="767"/>
      <c r="U16" s="767"/>
      <c r="V16" s="767"/>
      <c r="W16" s="769"/>
      <c r="X16" s="767"/>
      <c r="Y16" s="767"/>
      <c r="Z16" s="767"/>
      <c r="AA16" s="984"/>
    </row>
    <row r="17" spans="2:27">
      <c r="B17" s="983"/>
      <c r="C17" s="986"/>
      <c r="D17" s="987"/>
      <c r="E17" s="987"/>
      <c r="F17" s="988"/>
      <c r="G17" s="768"/>
      <c r="H17" s="768"/>
      <c r="I17" s="768"/>
      <c r="J17" s="768"/>
      <c r="K17" s="768"/>
      <c r="L17" s="768"/>
      <c r="M17" s="768"/>
      <c r="N17" s="768"/>
      <c r="O17" s="768"/>
      <c r="P17" s="768"/>
      <c r="Q17" s="767"/>
      <c r="R17" s="767"/>
      <c r="S17" s="767"/>
      <c r="T17" s="767"/>
      <c r="U17" s="767"/>
      <c r="V17" s="767"/>
      <c r="W17" s="769"/>
      <c r="X17" s="767"/>
      <c r="Y17" s="767"/>
      <c r="Z17" s="767"/>
      <c r="AA17" s="984"/>
    </row>
    <row r="18" spans="2:27" ht="15" thickBot="1">
      <c r="B18" s="983"/>
      <c r="C18" s="986"/>
      <c r="D18" s="987"/>
      <c r="E18" s="987"/>
      <c r="F18" s="988"/>
      <c r="G18" s="768"/>
      <c r="H18" s="768"/>
      <c r="I18" s="768"/>
      <c r="J18" s="768"/>
      <c r="K18" s="768"/>
      <c r="L18" s="768"/>
      <c r="M18" s="768"/>
      <c r="N18" s="768"/>
      <c r="O18" s="768"/>
      <c r="P18" s="768"/>
      <c r="Q18" s="767"/>
      <c r="R18" s="767"/>
      <c r="S18" s="767"/>
      <c r="T18" s="767"/>
      <c r="U18" s="767"/>
      <c r="V18" s="767"/>
      <c r="W18" s="769"/>
      <c r="X18" s="767"/>
      <c r="Y18" s="767"/>
      <c r="Z18" s="767"/>
      <c r="AA18" s="984"/>
    </row>
    <row r="19" spans="2:27" ht="15" thickTop="1">
      <c r="B19" s="983"/>
      <c r="C19" s="986" t="s">
        <v>950</v>
      </c>
      <c r="D19" s="987"/>
      <c r="E19" s="987"/>
      <c r="F19" s="988" t="s">
        <v>26</v>
      </c>
      <c r="G19" s="2070" t="e">
        <f>IF('FE-1770S'!AH92="NIL","X",0)</f>
        <v>#DIV/0!</v>
      </c>
      <c r="H19" s="989" t="s">
        <v>951</v>
      </c>
      <c r="I19" s="769"/>
      <c r="J19" s="769"/>
      <c r="K19" s="769"/>
      <c r="L19" s="2072" t="e">
        <f>IF(G19=0,"X",0)</f>
        <v>#DIV/0!</v>
      </c>
      <c r="M19" s="989" t="s">
        <v>952</v>
      </c>
      <c r="N19" s="769"/>
      <c r="O19" s="769"/>
      <c r="P19" s="769"/>
      <c r="Q19" s="2074"/>
      <c r="R19" s="989" t="s">
        <v>953</v>
      </c>
      <c r="S19" s="990"/>
      <c r="T19" s="767"/>
      <c r="U19" s="769" t="s">
        <v>295</v>
      </c>
      <c r="V19" s="769" t="s">
        <v>295</v>
      </c>
      <c r="W19" s="769" t="s">
        <v>295</v>
      </c>
      <c r="X19" s="769" t="s">
        <v>295</v>
      </c>
      <c r="Y19" s="769" t="s">
        <v>295</v>
      </c>
      <c r="Z19" s="769" t="s">
        <v>295</v>
      </c>
      <c r="AA19" s="984"/>
    </row>
    <row r="20" spans="2:27" s="982" customFormat="1" ht="7.5" customHeight="1" thickBot="1">
      <c r="B20" s="983"/>
      <c r="C20" s="986"/>
      <c r="D20" s="987"/>
      <c r="E20" s="987"/>
      <c r="F20" s="988"/>
      <c r="G20" s="2071"/>
      <c r="H20" s="769"/>
      <c r="I20" s="769"/>
      <c r="J20" s="769"/>
      <c r="K20" s="769"/>
      <c r="L20" s="2073"/>
      <c r="M20" s="769"/>
      <c r="N20" s="769"/>
      <c r="O20" s="769"/>
      <c r="P20" s="769"/>
      <c r="Q20" s="2075"/>
      <c r="R20" s="767"/>
      <c r="S20" s="769"/>
      <c r="T20" s="767"/>
      <c r="U20" s="769"/>
      <c r="V20" s="769"/>
      <c r="W20" s="769"/>
      <c r="X20" s="769"/>
      <c r="Y20" s="769"/>
      <c r="Z20" s="769"/>
      <c r="AA20" s="984"/>
    </row>
    <row r="21" spans="2:27" s="982" customFormat="1" ht="15" thickTop="1">
      <c r="B21" s="983"/>
      <c r="C21" s="986"/>
      <c r="D21" s="987"/>
      <c r="E21" s="987"/>
      <c r="F21" s="769"/>
      <c r="G21" s="769"/>
      <c r="H21" s="769"/>
      <c r="I21" s="769"/>
      <c r="J21" s="769"/>
      <c r="K21" s="769"/>
      <c r="L21" s="769"/>
      <c r="M21" s="769"/>
      <c r="N21" s="769"/>
      <c r="O21" s="769"/>
      <c r="P21" s="769"/>
      <c r="Q21" s="769"/>
      <c r="R21" s="769"/>
      <c r="S21" s="769"/>
      <c r="T21" s="769"/>
      <c r="U21" s="769"/>
      <c r="V21" s="769"/>
      <c r="W21" s="769"/>
      <c r="X21" s="769"/>
      <c r="Y21" s="769"/>
      <c r="Z21" s="769"/>
      <c r="AA21" s="984"/>
    </row>
    <row r="22" spans="2:27" s="982" customFormat="1" ht="15" thickBot="1">
      <c r="B22" s="983"/>
      <c r="C22" s="986"/>
      <c r="D22" s="987"/>
      <c r="E22" s="987"/>
      <c r="F22" s="988"/>
      <c r="G22" s="769"/>
      <c r="H22" s="769"/>
      <c r="I22" s="769"/>
      <c r="J22" s="769"/>
      <c r="K22" s="769"/>
      <c r="L22" s="769"/>
      <c r="M22" s="769"/>
      <c r="N22" s="769"/>
      <c r="O22" s="769"/>
      <c r="P22" s="769"/>
      <c r="Q22" s="769"/>
      <c r="R22" s="769"/>
      <c r="S22" s="769"/>
      <c r="T22" s="769"/>
      <c r="U22" s="769"/>
      <c r="V22" s="769"/>
      <c r="W22" s="769"/>
      <c r="X22" s="769"/>
      <c r="Y22" s="769"/>
      <c r="Z22" s="769"/>
      <c r="AA22" s="984"/>
    </row>
    <row r="23" spans="2:27" ht="15" thickTop="1">
      <c r="B23" s="983"/>
      <c r="C23" s="986" t="s">
        <v>954</v>
      </c>
      <c r="D23" s="987"/>
      <c r="E23" s="987"/>
      <c r="F23" s="988" t="s">
        <v>26</v>
      </c>
      <c r="G23" s="2076" t="s">
        <v>587</v>
      </c>
      <c r="H23" s="989" t="s">
        <v>955</v>
      </c>
      <c r="I23" s="769"/>
      <c r="J23" s="769"/>
      <c r="K23" s="769"/>
      <c r="L23" s="2078"/>
      <c r="M23" s="991" t="s">
        <v>956</v>
      </c>
      <c r="N23" s="768"/>
      <c r="O23" s="768"/>
      <c r="P23" s="768"/>
      <c r="Q23" s="768"/>
      <c r="R23" s="768"/>
      <c r="S23" s="990" t="s">
        <v>957</v>
      </c>
      <c r="T23" s="769" t="s">
        <v>295</v>
      </c>
      <c r="U23" s="769" t="s">
        <v>295</v>
      </c>
      <c r="V23" s="769" t="s">
        <v>295</v>
      </c>
      <c r="W23" s="769" t="s">
        <v>295</v>
      </c>
      <c r="X23" s="769" t="s">
        <v>295</v>
      </c>
      <c r="Y23" s="769" t="s">
        <v>295</v>
      </c>
      <c r="Z23" s="769" t="s">
        <v>295</v>
      </c>
      <c r="AA23" s="984"/>
    </row>
    <row r="24" spans="2:27" s="982" customFormat="1" ht="7.5" customHeight="1" thickBot="1">
      <c r="B24" s="983"/>
      <c r="C24" s="986"/>
      <c r="D24" s="987"/>
      <c r="E24" s="987"/>
      <c r="F24" s="988"/>
      <c r="G24" s="2077"/>
      <c r="H24" s="769"/>
      <c r="I24" s="769"/>
      <c r="J24" s="769"/>
      <c r="K24" s="769"/>
      <c r="L24" s="2079"/>
      <c r="M24" s="769"/>
      <c r="N24" s="769"/>
      <c r="O24" s="769"/>
      <c r="P24" s="769"/>
      <c r="Q24" s="769"/>
      <c r="R24" s="769"/>
      <c r="S24" s="769"/>
      <c r="T24" s="769"/>
      <c r="U24" s="769"/>
      <c r="V24" s="769"/>
      <c r="W24" s="769"/>
      <c r="X24" s="769"/>
      <c r="Y24" s="769"/>
      <c r="Z24" s="769"/>
      <c r="AA24" s="984"/>
    </row>
    <row r="25" spans="2:27" s="982" customFormat="1" ht="7.5" customHeight="1" thickTop="1">
      <c r="B25" s="983"/>
      <c r="C25" s="986"/>
      <c r="D25" s="987"/>
      <c r="E25" s="987"/>
      <c r="F25" s="988"/>
      <c r="G25" s="769"/>
      <c r="H25" s="769"/>
      <c r="I25" s="769"/>
      <c r="J25" s="769"/>
      <c r="K25" s="769"/>
      <c r="L25" s="769"/>
      <c r="M25" s="769"/>
      <c r="N25" s="769"/>
      <c r="O25" s="769"/>
      <c r="P25" s="769"/>
      <c r="Q25" s="769"/>
      <c r="R25" s="767"/>
      <c r="S25" s="769"/>
      <c r="T25" s="767"/>
      <c r="U25" s="769"/>
      <c r="V25" s="769"/>
      <c r="W25" s="769"/>
      <c r="X25" s="769"/>
      <c r="Y25" s="769"/>
      <c r="Z25" s="769"/>
      <c r="AA25" s="984"/>
    </row>
    <row r="26" spans="2:27" s="982" customFormat="1" ht="7.5" customHeight="1">
      <c r="B26" s="983"/>
      <c r="C26" s="986"/>
      <c r="D26" s="987"/>
      <c r="E26" s="987"/>
      <c r="F26" s="988"/>
      <c r="G26" s="769"/>
      <c r="H26" s="769"/>
      <c r="I26" s="769"/>
      <c r="J26" s="769"/>
      <c r="K26" s="769"/>
      <c r="L26" s="769"/>
      <c r="M26" s="769"/>
      <c r="N26" s="769"/>
      <c r="O26" s="769"/>
      <c r="P26" s="769"/>
      <c r="Q26" s="769"/>
      <c r="R26" s="767"/>
      <c r="S26" s="769"/>
      <c r="T26" s="767"/>
      <c r="U26" s="769"/>
      <c r="V26" s="769"/>
      <c r="W26" s="769"/>
      <c r="X26" s="769"/>
      <c r="Y26" s="769"/>
      <c r="Z26" s="769"/>
      <c r="AA26" s="984"/>
    </row>
    <row r="27" spans="2:27" s="982" customFormat="1" ht="7.5" customHeight="1">
      <c r="B27" s="983"/>
      <c r="C27" s="986"/>
      <c r="D27" s="987"/>
      <c r="E27" s="987"/>
      <c r="F27" s="988"/>
      <c r="G27" s="769"/>
      <c r="H27" s="769"/>
      <c r="I27" s="769"/>
      <c r="J27" s="769"/>
      <c r="K27" s="769"/>
      <c r="L27" s="769"/>
      <c r="M27" s="769"/>
      <c r="N27" s="769"/>
      <c r="O27" s="769"/>
      <c r="P27" s="769"/>
      <c r="Q27" s="769"/>
      <c r="R27" s="767"/>
      <c r="S27" s="769"/>
      <c r="T27" s="767"/>
      <c r="U27" s="769"/>
      <c r="V27" s="769"/>
      <c r="W27" s="769"/>
      <c r="X27" s="769"/>
      <c r="Y27" s="769"/>
      <c r="Z27" s="769"/>
      <c r="AA27" s="984"/>
    </row>
    <row r="28" spans="2:27">
      <c r="B28" s="983"/>
      <c r="C28" s="767" t="s">
        <v>958</v>
      </c>
      <c r="D28" s="768"/>
      <c r="E28" s="768"/>
      <c r="F28" s="766" t="s">
        <v>26</v>
      </c>
      <c r="G28" s="997" t="str">
        <f>CONCATENATE(phone01,"-",phone02)</f>
        <v>-</v>
      </c>
      <c r="H28" s="997"/>
      <c r="I28" s="997"/>
      <c r="J28" s="997"/>
      <c r="K28" s="997"/>
      <c r="L28" s="997"/>
      <c r="M28" s="997"/>
      <c r="N28" s="997"/>
      <c r="O28" s="997"/>
      <c r="P28" s="990"/>
      <c r="Q28" s="767"/>
      <c r="R28" s="767"/>
      <c r="S28" s="769"/>
      <c r="T28" s="769"/>
      <c r="U28" s="769"/>
      <c r="V28" s="766"/>
      <c r="W28" s="766"/>
      <c r="X28" s="766"/>
      <c r="Y28" s="766"/>
      <c r="Z28" s="766"/>
      <c r="AA28" s="984"/>
    </row>
    <row r="29" spans="2:27">
      <c r="B29" s="983"/>
      <c r="C29" s="767"/>
      <c r="D29" s="768"/>
      <c r="E29" s="769"/>
      <c r="F29" s="768"/>
      <c r="G29" s="768"/>
      <c r="H29" s="768"/>
      <c r="I29" s="768"/>
      <c r="J29" s="768"/>
      <c r="K29" s="768"/>
      <c r="L29" s="768"/>
      <c r="M29" s="768"/>
      <c r="N29" s="768"/>
      <c r="O29" s="768"/>
      <c r="P29" s="768"/>
      <c r="Q29" s="767"/>
      <c r="R29" s="767"/>
      <c r="S29" s="769"/>
      <c r="T29" s="767"/>
      <c r="U29" s="767"/>
      <c r="V29" s="767"/>
      <c r="W29" s="769"/>
      <c r="X29" s="767"/>
      <c r="Y29" s="767"/>
      <c r="Z29" s="767"/>
      <c r="AA29" s="984"/>
    </row>
    <row r="30" spans="2:27">
      <c r="B30" s="983"/>
      <c r="C30" s="767"/>
      <c r="D30" s="768"/>
      <c r="E30" s="769"/>
      <c r="F30" s="768"/>
      <c r="G30" s="768"/>
      <c r="H30" s="768"/>
      <c r="I30" s="768"/>
      <c r="J30" s="768"/>
      <c r="K30" s="768"/>
      <c r="L30" s="768"/>
      <c r="M30" s="768"/>
      <c r="N30" s="768"/>
      <c r="O30" s="768"/>
      <c r="P30" s="768"/>
      <c r="Q30" s="767"/>
      <c r="R30" s="767"/>
      <c r="S30" s="769"/>
      <c r="T30" s="767"/>
      <c r="U30" s="767"/>
      <c r="V30" s="767"/>
      <c r="W30" s="769"/>
      <c r="X30" s="767"/>
      <c r="Y30" s="767"/>
      <c r="Z30" s="767"/>
      <c r="AA30" s="984"/>
    </row>
    <row r="31" spans="2:27">
      <c r="B31" s="983"/>
      <c r="C31" s="767" t="s">
        <v>959</v>
      </c>
      <c r="D31" s="768"/>
      <c r="E31" s="769"/>
      <c r="F31" s="766" t="s">
        <v>26</v>
      </c>
      <c r="G31" s="992"/>
      <c r="H31" s="992"/>
      <c r="I31" s="992"/>
      <c r="J31" s="992"/>
      <c r="K31" s="992"/>
      <c r="L31" s="992"/>
      <c r="M31" s="992"/>
      <c r="N31" s="992"/>
      <c r="O31" s="992"/>
      <c r="P31" s="768"/>
      <c r="Q31" s="767"/>
      <c r="R31" s="767"/>
      <c r="S31" s="767"/>
      <c r="T31" s="767"/>
      <c r="U31" s="767"/>
      <c r="V31" s="767"/>
      <c r="W31" s="769"/>
      <c r="X31" s="767"/>
      <c r="Y31" s="767"/>
      <c r="Z31" s="767"/>
      <c r="AA31" s="984"/>
    </row>
    <row r="32" spans="2:27">
      <c r="B32" s="983"/>
      <c r="C32" s="767"/>
      <c r="D32" s="768"/>
      <c r="E32" s="769"/>
      <c r="F32" s="766"/>
      <c r="G32" s="768"/>
      <c r="H32" s="768"/>
      <c r="I32" s="768"/>
      <c r="J32" s="768"/>
      <c r="K32" s="768"/>
      <c r="L32" s="768"/>
      <c r="M32" s="768"/>
      <c r="N32" s="768"/>
      <c r="O32" s="768"/>
      <c r="P32" s="768"/>
      <c r="Q32" s="767"/>
      <c r="R32" s="767"/>
      <c r="S32" s="767"/>
      <c r="T32" s="767"/>
      <c r="U32" s="767"/>
      <c r="V32" s="767"/>
      <c r="W32" s="769"/>
      <c r="X32" s="767"/>
      <c r="Y32" s="767"/>
      <c r="Z32" s="767"/>
      <c r="AA32" s="984"/>
    </row>
    <row r="33" spans="2:27">
      <c r="B33" s="983"/>
      <c r="C33" s="767"/>
      <c r="D33" s="768"/>
      <c r="E33" s="769"/>
      <c r="F33" s="766"/>
      <c r="G33" s="768"/>
      <c r="H33" s="768"/>
      <c r="I33" s="768"/>
      <c r="J33" s="768"/>
      <c r="K33" s="768"/>
      <c r="L33" s="768"/>
      <c r="M33" s="768"/>
      <c r="N33" s="768"/>
      <c r="O33" s="768"/>
      <c r="P33" s="768"/>
      <c r="Q33" s="767"/>
      <c r="R33" s="767"/>
      <c r="S33" s="767"/>
      <c r="T33" s="767"/>
      <c r="U33" s="767"/>
      <c r="V33" s="767"/>
      <c r="W33" s="769"/>
      <c r="X33" s="767"/>
      <c r="Y33" s="767"/>
      <c r="Z33" s="767"/>
      <c r="AA33" s="984"/>
    </row>
    <row r="34" spans="2:27">
      <c r="B34" s="983"/>
      <c r="C34" s="767" t="s">
        <v>960</v>
      </c>
      <c r="D34" s="768"/>
      <c r="E34" s="769"/>
      <c r="F34" s="766" t="s">
        <v>26</v>
      </c>
      <c r="G34" s="768"/>
      <c r="H34" s="768"/>
      <c r="I34" s="768"/>
      <c r="J34" s="768"/>
      <c r="K34" s="768"/>
      <c r="L34" s="768"/>
      <c r="M34" s="768"/>
      <c r="N34" s="768"/>
      <c r="O34" s="768"/>
      <c r="P34" s="768"/>
      <c r="Q34" s="767"/>
      <c r="R34" s="767"/>
      <c r="S34" s="767"/>
      <c r="T34" s="767"/>
      <c r="U34" s="767"/>
      <c r="V34" s="767"/>
      <c r="W34" s="769"/>
      <c r="X34" s="767"/>
      <c r="Y34" s="767"/>
      <c r="Z34" s="767"/>
      <c r="AA34" s="984"/>
    </row>
    <row r="35" spans="2:27" ht="13.5" customHeight="1">
      <c r="B35" s="983"/>
      <c r="C35" s="767"/>
      <c r="D35" s="768"/>
      <c r="E35" s="769"/>
      <c r="F35" s="766"/>
      <c r="G35" s="768" t="s">
        <v>961</v>
      </c>
      <c r="H35" s="768"/>
      <c r="I35" s="768"/>
      <c r="J35" s="768"/>
      <c r="K35" s="768"/>
      <c r="L35" s="768"/>
      <c r="M35" s="768"/>
      <c r="N35" s="768"/>
      <c r="O35" s="768"/>
      <c r="P35" s="768"/>
      <c r="Q35" s="767"/>
      <c r="R35" s="767"/>
      <c r="S35" s="767"/>
      <c r="T35" s="767"/>
      <c r="U35" s="767"/>
      <c r="V35" s="767"/>
      <c r="W35" s="769"/>
      <c r="X35" s="767"/>
      <c r="Y35" s="767"/>
      <c r="Z35" s="767"/>
      <c r="AA35" s="984"/>
    </row>
    <row r="36" spans="2:27" ht="13.5" customHeight="1">
      <c r="B36" s="983"/>
      <c r="C36" s="767"/>
      <c r="D36" s="768"/>
      <c r="E36" s="769"/>
      <c r="F36" s="766"/>
      <c r="G36" s="768" t="s">
        <v>962</v>
      </c>
      <c r="H36" s="768"/>
      <c r="I36" s="768"/>
      <c r="J36" s="768"/>
      <c r="K36" s="768"/>
      <c r="L36" s="768"/>
      <c r="M36" s="768"/>
      <c r="N36" s="768"/>
      <c r="O36" s="768"/>
      <c r="P36" s="768"/>
      <c r="Q36" s="767"/>
      <c r="R36" s="767"/>
      <c r="S36" s="767"/>
      <c r="T36" s="767"/>
      <c r="U36" s="767"/>
      <c r="V36" s="767"/>
      <c r="W36" s="769"/>
      <c r="X36" s="767"/>
      <c r="Y36" s="767"/>
      <c r="Z36" s="767"/>
      <c r="AA36" s="984"/>
    </row>
    <row r="37" spans="2:27" ht="13.5" customHeight="1">
      <c r="B37" s="983"/>
      <c r="C37" s="767"/>
      <c r="D37" s="768"/>
      <c r="E37" s="769"/>
      <c r="F37" s="766"/>
      <c r="G37" s="768" t="s">
        <v>963</v>
      </c>
      <c r="H37" s="768"/>
      <c r="I37" s="768"/>
      <c r="J37" s="768"/>
      <c r="K37" s="768"/>
      <c r="L37" s="768"/>
      <c r="M37" s="768"/>
      <c r="N37" s="768"/>
      <c r="O37" s="768"/>
      <c r="P37" s="768"/>
      <c r="Q37" s="767"/>
      <c r="R37" s="767"/>
      <c r="S37" s="767"/>
      <c r="T37" s="767"/>
      <c r="U37" s="767"/>
      <c r="V37" s="767"/>
      <c r="W37" s="769"/>
      <c r="X37" s="767"/>
      <c r="Y37" s="767"/>
      <c r="Z37" s="767"/>
      <c r="AA37" s="984"/>
    </row>
    <row r="38" spans="2:27" ht="13.5" customHeight="1">
      <c r="B38" s="983"/>
      <c r="C38" s="767"/>
      <c r="D38" s="768"/>
      <c r="E38" s="769"/>
      <c r="F38" s="766"/>
      <c r="G38" s="768" t="s">
        <v>964</v>
      </c>
      <c r="H38" s="768"/>
      <c r="I38" s="768"/>
      <c r="J38" s="768"/>
      <c r="K38" s="768"/>
      <c r="L38" s="768"/>
      <c r="M38" s="768"/>
      <c r="N38" s="768"/>
      <c r="O38" s="768"/>
      <c r="P38" s="768"/>
      <c r="Q38" s="767"/>
      <c r="R38" s="767"/>
      <c r="S38" s="767"/>
      <c r="T38" s="767"/>
      <c r="U38" s="767"/>
      <c r="V38" s="767"/>
      <c r="W38" s="769"/>
      <c r="X38" s="767"/>
      <c r="Y38" s="767"/>
      <c r="Z38" s="767"/>
      <c r="AA38" s="984"/>
    </row>
    <row r="39" spans="2:27" ht="13.5" customHeight="1">
      <c r="B39" s="983"/>
      <c r="C39" s="767"/>
      <c r="D39" s="768"/>
      <c r="E39" s="769"/>
      <c r="F39" s="766"/>
      <c r="G39" s="768"/>
      <c r="H39" s="768"/>
      <c r="I39" s="768"/>
      <c r="J39" s="768"/>
      <c r="K39" s="768"/>
      <c r="L39" s="768"/>
      <c r="M39" s="768"/>
      <c r="N39" s="768"/>
      <c r="O39" s="768"/>
      <c r="P39" s="768"/>
      <c r="Q39" s="767"/>
      <c r="R39" s="767"/>
      <c r="S39" s="767"/>
      <c r="T39" s="767"/>
      <c r="U39" s="767"/>
      <c r="V39" s="767"/>
      <c r="W39" s="769"/>
      <c r="X39" s="767"/>
      <c r="Y39" s="767"/>
      <c r="Z39" s="767"/>
      <c r="AA39" s="984"/>
    </row>
    <row r="40" spans="2:27" ht="14.25" customHeight="1">
      <c r="B40" s="983"/>
      <c r="C40" s="767"/>
      <c r="D40" s="768"/>
      <c r="E40" s="769"/>
      <c r="F40" s="766"/>
      <c r="G40" s="768"/>
      <c r="H40" s="768"/>
      <c r="I40" s="768"/>
      <c r="J40" s="768"/>
      <c r="K40" s="768"/>
      <c r="L40" s="768"/>
      <c r="M40" s="768"/>
      <c r="N40" s="768"/>
      <c r="O40" s="768"/>
      <c r="P40" s="768"/>
      <c r="Q40" s="767"/>
      <c r="R40" s="767"/>
      <c r="S40" s="767"/>
      <c r="T40" s="767"/>
      <c r="U40" s="767"/>
      <c r="V40" s="767"/>
      <c r="W40" s="769"/>
      <c r="X40" s="767"/>
      <c r="Y40" s="767"/>
      <c r="Z40" s="767"/>
      <c r="AA40" s="984"/>
    </row>
    <row r="41" spans="2:27">
      <c r="B41" s="983"/>
      <c r="C41" s="767" t="s">
        <v>965</v>
      </c>
      <c r="D41" s="768"/>
      <c r="E41" s="769"/>
      <c r="F41" s="766" t="s">
        <v>26</v>
      </c>
      <c r="G41" s="768"/>
      <c r="H41" s="768"/>
      <c r="I41" s="768"/>
      <c r="J41" s="768"/>
      <c r="K41" s="768"/>
      <c r="L41" s="768"/>
      <c r="M41" s="768"/>
      <c r="N41" s="768"/>
      <c r="O41" s="768"/>
      <c r="P41" s="768"/>
      <c r="Q41" s="767"/>
      <c r="R41" s="767"/>
      <c r="S41" s="767"/>
      <c r="T41" s="767"/>
      <c r="U41" s="767"/>
      <c r="V41" s="767"/>
      <c r="W41" s="769"/>
      <c r="X41" s="767"/>
      <c r="Y41" s="767"/>
      <c r="Z41" s="767"/>
      <c r="AA41" s="984"/>
    </row>
    <row r="42" spans="2:27">
      <c r="B42" s="983"/>
      <c r="C42" s="767"/>
      <c r="D42" s="768"/>
      <c r="E42" s="769"/>
      <c r="F42" s="766"/>
      <c r="G42" s="768"/>
      <c r="H42" s="768"/>
      <c r="I42" s="768"/>
      <c r="J42" s="768"/>
      <c r="K42" s="768"/>
      <c r="L42" s="768"/>
      <c r="M42" s="768"/>
      <c r="N42" s="768"/>
      <c r="O42" s="768"/>
      <c r="P42" s="768"/>
      <c r="Q42" s="767"/>
      <c r="R42" s="767"/>
      <c r="S42" s="767"/>
      <c r="T42" s="767"/>
      <c r="U42" s="767"/>
      <c r="V42" s="767"/>
      <c r="W42" s="769"/>
      <c r="X42" s="767"/>
      <c r="Y42" s="767"/>
      <c r="Z42" s="767"/>
      <c r="AA42" s="984"/>
    </row>
    <row r="43" spans="2:27">
      <c r="B43" s="983"/>
      <c r="C43" s="767"/>
      <c r="D43" s="768"/>
      <c r="E43" s="769"/>
      <c r="F43" s="766"/>
      <c r="G43" s="768"/>
      <c r="H43" s="768"/>
      <c r="I43" s="768"/>
      <c r="J43" s="768"/>
      <c r="K43" s="768"/>
      <c r="L43" s="768"/>
      <c r="M43" s="768"/>
      <c r="N43" s="768"/>
      <c r="O43" s="768"/>
      <c r="P43" s="768"/>
      <c r="Q43" s="767"/>
      <c r="R43" s="767"/>
      <c r="S43" s="767"/>
      <c r="T43" s="767"/>
      <c r="U43" s="767"/>
      <c r="V43" s="767"/>
      <c r="W43" s="769"/>
      <c r="X43" s="767"/>
      <c r="Y43" s="767"/>
      <c r="Z43" s="767"/>
      <c r="AA43" s="984"/>
    </row>
    <row r="44" spans="2:27">
      <c r="B44" s="983"/>
      <c r="C44" s="767"/>
      <c r="D44" s="768"/>
      <c r="E44" s="769"/>
      <c r="F44" s="766"/>
      <c r="G44" s="768"/>
      <c r="H44" s="768"/>
      <c r="I44" s="768"/>
      <c r="J44" s="768"/>
      <c r="K44" s="768"/>
      <c r="L44" s="768"/>
      <c r="M44" s="768"/>
      <c r="N44" s="768"/>
      <c r="O44" s="768"/>
      <c r="P44" s="768"/>
      <c r="Q44" s="767"/>
      <c r="R44" s="767"/>
      <c r="S44" s="767"/>
      <c r="T44" s="767"/>
      <c r="U44" s="767"/>
      <c r="V44" s="767"/>
      <c r="W44" s="769"/>
      <c r="X44" s="767"/>
      <c r="Y44" s="767"/>
      <c r="Z44" s="767"/>
      <c r="AA44" s="984"/>
    </row>
    <row r="45" spans="2:27">
      <c r="B45" s="983"/>
      <c r="C45" s="767"/>
      <c r="D45" s="768"/>
      <c r="E45" s="769"/>
      <c r="F45" s="766"/>
      <c r="G45" s="992"/>
      <c r="H45" s="992"/>
      <c r="I45" s="992"/>
      <c r="J45" s="992"/>
      <c r="K45" s="992"/>
      <c r="L45" s="992"/>
      <c r="M45" s="992"/>
      <c r="N45" s="992"/>
      <c r="O45" s="992"/>
      <c r="P45" s="768"/>
      <c r="Q45" s="767"/>
      <c r="R45" s="767"/>
      <c r="S45" s="767"/>
      <c r="T45" s="767"/>
      <c r="U45" s="767"/>
      <c r="V45" s="767"/>
      <c r="W45" s="769"/>
      <c r="X45" s="767"/>
      <c r="Y45" s="767"/>
      <c r="Z45" s="767"/>
      <c r="AA45" s="984"/>
    </row>
    <row r="46" spans="2:27">
      <c r="B46" s="983"/>
      <c r="C46" s="767"/>
      <c r="D46" s="768"/>
      <c r="E46" s="769"/>
      <c r="F46" s="766"/>
      <c r="G46" s="768"/>
      <c r="H46" s="768"/>
      <c r="I46" s="768"/>
      <c r="J46" s="768"/>
      <c r="K46" s="768"/>
      <c r="L46" s="768"/>
      <c r="M46" s="768"/>
      <c r="N46" s="768"/>
      <c r="O46" s="768"/>
      <c r="P46" s="768"/>
      <c r="Q46" s="767"/>
      <c r="R46" s="767"/>
      <c r="S46" s="767"/>
      <c r="T46" s="767"/>
      <c r="U46" s="767"/>
      <c r="V46" s="767"/>
      <c r="W46" s="769"/>
      <c r="X46" s="767"/>
      <c r="Y46" s="767"/>
      <c r="Z46" s="767"/>
      <c r="AA46" s="984"/>
    </row>
    <row r="47" spans="2:27">
      <c r="B47" s="993"/>
      <c r="C47" s="994"/>
      <c r="D47" s="994"/>
      <c r="E47" s="994"/>
      <c r="F47" s="994"/>
      <c r="G47" s="994"/>
      <c r="H47" s="994"/>
      <c r="I47" s="994"/>
      <c r="J47" s="994"/>
      <c r="K47" s="994"/>
      <c r="L47" s="994"/>
      <c r="M47" s="994"/>
      <c r="N47" s="994"/>
      <c r="O47" s="994"/>
      <c r="P47" s="994"/>
      <c r="Q47" s="994"/>
      <c r="R47" s="994"/>
      <c r="S47" s="994"/>
      <c r="T47" s="994"/>
      <c r="U47" s="994"/>
      <c r="V47" s="994"/>
      <c r="W47" s="994"/>
      <c r="X47" s="994"/>
      <c r="Y47" s="994"/>
      <c r="Z47" s="994"/>
      <c r="AA47" s="995"/>
    </row>
  </sheetData>
  <sheetProtection password="BDAF" sheet="1" objects="1" scenarios="1" selectLockedCells="1" selectUnlockedCells="1"/>
  <mergeCells count="5">
    <mergeCell ref="G19:G20"/>
    <mergeCell ref="L19:L20"/>
    <mergeCell ref="Q19:Q20"/>
    <mergeCell ref="G23:G24"/>
    <mergeCell ref="L23:L24"/>
  </mergeCells>
  <pageMargins left="0.7" right="0.7" top="0.75" bottom="0.75" header="0.3" footer="0.3"/>
  <pageSetup paperSize="14" scale="71" orientation="portrait" r:id="rId1"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</sheetPr>
  <dimension ref="B1:BB489"/>
  <sheetViews>
    <sheetView showGridLines="0" zoomScaleSheetLayoutView="100" view="pageBreakPreview" workbookViewId="0">
      <selection pane="topLeft" activeCell="AH103" sqref="AH103"/>
    </sheetView>
  </sheetViews>
  <sheetFormatPr defaultRowHeight="12.5" baseColWidth="0"/>
  <cols>
    <col min="1" max="1" width="1.42578125" customWidth="1"/>
    <col min="2" max="2" width="3.7109375" customWidth="1"/>
    <col min="3" max="3" width="2.8515625" customWidth="1"/>
    <col min="4" max="4" width="1.8515625" customWidth="1"/>
    <col min="5" max="7" width="2.8515625" customWidth="1"/>
    <col min="8" max="9" width="3.28125" customWidth="1"/>
    <col min="10" max="11" width="2.8515625" customWidth="1"/>
    <col min="12" max="12" width="2.56640625" customWidth="1"/>
    <col min="13" max="19" width="2.8515625" customWidth="1"/>
    <col min="20" max="20" width="3.28125" customWidth="1"/>
    <col min="21" max="29" width="2.8515625" customWidth="1"/>
    <col min="30" max="30" width="2.7109375" customWidth="1"/>
    <col min="31" max="32" width="2.8515625" customWidth="1"/>
    <col min="33" max="33" width="3.28125" customWidth="1"/>
    <col min="34" max="44" width="2.8515625" customWidth="1"/>
    <col min="45" max="45" width="3.7109375" customWidth="1"/>
    <col min="46" max="50" width="2.8515625" customWidth="1"/>
    <col min="51" max="51" width="13.7109375" bestFit="1" customWidth="1"/>
    <col min="52" max="53" width="2.8515625" customWidth="1"/>
    <col min="54" max="54" width="4.13671875" customWidth="1"/>
    <col min="55" max="100" width="2.8515625" customWidth="1"/>
    <col min="101" max="194" width="3.8515625" customWidth="1"/>
  </cols>
  <sheetData>
    <row r="1" spans="2:45" ht="10" customHeight="1">
      <c r="B1" s="1"/>
      <c r="C1"/>
      <c r="D1"/>
      <c r="E1"/>
      <c r="F1"/>
      <c r="AS1" s="1"/>
    </row>
    <row r="2" spans="2:45" ht="20.15" customHeight="1">
      <c r="B2" s="2094" t="s">
        <v>175</v>
      </c>
      <c r="C2" s="64"/>
      <c r="D2" s="2139" t="s">
        <v>15</v>
      </c>
      <c r="E2" s="2139"/>
      <c r="F2" s="2139"/>
      <c r="G2" s="2139"/>
      <c r="H2" s="2139"/>
      <c r="I2" s="2139"/>
      <c r="J2" s="2139"/>
      <c r="K2" s="2139"/>
      <c r="L2" s="2139"/>
      <c r="M2" s="87"/>
      <c r="N2" s="2136" t="s">
        <v>176</v>
      </c>
      <c r="O2" s="2137"/>
      <c r="P2" s="2137"/>
      <c r="Q2" s="2137"/>
      <c r="R2" s="2137"/>
      <c r="S2" s="2137"/>
      <c r="T2" s="2137"/>
      <c r="U2" s="2137"/>
      <c r="V2" s="2137"/>
      <c r="W2" s="2137"/>
      <c r="X2" s="2137"/>
      <c r="Y2" s="2137"/>
      <c r="Z2" s="2137"/>
      <c r="AA2" s="2137"/>
      <c r="AB2" s="2137"/>
      <c r="AC2" s="2137"/>
      <c r="AD2" s="2137"/>
      <c r="AE2" s="2137"/>
      <c r="AF2" s="2137"/>
      <c r="AG2" s="2137"/>
      <c r="AH2" s="2137"/>
      <c r="AI2" s="2138"/>
      <c r="AJ2" s="2092" t="s">
        <v>178</v>
      </c>
      <c r="AK2" s="40"/>
      <c r="AM2" s="27">
        <v>2007</v>
      </c>
      <c r="AN2" s="2096"/>
      <c r="AO2" s="2096"/>
      <c r="AP2" s="2096"/>
      <c r="AQ2" s="2096"/>
      <c r="AR2" s="2096"/>
      <c r="AS2" s="27"/>
    </row>
    <row r="3" spans="2:45" ht="20.15" customHeight="1" thickBot="1">
      <c r="B3" s="2094"/>
      <c r="C3" s="64"/>
      <c r="D3" s="2139"/>
      <c r="E3" s="2139"/>
      <c r="F3" s="2139"/>
      <c r="G3" s="2139"/>
      <c r="H3" s="2139"/>
      <c r="I3" s="2139"/>
      <c r="J3" s="2139"/>
      <c r="K3" s="2139"/>
      <c r="L3" s="2139"/>
      <c r="M3" s="87"/>
      <c r="N3" s="2140" t="s">
        <v>177</v>
      </c>
      <c r="O3" s="2141"/>
      <c r="P3" s="2141"/>
      <c r="Q3" s="2141"/>
      <c r="R3" s="2141"/>
      <c r="S3" s="2141"/>
      <c r="T3" s="2141"/>
      <c r="U3" s="2141"/>
      <c r="V3" s="2141"/>
      <c r="W3" s="2141"/>
      <c r="X3" s="2141"/>
      <c r="Y3" s="2141"/>
      <c r="Z3" s="2141"/>
      <c r="AA3" s="2141"/>
      <c r="AB3" s="2141"/>
      <c r="AC3" s="2141"/>
      <c r="AD3" s="2141"/>
      <c r="AE3" s="2141"/>
      <c r="AF3" s="2141"/>
      <c r="AG3" s="2141"/>
      <c r="AH3" s="2141"/>
      <c r="AI3" s="2142"/>
      <c r="AJ3" s="2092"/>
      <c r="AK3" s="2080">
        <f>'GENERAL INFO'!F31</f>
        <v>0</v>
      </c>
      <c r="AL3" s="2080"/>
      <c r="AM3" s="2080">
        <f>'GENERAL INFO'!G31</f>
        <v>0</v>
      </c>
      <c r="AN3" s="2080"/>
      <c r="AO3" s="2080">
        <f>'GENERAL INFO'!H31</f>
        <v>0</v>
      </c>
      <c r="AP3" s="2080"/>
      <c r="AQ3" s="2080">
        <f>'GENERAL INFO'!I31</f>
        <v>0</v>
      </c>
      <c r="AR3" s="2080"/>
      <c r="AS3" s="27"/>
    </row>
    <row r="4" spans="2:45" ht="14.25" customHeight="1">
      <c r="B4" s="2094"/>
      <c r="D4" s="2139"/>
      <c r="E4" s="2139"/>
      <c r="F4" s="2139"/>
      <c r="G4" s="2139"/>
      <c r="H4" s="2139"/>
      <c r="I4" s="2139"/>
      <c r="J4" s="2139"/>
      <c r="K4" s="2139"/>
      <c r="L4" s="2139"/>
      <c r="M4" s="87"/>
      <c r="N4" s="318" t="s">
        <v>1327</v>
      </c>
      <c r="O4"/>
      <c r="P4"/>
      <c r="Q4" s="15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2092"/>
      <c r="AK4" s="2080"/>
      <c r="AL4" s="2080"/>
      <c r="AM4" s="2080"/>
      <c r="AN4" s="2080"/>
      <c r="AO4" s="2080"/>
      <c r="AP4" s="2080"/>
      <c r="AQ4" s="2080"/>
      <c r="AR4" s="2080"/>
      <c r="AS4" s="27"/>
    </row>
    <row r="5" spans="2:45" ht="14.25" customHeight="1">
      <c r="B5" s="2094"/>
      <c r="C5" s="32" t="s">
        <v>285</v>
      </c>
      <c r="D5" s="32"/>
      <c r="E5" s="32"/>
      <c r="F5" s="32"/>
      <c r="G5" s="32"/>
      <c r="H5" s="32"/>
      <c r="I5" s="32"/>
      <c r="J5" s="32"/>
      <c r="K5" s="32"/>
      <c r="L5" s="32"/>
      <c r="M5" s="2144"/>
      <c r="N5" s="106" t="s">
        <v>23</v>
      </c>
      <c r="O5" s="72" t="s">
        <v>1328</v>
      </c>
      <c r="P5"/>
      <c r="Q5" s="1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2092"/>
      <c r="AK5" s="217"/>
      <c r="AL5" s="217"/>
      <c r="AM5" s="217"/>
      <c r="AN5" s="217"/>
      <c r="AO5" s="217"/>
      <c r="AP5" s="217"/>
      <c r="AQ5" s="217"/>
      <c r="AR5" s="217"/>
      <c r="AS5" s="27"/>
    </row>
    <row r="6" spans="2:45" ht="14.25" customHeight="1">
      <c r="B6" s="2094"/>
      <c r="C6" s="32" t="s">
        <v>288</v>
      </c>
      <c r="D6" s="32"/>
      <c r="E6" s="32"/>
      <c r="F6" s="32"/>
      <c r="G6" s="32"/>
      <c r="H6" s="32"/>
      <c r="I6" s="32"/>
      <c r="J6" s="32"/>
      <c r="K6" s="32"/>
      <c r="L6" s="32"/>
      <c r="M6" s="2144"/>
      <c r="N6" s="106" t="s">
        <v>23</v>
      </c>
      <c r="O6" s="72" t="s">
        <v>1329</v>
      </c>
      <c r="P6"/>
      <c r="Q6" s="15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2092"/>
      <c r="AK6" s="1372" t="str">
        <f>IF('GENERAL INFO'!T33&gt;0,"X","")</f>
        <v/>
      </c>
      <c r="AL6" s="413" t="s">
        <v>675</v>
      </c>
      <c r="AM6" s="217"/>
      <c r="AN6" s="217"/>
      <c r="AO6" s="218"/>
      <c r="AP6" s="218"/>
      <c r="AQ6" s="218"/>
      <c r="AR6" s="218"/>
      <c r="AS6" s="27"/>
    </row>
    <row r="7" spans="2:45" ht="14.25" customHeight="1" thickBot="1">
      <c r="B7" s="2095"/>
      <c r="C7" s="2"/>
      <c r="D7" s="235"/>
      <c r="E7" s="2143" t="s">
        <v>287</v>
      </c>
      <c r="F7" s="2143"/>
      <c r="G7" s="2143"/>
      <c r="H7" s="2143"/>
      <c r="I7" s="2143"/>
      <c r="J7" s="2143"/>
      <c r="K7" s="236"/>
      <c r="L7" s="53"/>
      <c r="M7" s="63"/>
      <c r="N7" s="107" t="s">
        <v>23</v>
      </c>
      <c r="O7" s="234" t="s">
        <v>1330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093"/>
      <c r="AK7" s="2"/>
      <c r="AL7" s="2"/>
      <c r="AM7" s="29"/>
      <c r="AN7" s="29"/>
      <c r="AO7" s="29"/>
      <c r="AP7" s="29"/>
      <c r="AQ7" s="29"/>
      <c r="AR7" s="29"/>
      <c r="AS7" s="27"/>
    </row>
    <row r="8" spans="6:45" ht="2.15" customHeight="1">
      <c r="F8" s="30"/>
      <c r="G8" s="27"/>
      <c r="H8" s="27"/>
      <c r="I8" s="27"/>
      <c r="J8" s="27"/>
      <c r="K8" s="27"/>
      <c r="L8" s="27"/>
      <c r="M8" s="28"/>
      <c r="N8" s="26"/>
      <c r="O8"/>
      <c r="P8"/>
      <c r="Q8" s="15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33"/>
      <c r="AL8" s="30"/>
      <c r="AM8" s="27"/>
      <c r="AN8" s="27"/>
      <c r="AO8" s="27"/>
      <c r="AP8" s="27"/>
      <c r="AQ8" s="27"/>
      <c r="AR8" s="27"/>
      <c r="AS8" s="27"/>
    </row>
    <row r="9" spans="2:52" ht="14.25" customHeight="1">
      <c r="B9" s="73"/>
      <c r="C9" s="202" t="s">
        <v>284</v>
      </c>
      <c r="D9" s="202"/>
      <c r="E9" s="202"/>
      <c r="F9" s="202"/>
      <c r="G9" s="3036" t="s">
        <v>23</v>
      </c>
      <c r="H9" s="127" t="s">
        <v>589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09" t="s">
        <v>23</v>
      </c>
      <c r="T9" s="128" t="s">
        <v>590</v>
      </c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10" t="s">
        <v>23</v>
      </c>
      <c r="AF9" s="128" t="s">
        <v>179</v>
      </c>
      <c r="AG9" s="125"/>
      <c r="AH9" s="125"/>
      <c r="AI9" s="125"/>
      <c r="AJ9" s="125"/>
      <c r="AK9" s="412"/>
      <c r="AL9" s="128" t="s">
        <v>591</v>
      </c>
      <c r="AM9" s="128"/>
      <c r="AN9" s="128"/>
      <c r="AO9" s="128"/>
      <c r="AP9" s="128"/>
      <c r="AQ9" s="128"/>
      <c r="AR9" s="128"/>
      <c r="AS9" s="5"/>
      <c r="AY9" s="6"/>
      <c r="AZ9" s="6"/>
    </row>
    <row r="10" spans="2:45" ht="5.25" customHeight="1" thickBot="1">
      <c r="B10" s="2"/>
      <c r="C10" s="108"/>
      <c r="D10" s="108"/>
      <c r="E10" s="108"/>
      <c r="F10" s="31"/>
      <c r="G10" s="111"/>
      <c r="H10" s="111"/>
      <c r="I10" s="111"/>
      <c r="J10" s="111"/>
      <c r="K10" s="111"/>
      <c r="L10" s="111"/>
      <c r="M10" s="111"/>
      <c r="N10" s="112"/>
      <c r="O10" s="108"/>
      <c r="P10" s="108"/>
      <c r="Q10" s="113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31"/>
      <c r="AM10" s="21"/>
      <c r="AN10" s="10"/>
      <c r="AO10" s="10"/>
      <c r="AP10" s="10"/>
      <c r="AQ10" s="10"/>
      <c r="AR10" s="10"/>
      <c r="AS10" s="9"/>
    </row>
    <row r="11" spans="2:45" ht="2.25" customHeight="1">
      <c r="B11" s="2086" t="s">
        <v>180</v>
      </c>
      <c r="C11" s="2087"/>
      <c r="D11" s="94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13"/>
      <c r="AS11"/>
    </row>
    <row r="12" spans="2:44" ht="20.15" customHeight="1">
      <c r="B12" s="2088"/>
      <c r="C12" s="2089"/>
      <c r="D12" s="95"/>
      <c r="E12" s="4" t="s">
        <v>181</v>
      </c>
      <c r="G12" s="4"/>
      <c r="H12" s="4"/>
      <c r="I12" s="4"/>
      <c r="J12" s="4"/>
      <c r="K12" s="4" t="s">
        <v>26</v>
      </c>
      <c r="L12" s="1373" t="str">
        <f>LEFT(npwp01,1)</f>
        <v/>
      </c>
      <c r="M12" s="1373" t="str">
        <f>MID(npwp01,2,1)</f>
        <v/>
      </c>
      <c r="N12" s="1002"/>
      <c r="O12" s="1373" t="str">
        <f>MID(npwp01,3,1)</f>
        <v/>
      </c>
      <c r="P12" s="1373" t="str">
        <f>MID(npwp01,4,1)</f>
        <v/>
      </c>
      <c r="Q12" s="1373" t="str">
        <f>MID(npwp01,5,1)</f>
        <v/>
      </c>
      <c r="R12" s="1002"/>
      <c r="S12" s="1373" t="str">
        <f>MID(npwp01,6,1)</f>
        <v/>
      </c>
      <c r="T12" s="1373" t="str">
        <f>MID(npwp01,7,1)</f>
        <v/>
      </c>
      <c r="U12" s="1373" t="str">
        <f>MID(npwp01,8,1)</f>
        <v/>
      </c>
      <c r="V12" s="1002"/>
      <c r="W12" s="1373" t="str">
        <f>MID(npwp01,9,1)</f>
        <v/>
      </c>
      <c r="X12" s="1002"/>
      <c r="Y12" s="1373" t="str">
        <f>MID(npwp01,10,1)</f>
        <v/>
      </c>
      <c r="Z12" s="1373" t="str">
        <f>MID(npwp01,11,1)</f>
        <v/>
      </c>
      <c r="AA12" s="1373" t="str">
        <f>MID(npwp01,12,1)</f>
        <v/>
      </c>
      <c r="AB12" s="1002"/>
      <c r="AC12" s="1373" t="str">
        <f>MID(npwp01,13,1)</f>
        <v/>
      </c>
      <c r="AD12" s="1373" t="str">
        <f>MID(npwp01,14,1)</f>
        <v/>
      </c>
      <c r="AE12" s="1373" t="str">
        <f>MID(npwp01,15,1)</f>
        <v/>
      </c>
      <c r="AF12" s="1003"/>
      <c r="AG12" s="1003"/>
      <c r="AH12" s="1003"/>
      <c r="AI12" s="1004"/>
      <c r="AJ12" s="1005"/>
      <c r="AK12" s="1005"/>
      <c r="AL12" s="1005"/>
      <c r="AM12" s="1005"/>
      <c r="AN12" s="1005"/>
      <c r="AO12" s="1005"/>
      <c r="AP12" s="1005"/>
      <c r="AQ12" s="1005"/>
      <c r="AR12" s="54"/>
    </row>
    <row r="13" spans="2:44" ht="4" customHeight="1">
      <c r="B13" s="2088"/>
      <c r="C13" s="2089"/>
      <c r="D13" s="95"/>
      <c r="E13" s="4"/>
      <c r="G13" s="4"/>
      <c r="H13" s="4"/>
      <c r="I13" s="4"/>
      <c r="J13" s="4"/>
      <c r="K13" s="4"/>
      <c r="L13" s="1003"/>
      <c r="M13" s="1003"/>
      <c r="N13" s="1003"/>
      <c r="O13" s="1003"/>
      <c r="P13" s="1003"/>
      <c r="Q13" s="1003"/>
      <c r="R13" s="1003"/>
      <c r="S13" s="1003"/>
      <c r="T13" s="1003"/>
      <c r="U13" s="1003"/>
      <c r="V13" s="1003"/>
      <c r="W13" s="1003"/>
      <c r="X13" s="1003"/>
      <c r="Y13" s="1003"/>
      <c r="Z13" s="1003"/>
      <c r="AA13" s="1003"/>
      <c r="AB13" s="1003"/>
      <c r="AC13" s="1003"/>
      <c r="AD13" s="1003"/>
      <c r="AE13" s="1003"/>
      <c r="AF13" s="1003"/>
      <c r="AG13" s="1003"/>
      <c r="AH13" s="1003"/>
      <c r="AI13" s="1004"/>
      <c r="AJ13" s="1005"/>
      <c r="AK13" s="1005"/>
      <c r="AL13" s="1005"/>
      <c r="AM13" s="1005"/>
      <c r="AN13" s="1005"/>
      <c r="AO13" s="1005"/>
      <c r="AP13" s="1005"/>
      <c r="AQ13" s="1005"/>
      <c r="AR13" s="54"/>
    </row>
    <row r="14" spans="2:45" ht="20.15" customHeight="1">
      <c r="B14" s="2088"/>
      <c r="C14" s="2089"/>
      <c r="D14" s="95"/>
      <c r="E14" s="4" t="s">
        <v>182</v>
      </c>
      <c r="F14"/>
      <c r="G14" s="4"/>
      <c r="H14" s="4"/>
      <c r="I14" s="4"/>
      <c r="J14" s="4"/>
      <c r="K14" s="4" t="s">
        <v>26</v>
      </c>
      <c r="L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374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54"/>
      <c r="AS14"/>
    </row>
    <row r="15" spans="2:44" ht="4" customHeight="1">
      <c r="B15" s="2088"/>
      <c r="C15" s="2089"/>
      <c r="D15" s="95"/>
      <c r="E15" s="46"/>
      <c r="F15" s="93"/>
      <c r="G15" s="46"/>
      <c r="H15" s="46"/>
      <c r="I15" s="46"/>
      <c r="J15" s="46"/>
      <c r="K15" s="46"/>
      <c r="L15" s="1375"/>
      <c r="M15" s="1375"/>
      <c r="N15" s="1375"/>
      <c r="O15" s="1375"/>
      <c r="P15" s="1375"/>
      <c r="Q15" s="1375"/>
      <c r="R15" s="1375"/>
      <c r="S15" s="1375"/>
      <c r="T15" s="1375"/>
      <c r="U15" s="1375"/>
      <c r="V15" s="1375"/>
      <c r="W15" s="1375"/>
      <c r="X15" s="1375"/>
      <c r="Y15" s="1375"/>
      <c r="Z15" s="1375"/>
      <c r="AA15" s="1375"/>
      <c r="AB15" s="1375"/>
      <c r="AC15" s="1375"/>
      <c r="AD15" s="1375"/>
      <c r="AE15" s="1375"/>
      <c r="AF15" s="1375"/>
      <c r="AG15" s="1375"/>
      <c r="AH15" s="1375"/>
      <c r="AI15" s="1006"/>
      <c r="AJ15" s="272"/>
      <c r="AK15" s="272"/>
      <c r="AL15" s="272"/>
      <c r="AM15" s="272"/>
      <c r="AN15" s="272"/>
      <c r="AO15" s="272"/>
      <c r="AP15" s="272"/>
      <c r="AQ15" s="272"/>
      <c r="AR15" s="54"/>
    </row>
    <row r="16" spans="2:52" ht="20.15" customHeight="1">
      <c r="B16" s="2088"/>
      <c r="C16" s="2089"/>
      <c r="D16" s="95"/>
      <c r="E16" s="4" t="s">
        <v>183</v>
      </c>
      <c r="F16"/>
      <c r="G16" s="4"/>
      <c r="H16" s="4"/>
      <c r="I16" s="4"/>
      <c r="J16" s="4"/>
      <c r="K16" s="4" t="s">
        <v>26</v>
      </c>
      <c r="L16" s="1374" t="str">
        <f>UPPER(LEFT(_Occ1,1))</f>
        <v/>
      </c>
      <c r="M16" s="1374" t="str">
        <f>UPPER(MID(_Occ1,2,1))</f>
        <v/>
      </c>
      <c r="N16" s="1374" t="str">
        <f>UPPER(MID(_Occ1,3,1))</f>
        <v/>
      </c>
      <c r="O16" s="1374" t="str">
        <f>UPPER(MID(_Occ1,4,1))</f>
        <v/>
      </c>
      <c r="P16" s="1374" t="str">
        <f>UPPER(MID(_Occ1,5,1))</f>
        <v/>
      </c>
      <c r="Q16" s="1374" t="str">
        <f>UPPER(MID(_Occ1,6,1))</f>
        <v/>
      </c>
      <c r="R16" s="1374" t="str">
        <f>UPPER(MID(_Occ1,7,1))</f>
        <v/>
      </c>
      <c r="S16" s="1374" t="str">
        <f>UPPER(MID(_Occ1,8,1))</f>
        <v/>
      </c>
      <c r="T16" s="1374" t="str">
        <f>UPPER(MID(_Occ1,9,1))</f>
        <v/>
      </c>
      <c r="U16" s="1374" t="str">
        <f>UPPER(MID(_Occ1,10,1))</f>
        <v/>
      </c>
      <c r="V16" s="1374" t="str">
        <f>UPPER(MID(_Occ1,11,1))</f>
        <v/>
      </c>
      <c r="W16" s="1374" t="str">
        <f>UPPER(MID(_Occ1,12,1))</f>
        <v/>
      </c>
      <c r="X16" s="1374" t="str">
        <f>UPPER(MID(_Occ1,13,1))</f>
        <v/>
      </c>
      <c r="Y16" s="1374" t="str">
        <f>UPPER(MID(_Occ1,14,1))</f>
        <v/>
      </c>
      <c r="Z16" s="1374" t="str">
        <f>UPPER(MID(_Occ1,15,1))</f>
        <v/>
      </c>
      <c r="AA16" s="1374" t="str">
        <f>UPPER(MID(_Occ1,16,1))</f>
        <v/>
      </c>
      <c r="AB16" s="1374" t="str">
        <f>UPPER(MID(_Occ1,17,1))</f>
        <v/>
      </c>
      <c r="AC16" s="1374" t="str">
        <f>UPPER(MID(_Occ1,18,1))</f>
        <v/>
      </c>
      <c r="AD16" s="1374" t="str">
        <f>UPPER(MID(_Occ1,19,1))</f>
        <v/>
      </c>
      <c r="AE16" s="1374" t="str">
        <f>UPPER(MID(_Occ1,20,1))</f>
        <v/>
      </c>
      <c r="AF16" s="1374" t="str">
        <f>UPPER(MID(_Occ1,21,1))</f>
        <v/>
      </c>
      <c r="AG16" s="1374" t="str">
        <f>UPPER(MID(_Occ1,22,1))</f>
        <v/>
      </c>
      <c r="AH16" s="1374" t="str">
        <f>UPPER(MID(_Occ1,23,1))</f>
        <v/>
      </c>
      <c r="AI16" s="272"/>
      <c r="AJ16" s="1007" t="s">
        <v>677</v>
      </c>
      <c r="AK16" s="1006"/>
      <c r="AL16" s="1376">
        <v>9</v>
      </c>
      <c r="AM16" s="1376">
        <v>6</v>
      </c>
      <c r="AN16" s="1376">
        <v>3</v>
      </c>
      <c r="AO16" s="1376">
        <v>0</v>
      </c>
      <c r="AP16" s="1376">
        <v>4</v>
      </c>
      <c r="AQ16" s="1376"/>
      <c r="AR16" s="54"/>
      <c r="AZ16" s="3036" t="s">
        <v>295</v>
      </c>
    </row>
    <row r="17" spans="2:44" ht="4" customHeight="1">
      <c r="B17" s="2088"/>
      <c r="C17" s="2089"/>
      <c r="D17" s="95"/>
      <c r="E17" s="4"/>
      <c r="F17"/>
      <c r="G17" s="4"/>
      <c r="H17" s="4"/>
      <c r="I17" s="4"/>
      <c r="J17" s="4"/>
      <c r="K17" s="4"/>
      <c r="L17" s="1006"/>
      <c r="M17" s="1006"/>
      <c r="N17" s="1006"/>
      <c r="O17" s="1006"/>
      <c r="P17" s="1006"/>
      <c r="Q17" s="1006"/>
      <c r="R17" s="1006"/>
      <c r="S17" s="1006"/>
      <c r="T17" s="1006"/>
      <c r="U17" s="1006"/>
      <c r="V17" s="1006"/>
      <c r="W17" s="1006"/>
      <c r="X17" s="1006"/>
      <c r="Y17" s="1006"/>
      <c r="Z17" s="1006"/>
      <c r="AA17" s="1006"/>
      <c r="AB17" s="1006"/>
      <c r="AC17" s="1006"/>
      <c r="AD17" s="1006"/>
      <c r="AE17" s="1006"/>
      <c r="AF17" s="272"/>
      <c r="AG17" s="1006"/>
      <c r="AH17" s="1006"/>
      <c r="AI17" s="1006"/>
      <c r="AJ17" s="272"/>
      <c r="AK17" s="272"/>
      <c r="AL17" s="272"/>
      <c r="AM17" s="272"/>
      <c r="AN17" s="272"/>
      <c r="AO17" s="272"/>
      <c r="AP17" s="272"/>
      <c r="AQ17" s="272"/>
      <c r="AR17" s="54"/>
    </row>
    <row r="18" spans="2:44" ht="20.15" customHeight="1">
      <c r="B18" s="2088"/>
      <c r="C18" s="2089"/>
      <c r="D18" s="95"/>
      <c r="E18" s="4" t="s">
        <v>353</v>
      </c>
      <c r="F18"/>
      <c r="G18" s="4"/>
      <c r="H18" s="4"/>
      <c r="I18" s="4"/>
      <c r="J18" s="4"/>
      <c r="K18" s="4" t="s">
        <v>26</v>
      </c>
      <c r="L18" s="1373" t="str">
        <f>LEFT(phone01,1)</f>
        <v/>
      </c>
      <c r="M18" s="1373" t="str">
        <f>MID(phone01,2,1)</f>
        <v/>
      </c>
      <c r="N18" s="1373" t="str">
        <f>MID(phone01,3,1)</f>
        <v/>
      </c>
      <c r="O18" s="1373" t="str">
        <f>MID(phone01,4,1)</f>
        <v/>
      </c>
      <c r="P18" s="1008" t="s">
        <v>30</v>
      </c>
      <c r="Q18" s="1373" t="str">
        <f>LEFT(phone02,1)</f>
        <v/>
      </c>
      <c r="R18" s="1373" t="str">
        <f>MID(phone02,2,1)</f>
        <v/>
      </c>
      <c r="S18" s="1373" t="str">
        <f>MID(phone02,3,1)</f>
        <v/>
      </c>
      <c r="T18" s="1373" t="str">
        <f>MID(phone02,4,1)</f>
        <v/>
      </c>
      <c r="U18" s="1373" t="str">
        <f>MID(phone02,5,1)</f>
        <v/>
      </c>
      <c r="V18" s="1373" t="str">
        <f>MID(phone02,6,1)</f>
        <v/>
      </c>
      <c r="W18" s="1373" t="str">
        <f>MID(phone02,7,1)</f>
        <v/>
      </c>
      <c r="X18" s="1373" t="str">
        <f>MID(phone02,8,1)</f>
        <v/>
      </c>
      <c r="Y18" s="1006"/>
      <c r="Z18" s="1009" t="s">
        <v>240</v>
      </c>
      <c r="AA18" s="1010"/>
      <c r="AB18" s="1006"/>
      <c r="AC18" s="272"/>
      <c r="AD18" s="1006" t="s">
        <v>26</v>
      </c>
      <c r="AE18" s="1373" t="str">
        <f>LEFT(faxNo01,1)</f>
        <v/>
      </c>
      <c r="AF18" s="1373" t="str">
        <f>MID(faxNo01,2,1)</f>
        <v/>
      </c>
      <c r="AG18" s="1373" t="str">
        <f>MID(faxNo01,3,1)</f>
        <v/>
      </c>
      <c r="AH18" s="1373" t="str">
        <f>MID(faxNo01,4,1)</f>
        <v/>
      </c>
      <c r="AI18" s="1008" t="s">
        <v>30</v>
      </c>
      <c r="AJ18" s="1373" t="str">
        <f>LEFT(faxNo02,1)</f>
        <v/>
      </c>
      <c r="AK18" s="1373" t="str">
        <f>MID(faxNo02,2,1)</f>
        <v/>
      </c>
      <c r="AL18" s="1373" t="str">
        <f>MID(faxNo02,3,1)</f>
        <v/>
      </c>
      <c r="AM18" s="1373" t="str">
        <f>MID(faxNo02,4,1)</f>
        <v/>
      </c>
      <c r="AN18" s="1373" t="str">
        <f>MID(faxNo02,5,1)</f>
        <v/>
      </c>
      <c r="AO18" s="1373" t="str">
        <f>MID(faxNo02,6,1)</f>
        <v/>
      </c>
      <c r="AP18" s="1373" t="str">
        <f>MID(faxNo02,7,1)</f>
        <v/>
      </c>
      <c r="AQ18" s="1373" t="str">
        <f>MID(faxNo02,8,1)</f>
        <v/>
      </c>
      <c r="AR18" s="49"/>
    </row>
    <row r="19" spans="2:44" ht="6" customHeight="1">
      <c r="B19" s="2088"/>
      <c r="C19" s="2089"/>
      <c r="D19" s="95"/>
      <c r="E19" s="4"/>
      <c r="F19"/>
      <c r="G19" s="4"/>
      <c r="H19" s="4"/>
      <c r="I19" s="4"/>
      <c r="J19" s="4"/>
      <c r="K19" s="4"/>
      <c r="L19" s="1002"/>
      <c r="M19" s="1002"/>
      <c r="N19" s="1002"/>
      <c r="O19" s="1002"/>
      <c r="P19" s="1008"/>
      <c r="Q19" s="1002"/>
      <c r="R19" s="1002"/>
      <c r="S19" s="1002"/>
      <c r="T19" s="1002"/>
      <c r="U19" s="1002"/>
      <c r="V19" s="1002"/>
      <c r="W19" s="1002"/>
      <c r="X19" s="1002"/>
      <c r="Y19" s="1006"/>
      <c r="Z19" s="1009"/>
      <c r="AA19" s="1010"/>
      <c r="AB19" s="1006"/>
      <c r="AC19" s="272"/>
      <c r="AD19" s="1006"/>
      <c r="AE19" s="1002"/>
      <c r="AF19" s="1002"/>
      <c r="AG19" s="1002"/>
      <c r="AH19" s="1002"/>
      <c r="AI19" s="1008"/>
      <c r="AJ19" s="1002"/>
      <c r="AK19" s="1002"/>
      <c r="AL19" s="1002"/>
      <c r="AM19" s="1002"/>
      <c r="AN19" s="1002"/>
      <c r="AO19" s="1002"/>
      <c r="AP19" s="1002"/>
      <c r="AQ19" s="1002"/>
      <c r="AR19" s="49"/>
    </row>
    <row r="20" spans="2:44" ht="23.25" customHeight="1">
      <c r="B20" s="2088"/>
      <c r="C20" s="2089"/>
      <c r="D20" s="95"/>
      <c r="E20" s="2135" t="s">
        <v>815</v>
      </c>
      <c r="F20" s="2135"/>
      <c r="G20" s="2135"/>
      <c r="H20" s="2135"/>
      <c r="I20" s="2135"/>
      <c r="J20" s="2135"/>
      <c r="K20" s="4" t="s">
        <v>26</v>
      </c>
      <c r="L20" s="1377" t="str">
        <f>IF('GENERAL INFO'!G24="KK","X","")</f>
        <v/>
      </c>
      <c r="M20" s="1011" t="s">
        <v>808</v>
      </c>
      <c r="N20" s="1008"/>
      <c r="O20" s="1377" t="str">
        <f>IF('GENERAL INFO'!G24="HB","X","")</f>
        <v/>
      </c>
      <c r="P20" s="1011" t="s">
        <v>809</v>
      </c>
      <c r="Q20" s="1008"/>
      <c r="R20" s="1377" t="str">
        <f>IF('GENERAL INFO'!G24="PH","X","")</f>
        <v/>
      </c>
      <c r="S20" s="1011" t="s">
        <v>810</v>
      </c>
      <c r="T20" s="1008"/>
      <c r="U20" s="1377" t="str">
        <f>IF('GENERAL INFO'!G24="MT","X","")</f>
        <v/>
      </c>
      <c r="V20" s="1011" t="s">
        <v>811</v>
      </c>
      <c r="W20" s="1002"/>
      <c r="X20" s="1002"/>
      <c r="Y20" s="1006"/>
      <c r="Z20" s="1009"/>
      <c r="AA20" s="1010"/>
      <c r="AB20" s="1006"/>
      <c r="AC20" s="272"/>
      <c r="AD20" s="1006"/>
      <c r="AE20" s="1002"/>
      <c r="AF20" s="1002"/>
      <c r="AG20" s="1002"/>
      <c r="AH20" s="1002"/>
      <c r="AI20" s="1008"/>
      <c r="AJ20" s="1002"/>
      <c r="AK20" s="1002"/>
      <c r="AL20" s="1002"/>
      <c r="AM20" s="1002"/>
      <c r="AN20" s="1002"/>
      <c r="AO20" s="1002"/>
      <c r="AP20" s="1002"/>
      <c r="AQ20" s="1002"/>
      <c r="AR20" s="49"/>
    </row>
    <row r="21" spans="2:44" ht="4" customHeight="1">
      <c r="B21" s="2088"/>
      <c r="C21" s="2089"/>
      <c r="D21" s="95"/>
      <c r="E21" s="4"/>
      <c r="F21"/>
      <c r="G21" s="4"/>
      <c r="H21" s="4"/>
      <c r="I21" s="4"/>
      <c r="J21" s="4"/>
      <c r="K21" s="4"/>
      <c r="L21" s="1006"/>
      <c r="M21" s="1006"/>
      <c r="N21" s="1006"/>
      <c r="O21" s="1006"/>
      <c r="P21" s="1006"/>
      <c r="Q21" s="1006"/>
      <c r="R21" s="1006"/>
      <c r="S21" s="1006"/>
      <c r="T21" s="1006"/>
      <c r="U21" s="1006"/>
      <c r="V21" s="1006"/>
      <c r="W21" s="1006"/>
      <c r="X21" s="1006"/>
      <c r="Y21" s="1006"/>
      <c r="Z21" s="1006"/>
      <c r="AA21" s="1006"/>
      <c r="AB21" s="1006"/>
      <c r="AC21" s="1006"/>
      <c r="AD21" s="1006"/>
      <c r="AE21" s="1006"/>
      <c r="AF21" s="272"/>
      <c r="AG21" s="1006"/>
      <c r="AH21" s="1006"/>
      <c r="AI21" s="1006"/>
      <c r="AJ21" s="272"/>
      <c r="AK21" s="272"/>
      <c r="AL21" s="272"/>
      <c r="AM21" s="272"/>
      <c r="AN21" s="272"/>
      <c r="AO21" s="272"/>
      <c r="AP21" s="272"/>
      <c r="AQ21" s="272"/>
      <c r="AR21" s="54"/>
    </row>
    <row r="22" spans="2:44" ht="20.15" customHeight="1">
      <c r="B22" s="2088"/>
      <c r="C22" s="2089"/>
      <c r="D22" s="95"/>
      <c r="E22" s="4" t="s">
        <v>813</v>
      </c>
      <c r="F22"/>
      <c r="G22" s="4"/>
      <c r="H22" s="4"/>
      <c r="I22" s="4"/>
      <c r="J22" s="4"/>
      <c r="K22" s="4" t="s">
        <v>26</v>
      </c>
      <c r="L22" s="1373" t="str">
        <f>LEFT(spouseNpwp,1)</f>
        <v/>
      </c>
      <c r="M22" s="1373" t="str">
        <f>MID(spouseNpwp,2,1)</f>
        <v/>
      </c>
      <c r="N22" s="1012"/>
      <c r="O22" s="1373" t="str">
        <f>MID(spouseNpwp,3,1)</f>
        <v/>
      </c>
      <c r="P22" s="1373" t="str">
        <f>MID(spouseNpwp,4,1)</f>
        <v/>
      </c>
      <c r="Q22" s="1373" t="str">
        <f>MID(spouseNpwp,5,1)</f>
        <v/>
      </c>
      <c r="R22" s="1012"/>
      <c r="S22" s="1373" t="str">
        <f>MID(spouseNpwp,6,1)</f>
        <v/>
      </c>
      <c r="T22" s="1373" t="str">
        <f>MID(spouseNpwp,7,1)</f>
        <v/>
      </c>
      <c r="U22" s="1373" t="str">
        <f>MID(spouseNpwp,8,1)</f>
        <v/>
      </c>
      <c r="V22" s="1012"/>
      <c r="W22" s="1373" t="str">
        <f>MID(spouseNpwp,9,1)</f>
        <v/>
      </c>
      <c r="X22" s="1012"/>
      <c r="Y22" s="1373" t="str">
        <f>MID(spouseNpwp,10,1)</f>
        <v/>
      </c>
      <c r="Z22" s="1373" t="str">
        <f>MID(spouseNpwp,11,1)</f>
        <v/>
      </c>
      <c r="AA22" s="1373" t="str">
        <f>MID(spouseNpwp,12,1)</f>
        <v/>
      </c>
      <c r="AB22" s="1012"/>
      <c r="AC22" s="1373" t="str">
        <f>MID(spouseNpwp,13,1)</f>
        <v/>
      </c>
      <c r="AD22" s="1373" t="str">
        <f>MID(spouseNpwp,14,1)</f>
        <v/>
      </c>
      <c r="AE22" s="1373" t="str">
        <f>MID(spouseNpwp,15,1)</f>
        <v/>
      </c>
      <c r="AF22" s="272"/>
      <c r="AG22" s="1006"/>
      <c r="AH22" s="1006"/>
      <c r="AI22" s="1006"/>
      <c r="AJ22" s="272"/>
      <c r="AK22" s="272"/>
      <c r="AL22" s="272"/>
      <c r="AM22" s="272"/>
      <c r="AN22" s="272"/>
      <c r="AO22" s="272"/>
      <c r="AP22" s="272"/>
      <c r="AQ22" s="272"/>
      <c r="AR22" s="54"/>
    </row>
    <row r="23" spans="2:44" ht="3.75" customHeight="1" thickBot="1">
      <c r="B23" s="2088"/>
      <c r="C23" s="2089"/>
      <c r="D23" s="96"/>
      <c r="E23" s="57"/>
      <c r="F23" s="2"/>
      <c r="G23" s="57"/>
      <c r="H23" s="57"/>
      <c r="I23" s="57"/>
      <c r="J23" s="57"/>
      <c r="K23" s="57"/>
      <c r="L23" s="619"/>
      <c r="M23" s="619"/>
      <c r="N23" s="57"/>
      <c r="O23" s="619"/>
      <c r="P23" s="619"/>
      <c r="Q23" s="619"/>
      <c r="R23" s="57"/>
      <c r="S23" s="619"/>
      <c r="T23" s="619"/>
      <c r="U23" s="619"/>
      <c r="V23" s="57"/>
      <c r="W23" s="619"/>
      <c r="X23" s="23"/>
      <c r="Y23" s="619"/>
      <c r="Z23" s="619"/>
      <c r="AA23" s="619"/>
      <c r="AB23" s="23"/>
      <c r="AC23" s="619"/>
      <c r="AD23" s="619"/>
      <c r="AE23" s="619"/>
      <c r="AF23" s="2"/>
      <c r="AG23" s="23"/>
      <c r="AH23" s="23"/>
      <c r="AI23" s="23"/>
      <c r="AJ23" s="2"/>
      <c r="AK23" s="2"/>
      <c r="AL23" s="2"/>
      <c r="AM23" s="2"/>
      <c r="AN23" s="2"/>
      <c r="AO23" s="2"/>
      <c r="AP23" s="2"/>
      <c r="AQ23" s="2"/>
      <c r="AR23" s="14"/>
    </row>
    <row r="24" spans="2:44" ht="11.25" customHeight="1">
      <c r="B24" s="2088"/>
      <c r="C24" s="2089"/>
      <c r="D24" s="2148" t="s">
        <v>821</v>
      </c>
      <c r="E24" s="2149"/>
      <c r="F24" s="2149"/>
      <c r="G24" s="2149"/>
      <c r="H24" s="2149"/>
      <c r="I24" s="2149"/>
      <c r="J24" s="2149"/>
      <c r="K24" s="2149"/>
      <c r="L24" s="2149"/>
      <c r="M24" s="2149"/>
      <c r="N24" s="2149"/>
      <c r="O24" s="2149"/>
      <c r="P24" s="2149"/>
      <c r="Q24" s="2149"/>
      <c r="R24" s="2149"/>
      <c r="S24" s="2149"/>
      <c r="T24" s="2149"/>
      <c r="U24" s="2149"/>
      <c r="V24" s="2149"/>
      <c r="W24" s="2149"/>
      <c r="X24" s="2149"/>
      <c r="Y24" s="2149"/>
      <c r="Z24" s="2149"/>
      <c r="AA24" s="2149"/>
      <c r="AB24" s="2149"/>
      <c r="AC24" s="2149"/>
      <c r="AD24" s="2149"/>
      <c r="AE24" s="2149"/>
      <c r="AF24" s="2149"/>
      <c r="AG24" s="2149"/>
      <c r="AH24" s="2149"/>
      <c r="AI24" s="2149"/>
      <c r="AJ24" s="2149"/>
      <c r="AK24" s="2149"/>
      <c r="AL24" s="2149"/>
      <c r="AM24" s="2149"/>
      <c r="AN24" s="2149"/>
      <c r="AO24" s="2149"/>
      <c r="AP24" s="2149"/>
      <c r="AQ24" s="2149"/>
      <c r="AR24" s="2150"/>
    </row>
    <row r="25" spans="2:44" ht="9.75" customHeight="1">
      <c r="B25" s="2088"/>
      <c r="C25" s="2089"/>
      <c r="D25" s="2151"/>
      <c r="E25" s="2152"/>
      <c r="F25" s="2152"/>
      <c r="G25" s="2152"/>
      <c r="H25" s="2152"/>
      <c r="I25" s="2152"/>
      <c r="J25" s="2152"/>
      <c r="K25" s="2152"/>
      <c r="L25" s="2152"/>
      <c r="M25" s="2152"/>
      <c r="N25" s="2152"/>
      <c r="O25" s="2152"/>
      <c r="P25" s="2152"/>
      <c r="Q25" s="2152"/>
      <c r="R25" s="2152"/>
      <c r="S25" s="2152"/>
      <c r="T25" s="2152"/>
      <c r="U25" s="2152"/>
      <c r="V25" s="2152"/>
      <c r="W25" s="2152"/>
      <c r="X25" s="2152"/>
      <c r="Y25" s="2152"/>
      <c r="Z25" s="2152"/>
      <c r="AA25" s="2152"/>
      <c r="AB25" s="2152"/>
      <c r="AC25" s="2152"/>
      <c r="AD25" s="2152"/>
      <c r="AE25" s="2152"/>
      <c r="AF25" s="2152"/>
      <c r="AG25" s="2152"/>
      <c r="AH25" s="2152"/>
      <c r="AI25" s="2152"/>
      <c r="AJ25" s="2152"/>
      <c r="AK25" s="2152"/>
      <c r="AL25" s="2152"/>
      <c r="AM25" s="2152"/>
      <c r="AN25" s="2152"/>
      <c r="AO25" s="2152"/>
      <c r="AP25" s="2152"/>
      <c r="AQ25" s="2152"/>
      <c r="AR25" s="2153"/>
    </row>
    <row r="26" spans="2:44" ht="6.75" customHeight="1" thickBot="1">
      <c r="B26" s="2090"/>
      <c r="C26" s="2091"/>
      <c r="D26" s="96"/>
      <c r="E26" s="5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3"/>
      <c r="AA26" s="23"/>
      <c r="AB26" s="23"/>
      <c r="AC26" s="23"/>
      <c r="AD26" s="23"/>
      <c r="AE26" s="23"/>
      <c r="AF26" s="2"/>
      <c r="AG26" s="23"/>
      <c r="AH26" s="23"/>
      <c r="AI26" s="23"/>
      <c r="AJ26" s="2"/>
      <c r="AK26" s="2"/>
      <c r="AL26" s="2"/>
      <c r="AM26" s="2"/>
      <c r="AN26" s="2"/>
      <c r="AO26" s="2"/>
      <c r="AP26" s="2"/>
      <c r="AQ26" s="2"/>
      <c r="AR26" s="14"/>
    </row>
    <row r="27" spans="2:45" ht="5.15" customHeight="1">
      <c r="B27" s="2085"/>
      <c r="C27" s="2085"/>
      <c r="D27" s="2085"/>
      <c r="E27" s="2085"/>
      <c r="F27" s="2085"/>
      <c r="G27" s="2085"/>
      <c r="H27" s="2085"/>
      <c r="I27" s="2085"/>
      <c r="J27" s="2085"/>
      <c r="K27" s="2085"/>
      <c r="L27" s="2085"/>
      <c r="M27" s="2085"/>
      <c r="N27" s="2085"/>
      <c r="O27" s="2085"/>
      <c r="P27" s="2085"/>
      <c r="Q27" s="2085"/>
      <c r="R27" s="2085"/>
      <c r="S27" s="2085"/>
      <c r="T27" s="2085"/>
      <c r="U27" s="2085"/>
      <c r="V27" s="2085"/>
      <c r="W27" s="2085"/>
      <c r="X27" s="2085"/>
      <c r="Y27" s="2085"/>
      <c r="Z27" s="2085"/>
      <c r="AA27" s="2085"/>
      <c r="AB27" s="2085"/>
      <c r="AC27" s="2085"/>
      <c r="AD27" s="2085"/>
      <c r="AE27" s="2085"/>
      <c r="AF27" s="2085"/>
      <c r="AG27" s="2085"/>
      <c r="AH27" s="2085"/>
      <c r="AI27" s="2085"/>
      <c r="AJ27" s="2085"/>
      <c r="AK27" s="2085"/>
      <c r="AL27" s="2085"/>
      <c r="AM27" s="2085"/>
      <c r="AN27" s="2085"/>
      <c r="AO27" s="2085"/>
      <c r="AP27" s="2085"/>
      <c r="AQ27" s="2085"/>
      <c r="AR27" s="2085"/>
      <c r="AS27" s="11"/>
    </row>
    <row r="28" spans="2:45" s="16" customFormat="1" ht="12" customHeight="1">
      <c r="B28" s="213" t="s">
        <v>678</v>
      </c>
      <c r="C28" s="208"/>
      <c r="D28" s="208"/>
      <c r="E28" s="209"/>
      <c r="F28" s="210"/>
      <c r="G28" s="211"/>
      <c r="H28" s="211"/>
      <c r="I28" s="211"/>
      <c r="J28" s="211"/>
      <c r="K28" s="211"/>
      <c r="L28" s="211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2"/>
      <c r="AG28" s="2097" t="s">
        <v>165</v>
      </c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8"/>
      <c r="AS28" s="34"/>
    </row>
    <row r="29" spans="2:45" s="16" customFormat="1" ht="2.15" customHeight="1">
      <c r="B29" s="214"/>
      <c r="C29" s="215"/>
      <c r="D29" s="215"/>
      <c r="E29" s="51"/>
      <c r="F29" s="16"/>
      <c r="G29" s="11"/>
      <c r="H29" s="11"/>
      <c r="I29" s="11"/>
      <c r="J29" s="11"/>
      <c r="K29" s="11"/>
      <c r="L29" s="11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216"/>
      <c r="AS29" s="34"/>
    </row>
    <row r="30" spans="2:45" s="11" customFormat="1" ht="15" customHeight="1">
      <c r="B30" s="2132" t="s">
        <v>185</v>
      </c>
      <c r="C30" s="2133"/>
      <c r="D30" s="2134"/>
      <c r="E30" s="43" t="s">
        <v>621</v>
      </c>
      <c r="F30" s="4" t="s">
        <v>184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5" t="s">
        <v>970</v>
      </c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11"/>
      <c r="AG30" s="86">
        <v>1</v>
      </c>
      <c r="AH30" s="2081">
        <f>IF('GENERAL INFO'!K10="X","",'GENERAL INFO'!V133)</f>
        <v>0</v>
      </c>
      <c r="AI30" s="2082"/>
      <c r="AJ30" s="2082"/>
      <c r="AK30" s="2082"/>
      <c r="AL30" s="2082"/>
      <c r="AM30" s="2082"/>
      <c r="AN30" s="2082"/>
      <c r="AO30" s="2082"/>
      <c r="AP30" s="2082"/>
      <c r="AQ30" s="2082"/>
      <c r="AR30" s="325"/>
      <c r="AS30" s="11"/>
    </row>
    <row r="31" spans="2:45" s="11" customFormat="1" ht="9" customHeight="1">
      <c r="B31" s="2126"/>
      <c r="C31" s="2127"/>
      <c r="D31" s="2128"/>
      <c r="E31" s="17"/>
      <c r="F31" s="37" t="s">
        <v>679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11"/>
      <c r="Y31" s="24"/>
      <c r="Z31" s="24"/>
      <c r="AA31" s="24"/>
      <c r="AB31" s="24"/>
      <c r="AC31" s="24"/>
      <c r="AD31" s="24"/>
      <c r="AE31" s="24"/>
      <c r="AF31" s="24"/>
      <c r="AG31" s="2109"/>
      <c r="AH31" s="2083"/>
      <c r="AI31" s="2084"/>
      <c r="AJ31" s="2084"/>
      <c r="AK31" s="2084"/>
      <c r="AL31" s="2084"/>
      <c r="AM31" s="2084"/>
      <c r="AN31" s="2084"/>
      <c r="AO31" s="2084"/>
      <c r="AP31" s="2084"/>
      <c r="AQ31" s="2084"/>
      <c r="AR31" s="335"/>
      <c r="AS31" s="11"/>
    </row>
    <row r="32" spans="2:45" s="11" customFormat="1" ht="3" customHeight="1">
      <c r="B32" s="2126"/>
      <c r="C32" s="2127"/>
      <c r="D32" s="2128"/>
      <c r="E32" s="1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24"/>
      <c r="Y32" s="24"/>
      <c r="Z32" s="24"/>
      <c r="AA32" s="24"/>
      <c r="AB32" s="24"/>
      <c r="AC32" s="24"/>
      <c r="AD32" s="24"/>
      <c r="AE32" s="24"/>
      <c r="AF32" s="24"/>
      <c r="AG32" s="36"/>
      <c r="AH32" s="1469"/>
      <c r="AI32" s="1469"/>
      <c r="AJ32" s="1469"/>
      <c r="AK32" s="1469"/>
      <c r="AL32" s="1469"/>
      <c r="AM32" s="1469"/>
      <c r="AN32" s="1469"/>
      <c r="AO32" s="1469"/>
      <c r="AP32" s="1469"/>
      <c r="AQ32" s="1469"/>
      <c r="AR32" s="266"/>
      <c r="AS32" s="11"/>
    </row>
    <row r="33" spans="2:45" s="11" customFormat="1" ht="15" customHeight="1">
      <c r="B33" s="2126"/>
      <c r="C33" s="2127"/>
      <c r="D33" s="2128"/>
      <c r="E33" s="43" t="s">
        <v>622</v>
      </c>
      <c r="F33" s="4" t="s">
        <v>186</v>
      </c>
      <c r="G33" s="4"/>
      <c r="H33" s="4"/>
      <c r="I33" s="4"/>
      <c r="J33" s="4"/>
      <c r="K33" s="4"/>
      <c r="L33" s="4"/>
      <c r="M33" s="4"/>
      <c r="N33" s="4"/>
      <c r="O33" s="35" t="s">
        <v>968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11"/>
      <c r="AG33" s="86">
        <v>2</v>
      </c>
      <c r="AH33" s="2081">
        <f>IF('GENERAL INFO'!K10="X","",'FE-1770 S-1'!AB39)</f>
        <v>0</v>
      </c>
      <c r="AI33" s="2082"/>
      <c r="AJ33" s="2082"/>
      <c r="AK33" s="2082"/>
      <c r="AL33" s="2082"/>
      <c r="AM33" s="2082"/>
      <c r="AN33" s="2082"/>
      <c r="AO33" s="2082"/>
      <c r="AP33" s="2082"/>
      <c r="AQ33" s="2082"/>
      <c r="AR33" s="325"/>
      <c r="AS33" s="11"/>
    </row>
    <row r="34" spans="2:45" s="11" customFormat="1" ht="9" customHeight="1">
      <c r="B34" s="2126"/>
      <c r="C34" s="2127"/>
      <c r="D34" s="2128"/>
      <c r="E34" s="17"/>
      <c r="F34" s="37" t="s">
        <v>680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4"/>
      <c r="S34" s="11"/>
      <c r="T34" s="24"/>
      <c r="U34" s="24"/>
      <c r="V34" s="24"/>
      <c r="W34" s="24"/>
      <c r="X34" s="24"/>
      <c r="Y34" s="24"/>
      <c r="Z34" s="4"/>
      <c r="AA34" s="4"/>
      <c r="AB34" s="4"/>
      <c r="AC34" s="4"/>
      <c r="AD34" s="4"/>
      <c r="AE34" s="4"/>
      <c r="AF34" s="4"/>
      <c r="AG34" s="2109"/>
      <c r="AH34" s="2083"/>
      <c r="AI34" s="2084"/>
      <c r="AJ34" s="2084"/>
      <c r="AK34" s="2084"/>
      <c r="AL34" s="2084"/>
      <c r="AM34" s="2084"/>
      <c r="AN34" s="2084"/>
      <c r="AO34" s="2084"/>
      <c r="AP34" s="2084"/>
      <c r="AQ34" s="2084"/>
      <c r="AR34" s="335"/>
      <c r="AS34" s="11"/>
    </row>
    <row r="35" spans="2:45" s="11" customFormat="1" ht="3" customHeight="1">
      <c r="B35" s="2126"/>
      <c r="C35" s="2127"/>
      <c r="D35" s="2128"/>
      <c r="E35" s="17"/>
      <c r="F35" s="37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1"/>
      <c r="AA35" s="11"/>
      <c r="AB35" s="11"/>
      <c r="AC35" s="11"/>
      <c r="AD35" s="11"/>
      <c r="AE35" s="11"/>
      <c r="AF35" s="11"/>
      <c r="AG35" s="36"/>
      <c r="AH35" s="1469"/>
      <c r="AI35" s="1469"/>
      <c r="AJ35" s="1469"/>
      <c r="AK35" s="1469"/>
      <c r="AL35" s="1469"/>
      <c r="AM35" s="1469"/>
      <c r="AN35" s="1469"/>
      <c r="AO35" s="1469"/>
      <c r="AP35" s="1469"/>
      <c r="AQ35" s="1469"/>
      <c r="AR35" s="266"/>
      <c r="AS35" s="11"/>
    </row>
    <row r="36" spans="2:45" s="11" customFormat="1" ht="15" customHeight="1">
      <c r="B36" s="2126"/>
      <c r="C36" s="2127"/>
      <c r="D36" s="2128"/>
      <c r="E36" s="43" t="s">
        <v>623</v>
      </c>
      <c r="F36" s="4" t="s">
        <v>187</v>
      </c>
      <c r="G36" s="4"/>
      <c r="H36" s="4"/>
      <c r="I36" s="4"/>
      <c r="J36" s="4"/>
      <c r="K36" s="4"/>
      <c r="L36" s="4"/>
      <c r="M36" s="4"/>
      <c r="N36" s="4"/>
      <c r="O36" s="4" t="s">
        <v>969</v>
      </c>
      <c r="P36" s="11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99"/>
      <c r="AG36" s="86">
        <v>3</v>
      </c>
      <c r="AH36" s="2081">
        <f>IF('GENERAL INFO'!K10="X","",IF(totaloverseasincome&lt;0,0,totaloverseasincome))</f>
        <v>0</v>
      </c>
      <c r="AI36" s="2082"/>
      <c r="AJ36" s="2082"/>
      <c r="AK36" s="2082"/>
      <c r="AL36" s="2082"/>
      <c r="AM36" s="2082"/>
      <c r="AN36" s="2082"/>
      <c r="AO36" s="2082"/>
      <c r="AP36" s="2082"/>
      <c r="AQ36" s="2082"/>
      <c r="AR36" s="325"/>
      <c r="AS36" s="11"/>
    </row>
    <row r="37" spans="2:45" s="11" customFormat="1" ht="9" customHeight="1">
      <c r="B37" s="2126"/>
      <c r="C37" s="2127"/>
      <c r="D37" s="2128"/>
      <c r="E37" s="17"/>
      <c r="F37" s="37" t="s">
        <v>592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99"/>
      <c r="AG37" s="2109"/>
      <c r="AH37" s="2083"/>
      <c r="AI37" s="2084"/>
      <c r="AJ37" s="2084"/>
      <c r="AK37" s="2084"/>
      <c r="AL37" s="2084"/>
      <c r="AM37" s="2084"/>
      <c r="AN37" s="2084"/>
      <c r="AO37" s="2084"/>
      <c r="AP37" s="2084"/>
      <c r="AQ37" s="2084"/>
      <c r="AR37" s="335"/>
      <c r="AS37" s="11"/>
    </row>
    <row r="38" spans="2:45" s="11" customFormat="1" ht="3" customHeight="1">
      <c r="B38" s="2126"/>
      <c r="C38" s="2127"/>
      <c r="D38" s="2128"/>
      <c r="E38" s="17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11"/>
      <c r="AE38" s="11"/>
      <c r="AF38" s="11"/>
      <c r="AG38" s="36"/>
      <c r="AH38" s="1469"/>
      <c r="AI38" s="1469"/>
      <c r="AJ38" s="1469"/>
      <c r="AK38" s="1469"/>
      <c r="AL38" s="1469"/>
      <c r="AM38" s="1469"/>
      <c r="AN38" s="1469"/>
      <c r="AO38" s="1469"/>
      <c r="AP38" s="1469"/>
      <c r="AQ38" s="1469"/>
      <c r="AR38" s="266"/>
      <c r="AS38" s="11"/>
    </row>
    <row r="39" spans="2:54" s="11" customFormat="1" ht="14.25" customHeight="1">
      <c r="B39" s="2126"/>
      <c r="C39" s="2127"/>
      <c r="D39" s="2128"/>
      <c r="E39" s="43" t="s">
        <v>624</v>
      </c>
      <c r="F39" s="4" t="s">
        <v>188</v>
      </c>
      <c r="G39" s="4"/>
      <c r="H39" s="4"/>
      <c r="I39" s="4"/>
      <c r="J39" s="4"/>
      <c r="K39" s="4"/>
      <c r="L39" s="4"/>
      <c r="M39" s="4"/>
      <c r="N39" s="35" t="s">
        <v>966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11"/>
      <c r="AG39" s="86">
        <v>4</v>
      </c>
      <c r="AH39" s="2081">
        <f>IF('GENERAL INFO'!K10="X","",SUM(AH30:AR37))</f>
        <v>0</v>
      </c>
      <c r="AI39" s="2082"/>
      <c r="AJ39" s="2082"/>
      <c r="AK39" s="2082"/>
      <c r="AL39" s="2082"/>
      <c r="AM39" s="2082"/>
      <c r="AN39" s="2082"/>
      <c r="AO39" s="2082"/>
      <c r="AP39" s="2082"/>
      <c r="AQ39" s="2082"/>
      <c r="AR39" s="325"/>
      <c r="AS39" s="11"/>
      <c r="AY39" s="624"/>
      <c r="AZ39" s="624"/>
      <c r="BA39" s="624"/>
      <c r="BB39" s="624"/>
    </row>
    <row r="40" spans="2:45" s="11" customFormat="1" ht="9.75" customHeight="1">
      <c r="B40" s="2126"/>
      <c r="C40" s="2127"/>
      <c r="D40" s="2128"/>
      <c r="E40" s="17"/>
      <c r="F40" s="11"/>
      <c r="G40" s="11"/>
      <c r="H40" s="11"/>
      <c r="I40" s="11"/>
      <c r="J40" s="11"/>
      <c r="K40" s="11"/>
      <c r="L40" s="11"/>
      <c r="M40" s="11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11"/>
      <c r="AG40" s="2109"/>
      <c r="AH40" s="2083"/>
      <c r="AI40" s="2084"/>
      <c r="AJ40" s="2084"/>
      <c r="AK40" s="2084"/>
      <c r="AL40" s="2084"/>
      <c r="AM40" s="2084"/>
      <c r="AN40" s="2084"/>
      <c r="AO40" s="2084"/>
      <c r="AP40" s="2084"/>
      <c r="AQ40" s="2084"/>
      <c r="AR40" s="335"/>
      <c r="AS40" s="11"/>
    </row>
    <row r="41" spans="2:45" s="11" customFormat="1" ht="3" customHeight="1">
      <c r="B41" s="2126"/>
      <c r="C41" s="2127"/>
      <c r="D41" s="2128"/>
      <c r="E41" s="17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36"/>
      <c r="AH41" s="1469"/>
      <c r="AI41" s="1469"/>
      <c r="AJ41" s="1469"/>
      <c r="AK41" s="1469"/>
      <c r="AL41" s="1469"/>
      <c r="AM41" s="1469"/>
      <c r="AN41" s="1469"/>
      <c r="AO41" s="1469"/>
      <c r="AP41" s="1469"/>
      <c r="AQ41" s="1469"/>
      <c r="AR41" s="266"/>
      <c r="AS41" s="11"/>
    </row>
    <row r="42" spans="2:45" s="11" customFormat="1" ht="15" customHeight="1">
      <c r="B42" s="2126"/>
      <c r="C42" s="2127"/>
      <c r="D42" s="2128"/>
      <c r="E42" s="43" t="s">
        <v>625</v>
      </c>
      <c r="F42" s="4" t="s">
        <v>189</v>
      </c>
      <c r="G42" s="4"/>
      <c r="H42" s="4"/>
      <c r="I42" s="4"/>
      <c r="J42" s="4"/>
      <c r="K42" s="35" t="s">
        <v>967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11"/>
      <c r="AG42" s="86">
        <v>5</v>
      </c>
      <c r="AH42" s="2081">
        <f>IF('GENERAL INFO'!K10="X","",0)</f>
        <v>0</v>
      </c>
      <c r="AI42" s="2082"/>
      <c r="AJ42" s="2082"/>
      <c r="AK42" s="2082"/>
      <c r="AL42" s="2082"/>
      <c r="AM42" s="2082"/>
      <c r="AN42" s="2082"/>
      <c r="AO42" s="2082"/>
      <c r="AP42" s="2082"/>
      <c r="AQ42" s="2082"/>
      <c r="AR42" s="325"/>
      <c r="AS42" s="11"/>
    </row>
    <row r="43" spans="2:45" s="11" customFormat="1" ht="9" customHeight="1">
      <c r="B43" s="2126"/>
      <c r="C43" s="2127"/>
      <c r="D43" s="2128"/>
      <c r="E43" s="17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2109"/>
      <c r="AH43" s="2083"/>
      <c r="AI43" s="2084"/>
      <c r="AJ43" s="2084"/>
      <c r="AK43" s="2084"/>
      <c r="AL43" s="2084"/>
      <c r="AM43" s="2084"/>
      <c r="AN43" s="2084"/>
      <c r="AO43" s="2084"/>
      <c r="AP43" s="2084"/>
      <c r="AQ43" s="2084"/>
      <c r="AR43" s="335"/>
      <c r="AS43" s="11"/>
    </row>
    <row r="44" spans="2:45" s="11" customFormat="1" ht="3" customHeight="1">
      <c r="B44" s="2126"/>
      <c r="C44" s="2127"/>
      <c r="D44" s="2128"/>
      <c r="E44" s="1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36"/>
      <c r="AH44" s="1469"/>
      <c r="AI44" s="1469"/>
      <c r="AJ44" s="1469"/>
      <c r="AK44" s="1469"/>
      <c r="AL44" s="1469"/>
      <c r="AM44" s="1469"/>
      <c r="AN44" s="1469"/>
      <c r="AO44" s="1469"/>
      <c r="AP44" s="1469"/>
      <c r="AQ44" s="1469"/>
      <c r="AR44" s="266"/>
      <c r="AS44" s="11"/>
    </row>
    <row r="45" spans="2:45" s="11" customFormat="1" ht="15" customHeight="1">
      <c r="B45" s="2126"/>
      <c r="C45" s="2127"/>
      <c r="D45" s="2128"/>
      <c r="E45" s="43" t="s">
        <v>626</v>
      </c>
      <c r="F45" s="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V45" s="35" t="s">
        <v>971</v>
      </c>
      <c r="W45" s="35"/>
      <c r="X45" s="35"/>
      <c r="Y45" s="35"/>
      <c r="Z45" s="35"/>
      <c r="AA45" s="35"/>
      <c r="AB45" s="35"/>
      <c r="AC45" s="35"/>
      <c r="AD45" s="35"/>
      <c r="AE45" s="35"/>
      <c r="AF45" s="11"/>
      <c r="AG45" s="86">
        <v>6</v>
      </c>
      <c r="AH45" s="2081">
        <f>IF('GENERAL INFO'!K10="X","",(AH39-AH42))</f>
        <v>0</v>
      </c>
      <c r="AI45" s="2082"/>
      <c r="AJ45" s="2082"/>
      <c r="AK45" s="2082"/>
      <c r="AL45" s="2082"/>
      <c r="AM45" s="2082"/>
      <c r="AN45" s="2082"/>
      <c r="AO45" s="2082"/>
      <c r="AP45" s="2082"/>
      <c r="AQ45" s="2082"/>
      <c r="AR45" s="325"/>
      <c r="AS45" s="11"/>
    </row>
    <row r="46" spans="2:45" s="11" customFormat="1" ht="9" customHeight="1">
      <c r="B46" s="2126"/>
      <c r="C46" s="2127"/>
      <c r="D46" s="2128"/>
      <c r="E46" s="4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1"/>
      <c r="AA46" s="11"/>
      <c r="AB46" s="11"/>
      <c r="AC46" s="11"/>
      <c r="AD46" s="11"/>
      <c r="AE46" s="11"/>
      <c r="AF46" s="11"/>
      <c r="AG46" s="2109"/>
      <c r="AH46" s="2083"/>
      <c r="AI46" s="2084"/>
      <c r="AJ46" s="2084"/>
      <c r="AK46" s="2084"/>
      <c r="AL46" s="2084"/>
      <c r="AM46" s="2084"/>
      <c r="AN46" s="2084"/>
      <c r="AO46" s="2084"/>
      <c r="AP46" s="2084"/>
      <c r="AQ46" s="2084"/>
      <c r="AR46" s="335"/>
      <c r="AS46" s="11"/>
    </row>
    <row r="47" spans="2:45" s="11" customFormat="1" ht="4" customHeight="1">
      <c r="B47" s="2129"/>
      <c r="C47" s="2130"/>
      <c r="D47" s="2131"/>
      <c r="E47" s="138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9"/>
      <c r="AH47" s="379"/>
      <c r="AI47" s="379"/>
      <c r="AJ47" s="379"/>
      <c r="AK47" s="379"/>
      <c r="AL47" s="379"/>
      <c r="AM47" s="379"/>
      <c r="AN47" s="379"/>
      <c r="AO47" s="379"/>
      <c r="AP47" s="379"/>
      <c r="AQ47" s="379"/>
      <c r="AR47" s="268"/>
      <c r="AS47" s="11"/>
    </row>
    <row r="48" spans="2:45" s="11" customFormat="1" ht="4" customHeight="1">
      <c r="B48" s="2099" t="s">
        <v>191</v>
      </c>
      <c r="C48" s="2100"/>
      <c r="D48" s="2101"/>
      <c r="E48" s="140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2"/>
      <c r="AH48" s="380"/>
      <c r="AI48" s="380"/>
      <c r="AJ48" s="380"/>
      <c r="AK48" s="380"/>
      <c r="AL48" s="380"/>
      <c r="AM48" s="380"/>
      <c r="AN48" s="380"/>
      <c r="AO48" s="380"/>
      <c r="AP48" s="380"/>
      <c r="AQ48" s="380"/>
      <c r="AR48" s="269"/>
      <c r="AS48" s="11"/>
    </row>
    <row r="49" spans="2:45" s="11" customFormat="1" ht="7" customHeight="1">
      <c r="B49" s="2102"/>
      <c r="C49" s="2103"/>
      <c r="D49" s="2104"/>
      <c r="E49" s="51"/>
      <c r="F49" s="11"/>
      <c r="G49" s="11"/>
      <c r="H49" s="11"/>
      <c r="I49" s="11"/>
      <c r="J49" s="11"/>
      <c r="K49" s="11"/>
      <c r="L49" s="11"/>
      <c r="M49" s="11"/>
      <c r="N49" s="11"/>
      <c r="O49" s="16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36"/>
      <c r="AH49" s="378"/>
      <c r="AI49" s="378"/>
      <c r="AJ49" s="378"/>
      <c r="AK49" s="378"/>
      <c r="AL49" s="378"/>
      <c r="AM49" s="378"/>
      <c r="AN49" s="378"/>
      <c r="AO49" s="378"/>
      <c r="AP49" s="378"/>
      <c r="AQ49" s="378"/>
      <c r="AR49" s="266"/>
      <c r="AS49" s="11"/>
    </row>
    <row r="50" spans="2:45" s="11" customFormat="1" ht="15" customHeight="1">
      <c r="B50" s="2102"/>
      <c r="C50" s="2103"/>
      <c r="D50" s="2104"/>
      <c r="E50" s="43" t="s">
        <v>629</v>
      </c>
      <c r="F50" s="4" t="s">
        <v>192</v>
      </c>
      <c r="G50" s="4"/>
      <c r="H50" s="4"/>
      <c r="I50" s="4"/>
      <c r="J50" s="4"/>
      <c r="K50" s="4"/>
      <c r="L50" s="4"/>
      <c r="M50" s="4"/>
      <c r="N50" s="4"/>
      <c r="O50" s="203" t="s">
        <v>391</v>
      </c>
      <c r="P50" s="298" t="str">
        <f>IF('GENERAL INFO'!K10="",IF(MARITAL="single",DEPENDENT,""),"")</f>
        <v/>
      </c>
      <c r="Q50" s="203"/>
      <c r="R50" s="203" t="s">
        <v>392</v>
      </c>
      <c r="S50" s="298" t="str">
        <f>IF('GENERAL INFO'!K10="",IF(MARITAL="married",DEPENDENT,""),"")</f>
        <v/>
      </c>
      <c r="T50" s="203"/>
      <c r="U50" s="203" t="s">
        <v>393</v>
      </c>
      <c r="V50" s="298" t="str">
        <f>IF('GENERAL INFO'!K10="",IF(MARITAL="married+",DEPENDENT,""),"")</f>
        <v/>
      </c>
      <c r="W50" s="203"/>
      <c r="X50" s="203"/>
      <c r="Y50" s="89"/>
      <c r="Z50" s="203"/>
      <c r="AA50" s="203"/>
      <c r="AB50" s="89"/>
      <c r="AC50" s="4"/>
      <c r="AD50" s="4"/>
      <c r="AE50" s="11"/>
      <c r="AF50" s="11"/>
      <c r="AG50" s="86">
        <v>7</v>
      </c>
      <c r="AH50" s="2081">
        <f>IF('GENERAL INFO'!K10="X","",'CalculationSheet'!R28)</f>
        <v>0</v>
      </c>
      <c r="AI50" s="2082"/>
      <c r="AJ50" s="2082"/>
      <c r="AK50" s="2082"/>
      <c r="AL50" s="2082"/>
      <c r="AM50" s="2082"/>
      <c r="AN50" s="2082"/>
      <c r="AO50" s="2082"/>
      <c r="AP50" s="2082"/>
      <c r="AQ50" s="2082"/>
      <c r="AR50" s="325"/>
      <c r="AS50" s="11"/>
    </row>
    <row r="51" spans="2:45" s="11" customFormat="1" ht="9" customHeight="1">
      <c r="B51" s="2102"/>
      <c r="C51" s="2103"/>
      <c r="D51" s="2104"/>
      <c r="E51" s="17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2109"/>
      <c r="AH51" s="2083"/>
      <c r="AI51" s="2084"/>
      <c r="AJ51" s="2084"/>
      <c r="AK51" s="2084"/>
      <c r="AL51" s="2084"/>
      <c r="AM51" s="2084"/>
      <c r="AN51" s="2084"/>
      <c r="AO51" s="2084"/>
      <c r="AP51" s="2084"/>
      <c r="AQ51" s="2084"/>
      <c r="AR51" s="335"/>
      <c r="AS51" s="11"/>
    </row>
    <row r="52" spans="2:45" s="11" customFormat="1" ht="3" customHeight="1">
      <c r="B52" s="2102"/>
      <c r="C52" s="2103"/>
      <c r="D52" s="2104"/>
      <c r="E52" s="1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36"/>
      <c r="AH52" s="378"/>
      <c r="AI52" s="378"/>
      <c r="AJ52" s="378"/>
      <c r="AK52" s="378"/>
      <c r="AL52" s="378"/>
      <c r="AM52" s="378"/>
      <c r="AN52" s="378"/>
      <c r="AO52" s="378"/>
      <c r="AP52" s="378"/>
      <c r="AQ52" s="378"/>
      <c r="AR52" s="266"/>
      <c r="AS52" s="11"/>
    </row>
    <row r="53" spans="2:45" s="11" customFormat="1" ht="15" customHeight="1">
      <c r="B53" s="2102"/>
      <c r="C53" s="2103"/>
      <c r="D53" s="2104"/>
      <c r="E53" s="43" t="s">
        <v>630</v>
      </c>
      <c r="F53" s="4" t="s">
        <v>193</v>
      </c>
      <c r="G53" s="4"/>
      <c r="H53" s="4"/>
      <c r="I53" s="4"/>
      <c r="J53" s="4"/>
      <c r="K53" s="4"/>
      <c r="L53" s="4"/>
      <c r="M53" s="4"/>
      <c r="N53" s="4"/>
      <c r="O53" s="35" t="s">
        <v>972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11"/>
      <c r="AG53" s="86">
        <v>8</v>
      </c>
      <c r="AH53" s="2081">
        <f>IF(AH45-AH50&gt;0,AH45-AH50,0)</f>
        <v>0</v>
      </c>
      <c r="AI53" s="2082"/>
      <c r="AJ53" s="2082"/>
      <c r="AK53" s="2082"/>
      <c r="AL53" s="2082"/>
      <c r="AM53" s="2082"/>
      <c r="AN53" s="2082"/>
      <c r="AO53" s="2082"/>
      <c r="AP53" s="2082"/>
      <c r="AQ53" s="2082"/>
      <c r="AR53" s="325"/>
      <c r="AS53" s="11"/>
    </row>
    <row r="54" spans="2:45" s="11" customFormat="1" ht="9" customHeight="1">
      <c r="B54" s="2102"/>
      <c r="C54" s="2103"/>
      <c r="D54" s="2104"/>
      <c r="E54" s="43"/>
      <c r="F54" s="4"/>
      <c r="G54" s="4"/>
      <c r="H54" s="4"/>
      <c r="I54" s="4"/>
      <c r="J54" s="4"/>
      <c r="K54" s="4"/>
      <c r="L54" s="4"/>
      <c r="M54" s="4"/>
      <c r="N54" s="4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88"/>
      <c r="AH54" s="2083"/>
      <c r="AI54" s="2084"/>
      <c r="AJ54" s="2084"/>
      <c r="AK54" s="2084"/>
      <c r="AL54" s="2084"/>
      <c r="AM54" s="2084"/>
      <c r="AN54" s="2084"/>
      <c r="AO54" s="2084"/>
      <c r="AP54" s="2084"/>
      <c r="AQ54" s="2084"/>
      <c r="AR54" s="335"/>
      <c r="AS54" s="11"/>
    </row>
    <row r="55" spans="2:45" s="11" customFormat="1" ht="4" customHeight="1">
      <c r="B55" s="2105"/>
      <c r="C55" s="2106"/>
      <c r="D55" s="2107"/>
      <c r="E55" s="138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9"/>
      <c r="AH55" s="379"/>
      <c r="AI55" s="379"/>
      <c r="AJ55" s="379"/>
      <c r="AK55" s="379"/>
      <c r="AL55" s="379"/>
      <c r="AM55" s="379"/>
      <c r="AN55" s="379"/>
      <c r="AO55" s="379"/>
      <c r="AP55" s="379"/>
      <c r="AQ55" s="379"/>
      <c r="AR55" s="268"/>
      <c r="AS55" s="11"/>
    </row>
    <row r="56" spans="2:45" s="11" customFormat="1" ht="3" customHeight="1">
      <c r="B56" s="168"/>
      <c r="C56" s="43"/>
      <c r="D56" s="129"/>
      <c r="E56" s="17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36"/>
      <c r="AH56" s="378"/>
      <c r="AI56" s="378"/>
      <c r="AJ56" s="378"/>
      <c r="AK56" s="378"/>
      <c r="AL56" s="378"/>
      <c r="AM56" s="378"/>
      <c r="AN56" s="378"/>
      <c r="AO56" s="378"/>
      <c r="AP56" s="378"/>
      <c r="AQ56" s="378"/>
      <c r="AR56" s="266"/>
      <c r="AS56" s="11"/>
    </row>
    <row r="57" spans="2:45" s="11" customFormat="1" ht="7" customHeight="1">
      <c r="B57" s="2126" t="s">
        <v>194</v>
      </c>
      <c r="C57" s="2127"/>
      <c r="D57" s="2128"/>
      <c r="E57" s="51"/>
      <c r="F57" s="11"/>
      <c r="G57" s="11"/>
      <c r="H57" s="11"/>
      <c r="I57" s="11"/>
      <c r="J57" s="11"/>
      <c r="K57" s="16"/>
      <c r="L57" s="1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36"/>
      <c r="AH57" s="378"/>
      <c r="AI57" s="378"/>
      <c r="AJ57" s="378"/>
      <c r="AK57" s="378"/>
      <c r="AL57" s="378"/>
      <c r="AM57" s="378"/>
      <c r="AN57" s="378"/>
      <c r="AO57" s="378"/>
      <c r="AP57" s="378"/>
      <c r="AQ57" s="378"/>
      <c r="AR57" s="266"/>
      <c r="AS57" s="11"/>
    </row>
    <row r="58" spans="2:45" s="11" customFormat="1" ht="15" customHeight="1">
      <c r="B58" s="2126"/>
      <c r="C58" s="2127"/>
      <c r="D58" s="2128"/>
      <c r="E58" s="43" t="s">
        <v>631</v>
      </c>
      <c r="F58" s="4" t="s">
        <v>195</v>
      </c>
      <c r="G58" s="4"/>
      <c r="H58" s="4"/>
      <c r="I58" s="4"/>
      <c r="J58" s="4" t="s">
        <v>681</v>
      </c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2154" t="s">
        <v>153</v>
      </c>
      <c r="Z58" s="2154"/>
      <c r="AA58" s="2154"/>
      <c r="AB58" s="2154"/>
      <c r="AC58" s="2154"/>
      <c r="AD58" s="2154"/>
      <c r="AE58" s="2154"/>
      <c r="AF58" s="4"/>
      <c r="AG58" s="86">
        <v>9</v>
      </c>
      <c r="AH58" s="2081" t="e">
        <f>IF('GENERAL INFO'!K10="X","",'Attachment'!X41)</f>
        <v>#DIV/0!</v>
      </c>
      <c r="AI58" s="2082"/>
      <c r="AJ58" s="2082"/>
      <c r="AK58" s="2082"/>
      <c r="AL58" s="2082"/>
      <c r="AM58" s="2082"/>
      <c r="AN58" s="2082"/>
      <c r="AO58" s="2082"/>
      <c r="AP58" s="2082"/>
      <c r="AQ58" s="2082"/>
      <c r="AR58" s="325"/>
      <c r="AS58" s="11"/>
    </row>
    <row r="59" spans="2:45" s="11" customFormat="1" ht="9" customHeight="1">
      <c r="B59" s="2126"/>
      <c r="C59" s="2127"/>
      <c r="D59" s="2128"/>
      <c r="E59" s="4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2109"/>
      <c r="AH59" s="2083"/>
      <c r="AI59" s="2084"/>
      <c r="AJ59" s="2084"/>
      <c r="AK59" s="2084"/>
      <c r="AL59" s="2084"/>
      <c r="AM59" s="2084"/>
      <c r="AN59" s="2084"/>
      <c r="AO59" s="2084"/>
      <c r="AP59" s="2084"/>
      <c r="AQ59" s="2084"/>
      <c r="AR59" s="335"/>
      <c r="AS59" s="11"/>
    </row>
    <row r="60" spans="2:45" s="11" customFormat="1" ht="3" customHeight="1">
      <c r="B60" s="2126"/>
      <c r="C60" s="2127"/>
      <c r="D60" s="2128"/>
      <c r="E60" s="4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36"/>
      <c r="AH60" s="378"/>
      <c r="AI60" s="378"/>
      <c r="AJ60" s="378"/>
      <c r="AK60" s="378"/>
      <c r="AL60" s="378"/>
      <c r="AM60" s="378"/>
      <c r="AN60" s="378"/>
      <c r="AO60" s="378"/>
      <c r="AP60" s="378"/>
      <c r="AQ60" s="378"/>
      <c r="AR60" s="266"/>
      <c r="AS60" s="11"/>
    </row>
    <row r="61" spans="2:45" s="11" customFormat="1" ht="15" customHeight="1">
      <c r="B61" s="2126"/>
      <c r="C61" s="2127"/>
      <c r="D61" s="2128"/>
      <c r="E61" s="43" t="s">
        <v>632</v>
      </c>
      <c r="F61" s="4" t="s">
        <v>196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X61" s="4" t="s">
        <v>973</v>
      </c>
      <c r="Z61" s="4"/>
      <c r="AA61" s="4"/>
      <c r="AB61" s="4"/>
      <c r="AC61" s="4"/>
      <c r="AD61" s="4"/>
      <c r="AE61" s="4"/>
      <c r="AF61" s="4"/>
      <c r="AG61" s="86">
        <v>10</v>
      </c>
      <c r="AH61" s="2081">
        <f>IF('GENERAL INFO'!K10="X","",'GENERAL INFO'!K102)</f>
        <v>0</v>
      </c>
      <c r="AI61" s="2082"/>
      <c r="AJ61" s="2082"/>
      <c r="AK61" s="2082"/>
      <c r="AL61" s="2082"/>
      <c r="AM61" s="2082"/>
      <c r="AN61" s="2082"/>
      <c r="AO61" s="2082"/>
      <c r="AP61" s="2082"/>
      <c r="AQ61" s="2082"/>
      <c r="AR61" s="325"/>
      <c r="AS61" s="11"/>
    </row>
    <row r="62" spans="2:45" s="11" customFormat="1" ht="9" customHeight="1">
      <c r="B62" s="2126"/>
      <c r="C62" s="2127"/>
      <c r="D62" s="2128"/>
      <c r="E62" s="4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2109"/>
      <c r="AH62" s="2083"/>
      <c r="AI62" s="2084"/>
      <c r="AJ62" s="2084"/>
      <c r="AK62" s="2084"/>
      <c r="AL62" s="2084"/>
      <c r="AM62" s="2084"/>
      <c r="AN62" s="2084"/>
      <c r="AO62" s="2084"/>
      <c r="AP62" s="2084"/>
      <c r="AQ62" s="2084"/>
      <c r="AR62" s="335"/>
      <c r="AS62" s="11"/>
    </row>
    <row r="63" spans="2:45" s="11" customFormat="1" ht="3" customHeight="1">
      <c r="B63" s="2126"/>
      <c r="C63" s="2127"/>
      <c r="D63" s="2128"/>
      <c r="E63" s="4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66"/>
      <c r="AH63" s="378"/>
      <c r="AI63" s="378"/>
      <c r="AJ63" s="378"/>
      <c r="AK63" s="378"/>
      <c r="AL63" s="378"/>
      <c r="AM63" s="378"/>
      <c r="AN63" s="378"/>
      <c r="AO63" s="378"/>
      <c r="AP63" s="378"/>
      <c r="AQ63" s="378"/>
      <c r="AR63" s="266"/>
      <c r="AS63" s="11"/>
    </row>
    <row r="64" spans="2:45" s="11" customFormat="1" ht="15" customHeight="1">
      <c r="B64" s="2126"/>
      <c r="C64" s="2127"/>
      <c r="D64" s="2128"/>
      <c r="E64" s="43" t="s">
        <v>633</v>
      </c>
      <c r="F64" s="4" t="s">
        <v>197</v>
      </c>
      <c r="G64" s="4"/>
      <c r="H64" s="4"/>
      <c r="I64" s="4"/>
      <c r="J64" s="4"/>
      <c r="K64" s="4"/>
      <c r="L64" s="4"/>
      <c r="M64" s="4"/>
      <c r="N64" s="4"/>
      <c r="O64" s="35" t="s">
        <v>974</v>
      </c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4"/>
      <c r="AG64" s="86">
        <v>11</v>
      </c>
      <c r="AH64" s="2081" t="e">
        <f>IF('GENERAL INFO'!K10="X","",AH58+AH61)</f>
        <v>#DIV/0!</v>
      </c>
      <c r="AI64" s="2082"/>
      <c r="AJ64" s="2082"/>
      <c r="AK64" s="2082"/>
      <c r="AL64" s="2082"/>
      <c r="AM64" s="2082"/>
      <c r="AN64" s="2082"/>
      <c r="AO64" s="2082"/>
      <c r="AP64" s="2082"/>
      <c r="AQ64" s="2082"/>
      <c r="AR64" s="325"/>
      <c r="AS64" s="11"/>
    </row>
    <row r="65" spans="2:45" s="11" customFormat="1" ht="9" customHeight="1">
      <c r="B65" s="2126"/>
      <c r="C65" s="2127"/>
      <c r="D65" s="2128"/>
      <c r="E65" s="4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2109"/>
      <c r="AH65" s="2083"/>
      <c r="AI65" s="2084"/>
      <c r="AJ65" s="2084"/>
      <c r="AK65" s="2084"/>
      <c r="AL65" s="2084"/>
      <c r="AM65" s="2084"/>
      <c r="AN65" s="2084"/>
      <c r="AO65" s="2084"/>
      <c r="AP65" s="2084"/>
      <c r="AQ65" s="2084"/>
      <c r="AR65" s="335"/>
      <c r="AS65" s="11"/>
    </row>
    <row r="66" spans="2:45" s="11" customFormat="1" ht="4" customHeight="1">
      <c r="B66" s="2129"/>
      <c r="C66" s="2130"/>
      <c r="D66" s="2131"/>
      <c r="E66" s="136"/>
      <c r="F66" s="136"/>
      <c r="G66" s="136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139"/>
      <c r="AH66" s="379"/>
      <c r="AI66" s="379"/>
      <c r="AJ66" s="379"/>
      <c r="AK66" s="379"/>
      <c r="AL66" s="379"/>
      <c r="AM66" s="379"/>
      <c r="AN66" s="379"/>
      <c r="AO66" s="379"/>
      <c r="AP66" s="379"/>
      <c r="AQ66" s="379"/>
      <c r="AR66" s="268"/>
      <c r="AS66" s="11"/>
    </row>
    <row r="67" spans="2:45" s="11" customFormat="1" ht="3" customHeight="1">
      <c r="B67" s="168"/>
      <c r="C67" s="43"/>
      <c r="D67" s="129"/>
      <c r="E67" s="17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36"/>
      <c r="AH67" s="378"/>
      <c r="AI67" s="378"/>
      <c r="AJ67" s="378"/>
      <c r="AK67" s="378"/>
      <c r="AL67" s="378"/>
      <c r="AM67" s="378"/>
      <c r="AN67" s="378"/>
      <c r="AO67" s="378"/>
      <c r="AP67" s="378"/>
      <c r="AQ67" s="378"/>
      <c r="AR67" s="266"/>
      <c r="AS67" s="11"/>
    </row>
    <row r="68" spans="2:45" s="11" customFormat="1" ht="7" customHeight="1">
      <c r="B68" s="2126" t="s">
        <v>198</v>
      </c>
      <c r="C68" s="2127"/>
      <c r="D68" s="2128"/>
      <c r="E68" s="51"/>
      <c r="F68" s="11"/>
      <c r="G68" s="52"/>
      <c r="H68" s="52"/>
      <c r="I68" s="52"/>
      <c r="J68" s="52"/>
      <c r="K68" s="52"/>
      <c r="L68" s="52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36"/>
      <c r="AH68" s="378"/>
      <c r="AI68" s="378"/>
      <c r="AJ68" s="378"/>
      <c r="AK68" s="378"/>
      <c r="AL68" s="378"/>
      <c r="AM68" s="378"/>
      <c r="AN68" s="378"/>
      <c r="AO68" s="378"/>
      <c r="AP68" s="378"/>
      <c r="AQ68" s="378"/>
      <c r="AR68" s="266"/>
      <c r="AS68" s="11"/>
    </row>
    <row r="69" spans="2:45" s="11" customFormat="1" ht="15" customHeight="1">
      <c r="B69" s="2126"/>
      <c r="C69" s="2127"/>
      <c r="D69" s="2128"/>
      <c r="E69" s="43" t="s">
        <v>634</v>
      </c>
      <c r="F69" s="12" t="s">
        <v>978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86">
        <v>12</v>
      </c>
      <c r="AH69" s="2081">
        <f>IF('GENERAL INFO'!K10="X","",(_art21+_art24))</f>
        <v>0</v>
      </c>
      <c r="AI69" s="2082"/>
      <c r="AJ69" s="2082"/>
      <c r="AK69" s="2082"/>
      <c r="AL69" s="2082"/>
      <c r="AM69" s="2082"/>
      <c r="AN69" s="2082"/>
      <c r="AO69" s="2082"/>
      <c r="AP69" s="2082"/>
      <c r="AQ69" s="2082"/>
      <c r="AR69" s="325"/>
      <c r="AS69" s="11"/>
    </row>
    <row r="70" spans="2:45" s="11" customFormat="1" ht="10.5" customHeight="1">
      <c r="B70" s="2126"/>
      <c r="C70" s="2127"/>
      <c r="D70" s="2128"/>
      <c r="E70" s="17"/>
      <c r="F70" s="4" t="s">
        <v>979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67"/>
      <c r="AG70" s="2109"/>
      <c r="AH70" s="2083"/>
      <c r="AI70" s="2084"/>
      <c r="AJ70" s="2084"/>
      <c r="AK70" s="2084"/>
      <c r="AL70" s="2084"/>
      <c r="AM70" s="2084"/>
      <c r="AN70" s="2084"/>
      <c r="AO70" s="2084"/>
      <c r="AP70" s="2084"/>
      <c r="AQ70" s="2084"/>
      <c r="AR70" s="335"/>
      <c r="AS70" s="11"/>
    </row>
    <row r="71" spans="2:45" s="11" customFormat="1" ht="3" customHeight="1">
      <c r="B71" s="2126"/>
      <c r="C71" s="2127"/>
      <c r="D71" s="2128"/>
      <c r="E71" s="17"/>
      <c r="F71" s="3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36"/>
      <c r="AH71" s="378"/>
      <c r="AI71" s="378"/>
      <c r="AJ71" s="378"/>
      <c r="AK71" s="378"/>
      <c r="AL71" s="378"/>
      <c r="AM71" s="378"/>
      <c r="AN71" s="378"/>
      <c r="AO71" s="378"/>
      <c r="AP71" s="378"/>
      <c r="AQ71" s="378"/>
      <c r="AR71" s="266"/>
      <c r="AS71" s="11"/>
    </row>
    <row r="72" spans="2:45" s="11" customFormat="1" ht="9" customHeight="1">
      <c r="B72" s="2126"/>
      <c r="C72" s="2127"/>
      <c r="D72" s="2128"/>
      <c r="E72" s="17"/>
      <c r="F72" s="35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36"/>
      <c r="AH72" s="378"/>
      <c r="AI72" s="378"/>
      <c r="AJ72" s="378"/>
      <c r="AK72" s="378"/>
      <c r="AL72" s="378"/>
      <c r="AM72" s="378"/>
      <c r="AN72" s="378"/>
      <c r="AO72" s="378"/>
      <c r="AP72" s="378"/>
      <c r="AQ72" s="378"/>
      <c r="AR72" s="266"/>
      <c r="AS72" s="11"/>
    </row>
    <row r="73" spans="2:45" s="11" customFormat="1" ht="12" customHeight="1">
      <c r="B73" s="2126"/>
      <c r="C73" s="2127"/>
      <c r="D73" s="2128"/>
      <c r="E73" s="43" t="s">
        <v>635</v>
      </c>
      <c r="F73" s="46" t="s">
        <v>6</v>
      </c>
      <c r="G73" s="298" t="e">
        <f>IF('GENERAL INFO'!K10="X","",IF(AH73&gt;0,"X",""))</f>
        <v>#DIV/0!</v>
      </c>
      <c r="H73" s="11"/>
      <c r="I73" s="114" t="s">
        <v>199</v>
      </c>
      <c r="J73" s="45"/>
      <c r="K73" s="45"/>
      <c r="L73" s="45"/>
      <c r="M73" s="45"/>
      <c r="N73" s="45"/>
      <c r="O73" s="45"/>
      <c r="P73" s="45"/>
      <c r="Q73" s="45"/>
      <c r="R73" s="45"/>
      <c r="S73" s="136"/>
      <c r="U73" s="36" t="s">
        <v>63</v>
      </c>
      <c r="V73" s="36"/>
      <c r="W73" s="11"/>
      <c r="X73" s="4"/>
      <c r="Y73" s="4"/>
      <c r="Z73" s="4"/>
      <c r="AA73" s="4"/>
      <c r="AB73" s="4"/>
      <c r="AC73" s="4"/>
      <c r="AD73" s="4"/>
      <c r="AE73" s="4"/>
      <c r="AF73" s="4"/>
      <c r="AG73" s="86">
        <v>13</v>
      </c>
      <c r="AH73" s="2081" t="e">
        <f>IF('GENERAL INFO'!K10="X","", AH64-AH69)</f>
        <v>#DIV/0!</v>
      </c>
      <c r="AI73" s="2082"/>
      <c r="AJ73" s="2082"/>
      <c r="AK73" s="2082"/>
      <c r="AL73" s="2082"/>
      <c r="AM73" s="2082"/>
      <c r="AN73" s="2082"/>
      <c r="AO73" s="2082"/>
      <c r="AP73" s="2082"/>
      <c r="AQ73" s="2082"/>
      <c r="AR73" s="325"/>
      <c r="AS73" s="11"/>
    </row>
    <row r="74" spans="2:45" s="11" customFormat="1" ht="3" customHeight="1">
      <c r="B74" s="2126"/>
      <c r="C74" s="2127"/>
      <c r="D74" s="2128"/>
      <c r="E74" s="43"/>
      <c r="F74" s="4"/>
      <c r="G74" s="17"/>
      <c r="H74" s="11"/>
      <c r="I74" s="46"/>
      <c r="J74" s="4"/>
      <c r="K74" s="47"/>
      <c r="L74" s="47"/>
      <c r="M74" s="47"/>
      <c r="N74" s="47"/>
      <c r="O74" s="47"/>
      <c r="P74" s="47"/>
      <c r="Q74" s="47"/>
      <c r="R74" s="47"/>
      <c r="S74" s="46"/>
      <c r="T74" s="46"/>
      <c r="U74" s="36"/>
      <c r="V74" s="36"/>
      <c r="W74" s="11"/>
      <c r="X74" s="46"/>
      <c r="Y74" s="4"/>
      <c r="Z74" s="4"/>
      <c r="AA74" s="4"/>
      <c r="AB74" s="4"/>
      <c r="AC74" s="4"/>
      <c r="AD74" s="4"/>
      <c r="AE74" s="4"/>
      <c r="AF74" s="4"/>
      <c r="AG74" s="2147"/>
      <c r="AH74" s="2145"/>
      <c r="AI74" s="2146"/>
      <c r="AJ74" s="2146"/>
      <c r="AK74" s="2146"/>
      <c r="AL74" s="2146"/>
      <c r="AM74" s="2146"/>
      <c r="AN74" s="2146"/>
      <c r="AO74" s="2146"/>
      <c r="AP74" s="2146"/>
      <c r="AQ74" s="2146"/>
      <c r="AR74" s="300"/>
      <c r="AS74" s="11"/>
    </row>
    <row r="75" spans="2:45" s="11" customFormat="1" ht="12" customHeight="1">
      <c r="B75" s="2126"/>
      <c r="C75" s="2127"/>
      <c r="D75" s="2128"/>
      <c r="E75" s="43"/>
      <c r="F75" s="46" t="s">
        <v>7</v>
      </c>
      <c r="G75" s="298" t="e">
        <f>IF('GENERAL INFO'!K10="X","",IF(AH73&lt;0,"X",""))</f>
        <v>#DIV/0!</v>
      </c>
      <c r="H75" s="11"/>
      <c r="I75" s="46" t="s">
        <v>200</v>
      </c>
      <c r="J75" s="4"/>
      <c r="K75" s="24"/>
      <c r="L75" s="24"/>
      <c r="M75" s="24"/>
      <c r="N75" s="24"/>
      <c r="O75" s="24"/>
      <c r="P75" s="24"/>
      <c r="Q75" s="24"/>
      <c r="R75" s="24"/>
      <c r="S75" s="46"/>
      <c r="T75" s="46"/>
      <c r="U75" s="36"/>
      <c r="V75" s="36"/>
      <c r="W75" s="11"/>
      <c r="X75" s="46"/>
      <c r="Y75" s="4"/>
      <c r="Z75" s="4"/>
      <c r="AA75" s="4"/>
      <c r="AB75" s="4"/>
      <c r="AC75" s="4"/>
      <c r="AD75" s="4"/>
      <c r="AE75" s="4"/>
      <c r="AF75" s="4"/>
      <c r="AG75" s="2109"/>
      <c r="AH75" s="2083"/>
      <c r="AI75" s="2084"/>
      <c r="AJ75" s="2084"/>
      <c r="AK75" s="2084"/>
      <c r="AL75" s="2084"/>
      <c r="AM75" s="2084"/>
      <c r="AN75" s="2084"/>
      <c r="AO75" s="2084"/>
      <c r="AP75" s="2084"/>
      <c r="AQ75" s="2084"/>
      <c r="AR75" s="335"/>
      <c r="AS75" s="11"/>
    </row>
    <row r="76" spans="2:45" s="11" customFormat="1" ht="9" customHeight="1">
      <c r="B76" s="2126"/>
      <c r="C76" s="2127"/>
      <c r="D76" s="2128"/>
      <c r="E76" s="43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46"/>
      <c r="S76" s="46"/>
      <c r="T76" s="46"/>
      <c r="U76" s="11"/>
      <c r="V76" s="11"/>
      <c r="W76" s="11"/>
      <c r="X76" s="46"/>
      <c r="Y76" s="4"/>
      <c r="Z76" s="4"/>
      <c r="AA76" s="4"/>
      <c r="AB76" s="4"/>
      <c r="AC76" s="4"/>
      <c r="AD76" s="4"/>
      <c r="AE76" s="4"/>
      <c r="AF76" s="4"/>
      <c r="AG76" s="61"/>
      <c r="AH76" s="378"/>
      <c r="AI76" s="378"/>
      <c r="AJ76" s="378"/>
      <c r="AK76" s="378"/>
      <c r="AL76" s="378"/>
      <c r="AM76" s="378"/>
      <c r="AN76" s="378"/>
      <c r="AO76" s="378"/>
      <c r="AP76" s="378"/>
      <c r="AQ76" s="378"/>
      <c r="AR76" s="266"/>
      <c r="AS76" s="11"/>
    </row>
    <row r="77" spans="2:45" s="11" customFormat="1" ht="3" customHeight="1">
      <c r="B77" s="2126"/>
      <c r="C77" s="2127"/>
      <c r="D77" s="2128"/>
      <c r="E77" s="43"/>
      <c r="F77" s="46"/>
      <c r="G77" s="4"/>
      <c r="H77" s="4"/>
      <c r="I77" s="24"/>
      <c r="J77" s="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36"/>
      <c r="V77" s="36"/>
      <c r="W77" s="36"/>
      <c r="X77" s="46"/>
      <c r="Y77" s="4"/>
      <c r="Z77" s="4"/>
      <c r="AA77" s="4"/>
      <c r="AB77" s="4"/>
      <c r="AC77" s="4"/>
      <c r="AD77" s="4"/>
      <c r="AE77" s="4"/>
      <c r="AF77" s="4"/>
      <c r="AG77" s="7"/>
      <c r="AH77" s="378"/>
      <c r="AI77" s="378"/>
      <c r="AJ77" s="378"/>
      <c r="AK77" s="378"/>
      <c r="AL77" s="378"/>
      <c r="AM77" s="378"/>
      <c r="AN77" s="378"/>
      <c r="AO77" s="378"/>
      <c r="AP77" s="378"/>
      <c r="AQ77" s="378"/>
      <c r="AR77" s="266"/>
      <c r="AS77" s="11"/>
    </row>
    <row r="78" spans="2:45" s="11" customFormat="1" ht="15" customHeight="1">
      <c r="B78" s="2126"/>
      <c r="C78" s="2127"/>
      <c r="D78" s="2128"/>
      <c r="E78" s="43" t="s">
        <v>636</v>
      </c>
      <c r="F78" s="12" t="s">
        <v>201</v>
      </c>
      <c r="G78" s="12"/>
      <c r="H78" s="12"/>
      <c r="I78" s="12"/>
      <c r="J78" s="12"/>
      <c r="K78" s="12"/>
      <c r="L78" s="12"/>
      <c r="M78" s="12"/>
      <c r="N78" s="4" t="s">
        <v>6</v>
      </c>
      <c r="O78" s="4" t="s">
        <v>682</v>
      </c>
      <c r="P78" s="4"/>
      <c r="Q78" s="4"/>
      <c r="R78" s="4"/>
      <c r="S78" s="4"/>
      <c r="T78" s="4"/>
      <c r="U78" s="4"/>
      <c r="V78" s="4"/>
      <c r="X78" s="35" t="s">
        <v>113</v>
      </c>
      <c r="Y78" s="35"/>
      <c r="Z78" s="35"/>
      <c r="AA78" s="35"/>
      <c r="AB78" s="35"/>
      <c r="AC78" s="35"/>
      <c r="AD78" s="35"/>
      <c r="AE78" s="35"/>
      <c r="AF78" s="4"/>
      <c r="AG78" s="86" t="s">
        <v>53</v>
      </c>
      <c r="AH78" s="2081">
        <f>IF('GENERAL INFO'!K10="X","",'GENERAL INFO'!H99)</f>
        <v>0</v>
      </c>
      <c r="AI78" s="2082"/>
      <c r="AJ78" s="2082"/>
      <c r="AK78" s="2082"/>
      <c r="AL78" s="2082"/>
      <c r="AM78" s="2082"/>
      <c r="AN78" s="2082"/>
      <c r="AO78" s="2082"/>
      <c r="AP78" s="2082"/>
      <c r="AQ78" s="2082"/>
      <c r="AR78" s="325"/>
      <c r="AS78" s="11"/>
    </row>
    <row r="79" spans="2:45" s="11" customFormat="1" ht="9" customHeight="1">
      <c r="B79" s="2126"/>
      <c r="C79" s="2127"/>
      <c r="D79" s="2128"/>
      <c r="E79" s="43"/>
      <c r="F79" s="4"/>
      <c r="G79" s="4"/>
      <c r="H79" s="4"/>
      <c r="I79" s="4"/>
      <c r="J79" s="4"/>
      <c r="K79" s="4"/>
      <c r="L79" s="4"/>
      <c r="M79" s="1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2109"/>
      <c r="AH79" s="2083"/>
      <c r="AI79" s="2084"/>
      <c r="AJ79" s="2084"/>
      <c r="AK79" s="2084"/>
      <c r="AL79" s="2084"/>
      <c r="AM79" s="2084"/>
      <c r="AN79" s="2084"/>
      <c r="AO79" s="2084"/>
      <c r="AP79" s="2084"/>
      <c r="AQ79" s="2084"/>
      <c r="AR79" s="335"/>
      <c r="AS79" s="11"/>
    </row>
    <row r="80" spans="2:45" s="11" customFormat="1" ht="3" customHeight="1">
      <c r="B80" s="2126"/>
      <c r="C80" s="2127"/>
      <c r="D80" s="2128"/>
      <c r="E80" s="43"/>
      <c r="F80" s="4"/>
      <c r="G80" s="4"/>
      <c r="H80" s="4"/>
      <c r="I80" s="4"/>
      <c r="J80" s="4"/>
      <c r="K80" s="4"/>
      <c r="L80" s="4"/>
      <c r="M80" s="1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7"/>
      <c r="AH80" s="378"/>
      <c r="AI80" s="378"/>
      <c r="AJ80" s="378"/>
      <c r="AK80" s="378"/>
      <c r="AL80" s="378"/>
      <c r="AM80" s="378"/>
      <c r="AN80" s="378"/>
      <c r="AO80" s="378"/>
      <c r="AP80" s="378"/>
      <c r="AQ80" s="378"/>
      <c r="AR80" s="266"/>
      <c r="AS80" s="11"/>
    </row>
    <row r="81" spans="2:45" s="11" customFormat="1" ht="15" customHeight="1">
      <c r="B81" s="2126"/>
      <c r="C81" s="2127"/>
      <c r="D81" s="2128"/>
      <c r="E81" s="43"/>
      <c r="F81" s="4"/>
      <c r="G81" s="4"/>
      <c r="H81" s="4"/>
      <c r="I81" s="4"/>
      <c r="J81" s="4"/>
      <c r="K81" s="4"/>
      <c r="L81" s="4"/>
      <c r="M81" s="11"/>
      <c r="N81" s="4" t="s">
        <v>7</v>
      </c>
      <c r="O81" s="4" t="s">
        <v>202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C81" s="4" t="s">
        <v>975</v>
      </c>
      <c r="AD81" s="4"/>
      <c r="AE81" s="4"/>
      <c r="AF81" s="4"/>
      <c r="AG81" s="86" t="s">
        <v>54</v>
      </c>
      <c r="AH81" s="2081">
        <f>IF('GENERAL INFO'!K10="X","",PPh25exSTP)</f>
        <v>0</v>
      </c>
      <c r="AI81" s="2082"/>
      <c r="AJ81" s="2082"/>
      <c r="AK81" s="2082"/>
      <c r="AL81" s="2082"/>
      <c r="AM81" s="2082"/>
      <c r="AN81" s="2082"/>
      <c r="AO81" s="2082"/>
      <c r="AP81" s="2082"/>
      <c r="AQ81" s="2082"/>
      <c r="AR81" s="325"/>
      <c r="AS81" s="11"/>
    </row>
    <row r="82" spans="2:45" s="11" customFormat="1" ht="9" customHeight="1">
      <c r="B82" s="2126"/>
      <c r="C82" s="2127"/>
      <c r="D82" s="2128"/>
      <c r="E82" s="43"/>
      <c r="F82" s="4"/>
      <c r="G82" s="4"/>
      <c r="H82" s="4"/>
      <c r="I82" s="4"/>
      <c r="J82" s="4"/>
      <c r="K82" s="4"/>
      <c r="L82" s="4"/>
      <c r="M82" s="1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2109"/>
      <c r="AH82" s="2083"/>
      <c r="AI82" s="2084"/>
      <c r="AJ82" s="2084"/>
      <c r="AK82" s="2084"/>
      <c r="AL82" s="2084"/>
      <c r="AM82" s="2084"/>
      <c r="AN82" s="2084"/>
      <c r="AO82" s="2084"/>
      <c r="AP82" s="2084"/>
      <c r="AQ82" s="2084"/>
      <c r="AR82" s="335"/>
      <c r="AS82" s="11"/>
    </row>
    <row r="83" spans="2:45" s="11" customFormat="1" ht="3" customHeight="1">
      <c r="B83" s="2126"/>
      <c r="C83" s="2127"/>
      <c r="D83" s="2128"/>
      <c r="E83" s="43"/>
      <c r="F83" s="4"/>
      <c r="G83" s="4"/>
      <c r="H83" s="4"/>
      <c r="I83" s="4"/>
      <c r="J83" s="4"/>
      <c r="K83" s="4"/>
      <c r="L83" s="4"/>
      <c r="M83" s="1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7"/>
      <c r="AH83" s="378"/>
      <c r="AI83" s="378"/>
      <c r="AJ83" s="378"/>
      <c r="AK83" s="378"/>
      <c r="AL83" s="378"/>
      <c r="AM83" s="378"/>
      <c r="AN83" s="378"/>
      <c r="AO83" s="378"/>
      <c r="AP83" s="378"/>
      <c r="AQ83" s="378"/>
      <c r="AR83" s="266"/>
      <c r="AS83" s="11"/>
    </row>
    <row r="84" spans="2:45" s="11" customFormat="1" ht="3" customHeight="1">
      <c r="B84" s="2126"/>
      <c r="C84" s="2127"/>
      <c r="D84" s="2128"/>
      <c r="E84" s="43"/>
      <c r="F84" s="4"/>
      <c r="G84" s="4"/>
      <c r="H84" s="4"/>
      <c r="I84" s="4"/>
      <c r="J84" s="4"/>
      <c r="K84" s="4"/>
      <c r="L84" s="4"/>
      <c r="M84" s="1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7"/>
      <c r="AH84" s="378"/>
      <c r="AI84" s="378"/>
      <c r="AJ84" s="378"/>
      <c r="AK84" s="378"/>
      <c r="AL84" s="378"/>
      <c r="AM84" s="378"/>
      <c r="AN84" s="378"/>
      <c r="AO84" s="378"/>
      <c r="AP84" s="378"/>
      <c r="AQ84" s="378"/>
      <c r="AR84" s="266"/>
      <c r="AS84" s="11"/>
    </row>
    <row r="85" spans="2:45" s="11" customFormat="1" ht="15" customHeight="1">
      <c r="B85" s="2126"/>
      <c r="C85" s="2127"/>
      <c r="D85" s="2128"/>
      <c r="E85" s="43" t="s">
        <v>637</v>
      </c>
      <c r="F85" s="4" t="s">
        <v>826</v>
      </c>
      <c r="G85" s="4"/>
      <c r="H85" s="4"/>
      <c r="I85" s="4"/>
      <c r="J85" s="4"/>
      <c r="K85" s="4"/>
      <c r="L85" s="4"/>
      <c r="M85" s="4"/>
      <c r="N85" s="4"/>
      <c r="O85" s="35" t="s">
        <v>976</v>
      </c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130"/>
      <c r="AG85" s="86">
        <v>15</v>
      </c>
      <c r="AH85" s="2081">
        <f>IF('GENERAL INFO'!K10="X","",SUM(AH78:AR83))</f>
        <v>0</v>
      </c>
      <c r="AI85" s="2082"/>
      <c r="AJ85" s="2082"/>
      <c r="AK85" s="2082"/>
      <c r="AL85" s="2082"/>
      <c r="AM85" s="2082"/>
      <c r="AN85" s="2082"/>
      <c r="AO85" s="2082"/>
      <c r="AP85" s="2082"/>
      <c r="AQ85" s="2082"/>
      <c r="AR85" s="325"/>
      <c r="AS85" s="11"/>
    </row>
    <row r="86" spans="2:45" s="11" customFormat="1" ht="9" customHeight="1">
      <c r="B86" s="2126"/>
      <c r="C86" s="2127"/>
      <c r="D86" s="2128"/>
      <c r="E86" s="43"/>
      <c r="F86" s="4"/>
      <c r="G86" s="4"/>
      <c r="H86" s="4"/>
      <c r="I86" s="4"/>
      <c r="J86" s="4"/>
      <c r="K86" s="4"/>
      <c r="L86" s="4"/>
      <c r="M86" s="1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2109"/>
      <c r="AH86" s="2083"/>
      <c r="AI86" s="2084"/>
      <c r="AJ86" s="2084"/>
      <c r="AK86" s="2084"/>
      <c r="AL86" s="2084"/>
      <c r="AM86" s="2084"/>
      <c r="AN86" s="2084"/>
      <c r="AO86" s="2084"/>
      <c r="AP86" s="2084"/>
      <c r="AQ86" s="2084"/>
      <c r="AR86" s="335"/>
      <c r="AS86" s="11"/>
    </row>
    <row r="87" spans="2:45" s="11" customFormat="1" ht="4" customHeight="1">
      <c r="B87" s="2129"/>
      <c r="C87" s="2130"/>
      <c r="D87" s="2131"/>
      <c r="E87" s="138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14"/>
      <c r="AH87" s="379"/>
      <c r="AI87" s="379"/>
      <c r="AJ87" s="379"/>
      <c r="AK87" s="379"/>
      <c r="AL87" s="379"/>
      <c r="AM87" s="379"/>
      <c r="AN87" s="379"/>
      <c r="AO87" s="379"/>
      <c r="AP87" s="379"/>
      <c r="AQ87" s="379"/>
      <c r="AR87" s="268"/>
      <c r="AS87" s="11"/>
    </row>
    <row r="88" spans="2:44" s="11" customFormat="1" ht="3" customHeight="1">
      <c r="B88" s="2099" t="s">
        <v>203</v>
      </c>
      <c r="C88" s="2100"/>
      <c r="D88" s="210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380"/>
      <c r="AI88" s="380"/>
      <c r="AJ88" s="380"/>
      <c r="AK88" s="380"/>
      <c r="AL88" s="380"/>
      <c r="AM88" s="380"/>
      <c r="AN88" s="380"/>
      <c r="AO88" s="380"/>
      <c r="AP88" s="380"/>
      <c r="AQ88" s="380"/>
      <c r="AR88" s="269"/>
    </row>
    <row r="89" spans="2:45" s="11" customFormat="1" ht="4" customHeight="1">
      <c r="B89" s="2102"/>
      <c r="C89" s="2103"/>
      <c r="D89" s="2104"/>
      <c r="E89" s="5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6"/>
      <c r="R89" s="11"/>
      <c r="S89" s="11"/>
      <c r="T89" s="11"/>
      <c r="U89" s="11"/>
      <c r="V89" s="11"/>
      <c r="W89" s="11"/>
      <c r="X89" s="48" t="s">
        <v>270</v>
      </c>
      <c r="Y89" s="48"/>
      <c r="Z89" s="48"/>
      <c r="AA89" s="48"/>
      <c r="AB89" s="48"/>
      <c r="AC89" s="48"/>
      <c r="AD89" s="48"/>
      <c r="AE89" s="48"/>
      <c r="AF89" s="11"/>
      <c r="AG89" s="7"/>
      <c r="AH89" s="378"/>
      <c r="AI89" s="378"/>
      <c r="AJ89" s="378"/>
      <c r="AK89" s="378"/>
      <c r="AL89" s="378"/>
      <c r="AM89" s="378"/>
      <c r="AN89" s="378"/>
      <c r="AO89" s="378"/>
      <c r="AP89" s="378"/>
      <c r="AQ89" s="378"/>
      <c r="AR89" s="266"/>
      <c r="AS89" s="11"/>
    </row>
    <row r="90" spans="2:45" s="11" customFormat="1" ht="3" customHeight="1">
      <c r="B90" s="2102"/>
      <c r="C90" s="2103"/>
      <c r="D90" s="2104"/>
      <c r="E90" s="32"/>
      <c r="F90" s="34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1"/>
      <c r="S90" s="11"/>
      <c r="T90" s="11"/>
      <c r="U90" s="11"/>
      <c r="V90" s="11"/>
      <c r="W90" s="11"/>
      <c r="X90" s="48"/>
      <c r="Y90" s="48"/>
      <c r="Z90" s="48"/>
      <c r="AA90" s="48"/>
      <c r="AB90" s="48"/>
      <c r="AC90" s="48"/>
      <c r="AD90" s="48"/>
      <c r="AE90" s="48"/>
      <c r="AF90" s="11"/>
      <c r="AG90" s="7"/>
      <c r="AH90" s="378"/>
      <c r="AI90" s="378"/>
      <c r="AJ90" s="378"/>
      <c r="AK90" s="378"/>
      <c r="AL90" s="378"/>
      <c r="AM90" s="378"/>
      <c r="AN90" s="378"/>
      <c r="AO90" s="378"/>
      <c r="AP90" s="378"/>
      <c r="AQ90" s="378"/>
      <c r="AR90" s="266"/>
      <c r="AS90" s="11"/>
    </row>
    <row r="91" spans="2:45" s="11" customFormat="1" ht="7" customHeight="1">
      <c r="B91" s="2102"/>
      <c r="C91" s="2103"/>
      <c r="D91" s="2104"/>
      <c r="E91" s="32"/>
      <c r="F91" s="3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1"/>
      <c r="S91" s="11"/>
      <c r="T91" s="11"/>
      <c r="U91" s="11"/>
      <c r="V91" s="11"/>
      <c r="W91" s="11"/>
      <c r="X91" s="48"/>
      <c r="Y91" s="48"/>
      <c r="Z91" s="48"/>
      <c r="AA91" s="48"/>
      <c r="AB91" s="48"/>
      <c r="AC91" s="48"/>
      <c r="AD91" s="48"/>
      <c r="AE91" s="48"/>
      <c r="AF91" s="11"/>
      <c r="AG91" s="7"/>
      <c r="AH91" s="378"/>
      <c r="AI91" s="378"/>
      <c r="AJ91" s="378"/>
      <c r="AK91" s="378"/>
      <c r="AL91" s="378"/>
      <c r="AM91" s="378"/>
      <c r="AN91" s="378"/>
      <c r="AO91" s="378"/>
      <c r="AP91" s="378"/>
      <c r="AQ91" s="378"/>
      <c r="AR91" s="266"/>
      <c r="AS91" s="11"/>
    </row>
    <row r="92" spans="2:45" s="11" customFormat="1" ht="15" customHeight="1">
      <c r="B92" s="2102"/>
      <c r="C92" s="2103"/>
      <c r="D92" s="2104"/>
      <c r="E92" s="43" t="s">
        <v>638</v>
      </c>
      <c r="F92" s="298" t="e">
        <f>IF('GENERAL INFO'!K10="X","",IF(AH92="NIL  ","",IF(AH92&gt;0,"X","")))</f>
        <v>#DIV/0!</v>
      </c>
      <c r="G92" s="11"/>
      <c r="H92" s="46" t="s">
        <v>204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11"/>
      <c r="U92" s="36" t="s">
        <v>112</v>
      </c>
      <c r="V92" s="36"/>
      <c r="W92" s="4"/>
      <c r="X92" s="1379" t="str">
        <f>'GENERAL INFO'!F36</f>
        <v> </v>
      </c>
      <c r="Y92" s="1378" t="str">
        <f>'GENERAL INFO'!G36</f>
        <v> </v>
      </c>
      <c r="Z92" s="331"/>
      <c r="AA92" s="1379" t="str">
        <f>'GENERAL INFO'!H36</f>
        <v> </v>
      </c>
      <c r="AB92" s="1378" t="str">
        <f>'GENERAL INFO'!I36</f>
        <v> </v>
      </c>
      <c r="AC92" s="331"/>
      <c r="AD92" s="1379" t="str">
        <f>'GENERAL INFO'!J36</f>
        <v> </v>
      </c>
      <c r="AE92" s="1378" t="str">
        <f>'GENERAL INFO'!K36</f>
        <v> </v>
      </c>
      <c r="AF92" s="4"/>
      <c r="AG92" s="86">
        <v>16</v>
      </c>
      <c r="AH92" s="2081" t="e">
        <f>IF('GENERAL INFO'!K10="X","",IF((AH73-AH85=0),"NIL",AH73-AH85))</f>
        <v>#DIV/0!</v>
      </c>
      <c r="AI92" s="2082"/>
      <c r="AJ92" s="2082"/>
      <c r="AK92" s="2082"/>
      <c r="AL92" s="2082"/>
      <c r="AM92" s="2082"/>
      <c r="AN92" s="2082"/>
      <c r="AO92" s="2082"/>
      <c r="AP92" s="2082"/>
      <c r="AQ92" s="2082"/>
      <c r="AR92" s="325"/>
      <c r="AS92" s="11"/>
    </row>
    <row r="93" spans="2:44" s="11" customFormat="1" ht="3" customHeight="1">
      <c r="B93" s="2102"/>
      <c r="C93" s="2103"/>
      <c r="D93" s="2104"/>
      <c r="E93" s="43"/>
      <c r="F93" s="377"/>
      <c r="H93" s="114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U93" s="36"/>
      <c r="V93" s="36"/>
      <c r="W93" s="4"/>
      <c r="X93" s="2108" t="s">
        <v>206</v>
      </c>
      <c r="Y93" s="2108"/>
      <c r="Z93" s="46"/>
      <c r="AA93" s="2108" t="s">
        <v>207</v>
      </c>
      <c r="AB93" s="2108"/>
      <c r="AC93" s="46"/>
      <c r="AD93" s="2108" t="s">
        <v>208</v>
      </c>
      <c r="AE93" s="2108"/>
      <c r="AF93" s="4"/>
      <c r="AG93" s="2147"/>
      <c r="AH93" s="2145"/>
      <c r="AI93" s="2146"/>
      <c r="AJ93" s="2146"/>
      <c r="AK93" s="2146"/>
      <c r="AL93" s="2146"/>
      <c r="AM93" s="2146"/>
      <c r="AN93" s="2146"/>
      <c r="AO93" s="2146"/>
      <c r="AP93" s="2146"/>
      <c r="AQ93" s="2146"/>
      <c r="AR93" s="300"/>
    </row>
    <row r="94" spans="2:45" s="11" customFormat="1" ht="15" customHeight="1">
      <c r="B94" s="2102"/>
      <c r="C94" s="2103"/>
      <c r="D94" s="2104"/>
      <c r="E94" s="43"/>
      <c r="F94" s="298" t="e">
        <f>IF('GENERAL INFO'!K10="X","",IF(AH92="NIL  ","",IF(AH92&lt;0,"X","")))</f>
        <v>#DIV/0!</v>
      </c>
      <c r="G94" s="11"/>
      <c r="H94" s="46" t="s">
        <v>205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11"/>
      <c r="U94" s="36"/>
      <c r="V94" s="36"/>
      <c r="W94" s="4"/>
      <c r="X94" s="2108"/>
      <c r="Y94" s="2108"/>
      <c r="Z94" s="46"/>
      <c r="AA94" s="2108"/>
      <c r="AB94" s="2108"/>
      <c r="AC94" s="46"/>
      <c r="AD94" s="2108"/>
      <c r="AE94" s="2108"/>
      <c r="AF94" s="4"/>
      <c r="AG94" s="2109"/>
      <c r="AH94" s="2083"/>
      <c r="AI94" s="2084"/>
      <c r="AJ94" s="2084"/>
      <c r="AK94" s="2084"/>
      <c r="AL94" s="2084"/>
      <c r="AM94" s="2084"/>
      <c r="AN94" s="2084"/>
      <c r="AO94" s="2084"/>
      <c r="AP94" s="2084"/>
      <c r="AQ94" s="2084"/>
      <c r="AR94" s="335"/>
      <c r="AS94" s="11"/>
    </row>
    <row r="95" spans="2:45" s="11" customFormat="1" ht="10" customHeight="1">
      <c r="B95" s="2102"/>
      <c r="C95" s="2103"/>
      <c r="D95" s="2104"/>
      <c r="E95" s="43"/>
      <c r="F95" s="4"/>
      <c r="G95" s="2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6"/>
      <c r="T95" s="36"/>
      <c r="U95" s="46"/>
      <c r="V95" s="4"/>
      <c r="W95" s="4"/>
      <c r="X95" s="59"/>
      <c r="Y95" s="59"/>
      <c r="Z95" s="4"/>
      <c r="AA95" s="59"/>
      <c r="AB95" s="59"/>
      <c r="AC95" s="4"/>
      <c r="AD95" s="59"/>
      <c r="AE95" s="59"/>
      <c r="AF95" s="4"/>
      <c r="AG95" s="36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266"/>
      <c r="AS95" s="11"/>
    </row>
    <row r="96" spans="2:45" s="11" customFormat="1" ht="12" customHeight="1">
      <c r="B96" s="2102"/>
      <c r="C96" s="2103"/>
      <c r="D96" s="2104"/>
      <c r="E96" s="43" t="s">
        <v>639</v>
      </c>
      <c r="F96" s="618" t="s">
        <v>683</v>
      </c>
      <c r="G96" s="618"/>
      <c r="H96" s="618"/>
      <c r="I96" s="618"/>
      <c r="J96" s="618"/>
      <c r="K96" s="618"/>
      <c r="L96" s="618"/>
      <c r="M96" s="618"/>
      <c r="N96" s="618"/>
      <c r="O96" s="618"/>
      <c r="P96" s="618"/>
      <c r="Q96" s="618"/>
      <c r="R96" s="618"/>
      <c r="S96" s="618"/>
      <c r="T96" s="618"/>
      <c r="U96" s="618"/>
      <c r="V96" s="618"/>
      <c r="W96" s="618"/>
      <c r="X96" s="618"/>
      <c r="Y96" s="618"/>
      <c r="Z96" s="618"/>
      <c r="AL96" s="40"/>
      <c r="AM96" s="40"/>
      <c r="AN96" s="40"/>
      <c r="AO96" s="40"/>
      <c r="AP96" s="40"/>
      <c r="AQ96" s="40"/>
      <c r="AR96" s="266"/>
      <c r="AS96" s="11"/>
    </row>
    <row r="97" spans="2:45" s="11" customFormat="1" ht="15" customHeight="1">
      <c r="B97" s="2102"/>
      <c r="C97" s="2103"/>
      <c r="D97" s="2104"/>
      <c r="E97" s="43"/>
      <c r="F97" s="36" t="s">
        <v>6</v>
      </c>
      <c r="G97" s="270" t="str">
        <f>'GENERAL INFO'!F38</f>
        <v> </v>
      </c>
      <c r="H97" s="46" t="s">
        <v>209</v>
      </c>
      <c r="I97" s="4"/>
      <c r="J97" s="4"/>
      <c r="K97" s="59"/>
      <c r="L97" s="59"/>
      <c r="M97" s="4"/>
      <c r="N97" s="59"/>
      <c r="O97" s="59"/>
      <c r="P97" s="4"/>
      <c r="Q97" s="59"/>
      <c r="R97" s="59"/>
      <c r="S97" s="36" t="s">
        <v>8</v>
      </c>
      <c r="T97" s="270" t="str">
        <f>'GENERAL INFO'!O38</f>
        <v> </v>
      </c>
      <c r="U97" s="46" t="s">
        <v>642</v>
      </c>
      <c r="X97" s="40"/>
      <c r="Y97" s="4"/>
      <c r="Z97" s="36"/>
      <c r="AA97" s="414"/>
      <c r="AB97" s="46"/>
      <c r="AC97" s="40"/>
      <c r="AD97" s="40"/>
      <c r="AE97" s="40"/>
      <c r="AF97" s="40"/>
      <c r="AG97" s="40"/>
      <c r="AH97" s="40"/>
      <c r="AI97" s="40"/>
      <c r="AQ97" s="40"/>
      <c r="AR97" s="266"/>
      <c r="AS97" s="11"/>
    </row>
    <row r="98" spans="2:45" s="11" customFormat="1" ht="4.5" customHeight="1">
      <c r="B98" s="2102"/>
      <c r="C98" s="2103"/>
      <c r="D98" s="2104"/>
      <c r="E98" s="43"/>
      <c r="F98" s="4"/>
      <c r="G98" s="46"/>
      <c r="H98" s="4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6"/>
      <c r="U98" s="46"/>
      <c r="X98" s="40"/>
      <c r="Y98" s="4"/>
      <c r="Z98" s="4"/>
      <c r="AA98" s="46"/>
      <c r="AB98" s="46"/>
      <c r="AC98" s="40"/>
      <c r="AD98" s="40"/>
      <c r="AE98" s="40"/>
      <c r="AF98" s="40"/>
      <c r="AG98" s="40"/>
      <c r="AH98" s="40"/>
      <c r="AI98" s="40"/>
      <c r="AQ98" s="40"/>
      <c r="AR98" s="266"/>
      <c r="AS98" s="11"/>
    </row>
    <row r="99" spans="2:45" s="11" customFormat="1" ht="15" customHeight="1">
      <c r="B99" s="2102"/>
      <c r="C99" s="2103"/>
      <c r="D99" s="2104"/>
      <c r="E99" s="43"/>
      <c r="F99" s="43" t="s">
        <v>7</v>
      </c>
      <c r="G99" s="623" t="str">
        <f>'GENERAL INFO'!F40</f>
        <v> </v>
      </c>
      <c r="H99" s="126" t="s">
        <v>820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3" t="s">
        <v>140</v>
      </c>
      <c r="T99" s="270" t="str">
        <f>'GENERAL INFO'!O40</f>
        <v> </v>
      </c>
      <c r="U99" s="126" t="s">
        <v>643</v>
      </c>
      <c r="X99" s="40"/>
      <c r="Y99" s="4"/>
      <c r="Z99" s="43"/>
      <c r="AA99" s="414"/>
      <c r="AB99" s="46"/>
      <c r="AC99" s="40"/>
      <c r="AD99" s="40"/>
      <c r="AE99" s="40"/>
      <c r="AF99" s="40"/>
      <c r="AG99" s="40"/>
      <c r="AH99" s="40"/>
      <c r="AI99" s="40"/>
      <c r="AQ99" s="40"/>
      <c r="AR99" s="266"/>
      <c r="AS99" s="11"/>
    </row>
    <row r="100" spans="2:45" s="11" customFormat="1" ht="15.75" customHeight="1">
      <c r="B100" s="2102"/>
      <c r="C100" s="2103"/>
      <c r="D100" s="2104"/>
      <c r="E100" s="43"/>
      <c r="F100" s="401"/>
      <c r="G100" s="401"/>
      <c r="H100" s="618"/>
      <c r="I100" s="618"/>
      <c r="J100" s="618"/>
      <c r="K100" s="618"/>
      <c r="L100" s="618"/>
      <c r="M100" s="618"/>
      <c r="N100" s="618"/>
      <c r="O100" s="618"/>
      <c r="AC100" s="40"/>
      <c r="AD100" s="40"/>
      <c r="AE100" s="40"/>
      <c r="AF100" s="40"/>
      <c r="AG100" s="40"/>
      <c r="AH100" s="40"/>
      <c r="AI100" s="40"/>
      <c r="AQ100" s="40"/>
      <c r="AR100" s="266"/>
      <c r="AS100" s="11"/>
    </row>
    <row r="101" spans="2:45" s="11" customFormat="1" ht="6" customHeight="1">
      <c r="B101" s="2105"/>
      <c r="C101" s="2106"/>
      <c r="D101" s="2107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5"/>
      <c r="V101" s="144"/>
      <c r="W101" s="144"/>
      <c r="X101" s="144"/>
      <c r="Y101" s="144"/>
      <c r="Z101" s="144"/>
      <c r="AA101" s="144"/>
      <c r="AB101" s="144"/>
      <c r="AC101" s="144"/>
      <c r="AD101" s="145"/>
      <c r="AE101" s="136"/>
      <c r="AF101" s="136"/>
      <c r="AG101" s="146"/>
      <c r="AH101" s="336"/>
      <c r="AI101" s="336"/>
      <c r="AJ101" s="336"/>
      <c r="AK101" s="336"/>
      <c r="AL101" s="336"/>
      <c r="AM101" s="336"/>
      <c r="AN101" s="336"/>
      <c r="AO101" s="336"/>
      <c r="AP101" s="336"/>
      <c r="AQ101" s="336"/>
      <c r="AR101" s="268"/>
      <c r="AS101" s="11"/>
    </row>
    <row r="102" spans="2:45" s="11" customFormat="1" ht="15" customHeight="1">
      <c r="B102" s="2099" t="s">
        <v>686</v>
      </c>
      <c r="C102" s="2100"/>
      <c r="D102" s="2101"/>
      <c r="E102" s="140"/>
      <c r="F102" s="141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8"/>
      <c r="AH102" s="337"/>
      <c r="AI102" s="337"/>
      <c r="AJ102" s="337"/>
      <c r="AK102" s="337"/>
      <c r="AL102" s="337"/>
      <c r="AM102" s="337"/>
      <c r="AN102" s="337"/>
      <c r="AO102" s="337"/>
      <c r="AP102" s="337"/>
      <c r="AQ102" s="337"/>
      <c r="AR102" s="269"/>
      <c r="AS102" s="11"/>
    </row>
    <row r="103" spans="2:45" s="11" customFormat="1" ht="21" customHeight="1">
      <c r="B103" s="2102"/>
      <c r="C103" s="2103"/>
      <c r="D103" s="2104"/>
      <c r="E103" s="43" t="s">
        <v>640</v>
      </c>
      <c r="F103" s="4" t="s">
        <v>577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2" t="s">
        <v>977</v>
      </c>
      <c r="X103" s="12"/>
      <c r="Y103" s="12"/>
      <c r="Z103" s="12"/>
      <c r="AA103" s="12"/>
      <c r="AB103" s="12"/>
      <c r="AC103" s="12"/>
      <c r="AD103" s="12"/>
      <c r="AE103" s="12"/>
      <c r="AF103" s="67"/>
      <c r="AG103" s="86">
        <v>18</v>
      </c>
      <c r="AH103" s="2081" t="e">
        <f>IF('GENERAL INFO'!K10="X","",IF('Attachment'!X127&gt;1,ROUNDUP('Attachment'!X127,-3),0))</f>
        <v>#VALUE!</v>
      </c>
      <c r="AI103" s="2082"/>
      <c r="AJ103" s="2082"/>
      <c r="AK103" s="2082"/>
      <c r="AL103" s="2082"/>
      <c r="AM103" s="2082"/>
      <c r="AN103" s="2082"/>
      <c r="AO103" s="2082"/>
      <c r="AP103" s="2082"/>
      <c r="AQ103" s="2082"/>
      <c r="AR103" s="325"/>
      <c r="AS103" s="11"/>
    </row>
    <row r="104" spans="2:45" s="11" customFormat="1" ht="2.25" customHeight="1">
      <c r="B104" s="2102"/>
      <c r="C104" s="2103"/>
      <c r="D104" s="2104"/>
      <c r="E104" s="17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2109"/>
      <c r="AH104" s="2083"/>
      <c r="AI104" s="2084"/>
      <c r="AJ104" s="2084"/>
      <c r="AK104" s="2084"/>
      <c r="AL104" s="2084"/>
      <c r="AM104" s="2084"/>
      <c r="AN104" s="2084"/>
      <c r="AO104" s="2084"/>
      <c r="AP104" s="2084"/>
      <c r="AQ104" s="2084"/>
      <c r="AR104" s="335"/>
      <c r="AS104" s="11"/>
    </row>
    <row r="105" spans="2:45" s="11" customFormat="1" ht="12" customHeight="1">
      <c r="B105" s="2102"/>
      <c r="C105" s="2103"/>
      <c r="D105" s="2104"/>
      <c r="E105" s="43"/>
      <c r="F105" s="24" t="s">
        <v>210</v>
      </c>
      <c r="G105" s="44"/>
      <c r="H105" s="44"/>
      <c r="I105" s="44"/>
      <c r="J105" s="44"/>
      <c r="K105" s="415"/>
      <c r="L105" s="24"/>
      <c r="M105" s="24"/>
      <c r="N105" s="24"/>
      <c r="O105" s="416"/>
      <c r="P105" s="416"/>
      <c r="Q105" s="416"/>
      <c r="R105" s="416"/>
      <c r="S105" s="416"/>
      <c r="T105" s="416"/>
      <c r="U105" s="16"/>
      <c r="V105" s="16"/>
      <c r="W105" s="16"/>
      <c r="X105" s="16"/>
      <c r="Y105" s="16"/>
      <c r="Z105" s="16"/>
      <c r="AA105" s="11"/>
      <c r="AB105" s="11"/>
      <c r="AC105" s="11"/>
      <c r="AD105" s="11"/>
      <c r="AE105" s="11"/>
      <c r="AF105" s="11"/>
      <c r="AG105" s="48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30"/>
      <c r="AS105" s="11"/>
    </row>
    <row r="106" spans="2:45" s="11" customFormat="1" ht="12" customHeight="1">
      <c r="B106" s="2102"/>
      <c r="C106" s="2103"/>
      <c r="D106" s="2104"/>
      <c r="E106" s="43"/>
      <c r="F106" s="43" t="s">
        <v>6</v>
      </c>
      <c r="G106" s="298" t="e">
        <f>IF('GENERAL INFO'!K10="X","",IF((AH73=0),"X",IF(AND('OVERSEAS INCOME'!irregularincome=0,ISBLANK(dateofdeparture)=True,(dateofdeparture-taxyearend)&lt;0,ISBLANK('GENERAL INFO'!$W$55),WORKPERIOD=12),"X","")))</f>
        <v>#DIV/0!</v>
      </c>
      <c r="H106" s="46" t="s">
        <v>685</v>
      </c>
      <c r="I106" s="4"/>
      <c r="J106" s="4"/>
      <c r="K106" s="4"/>
      <c r="L106" s="4"/>
      <c r="M106" s="4"/>
      <c r="N106" s="4"/>
      <c r="O106" s="4"/>
      <c r="P106" s="16"/>
      <c r="Q106" s="16"/>
      <c r="R106" s="16"/>
      <c r="S106" s="16"/>
      <c r="T106" s="16"/>
      <c r="U106" s="16"/>
      <c r="V106" s="16"/>
      <c r="X106" s="81"/>
      <c r="Z106" s="81"/>
      <c r="AA106" s="81"/>
      <c r="AB106" s="81"/>
      <c r="AD106" s="81"/>
      <c r="AE106" s="81"/>
      <c r="AF106" s="81"/>
      <c r="AG106" s="81"/>
      <c r="AH106" s="621"/>
      <c r="AI106" s="621"/>
      <c r="AJ106" s="621"/>
      <c r="AK106" s="621"/>
      <c r="AL106" s="621"/>
      <c r="AM106" s="621"/>
      <c r="AR106" s="130"/>
      <c r="AS106" s="11"/>
    </row>
    <row r="107" spans="2:45" s="11" customFormat="1" ht="3" customHeight="1">
      <c r="B107" s="2102"/>
      <c r="C107" s="2103"/>
      <c r="D107" s="2104"/>
      <c r="E107" s="51"/>
      <c r="F107" s="89"/>
      <c r="G107" s="89"/>
      <c r="H107" s="104"/>
      <c r="I107" s="52"/>
      <c r="J107" s="52"/>
      <c r="K107" s="5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8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30"/>
      <c r="AS107" s="11"/>
    </row>
    <row r="108" spans="2:44" s="11" customFormat="1" ht="12" customHeight="1">
      <c r="B108" s="2102"/>
      <c r="C108" s="2103"/>
      <c r="D108" s="2104"/>
      <c r="E108" s="11"/>
      <c r="F108" s="43" t="s">
        <v>7</v>
      </c>
      <c r="G108" s="298" t="e">
        <f>IF('GENERAL INFO'!K10="X","",IF(G106="X","","X"))</f>
        <v>#DIV/0!</v>
      </c>
      <c r="H108" s="46" t="s">
        <v>211</v>
      </c>
      <c r="I108" s="5"/>
      <c r="J108" s="5"/>
      <c r="K108" s="5"/>
      <c r="L108" s="5"/>
      <c r="M108" s="5"/>
      <c r="N108" s="5"/>
      <c r="O108" s="5"/>
      <c r="P108" s="5"/>
      <c r="Q108" s="5"/>
      <c r="R108" s="11"/>
      <c r="S108" s="11"/>
      <c r="T108" s="11"/>
      <c r="U108" s="11"/>
      <c r="V108" s="81"/>
      <c r="W108" s="11"/>
      <c r="X108" s="11"/>
      <c r="Y108" s="11"/>
      <c r="Z108" s="11"/>
      <c r="AA108" s="11"/>
      <c r="AB108" s="11"/>
      <c r="AC108" s="11"/>
      <c r="AD108" s="11"/>
      <c r="AE108" s="5"/>
      <c r="AF108" s="5"/>
      <c r="AG108" s="2123"/>
      <c r="AH108" s="2123"/>
      <c r="AI108" s="2123"/>
      <c r="AJ108" s="2123"/>
      <c r="AK108" s="2123"/>
      <c r="AL108" s="11"/>
      <c r="AM108" s="4"/>
      <c r="AN108" s="4"/>
      <c r="AO108" s="11"/>
      <c r="AP108" s="11"/>
      <c r="AQ108" s="11"/>
      <c r="AR108" s="130"/>
    </row>
    <row r="109" spans="2:44" s="11" customFormat="1" ht="4" customHeight="1">
      <c r="B109" s="2105"/>
      <c r="C109" s="2106"/>
      <c r="D109" s="2107"/>
      <c r="E109" s="138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136"/>
      <c r="AQ109" s="136"/>
      <c r="AR109" s="137"/>
    </row>
    <row r="110" spans="2:44" s="11" customFormat="1" ht="3" customHeight="1">
      <c r="B110" s="2113" t="s">
        <v>212</v>
      </c>
      <c r="C110" s="2114"/>
      <c r="D110" s="2115"/>
      <c r="E110" s="140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1"/>
      <c r="AQ110" s="141"/>
      <c r="AR110" s="143"/>
    </row>
    <row r="111" spans="2:51" s="11" customFormat="1" ht="19.5" customHeight="1">
      <c r="B111" s="2116"/>
      <c r="C111" s="2117"/>
      <c r="D111" s="2118"/>
      <c r="E111" s="43" t="s">
        <v>6</v>
      </c>
      <c r="F111" s="298" t="str">
        <f>IF('GENERAL INFO'!F43&lt;&gt;"", 'GENERAL INFO'!F43,"")</f>
        <v/>
      </c>
      <c r="G111" s="46" t="s">
        <v>268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1"/>
      <c r="Y111" s="11"/>
      <c r="Z111" s="43" t="s">
        <v>140</v>
      </c>
      <c r="AA111" s="298" t="str">
        <f>IF('GENERAL INFO'!F49&lt;&gt;"", 'GENERAL INFO'!F49,"")</f>
        <v> </v>
      </c>
      <c r="AB111" s="618" t="s">
        <v>687</v>
      </c>
      <c r="AC111" s="618"/>
      <c r="AD111" s="618"/>
      <c r="AE111" s="618"/>
      <c r="AF111" s="618"/>
      <c r="AG111" s="618"/>
      <c r="AH111" s="618"/>
      <c r="AI111" s="618"/>
      <c r="AJ111" s="618"/>
      <c r="AK111" s="618"/>
      <c r="AL111" s="618"/>
      <c r="AM111" s="618"/>
      <c r="AN111" s="618"/>
      <c r="AO111" s="618"/>
      <c r="AP111" s="618"/>
      <c r="AQ111" s="618"/>
      <c r="AR111" s="2122"/>
      <c r="AY111" s="11"/>
    </row>
    <row r="112" spans="2:51" s="11" customFormat="1" ht="2.15" customHeight="1">
      <c r="B112" s="2116"/>
      <c r="C112" s="2117"/>
      <c r="D112" s="2118"/>
      <c r="E112" s="43"/>
      <c r="F112" s="89"/>
      <c r="G112" s="4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1"/>
      <c r="Y112" s="11"/>
      <c r="Z112" s="43"/>
      <c r="AA112" s="89"/>
      <c r="AB112" s="618"/>
      <c r="AC112" s="618"/>
      <c r="AD112" s="618"/>
      <c r="AE112" s="618"/>
      <c r="AF112" s="618"/>
      <c r="AG112" s="618"/>
      <c r="AH112" s="618"/>
      <c r="AI112" s="618"/>
      <c r="AJ112" s="618"/>
      <c r="AK112" s="618"/>
      <c r="AL112" s="618"/>
      <c r="AM112" s="618"/>
      <c r="AN112" s="618"/>
      <c r="AO112" s="618"/>
      <c r="AP112" s="618"/>
      <c r="AQ112" s="618"/>
      <c r="AR112" s="2122"/>
      <c r="AY112" s="11"/>
    </row>
    <row r="113" spans="2:51" s="11" customFormat="1" ht="15" customHeight="1">
      <c r="B113" s="2116"/>
      <c r="C113" s="2117"/>
      <c r="D113" s="2118"/>
      <c r="E113" s="43" t="s">
        <v>7</v>
      </c>
      <c r="F113" s="298" t="str">
        <f>IF('GENERAL INFO'!F45&lt;&gt;"",'GENERAL INFO'!F45,"")</f>
        <v>x</v>
      </c>
      <c r="G113" s="46" t="s">
        <v>266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1"/>
      <c r="Y113" s="11"/>
      <c r="Z113" s="43" t="s">
        <v>141</v>
      </c>
      <c r="AA113" s="298" t="str">
        <f>IF('GENERAL INFO'!F52&lt;&gt;"", 'GENERAL INFO'!F52,"")</f>
        <v/>
      </c>
      <c r="AB113" s="618" t="str">
        <f>IF('GENERAL INFO'!AC52=0, "",'GENERAL INFO'!AC52)</f>
        <v/>
      </c>
      <c r="AC113" s="618"/>
      <c r="AD113" s="618"/>
      <c r="AE113" s="618"/>
      <c r="AF113" s="618"/>
      <c r="AG113" s="618"/>
      <c r="AH113" s="618"/>
      <c r="AI113" s="618"/>
      <c r="AJ113" s="618"/>
      <c r="AK113" s="618"/>
      <c r="AL113" s="618"/>
      <c r="AM113" s="618"/>
      <c r="AN113" s="618"/>
      <c r="AO113" s="618"/>
      <c r="AP113" s="618"/>
      <c r="AQ113" s="618"/>
      <c r="AR113" s="2122"/>
      <c r="AY113" s="11"/>
    </row>
    <row r="114" spans="2:44" s="11" customFormat="1" ht="2.15" customHeight="1">
      <c r="B114" s="2116"/>
      <c r="C114" s="2117"/>
      <c r="D114" s="2118"/>
      <c r="E114" s="43"/>
      <c r="F114" s="89"/>
      <c r="G114" s="4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1"/>
      <c r="Y114" s="11"/>
      <c r="Z114" s="43"/>
      <c r="AA114" s="11"/>
      <c r="AB114" s="618"/>
      <c r="AC114" s="618"/>
      <c r="AD114" s="618"/>
      <c r="AE114" s="618"/>
      <c r="AF114" s="618"/>
      <c r="AG114" s="618"/>
      <c r="AH114" s="618"/>
      <c r="AI114" s="618"/>
      <c r="AJ114" s="618"/>
      <c r="AK114" s="618"/>
      <c r="AL114" s="618"/>
      <c r="AM114" s="618"/>
      <c r="AN114" s="618"/>
      <c r="AO114" s="618"/>
      <c r="AP114" s="618"/>
      <c r="AQ114" s="618"/>
      <c r="AR114" s="2122"/>
    </row>
    <row r="115" spans="2:44" s="11" customFormat="1" ht="15" customHeight="1">
      <c r="B115" s="2116"/>
      <c r="C115" s="2117"/>
      <c r="D115" s="2118"/>
      <c r="E115" s="129" t="s">
        <v>8</v>
      </c>
      <c r="F115" s="298" t="str">
        <f>IF('GENERAL INFO'!F47&lt;&gt;"",'GENERAL INFO'!F47,"")</f>
        <v> </v>
      </c>
      <c r="G115" s="46" t="s">
        <v>267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6"/>
      <c r="T115" s="36"/>
      <c r="U115" s="4"/>
      <c r="V115" s="36"/>
      <c r="W115" s="36"/>
      <c r="X115" s="36"/>
      <c r="Y115" s="36"/>
      <c r="Z115" s="36"/>
      <c r="AA115" s="36"/>
      <c r="AB115" s="618" t="str">
        <f>IF('GENERAL INFO'!AC54&lt;&gt;"",'GENERAL INFO'!AC54, "")</f>
        <v/>
      </c>
      <c r="AC115" s="618"/>
      <c r="AD115" s="618"/>
      <c r="AE115" s="618"/>
      <c r="AF115" s="618"/>
      <c r="AG115" s="618"/>
      <c r="AH115" s="618"/>
      <c r="AI115" s="618"/>
      <c r="AJ115" s="618"/>
      <c r="AK115" s="618"/>
      <c r="AL115" s="618"/>
      <c r="AM115" s="618"/>
      <c r="AN115" s="618"/>
      <c r="AO115" s="618"/>
      <c r="AP115" s="618"/>
      <c r="AQ115" s="618"/>
      <c r="AR115" s="2122"/>
    </row>
    <row r="116" spans="2:44" s="11" customFormat="1" ht="3.75" customHeight="1">
      <c r="B116" s="2119"/>
      <c r="C116" s="2120"/>
      <c r="D116" s="2121"/>
      <c r="E116" s="138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2124"/>
      <c r="AC116" s="2124"/>
      <c r="AD116" s="2124"/>
      <c r="AE116" s="2124"/>
      <c r="AF116" s="2124"/>
      <c r="AG116" s="2124"/>
      <c r="AH116" s="2124"/>
      <c r="AI116" s="2124"/>
      <c r="AJ116" s="2124"/>
      <c r="AK116" s="2124"/>
      <c r="AL116" s="2124"/>
      <c r="AM116" s="2124"/>
      <c r="AN116" s="2124"/>
      <c r="AO116" s="2124"/>
      <c r="AP116" s="2124"/>
      <c r="AQ116" s="2124"/>
      <c r="AR116" s="2125"/>
    </row>
    <row r="117" spans="2:44" s="11" customFormat="1" ht="13.5" customHeight="1">
      <c r="B117" s="2110" t="s">
        <v>488</v>
      </c>
      <c r="C117" s="2111"/>
      <c r="D117" s="2111"/>
      <c r="E117" s="2111"/>
      <c r="F117" s="2111"/>
      <c r="G117" s="2111"/>
      <c r="H117" s="2111"/>
      <c r="I117" s="2111"/>
      <c r="J117" s="2111"/>
      <c r="K117" s="2111"/>
      <c r="L117" s="2111"/>
      <c r="M117" s="2111"/>
      <c r="N117" s="2111"/>
      <c r="O117" s="2111"/>
      <c r="P117" s="2111"/>
      <c r="Q117" s="2111"/>
      <c r="R117" s="2111"/>
      <c r="S117" s="2111"/>
      <c r="T117" s="2111"/>
      <c r="U117" s="2111"/>
      <c r="V117" s="2111"/>
      <c r="W117" s="2111"/>
      <c r="X117" s="2111"/>
      <c r="Y117" s="2111"/>
      <c r="Z117" s="2111"/>
      <c r="AA117" s="2111"/>
      <c r="AB117" s="2111"/>
      <c r="AC117" s="2111"/>
      <c r="AD117" s="2111"/>
      <c r="AE117" s="2111"/>
      <c r="AF117" s="2111"/>
      <c r="AG117" s="2111"/>
      <c r="AH117" s="2111"/>
      <c r="AI117" s="2111"/>
      <c r="AJ117" s="2111"/>
      <c r="AK117" s="2111"/>
      <c r="AL117" s="2111"/>
      <c r="AM117" s="2111"/>
      <c r="AN117" s="2111"/>
      <c r="AO117" s="2111"/>
      <c r="AP117" s="2111"/>
      <c r="AQ117" s="2111"/>
      <c r="AR117" s="2112"/>
    </row>
    <row r="118" spans="2:45" s="11" customFormat="1" ht="13" customHeight="1">
      <c r="B118" s="131" t="s">
        <v>269</v>
      </c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0"/>
      <c r="AB118" s="90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7"/>
      <c r="AS118" s="4"/>
    </row>
    <row r="119" spans="2:45" s="11" customFormat="1" ht="13" customHeight="1">
      <c r="B119" s="131" t="s">
        <v>582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0"/>
      <c r="AB119" s="90"/>
      <c r="AC119" s="331" t="s">
        <v>213</v>
      </c>
      <c r="AD119" s="331"/>
      <c r="AE119" s="331"/>
      <c r="AF119" s="331"/>
      <c r="AG119" s="331"/>
      <c r="AH119" s="331"/>
      <c r="AI119" s="331"/>
      <c r="AJ119" s="331"/>
      <c r="AK119" s="331"/>
      <c r="AL119" s="331"/>
      <c r="AM119" s="331"/>
      <c r="AN119" s="331"/>
      <c r="AO119" s="331"/>
      <c r="AP119" s="331"/>
      <c r="AQ119" s="331"/>
      <c r="AR119" s="67"/>
      <c r="AS119" s="4"/>
    </row>
    <row r="120" spans="2:45" s="11" customFormat="1" ht="13" customHeight="1">
      <c r="B120" s="131" t="s">
        <v>583</v>
      </c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0"/>
      <c r="AB120" s="90"/>
      <c r="AC120" s="1380"/>
      <c r="AD120" s="141"/>
      <c r="AE120" s="141"/>
      <c r="AF120" s="141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381"/>
      <c r="AR120" s="132"/>
      <c r="AS120" s="4"/>
    </row>
    <row r="121" spans="2:45" s="11" customFormat="1" ht="6.75" customHeight="1">
      <c r="B121" s="6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60"/>
      <c r="AD121" s="4"/>
      <c r="AE121" s="4"/>
      <c r="AF121" s="4"/>
      <c r="AG121" s="4"/>
      <c r="AH121" s="11"/>
      <c r="AI121" s="11"/>
      <c r="AJ121" s="11"/>
      <c r="AK121" s="11"/>
      <c r="AL121" s="4"/>
      <c r="AM121" s="4"/>
      <c r="AN121" s="4"/>
      <c r="AO121" s="4"/>
      <c r="AP121" s="4"/>
      <c r="AQ121" s="67"/>
      <c r="AR121" s="67"/>
      <c r="AS121" s="4"/>
    </row>
    <row r="122" spans="2:45" s="11" customFormat="1" ht="20.15" customHeight="1">
      <c r="B122" s="133"/>
      <c r="C122" s="270">
        <f>'GENERAL INFO'!B58</f>
        <v>0</v>
      </c>
      <c r="D122" s="46" t="s">
        <v>214</v>
      </c>
      <c r="E122" s="11"/>
      <c r="F122" s="11"/>
      <c r="G122" s="11"/>
      <c r="H122" s="11"/>
      <c r="I122" s="332"/>
      <c r="J122" s="46" t="s">
        <v>215</v>
      </c>
      <c r="K122" s="65"/>
      <c r="L122" s="65"/>
      <c r="M122" s="65"/>
      <c r="N122" s="46" t="s">
        <v>216</v>
      </c>
      <c r="O122" s="65"/>
      <c r="P122" s="11"/>
      <c r="Q122" s="11"/>
      <c r="R122" s="405"/>
      <c r="S122" s="405"/>
      <c r="T122" s="11"/>
      <c r="U122" s="405"/>
      <c r="V122" s="405"/>
      <c r="W122" s="11"/>
      <c r="X122" s="405"/>
      <c r="Y122" s="405"/>
      <c r="Z122" s="405"/>
      <c r="AA122" s="405"/>
      <c r="AB122" s="11"/>
      <c r="AC122" s="133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30"/>
      <c r="AR122" s="130"/>
      <c r="AS122" s="11"/>
    </row>
    <row r="123" spans="2:45" s="11" customFormat="1" ht="13" customHeight="1">
      <c r="B123" s="13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108" t="s">
        <v>206</v>
      </c>
      <c r="S123" s="2108"/>
      <c r="T123" s="65"/>
      <c r="U123" s="2108" t="s">
        <v>207</v>
      </c>
      <c r="V123" s="2108"/>
      <c r="W123" s="65"/>
      <c r="X123" s="2108" t="s">
        <v>208</v>
      </c>
      <c r="Y123" s="2108"/>
      <c r="Z123" s="2108"/>
      <c r="AA123" s="2108"/>
      <c r="AB123" s="11"/>
      <c r="AC123" s="1382"/>
      <c r="AD123" s="5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30"/>
      <c r="AR123" s="130"/>
      <c r="AS123" s="11"/>
    </row>
    <row r="124" spans="2:45" s="11" customFormat="1" ht="20.15" customHeight="1">
      <c r="B124" s="126" t="s">
        <v>265</v>
      </c>
      <c r="C124" s="46"/>
      <c r="D124" s="46"/>
      <c r="E124" s="46"/>
      <c r="F124" s="65"/>
      <c r="G124" s="65" t="s">
        <v>26</v>
      </c>
      <c r="H124" s="1384">
        <f>IF($C$122="X",name,proxy01)</f>
        <v>0</v>
      </c>
      <c r="I124" s="1384"/>
      <c r="J124" s="1384"/>
      <c r="K124" s="1384"/>
      <c r="L124" s="1384"/>
      <c r="M124" s="1384"/>
      <c r="N124" s="1384"/>
      <c r="O124" s="1384"/>
      <c r="P124" s="1384"/>
      <c r="Q124" s="1384"/>
      <c r="R124" s="1384"/>
      <c r="S124" s="1384"/>
      <c r="T124" s="1384"/>
      <c r="U124" s="1384"/>
      <c r="V124" s="1384"/>
      <c r="W124" s="1384"/>
      <c r="X124" s="1384"/>
      <c r="Y124" s="1384"/>
      <c r="Z124" s="1384"/>
      <c r="AA124" s="1384"/>
      <c r="AB124" s="11"/>
      <c r="AC124" s="133"/>
      <c r="AD124" s="11"/>
      <c r="AE124" s="11"/>
      <c r="AF124" s="11"/>
      <c r="AG124" s="11"/>
      <c r="AH124" s="6"/>
      <c r="AI124" s="11"/>
      <c r="AJ124" s="11"/>
      <c r="AK124" s="11"/>
      <c r="AL124" s="11"/>
      <c r="AM124" s="11"/>
      <c r="AN124" s="11"/>
      <c r="AO124" s="11"/>
      <c r="AP124" s="11"/>
      <c r="AQ124" s="130"/>
      <c r="AR124" s="130"/>
      <c r="AS124" s="11"/>
    </row>
    <row r="125" spans="2:45" s="11" customFormat="1" ht="4" customHeight="1">
      <c r="B125" s="134"/>
      <c r="C125" s="65"/>
      <c r="D125" s="65"/>
      <c r="E125" s="65"/>
      <c r="F125" s="65"/>
      <c r="G125" s="6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11"/>
      <c r="AC125" s="133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30"/>
      <c r="AR125" s="130"/>
      <c r="AS125" s="11"/>
    </row>
    <row r="126" spans="2:45" s="11" customFormat="1" ht="20.15" customHeight="1">
      <c r="B126" s="126" t="s">
        <v>181</v>
      </c>
      <c r="C126" s="46"/>
      <c r="D126" s="46"/>
      <c r="E126" s="46"/>
      <c r="F126" s="65"/>
      <c r="G126" s="65" t="s">
        <v>26</v>
      </c>
      <c r="H126" s="1385" t="str">
        <f>IF($C$122="X",LEFT(npwp01,1),LEFT(proxyid01,1))</f>
        <v/>
      </c>
      <c r="I126" s="1385" t="str">
        <f>IF($C$122="X",MID(npwp01,2,1),MID(proxyid01,2,1))</f>
        <v/>
      </c>
      <c r="J126" s="322"/>
      <c r="K126" s="1385" t="str">
        <f>IF($C$122="X",MID(npwp01,3,1),MID(proxyid01,3,1))</f>
        <v/>
      </c>
      <c r="L126" s="1385" t="str">
        <f>IF($C$122="X",MID(npwp01,4,1),MID(proxyid01,4,1))</f>
        <v/>
      </c>
      <c r="M126" s="1385" t="str">
        <f>IF($C$122="X",MID(npwp01,5,1),MID(proxyid01,5,1))</f>
        <v/>
      </c>
      <c r="N126" s="322"/>
      <c r="O126" s="1385" t="str">
        <f>IF($C$122="X",MID(npwp01,6,1),MID(proxyid01,6,1))</f>
        <v/>
      </c>
      <c r="P126" s="1385" t="str">
        <f>IF($C$122="X",MID(npwp01,7,1),MID(proxyid01,7,1))</f>
        <v/>
      </c>
      <c r="Q126" s="1385" t="str">
        <f>IF($C$122="X",MID(npwp01,8,1),MID(proxyid01,8,1))</f>
        <v/>
      </c>
      <c r="R126" s="322"/>
      <c r="S126" s="1385" t="str">
        <f>IF($C$122="X",MID(npwp01,9,1),MID(proxyid01,9,1))</f>
        <v/>
      </c>
      <c r="T126" s="322"/>
      <c r="U126" s="1385" t="str">
        <f>IF($C$122="X",MID(npwp01,10,1),MID(proxyid01,10,1))</f>
        <v/>
      </c>
      <c r="V126" s="1385" t="str">
        <f>IF($C$122="X",MID(npwp01,11,1),MID(proxyid01,11,1))</f>
        <v/>
      </c>
      <c r="W126" s="1385" t="str">
        <f>IF($C$122="X",MID(npwp01,12,1),MID(proxyid01,12,1))</f>
        <v/>
      </c>
      <c r="X126" s="322"/>
      <c r="Y126" s="1385" t="str">
        <f>IF($C$122="X",MID(npwp01,13,1),MID(proxyid01,13,1))</f>
        <v/>
      </c>
      <c r="Z126" s="1385" t="str">
        <f>IF($C$122="X",MID(npwp01,14,1),MID(proxyid01,14,1))</f>
        <v/>
      </c>
      <c r="AA126" s="1385" t="str">
        <f>IF($C$122="X",MID(npwp01,15,1),MID(proxyid01,15,1))</f>
        <v/>
      </c>
      <c r="AB126" s="11"/>
      <c r="AC126" s="1383"/>
      <c r="AD126" s="136"/>
      <c r="AE126" s="136"/>
      <c r="AF126" s="136"/>
      <c r="AG126" s="136"/>
      <c r="AH126" s="136"/>
      <c r="AI126" s="136"/>
      <c r="AJ126" s="136"/>
      <c r="AK126" s="136"/>
      <c r="AL126" s="136"/>
      <c r="AM126" s="136"/>
      <c r="AN126" s="136"/>
      <c r="AO126" s="136"/>
      <c r="AP126" s="136"/>
      <c r="AQ126" s="137"/>
      <c r="AR126" s="130"/>
      <c r="AS126" s="11"/>
    </row>
    <row r="127" spans="2:45" s="11" customFormat="1" ht="15" customHeight="1">
      <c r="B127" s="135"/>
      <c r="C127" s="45"/>
      <c r="D127" s="45"/>
      <c r="E127" s="45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/>
      <c r="AD127" s="136"/>
      <c r="AE127" s="136"/>
      <c r="AF127" s="136"/>
      <c r="AG127" s="136"/>
      <c r="AH127" s="136"/>
      <c r="AI127" s="136"/>
      <c r="AJ127" s="136"/>
      <c r="AK127" s="136"/>
      <c r="AL127" s="136"/>
      <c r="AM127" s="136"/>
      <c r="AN127" s="136"/>
      <c r="AO127" s="136"/>
      <c r="AP127" s="136"/>
      <c r="AQ127" s="136"/>
      <c r="AR127" s="137"/>
      <c r="AS127" s="11"/>
    </row>
    <row r="128" spans="2:45" s="11" customFormat="1" ht="9.75" customHeight="1">
      <c r="B128" s="37" t="s">
        <v>87</v>
      </c>
      <c r="C128" s="37"/>
      <c r="D128" s="37"/>
      <c r="E128" s="4"/>
      <c r="H128" s="11"/>
      <c r="I128" s="11"/>
      <c r="K128" s="11"/>
      <c r="L128" s="11"/>
      <c r="M128" s="11"/>
      <c r="O128" s="11"/>
      <c r="P128" s="11"/>
      <c r="Q128" s="11"/>
      <c r="S128" s="11"/>
      <c r="U128" s="11"/>
      <c r="V128" s="11"/>
      <c r="W128" s="11"/>
      <c r="Y128" s="11"/>
      <c r="Z128" s="11"/>
      <c r="AA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2:45" s="11" customFormat="1" ht="10" customHeight="1">
      <c r="B129" s="20"/>
      <c r="C129" s="11"/>
      <c r="D129" s="11"/>
      <c r="E129" s="11"/>
      <c r="F129" s="11"/>
      <c r="AS129" s="18"/>
    </row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</sheetData>
  <sheetProtection password="BDAF" sheet="1" objects="1" scenarios="1" selectLockedCells="1" selectUnlockedCells="1"/>
  <mergeCells count="93">
    <mergeCell ref="U73:V75"/>
    <mergeCell ref="D24:AR25"/>
    <mergeCell ref="O33:AE33"/>
    <mergeCell ref="T30:AE30"/>
    <mergeCell ref="V45:AE45"/>
    <mergeCell ref="O53:AE53"/>
    <mergeCell ref="Y58:AE58"/>
    <mergeCell ref="AH50:AQ51"/>
    <mergeCell ref="AH61:AQ62"/>
    <mergeCell ref="AG39:AG40"/>
    <mergeCell ref="AG42:AG43"/>
    <mergeCell ref="AG69:AG70"/>
    <mergeCell ref="AH53:AQ54"/>
    <mergeCell ref="AH58:AQ59"/>
    <mergeCell ref="AH69:AQ70"/>
    <mergeCell ref="AH64:AQ65"/>
    <mergeCell ref="AH92:AQ94"/>
    <mergeCell ref="AG85:AG86"/>
    <mergeCell ref="AG78:AG79"/>
    <mergeCell ref="AG81:AG82"/>
    <mergeCell ref="AH73:AQ75"/>
    <mergeCell ref="AG92:AG94"/>
    <mergeCell ref="AH78:AQ79"/>
    <mergeCell ref="AH81:AQ82"/>
    <mergeCell ref="AH85:AQ86"/>
    <mergeCell ref="AG73:AG75"/>
    <mergeCell ref="N2:AI2"/>
    <mergeCell ref="D2:L4"/>
    <mergeCell ref="N3:AI3"/>
    <mergeCell ref="T9:AD9"/>
    <mergeCell ref="E7:J7"/>
    <mergeCell ref="C9:F9"/>
    <mergeCell ref="C6:M6"/>
    <mergeCell ref="C5:M5"/>
    <mergeCell ref="AG36:AG37"/>
    <mergeCell ref="E20:J20"/>
    <mergeCell ref="AG30:AG31"/>
    <mergeCell ref="AG45:AG46"/>
    <mergeCell ref="AG33:AG34"/>
    <mergeCell ref="N39:AE40"/>
    <mergeCell ref="AH42:AQ43"/>
    <mergeCell ref="AH45:AQ46"/>
    <mergeCell ref="F78:M78"/>
    <mergeCell ref="B57:D66"/>
    <mergeCell ref="B68:D87"/>
    <mergeCell ref="F69:AF69"/>
    <mergeCell ref="B48:D55"/>
    <mergeCell ref="K42:AE42"/>
    <mergeCell ref="O64:AE64"/>
    <mergeCell ref="X78:AE78"/>
    <mergeCell ref="O85:AE85"/>
    <mergeCell ref="AG61:AG62"/>
    <mergeCell ref="AG64:AG65"/>
    <mergeCell ref="AG58:AG59"/>
    <mergeCell ref="AG50:AG51"/>
    <mergeCell ref="B30:D47"/>
    <mergeCell ref="X123:AA123"/>
    <mergeCell ref="AG103:AG104"/>
    <mergeCell ref="B117:AR117"/>
    <mergeCell ref="B102:D109"/>
    <mergeCell ref="R123:S123"/>
    <mergeCell ref="U123:V123"/>
    <mergeCell ref="B110:D116"/>
    <mergeCell ref="S115:T115"/>
    <mergeCell ref="AC119:AQ119"/>
    <mergeCell ref="AB111:AR112"/>
    <mergeCell ref="AG108:AK108"/>
    <mergeCell ref="W103:AE103"/>
    <mergeCell ref="AB113:AR114"/>
    <mergeCell ref="AB115:AR116"/>
    <mergeCell ref="B88:D101"/>
    <mergeCell ref="AD93:AE94"/>
    <mergeCell ref="AA93:AB94"/>
    <mergeCell ref="X93:Y94"/>
    <mergeCell ref="X89:AE91"/>
    <mergeCell ref="U92:V94"/>
    <mergeCell ref="F96:Z96"/>
    <mergeCell ref="AO3:AP4"/>
    <mergeCell ref="AQ3:AR4"/>
    <mergeCell ref="AH103:AQ104"/>
    <mergeCell ref="AH30:AQ31"/>
    <mergeCell ref="AH33:AQ34"/>
    <mergeCell ref="AH36:AQ37"/>
    <mergeCell ref="AH39:AQ40"/>
    <mergeCell ref="B27:AR27"/>
    <mergeCell ref="B11:C26"/>
    <mergeCell ref="AL9:AR9"/>
    <mergeCell ref="AJ2:AJ7"/>
    <mergeCell ref="B2:B7"/>
    <mergeCell ref="AN2:AR2"/>
    <mergeCell ref="AK3:AL4"/>
    <mergeCell ref="AM3:AN4"/>
    <mergeCell ref="AG28:AR28"/>
  </mergeCells>
  <pageMargins left="0.433070866141732" right="0.236220472440945" top="0.393700787401575" bottom="0.196850393700787" header="0.15748031496063" footer="0.196850393700787"/>
  <pageSetup paperSize="5" scale="75" orientation="portrait" r:id="rId1"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</sheetPr>
  <dimension ref="A1:BC121"/>
  <sheetViews>
    <sheetView topLeftCell="A76" showGridLines="0" zoomScaleSheetLayoutView="100" view="pageBreakPreview" workbookViewId="0">
      <selection pane="topLeft" activeCell="D2" sqref="D2"/>
    </sheetView>
  </sheetViews>
  <sheetFormatPr defaultColWidth="3.7109375" customHeight="1" defaultRowHeight="10" baseColWidth="0"/>
  <cols>
    <col min="1" max="1" width="3.7109375" customWidth="1"/>
    <col min="2" max="2" width="3.99609375" customWidth="1"/>
    <col min="3" max="11" width="3.7109375" customWidth="1"/>
    <col min="12" max="12" width="3.7109375" style="22" customWidth="1"/>
    <col min="20" max="23" width="3.99609375" customWidth="1"/>
    <col min="31" max="31" width="3.7109375" customWidth="1"/>
    <col min="33" max="33" width="3.421875" customWidth="1"/>
    <col min="34" max="35" width="3.7109375" customWidth="1"/>
    <col min="36" max="36" width="4.421875" customWidth="1"/>
    <col min="37" max="37" width="3.28125" customWidth="1"/>
  </cols>
  <sheetData>
    <row r="1" spans="1:41" customHeight="1">
      <c r="A1" s="1"/>
      <c r="AO1" s="1"/>
    </row>
    <row r="2" spans="1:39" ht="15" customHeight="1">
      <c r="A2"/>
      <c r="B2" s="2094" t="s">
        <v>175</v>
      </c>
      <c r="C2" s="74"/>
      <c r="D2" s="2139" t="s">
        <v>82</v>
      </c>
      <c r="E2" s="2139"/>
      <c r="F2" s="2139"/>
      <c r="G2" s="2139"/>
      <c r="H2" s="2139"/>
      <c r="I2" s="2139"/>
      <c r="J2" s="2139"/>
      <c r="K2" s="2139"/>
      <c r="L2" s="87"/>
      <c r="M2" s="2177" t="s">
        <v>218</v>
      </c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2178"/>
      <c r="AD2" s="2092" t="s">
        <v>178</v>
      </c>
      <c r="AE2" s="2094"/>
      <c r="AM2"/>
    </row>
    <row r="3" spans="2:39" ht="20.15" customHeight="1" thickBot="1">
      <c r="B3" s="2094"/>
      <c r="C3" s="25"/>
      <c r="D3" s="2139"/>
      <c r="E3" s="2139"/>
      <c r="F3" s="2139"/>
      <c r="G3" s="2139"/>
      <c r="H3" s="2139"/>
      <c r="I3" s="2139"/>
      <c r="J3" s="2139"/>
      <c r="K3" s="2139"/>
      <c r="L3" s="87"/>
      <c r="M3" s="2174" t="s">
        <v>219</v>
      </c>
      <c r="N3" s="2175"/>
      <c r="O3" s="2175"/>
      <c r="P3" s="2175"/>
      <c r="Q3" s="2175"/>
      <c r="R3" s="2175"/>
      <c r="S3" s="2175"/>
      <c r="T3" s="2175"/>
      <c r="U3" s="2175"/>
      <c r="V3" s="2175"/>
      <c r="W3" s="2175"/>
      <c r="X3" s="2175"/>
      <c r="Y3" s="2175"/>
      <c r="Z3" s="2175"/>
      <c r="AA3" s="2175"/>
      <c r="AB3" s="2175"/>
      <c r="AC3" s="2176"/>
      <c r="AD3" s="2092"/>
      <c r="AE3" s="2094"/>
      <c r="AF3" s="2158">
        <v>2</v>
      </c>
      <c r="AG3" s="2158"/>
      <c r="AH3" s="2158">
        <v>0</v>
      </c>
      <c r="AI3" s="2158"/>
      <c r="AJ3" s="2158">
        <f>'FE-1770S'!AO3</f>
        <v>0</v>
      </c>
      <c r="AK3" s="2158"/>
      <c r="AL3" s="2158">
        <f>'FE-1770S'!AQ3</f>
        <v>0</v>
      </c>
      <c r="AM3" s="2158"/>
    </row>
    <row r="4" spans="2:40" ht="15" customHeight="1">
      <c r="B4" s="2094"/>
      <c r="C4" s="25"/>
      <c r="D4" s="2139"/>
      <c r="E4" s="2139"/>
      <c r="F4" s="2139"/>
      <c r="G4" s="2139"/>
      <c r="H4" s="2139"/>
      <c r="I4" s="2139"/>
      <c r="J4" s="2139"/>
      <c r="K4" s="2139"/>
      <c r="L4" s="87"/>
      <c r="M4" s="122" t="s">
        <v>23</v>
      </c>
      <c r="N4" s="46" t="s">
        <v>220</v>
      </c>
      <c r="O4" s="4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6"/>
      <c r="AC4" s="54"/>
      <c r="AD4" s="2092"/>
      <c r="AE4" s="2094"/>
      <c r="AF4" s="2158"/>
      <c r="AG4" s="2158"/>
      <c r="AH4" s="2158"/>
      <c r="AI4" s="2158"/>
      <c r="AJ4" s="2158"/>
      <c r="AK4" s="2158"/>
      <c r="AL4" s="2158"/>
      <c r="AM4" s="2158"/>
      <c r="AN4" s="25"/>
    </row>
    <row r="5" spans="2:41" ht="15" customHeight="1">
      <c r="B5" s="2094"/>
      <c r="C5" s="2172" t="s">
        <v>289</v>
      </c>
      <c r="D5" s="2172"/>
      <c r="E5" s="2172"/>
      <c r="F5" s="2172"/>
      <c r="G5" s="2172"/>
      <c r="H5" s="2172"/>
      <c r="I5" s="2172"/>
      <c r="J5" s="2172"/>
      <c r="K5" s="2172"/>
      <c r="L5" s="2173"/>
      <c r="M5" s="122" t="s">
        <v>23</v>
      </c>
      <c r="N5" s="46" t="s">
        <v>221</v>
      </c>
      <c r="O5" s="4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"/>
      <c r="AD5" s="2092"/>
      <c r="AE5" s="2094"/>
      <c r="AF5" s="407"/>
      <c r="AG5" s="407"/>
      <c r="AH5" s="407"/>
      <c r="AI5" s="407"/>
      <c r="AJ5" s="407"/>
      <c r="AK5" s="407"/>
      <c r="AL5" s="407"/>
      <c r="AM5" s="407"/>
      <c r="AN5" s="25"/>
      <c r="AO5"/>
    </row>
    <row r="6" spans="2:41" ht="15" customHeight="1">
      <c r="B6" s="2094"/>
      <c r="C6" s="2172" t="s">
        <v>286</v>
      </c>
      <c r="D6" s="2172"/>
      <c r="E6" s="2172"/>
      <c r="F6" s="2172"/>
      <c r="G6" s="2172"/>
      <c r="H6" s="2172"/>
      <c r="I6" s="2172"/>
      <c r="J6" s="2172"/>
      <c r="K6" s="2172"/>
      <c r="L6" s="2173"/>
      <c r="M6" s="100" t="s">
        <v>23</v>
      </c>
      <c r="N6" s="46" t="s">
        <v>222</v>
      </c>
      <c r="O6" s="4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6"/>
      <c r="AD6" s="2092"/>
      <c r="AE6" s="2094"/>
      <c r="AF6" s="42"/>
      <c r="AG6" s="42"/>
      <c r="AH6" s="42"/>
      <c r="AI6" s="42"/>
      <c r="AJ6" s="25"/>
      <c r="AK6" s="25"/>
      <c r="AL6" s="25"/>
      <c r="AM6" s="25"/>
      <c r="AN6"/>
      <c r="AO6"/>
    </row>
    <row r="7" spans="2:41" ht="15" customHeight="1" thickBot="1">
      <c r="B7" s="2095"/>
      <c r="C7" s="53"/>
      <c r="D7" s="53"/>
      <c r="E7" s="2179" t="s">
        <v>287</v>
      </c>
      <c r="F7" s="2179"/>
      <c r="G7" s="2179"/>
      <c r="H7" s="2179"/>
      <c r="I7" s="2179"/>
      <c r="J7" s="53"/>
      <c r="K7" s="53"/>
      <c r="L7" s="63"/>
      <c r="M7" s="123"/>
      <c r="N7" s="124" t="s">
        <v>223</v>
      </c>
      <c r="O7" s="124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5"/>
      <c r="AD7" s="2093"/>
      <c r="AE7" s="2095"/>
      <c r="AF7" s="53"/>
      <c r="AG7" s="53"/>
      <c r="AH7" s="53"/>
      <c r="AI7" s="53"/>
      <c r="AJ7" s="53"/>
      <c r="AK7" s="53"/>
      <c r="AL7" s="53"/>
      <c r="AM7" s="53"/>
      <c r="AN7" s="2"/>
      <c r="AO7"/>
    </row>
    <row r="8" spans="2:41" ht="8.15" customHeight="1">
      <c r="B8" s="68"/>
      <c r="C8" s="33"/>
      <c r="D8" s="33"/>
      <c r="E8" s="33"/>
      <c r="F8" s="33"/>
      <c r="G8" s="33"/>
      <c r="H8" s="33"/>
      <c r="I8" s="33"/>
      <c r="J8" s="33"/>
      <c r="K8" s="33"/>
      <c r="L8" s="85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13"/>
      <c r="AO8"/>
    </row>
    <row r="9" spans="2:41" ht="20.15" customHeight="1">
      <c r="B9" s="233" t="s">
        <v>181</v>
      </c>
      <c r="C9" s="70"/>
      <c r="D9" s="70"/>
      <c r="E9" s="70"/>
      <c r="F9" s="70"/>
      <c r="G9" s="65"/>
      <c r="H9" s="65"/>
      <c r="I9" s="65"/>
      <c r="J9" s="116" t="s">
        <v>26</v>
      </c>
      <c r="K9" s="1386" t="str">
        <f>taxId1</f>
        <v/>
      </c>
      <c r="L9" s="1386" t="str">
        <f>taxId2</f>
        <v/>
      </c>
      <c r="M9" s="1001"/>
      <c r="N9" s="1386" t="str">
        <f>taxId3</f>
        <v/>
      </c>
      <c r="O9" s="1386" t="str">
        <f>taxId4</f>
        <v/>
      </c>
      <c r="P9" s="1386" t="str">
        <f>taxId5</f>
        <v/>
      </c>
      <c r="Q9" s="1001"/>
      <c r="R9" s="1386" t="str">
        <f>taxId6</f>
        <v/>
      </c>
      <c r="S9" s="1386" t="str">
        <f>taxId7</f>
        <v/>
      </c>
      <c r="T9" s="1386" t="str">
        <f>taxId8</f>
        <v/>
      </c>
      <c r="U9" s="1001"/>
      <c r="V9" s="1386" t="str">
        <f>taxId9</f>
        <v/>
      </c>
      <c r="W9" s="1001"/>
      <c r="X9" s="1386" t="str">
        <f>taxId10</f>
        <v/>
      </c>
      <c r="Y9" s="1386" t="str">
        <f>taxId11</f>
        <v/>
      </c>
      <c r="Z9" s="1386" t="str">
        <f>taxId12</f>
        <v/>
      </c>
      <c r="AA9" s="1001"/>
      <c r="AB9" s="1386" t="str">
        <f>taxId13</f>
        <v/>
      </c>
      <c r="AC9" s="1386" t="str">
        <f>taxId14</f>
        <v/>
      </c>
      <c r="AD9" s="1386" t="str">
        <f>taxId15</f>
        <v/>
      </c>
      <c r="AE9"/>
      <c r="AF9"/>
      <c r="AG9"/>
      <c r="AH9"/>
      <c r="AI9"/>
      <c r="AJ9"/>
      <c r="AK9"/>
      <c r="AL9"/>
      <c r="AM9"/>
      <c r="AN9" s="54"/>
      <c r="AO9"/>
    </row>
    <row r="10" spans="2:41" ht="4" customHeight="1">
      <c r="B10" s="233"/>
      <c r="C10" s="93"/>
      <c r="D10" s="93"/>
      <c r="E10" s="93"/>
      <c r="F10" s="93"/>
      <c r="G10" s="93"/>
      <c r="H10" s="93"/>
      <c r="I10" s="93"/>
      <c r="J10" s="93"/>
      <c r="K10" s="15"/>
      <c r="L10" s="6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/>
      <c r="AF10"/>
      <c r="AG10"/>
      <c r="AH10"/>
      <c r="AI10"/>
      <c r="AJ10"/>
      <c r="AK10"/>
      <c r="AL10"/>
      <c r="AM10"/>
      <c r="AN10" s="54"/>
      <c r="AO10"/>
    </row>
    <row r="11" spans="2:41" ht="20.15" customHeight="1">
      <c r="B11" s="233" t="s">
        <v>217</v>
      </c>
      <c r="C11" s="70"/>
      <c r="D11" s="70"/>
      <c r="E11" s="70"/>
      <c r="F11" s="70"/>
      <c r="G11" s="118"/>
      <c r="H11" s="118"/>
      <c r="I11" s="118"/>
      <c r="J11" s="119" t="s">
        <v>26</v>
      </c>
      <c r="K11" s="1387">
        <f>name</f>
        <v>0</v>
      </c>
      <c r="L11" s="1388"/>
      <c r="M11" s="1388"/>
      <c r="N11" s="1388"/>
      <c r="O11" s="1388"/>
      <c r="P11" s="1388"/>
      <c r="Q11" s="1388"/>
      <c r="R11" s="1388"/>
      <c r="S11" s="1388"/>
      <c r="T11" s="1388"/>
      <c r="U11" s="1388"/>
      <c r="V11" s="1388"/>
      <c r="W11" s="1388"/>
      <c r="X11" s="1388"/>
      <c r="Y11" s="1388"/>
      <c r="Z11" s="1388"/>
      <c r="AA11" s="1388"/>
      <c r="AB11" s="1388"/>
      <c r="AC11" s="1388"/>
      <c r="AD11" s="1388"/>
      <c r="AE11" s="1388"/>
      <c r="AF11" s="1388"/>
      <c r="AG11" s="1388"/>
      <c r="AH11" s="1388"/>
      <c r="AI11" s="1388"/>
      <c r="AJ11" s="1388"/>
      <c r="AK11" s="1388"/>
      <c r="AL11" s="1388"/>
      <c r="AM11" s="1388"/>
      <c r="AN11" s="54"/>
      <c r="AO11"/>
    </row>
    <row r="12" spans="2:41" ht="3" customHeight="1" thickBot="1">
      <c r="B12" s="84"/>
      <c r="C12" s="2"/>
      <c r="D12" s="2"/>
      <c r="E12" s="2"/>
      <c r="F12" s="2"/>
      <c r="G12" s="2"/>
      <c r="H12" s="2"/>
      <c r="I12" s="2"/>
      <c r="J12" s="2"/>
      <c r="K12" s="2"/>
      <c r="L12" s="6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14"/>
      <c r="AO12"/>
    </row>
    <row r="13" spans="2:41" customHeight="1">
      <c r="B13" s="33"/>
      <c r="C13"/>
      <c r="D13"/>
      <c r="E13"/>
      <c r="F13"/>
      <c r="G13"/>
      <c r="H13"/>
      <c r="I13"/>
      <c r="J13"/>
      <c r="K13"/>
      <c r="L13" s="2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33"/>
      <c r="AO13"/>
    </row>
    <row r="14" spans="2:41" customHeight="1">
      <c r="B14"/>
      <c r="C14"/>
      <c r="D14"/>
      <c r="E14"/>
      <c r="F14"/>
      <c r="G14" s="16"/>
      <c r="H14"/>
      <c r="I14"/>
      <c r="J14"/>
      <c r="K14"/>
      <c r="L14" s="2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2:40" s="41" customFormat="1" ht="15" customHeight="1">
      <c r="B15" s="80" t="s">
        <v>224</v>
      </c>
      <c r="C15" s="75"/>
      <c r="D15" s="75"/>
      <c r="E15" s="75"/>
      <c r="F15" s="80" t="s">
        <v>220</v>
      </c>
      <c r="G15" s="75"/>
      <c r="H15" s="75"/>
      <c r="I15" s="75"/>
      <c r="J15" s="75"/>
      <c r="K15" s="75"/>
      <c r="L15" s="76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52"/>
      <c r="AB15" s="41"/>
      <c r="AC15" s="41"/>
      <c r="AD15" s="41"/>
      <c r="AE15" s="41"/>
      <c r="AF15" s="41"/>
      <c r="AG15" s="41"/>
      <c r="AH15" s="77"/>
      <c r="AI15" s="77"/>
      <c r="AJ15" s="77"/>
      <c r="AK15" s="77"/>
      <c r="AL15" s="77"/>
      <c r="AM15" s="77"/>
      <c r="AN15" s="41"/>
    </row>
    <row r="16" spans="2:40" ht="15" customHeight="1">
      <c r="B16" s="75"/>
      <c r="C16" s="75"/>
      <c r="D16" s="75"/>
      <c r="E16" s="75"/>
      <c r="F16" s="80" t="s">
        <v>593</v>
      </c>
      <c r="G16" s="75"/>
      <c r="H16" s="75"/>
      <c r="I16" s="75"/>
      <c r="J16" s="75"/>
      <c r="K16" s="75"/>
      <c r="L16" s="76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52"/>
      <c r="AB16" s="16"/>
      <c r="AC16" s="16"/>
      <c r="AD16"/>
      <c r="AE16"/>
      <c r="AF16"/>
      <c r="AG16"/>
      <c r="AH16"/>
      <c r="AI16"/>
      <c r="AJ16"/>
      <c r="AK16"/>
      <c r="AL16"/>
      <c r="AM16"/>
      <c r="AN16"/>
    </row>
    <row r="17" spans="2:40" customHeight="1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79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2:40" ht="15" customHeight="1">
      <c r="B18" s="151" t="s">
        <v>76</v>
      </c>
      <c r="C18" s="151" t="s">
        <v>225</v>
      </c>
      <c r="D18" s="1444"/>
      <c r="E18" s="1444"/>
      <c r="F18" s="1444"/>
      <c r="G18" s="1444"/>
      <c r="H18" s="1444"/>
      <c r="I18" s="1444"/>
      <c r="J18" s="1444"/>
      <c r="K18" s="1444"/>
      <c r="L18" s="1444"/>
      <c r="M18" s="1444"/>
      <c r="N18" s="1444"/>
      <c r="O18" s="1444"/>
      <c r="P18" s="1444"/>
      <c r="Q18" s="1444"/>
      <c r="R18" s="1444"/>
      <c r="S18" s="1444"/>
      <c r="T18" s="1444"/>
      <c r="U18" s="1444"/>
      <c r="V18" s="1444"/>
      <c r="W18" s="1444"/>
      <c r="X18" s="1444"/>
      <c r="Y18" s="1444"/>
      <c r="Z18" s="1444"/>
      <c r="AA18" s="2161"/>
      <c r="AB18" s="1444" t="s">
        <v>226</v>
      </c>
      <c r="AC18" s="1444"/>
      <c r="AD18" s="1444"/>
      <c r="AE18" s="1444"/>
      <c r="AF18" s="1444"/>
      <c r="AG18" s="1444"/>
      <c r="AH18" s="1444"/>
      <c r="AI18" s="1444"/>
      <c r="AJ18" s="1444"/>
      <c r="AK18" s="1444"/>
      <c r="AL18" s="1444"/>
      <c r="AM18" s="1444"/>
      <c r="AN18" s="2161"/>
    </row>
    <row r="19" spans="2:40" ht="15" customHeight="1">
      <c r="B19" s="149"/>
      <c r="C19" s="149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395"/>
      <c r="AB19" s="71" t="s">
        <v>70</v>
      </c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395"/>
    </row>
    <row r="20" spans="2:40" ht="15" customHeight="1">
      <c r="B20" s="155" t="s">
        <v>65</v>
      </c>
      <c r="C20" s="155" t="s">
        <v>64</v>
      </c>
      <c r="D20" s="2182"/>
      <c r="E20" s="2182"/>
      <c r="F20" s="2182"/>
      <c r="G20" s="2182"/>
      <c r="H20" s="2182"/>
      <c r="I20" s="2182"/>
      <c r="J20" s="2182"/>
      <c r="K20" s="2182"/>
      <c r="L20" s="2182"/>
      <c r="M20" s="2182"/>
      <c r="N20" s="2182"/>
      <c r="O20" s="2182"/>
      <c r="P20" s="2182"/>
      <c r="Q20" s="2182"/>
      <c r="R20" s="2182"/>
      <c r="S20" s="2182"/>
      <c r="T20" s="2182"/>
      <c r="U20" s="2182"/>
      <c r="V20" s="2182"/>
      <c r="W20" s="2182"/>
      <c r="X20" s="2182"/>
      <c r="Y20" s="2182"/>
      <c r="Z20" s="2182"/>
      <c r="AA20" s="2183"/>
      <c r="AB20" s="2182" t="s">
        <v>66</v>
      </c>
      <c r="AC20" s="2182"/>
      <c r="AD20" s="2182"/>
      <c r="AE20" s="2182"/>
      <c r="AF20" s="2182"/>
      <c r="AG20" s="2182"/>
      <c r="AH20" s="2182"/>
      <c r="AI20" s="2182"/>
      <c r="AJ20" s="2182"/>
      <c r="AK20" s="2182"/>
      <c r="AL20" s="2182"/>
      <c r="AM20" s="2182"/>
      <c r="AN20" s="2183"/>
    </row>
    <row r="21" spans="1:41" s="41" customFormat="1" ht="15" customHeight="1">
      <c r="A21" s="4"/>
      <c r="B21" s="151" t="s">
        <v>621</v>
      </c>
      <c r="C21" s="2203" t="s">
        <v>264</v>
      </c>
      <c r="D21" s="2204"/>
      <c r="E21" s="2204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221"/>
      <c r="AB21" s="2155">
        <f>'GENERAL INFO'!V156</f>
        <v>0</v>
      </c>
      <c r="AC21" s="2156"/>
      <c r="AD21" s="2156"/>
      <c r="AE21" s="2156"/>
      <c r="AF21" s="2156"/>
      <c r="AG21" s="2156"/>
      <c r="AH21" s="2156"/>
      <c r="AI21" s="2156"/>
      <c r="AJ21" s="2156"/>
      <c r="AK21" s="2156"/>
      <c r="AL21" s="2156"/>
      <c r="AM21" s="2156"/>
      <c r="AN21" s="178"/>
      <c r="AO21" s="41"/>
    </row>
    <row r="22" spans="1:41" s="41" customFormat="1" ht="15" customHeight="1">
      <c r="A22" s="4"/>
      <c r="B22" s="1337"/>
      <c r="C22" s="2205"/>
      <c r="D22" s="2206"/>
      <c r="E22" s="2206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629"/>
      <c r="AB22" s="625"/>
      <c r="AC22" s="2157"/>
      <c r="AD22" s="2157"/>
      <c r="AE22" s="2157"/>
      <c r="AF22" s="2157"/>
      <c r="AG22" s="2157"/>
      <c r="AH22" s="2157"/>
      <c r="AI22" s="2157"/>
      <c r="AJ22" s="2157"/>
      <c r="AK22" s="2157"/>
      <c r="AL22" s="2157"/>
      <c r="AM22" s="2157"/>
      <c r="AN22" s="185"/>
      <c r="AO22" s="41"/>
    </row>
    <row r="23" spans="1:41" s="41" customFormat="1" ht="3" customHeight="1">
      <c r="A23" s="4"/>
      <c r="B23" s="149"/>
      <c r="C23" s="153"/>
      <c r="D23" s="70"/>
      <c r="E23" s="70"/>
      <c r="F23" s="70"/>
      <c r="G23" s="70"/>
      <c r="H23" s="70"/>
      <c r="I23" s="70"/>
      <c r="J23" s="70"/>
      <c r="K23" s="70"/>
      <c r="L23" s="71"/>
      <c r="M23" s="70"/>
      <c r="N23" s="70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4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266"/>
      <c r="AO23" s="41"/>
    </row>
    <row r="24" spans="1:41" s="41" customFormat="1" ht="15" customHeight="1">
      <c r="A24" s="4"/>
      <c r="B24" s="149" t="s">
        <v>622</v>
      </c>
      <c r="C24" s="2184" t="s">
        <v>271</v>
      </c>
      <c r="D24" s="396"/>
      <c r="E24" s="396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395"/>
      <c r="AB24" s="810">
        <f>'GENERAL INFO'!V157</f>
        <v>0</v>
      </c>
      <c r="AC24" s="302"/>
      <c r="AD24" s="302"/>
      <c r="AE24" s="302"/>
      <c r="AF24" s="302"/>
      <c r="AG24" s="302"/>
      <c r="AH24" s="302"/>
      <c r="AI24" s="302"/>
      <c r="AJ24" s="302"/>
      <c r="AK24" s="302"/>
      <c r="AL24" s="302"/>
      <c r="AM24" s="302"/>
      <c r="AN24" s="327"/>
      <c r="AO24" s="41"/>
    </row>
    <row r="25" spans="1:41" s="41" customFormat="1" ht="15" customHeight="1">
      <c r="A25" s="4"/>
      <c r="B25" s="1337"/>
      <c r="C25" s="2185"/>
      <c r="D25" s="2186"/>
      <c r="E25" s="2186"/>
      <c r="F25" s="2187"/>
      <c r="G25" s="2187"/>
      <c r="H25" s="2187"/>
      <c r="I25" s="2187"/>
      <c r="J25" s="2187"/>
      <c r="K25" s="2187"/>
      <c r="L25" s="2187"/>
      <c r="M25" s="2187"/>
      <c r="N25" s="2187"/>
      <c r="O25" s="2187"/>
      <c r="P25" s="2187"/>
      <c r="Q25" s="2187"/>
      <c r="R25" s="2187"/>
      <c r="S25" s="2187"/>
      <c r="T25" s="2187"/>
      <c r="U25" s="2187"/>
      <c r="V25" s="2187"/>
      <c r="W25" s="2187"/>
      <c r="X25" s="2187"/>
      <c r="Y25" s="2187"/>
      <c r="Z25" s="2187"/>
      <c r="AA25" s="2180"/>
      <c r="AB25" s="625"/>
      <c r="AC25" s="2157"/>
      <c r="AD25" s="2157"/>
      <c r="AE25" s="2157"/>
      <c r="AF25" s="2157"/>
      <c r="AG25" s="2157"/>
      <c r="AH25" s="2157"/>
      <c r="AI25" s="2157"/>
      <c r="AJ25" s="2157"/>
      <c r="AK25" s="2157"/>
      <c r="AL25" s="2157"/>
      <c r="AM25" s="2157"/>
      <c r="AN25" s="333"/>
      <c r="AO25" s="41"/>
    </row>
    <row r="26" spans="1:41" s="41" customFormat="1" ht="3" customHeight="1">
      <c r="A26" s="4"/>
      <c r="B26" s="149"/>
      <c r="C26" s="153"/>
      <c r="D26" s="70"/>
      <c r="E26" s="70"/>
      <c r="F26" s="70"/>
      <c r="G26" s="70"/>
      <c r="H26" s="70"/>
      <c r="I26" s="70"/>
      <c r="J26" s="70"/>
      <c r="K26" s="70"/>
      <c r="L26" s="71"/>
      <c r="M26" s="70"/>
      <c r="N26" s="7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4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266"/>
      <c r="AO26" s="41"/>
    </row>
    <row r="27" spans="1:41" s="41" customFormat="1" ht="15" customHeight="1">
      <c r="A27" s="4"/>
      <c r="B27" s="149" t="s">
        <v>623</v>
      </c>
      <c r="C27" s="2207" t="s">
        <v>272</v>
      </c>
      <c r="D27" s="2208"/>
      <c r="E27" s="2208"/>
      <c r="F27" s="2208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161"/>
      <c r="AB27" s="810">
        <f>'GENERAL INFO'!V158</f>
        <v>0</v>
      </c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27"/>
      <c r="AO27" s="41"/>
    </row>
    <row r="28" spans="1:41" s="41" customFormat="1" ht="15" customHeight="1">
      <c r="A28" s="4"/>
      <c r="B28" s="1337"/>
      <c r="C28" s="2209"/>
      <c r="D28" s="2210"/>
      <c r="E28" s="2210"/>
      <c r="F28" s="2210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629"/>
      <c r="AB28" s="625"/>
      <c r="AC28" s="2157"/>
      <c r="AD28" s="2157"/>
      <c r="AE28" s="2157"/>
      <c r="AF28" s="2157"/>
      <c r="AG28" s="2157"/>
      <c r="AH28" s="2157"/>
      <c r="AI28" s="2157"/>
      <c r="AJ28" s="2157"/>
      <c r="AK28" s="2157"/>
      <c r="AL28" s="2157"/>
      <c r="AM28" s="2157"/>
      <c r="AN28" s="333"/>
      <c r="AO28" s="41"/>
    </row>
    <row r="29" spans="1:41" s="41" customFormat="1" ht="3" customHeight="1">
      <c r="A29" s="4"/>
      <c r="B29" s="149"/>
      <c r="C29" s="153"/>
      <c r="D29" s="70"/>
      <c r="E29" s="70"/>
      <c r="F29" s="70"/>
      <c r="G29" s="70"/>
      <c r="H29" s="70"/>
      <c r="I29" s="70"/>
      <c r="J29" s="70"/>
      <c r="K29" s="70"/>
      <c r="L29" s="71"/>
      <c r="M29" s="70"/>
      <c r="N29" s="70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4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266"/>
      <c r="AO29" s="41"/>
    </row>
    <row r="30" spans="1:41" s="41" customFormat="1" ht="15" customHeight="1">
      <c r="A30" s="4"/>
      <c r="B30" s="149" t="s">
        <v>624</v>
      </c>
      <c r="C30" s="2184" t="s">
        <v>273</v>
      </c>
      <c r="D30" s="396"/>
      <c r="E30" s="396"/>
      <c r="F30" s="396"/>
      <c r="G30" s="396"/>
      <c r="H30" s="396"/>
      <c r="I30" s="396"/>
      <c r="J30" s="396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161"/>
      <c r="AB30" s="810">
        <f>'GENERAL INFO'!V159</f>
        <v>0</v>
      </c>
      <c r="AC30" s="302"/>
      <c r="AD30" s="302"/>
      <c r="AE30" s="302"/>
      <c r="AF30" s="302"/>
      <c r="AG30" s="302"/>
      <c r="AH30" s="302"/>
      <c r="AI30" s="302"/>
      <c r="AJ30" s="302"/>
      <c r="AK30" s="302"/>
      <c r="AL30" s="302"/>
      <c r="AM30" s="302"/>
      <c r="AN30" s="327"/>
      <c r="AO30" s="41"/>
    </row>
    <row r="31" spans="1:41" s="41" customFormat="1" ht="15" customHeight="1">
      <c r="A31" s="4"/>
      <c r="B31" s="1337"/>
      <c r="C31" s="2185"/>
      <c r="D31" s="2186"/>
      <c r="E31" s="2186"/>
      <c r="F31" s="2186"/>
      <c r="G31" s="2186"/>
      <c r="H31" s="2186"/>
      <c r="I31" s="2186"/>
      <c r="J31" s="2186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629"/>
      <c r="AB31" s="625"/>
      <c r="AC31" s="2157"/>
      <c r="AD31" s="2157"/>
      <c r="AE31" s="2157"/>
      <c r="AF31" s="2157"/>
      <c r="AG31" s="2157"/>
      <c r="AH31" s="2157"/>
      <c r="AI31" s="2157"/>
      <c r="AJ31" s="2157"/>
      <c r="AK31" s="2157"/>
      <c r="AL31" s="2157"/>
      <c r="AM31" s="2157"/>
      <c r="AN31" s="333"/>
      <c r="AO31" s="41"/>
    </row>
    <row r="32" spans="1:41" s="41" customFormat="1" ht="3" customHeight="1">
      <c r="A32" s="4"/>
      <c r="B32" s="149"/>
      <c r="C32" s="153"/>
      <c r="D32" s="70"/>
      <c r="E32" s="70"/>
      <c r="F32" s="70"/>
      <c r="G32" s="70"/>
      <c r="H32" s="70"/>
      <c r="I32" s="70"/>
      <c r="J32" s="70"/>
      <c r="K32" s="70"/>
      <c r="L32" s="71"/>
      <c r="M32" s="70"/>
      <c r="N32" s="70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4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266"/>
      <c r="AO32" s="41"/>
    </row>
    <row r="33" spans="1:41" s="41" customFormat="1" ht="15" customHeight="1">
      <c r="A33" s="4"/>
      <c r="B33" s="149" t="s">
        <v>625</v>
      </c>
      <c r="C33" s="149" t="s">
        <v>576</v>
      </c>
      <c r="D33" s="71"/>
      <c r="E33" s="71"/>
      <c r="F33" s="71"/>
      <c r="G33" s="71"/>
      <c r="H33" s="71"/>
      <c r="I33" s="71"/>
      <c r="J33" s="71"/>
      <c r="K33" s="71"/>
      <c r="L33" s="71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161"/>
      <c r="AB33" s="810">
        <f>'GENERAL INFO'!V160</f>
        <v>0</v>
      </c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27"/>
      <c r="AO33" s="41"/>
    </row>
    <row r="34" spans="1:41" s="41" customFormat="1" ht="15" customHeight="1">
      <c r="A34" s="4"/>
      <c r="B34" s="1337"/>
      <c r="C34" s="1337"/>
      <c r="D34" s="2187"/>
      <c r="E34" s="2187"/>
      <c r="F34" s="2187"/>
      <c r="G34" s="2187"/>
      <c r="H34" s="2187"/>
      <c r="I34" s="2187"/>
      <c r="J34" s="2187"/>
      <c r="K34" s="2187"/>
      <c r="L34" s="2187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629"/>
      <c r="AB34" s="625"/>
      <c r="AC34" s="2157"/>
      <c r="AD34" s="2157"/>
      <c r="AE34" s="2157"/>
      <c r="AF34" s="2157"/>
      <c r="AG34" s="2157"/>
      <c r="AH34" s="2157"/>
      <c r="AI34" s="2157"/>
      <c r="AJ34" s="2157"/>
      <c r="AK34" s="2157"/>
      <c r="AL34" s="2157"/>
      <c r="AM34" s="2157"/>
      <c r="AN34" s="333"/>
      <c r="AO34" s="41"/>
    </row>
    <row r="35" spans="1:41" s="41" customFormat="1" ht="3" customHeight="1">
      <c r="A35" s="4"/>
      <c r="B35" s="149"/>
      <c r="C35" s="153"/>
      <c r="D35" s="70"/>
      <c r="E35" s="70"/>
      <c r="F35" s="70"/>
      <c r="G35" s="70"/>
      <c r="H35" s="70"/>
      <c r="I35" s="70"/>
      <c r="J35" s="70"/>
      <c r="K35" s="70"/>
      <c r="L35" s="71"/>
      <c r="M35" s="70"/>
      <c r="N35" s="70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4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266"/>
      <c r="AO35" s="41"/>
    </row>
    <row r="36" spans="1:41" s="41" customFormat="1" ht="15" customHeight="1">
      <c r="A36" s="4"/>
      <c r="B36" s="149" t="s">
        <v>626</v>
      </c>
      <c r="C36" s="2184" t="s">
        <v>274</v>
      </c>
      <c r="D36" s="396"/>
      <c r="E36" s="396"/>
      <c r="F36" s="396"/>
      <c r="G36" s="396"/>
      <c r="H36" s="396"/>
      <c r="I36" s="396"/>
      <c r="J36" s="396"/>
      <c r="K36" s="396"/>
      <c r="L36" s="396"/>
      <c r="M36" s="396"/>
      <c r="N36" s="396"/>
      <c r="O36" s="396"/>
      <c r="P36" s="396"/>
      <c r="Q36" s="396"/>
      <c r="R36" s="396"/>
      <c r="S36" s="396"/>
      <c r="T36" s="396"/>
      <c r="U36" s="396"/>
      <c r="V36" s="396"/>
      <c r="W36" s="396"/>
      <c r="X36" s="396"/>
      <c r="Y36" s="396"/>
      <c r="Z36" s="396"/>
      <c r="AA36" s="402"/>
      <c r="AB36" s="810">
        <f>'GENERAL INFO'!V161</f>
        <v>0</v>
      </c>
      <c r="AC36" s="302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27"/>
      <c r="AO36" s="41"/>
    </row>
    <row r="37" spans="1:41" s="41" customFormat="1" ht="15" customHeight="1">
      <c r="A37" s="4"/>
      <c r="B37" s="1337"/>
      <c r="C37" s="2185"/>
      <c r="D37" s="2186"/>
      <c r="E37" s="2186"/>
      <c r="F37" s="2186"/>
      <c r="G37" s="2186"/>
      <c r="H37" s="2186"/>
      <c r="I37" s="2186"/>
      <c r="J37" s="2186"/>
      <c r="K37" s="2186"/>
      <c r="L37" s="2186"/>
      <c r="M37" s="2186"/>
      <c r="N37" s="2186"/>
      <c r="O37" s="2186"/>
      <c r="P37" s="2186"/>
      <c r="Q37" s="2186"/>
      <c r="R37" s="2186"/>
      <c r="S37" s="2186"/>
      <c r="T37" s="2186"/>
      <c r="U37" s="2186"/>
      <c r="V37" s="2186"/>
      <c r="W37" s="2186"/>
      <c r="X37" s="2186"/>
      <c r="Y37" s="2186"/>
      <c r="Z37" s="2186"/>
      <c r="AA37" s="2188"/>
      <c r="AB37" s="625"/>
      <c r="AC37" s="2157"/>
      <c r="AD37" s="2157"/>
      <c r="AE37" s="2157"/>
      <c r="AF37" s="2157"/>
      <c r="AG37" s="2157"/>
      <c r="AH37" s="2157"/>
      <c r="AI37" s="2157"/>
      <c r="AJ37" s="2157"/>
      <c r="AK37" s="2157"/>
      <c r="AL37" s="2157"/>
      <c r="AM37" s="2157"/>
      <c r="AN37" s="333"/>
      <c r="AO37" s="41"/>
    </row>
    <row r="38" spans="1:41" s="41" customFormat="1" ht="3" customHeight="1">
      <c r="A38" s="4"/>
      <c r="B38" s="149"/>
      <c r="C38" s="153"/>
      <c r="D38" s="70"/>
      <c r="E38" s="70"/>
      <c r="F38" s="70"/>
      <c r="G38" s="70"/>
      <c r="H38" s="70"/>
      <c r="I38" s="70"/>
      <c r="J38" s="70"/>
      <c r="K38" s="70"/>
      <c r="L38" s="71"/>
      <c r="M38" s="70"/>
      <c r="N38" s="70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7"/>
      <c r="AA38" s="408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266"/>
      <c r="AO38" s="41"/>
    </row>
    <row r="39" spans="1:41" s="41" customFormat="1" ht="9" customHeight="1">
      <c r="A39" s="4"/>
      <c r="B39" s="2238"/>
      <c r="C39" s="149" t="s">
        <v>227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149" t="s">
        <v>579</v>
      </c>
      <c r="AA39" s="395"/>
      <c r="AB39" s="810">
        <f>SUM(AB21:AM37)</f>
        <v>0</v>
      </c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27"/>
      <c r="AO39" s="41"/>
    </row>
    <row r="40" spans="1:41" s="41" customFormat="1" ht="15" customHeight="1">
      <c r="A40" s="4"/>
      <c r="B40" s="2239"/>
      <c r="C40" s="1337"/>
      <c r="D40" s="2187"/>
      <c r="E40" s="2187"/>
      <c r="F40" s="2187"/>
      <c r="G40" s="2187"/>
      <c r="H40" s="2187"/>
      <c r="I40" s="2187"/>
      <c r="J40" s="2187"/>
      <c r="K40" s="2187"/>
      <c r="L40" s="2187"/>
      <c r="M40" s="2187"/>
      <c r="N40" s="2187"/>
      <c r="O40" s="2187"/>
      <c r="P40" s="2187"/>
      <c r="Q40" s="2187"/>
      <c r="R40" s="2187"/>
      <c r="S40" s="2187"/>
      <c r="T40" s="2187"/>
      <c r="U40" s="2187"/>
      <c r="V40" s="2187"/>
      <c r="W40" s="2187"/>
      <c r="X40" s="2187"/>
      <c r="Y40" s="2187"/>
      <c r="Z40" s="1337"/>
      <c r="AA40" s="2180"/>
      <c r="AB40" s="625"/>
      <c r="AC40" s="2157"/>
      <c r="AD40" s="2157"/>
      <c r="AE40" s="2157"/>
      <c r="AF40" s="2157"/>
      <c r="AG40" s="2157"/>
      <c r="AH40" s="2157"/>
      <c r="AI40" s="2157"/>
      <c r="AJ40" s="2157"/>
      <c r="AK40" s="2157"/>
      <c r="AL40" s="2157"/>
      <c r="AM40" s="2157"/>
      <c r="AN40" s="333"/>
      <c r="AO40" s="41"/>
    </row>
    <row r="41" spans="1:41" s="41" customFormat="1" ht="3" customHeight="1">
      <c r="A41" s="4"/>
      <c r="B41" s="141"/>
      <c r="C41" s="11"/>
      <c r="D41" s="11"/>
      <c r="E41" s="11"/>
      <c r="F41" s="11"/>
      <c r="G41" s="11"/>
      <c r="H41" s="11"/>
      <c r="I41" s="11"/>
      <c r="J41" s="11"/>
      <c r="K41" s="11"/>
      <c r="L41" s="1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91"/>
      <c r="AO41" s="4"/>
    </row>
    <row r="42" spans="1:46" s="41" customFormat="1" ht="9.75" customHeight="1">
      <c r="A42" s="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35" t="s">
        <v>228</v>
      </c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5"/>
      <c r="AP42" s="5"/>
      <c r="AQ42" s="5"/>
      <c r="AR42" s="5"/>
      <c r="AS42" s="5"/>
      <c r="AT42" s="5"/>
    </row>
    <row r="43" spans="1:41" s="41" customFormat="1" customHeight="1">
      <c r="A43" s="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35" t="s">
        <v>655</v>
      </c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4"/>
    </row>
    <row r="44" spans="1:41" ht="15" customHeight="1">
      <c r="A44" s="4"/>
      <c r="B44" s="75" t="s">
        <v>229</v>
      </c>
      <c r="C44" s="75"/>
      <c r="D44" s="75"/>
      <c r="E44" s="75"/>
      <c r="F44" s="75" t="s">
        <v>221</v>
      </c>
      <c r="G44" s="75"/>
      <c r="H44" s="75"/>
      <c r="I44" s="75"/>
      <c r="J44" s="75"/>
      <c r="K44" s="75"/>
      <c r="L44" s="76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4"/>
      <c r="B46" s="151" t="s">
        <v>76</v>
      </c>
      <c r="C46" s="151" t="s">
        <v>230</v>
      </c>
      <c r="D46" s="1444"/>
      <c r="E46" s="1444"/>
      <c r="F46" s="1444"/>
      <c r="G46" s="1444"/>
      <c r="H46" s="1444"/>
      <c r="I46" s="1444"/>
      <c r="J46" s="1444"/>
      <c r="K46" s="1444"/>
      <c r="L46" s="1444"/>
      <c r="M46" s="1444"/>
      <c r="N46" s="1444"/>
      <c r="O46" s="1444"/>
      <c r="P46" s="1444"/>
      <c r="Q46" s="1444"/>
      <c r="R46" s="1444"/>
      <c r="S46" s="1444"/>
      <c r="T46" s="1444"/>
      <c r="U46" s="1444"/>
      <c r="V46" s="1444"/>
      <c r="W46" s="1444"/>
      <c r="X46" s="1444"/>
      <c r="Y46" s="1444"/>
      <c r="Z46" s="1444"/>
      <c r="AA46" s="2161"/>
      <c r="AB46" s="151" t="s">
        <v>226</v>
      </c>
      <c r="AC46" s="1444"/>
      <c r="AD46" s="1444"/>
      <c r="AE46" s="1444"/>
      <c r="AF46" s="1444"/>
      <c r="AG46" s="1444"/>
      <c r="AH46" s="1444"/>
      <c r="AI46" s="1444"/>
      <c r="AJ46" s="1444"/>
      <c r="AK46" s="1444"/>
      <c r="AL46" s="1444"/>
      <c r="AM46" s="1444"/>
      <c r="AN46" s="2161"/>
      <c r="AO46" s="11"/>
    </row>
    <row r="47" spans="1:41" ht="15" customHeight="1">
      <c r="A47" s="4"/>
      <c r="B47" s="149"/>
      <c r="C47" s="149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395"/>
      <c r="AB47" s="149" t="s">
        <v>70</v>
      </c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395"/>
      <c r="AO47" s="11"/>
    </row>
    <row r="48" spans="2:41" s="6" customFormat="1" ht="15" customHeight="1">
      <c r="B48" s="155" t="s">
        <v>65</v>
      </c>
      <c r="C48" s="155" t="s">
        <v>64</v>
      </c>
      <c r="D48" s="2182"/>
      <c r="E48" s="2182"/>
      <c r="F48" s="2182"/>
      <c r="G48" s="2182"/>
      <c r="H48" s="2182"/>
      <c r="I48" s="2182"/>
      <c r="J48" s="2182"/>
      <c r="K48" s="2182"/>
      <c r="L48" s="2182"/>
      <c r="M48" s="2182"/>
      <c r="N48" s="2182"/>
      <c r="O48" s="2182"/>
      <c r="P48" s="2182"/>
      <c r="Q48" s="2182"/>
      <c r="R48" s="2182"/>
      <c r="S48" s="2182"/>
      <c r="T48" s="2182"/>
      <c r="U48" s="2182"/>
      <c r="V48" s="2182"/>
      <c r="W48" s="2182"/>
      <c r="X48" s="2182"/>
      <c r="Y48" s="2182"/>
      <c r="Z48" s="2182"/>
      <c r="AA48" s="2183"/>
      <c r="AB48" s="155" t="s">
        <v>66</v>
      </c>
      <c r="AC48" s="2182"/>
      <c r="AD48" s="2182"/>
      <c r="AE48" s="2182"/>
      <c r="AF48" s="2182"/>
      <c r="AG48" s="2182"/>
      <c r="AH48" s="2182"/>
      <c r="AI48" s="2182"/>
      <c r="AJ48" s="2182"/>
      <c r="AK48" s="2182"/>
      <c r="AL48" s="2182"/>
      <c r="AM48" s="2182"/>
      <c r="AN48" s="2183"/>
      <c r="AO48" s="6"/>
    </row>
    <row r="49" spans="1:41" customFormat="1" ht="3" customHeight="1">
      <c r="A49" s="4"/>
      <c r="B49" s="176"/>
      <c r="C49" s="176"/>
      <c r="D49" s="47"/>
      <c r="E49" s="47"/>
      <c r="F49" s="47"/>
      <c r="G49" s="47"/>
      <c r="H49" s="47"/>
      <c r="I49" s="47"/>
      <c r="J49" s="47"/>
      <c r="K49" s="47"/>
      <c r="L49" s="173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160"/>
      <c r="AB49" s="176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67"/>
      <c r="AO49" s="4"/>
    </row>
    <row r="50" spans="1:40" ht="15" customHeight="1">
      <c r="A50" s="4"/>
      <c r="B50" s="149" t="s">
        <v>621</v>
      </c>
      <c r="C50" s="2184" t="s">
        <v>335</v>
      </c>
      <c r="D50" s="396"/>
      <c r="E50" s="396"/>
      <c r="F50" s="396"/>
      <c r="G50" s="396"/>
      <c r="H50" s="396"/>
      <c r="I50" s="396"/>
      <c r="J50" s="396"/>
      <c r="K50" s="396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395"/>
      <c r="AB50" s="810">
        <f>'GENERAL INFO'!O191</f>
        <v>0</v>
      </c>
      <c r="AC50" s="30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27"/>
    </row>
    <row r="51" spans="1:40" ht="15" customHeight="1">
      <c r="A51" s="4"/>
      <c r="B51" s="1337"/>
      <c r="C51" s="2185"/>
      <c r="D51" s="2186"/>
      <c r="E51" s="2186"/>
      <c r="F51" s="2186"/>
      <c r="G51" s="2186"/>
      <c r="H51" s="2186"/>
      <c r="I51" s="2186"/>
      <c r="J51" s="2186"/>
      <c r="K51" s="2186"/>
      <c r="L51" s="2187"/>
      <c r="M51" s="2187"/>
      <c r="N51" s="2187"/>
      <c r="O51" s="2187"/>
      <c r="P51" s="2187"/>
      <c r="Q51" s="2187"/>
      <c r="R51" s="2187"/>
      <c r="S51" s="2187"/>
      <c r="T51" s="2187"/>
      <c r="U51" s="2187"/>
      <c r="V51" s="2187"/>
      <c r="W51" s="2187"/>
      <c r="X51" s="2187"/>
      <c r="Y51" s="2187"/>
      <c r="Z51" s="2187"/>
      <c r="AA51" s="2180"/>
      <c r="AB51" s="625"/>
      <c r="AC51" s="2157"/>
      <c r="AD51" s="2157"/>
      <c r="AE51" s="2157"/>
      <c r="AF51" s="2157"/>
      <c r="AG51" s="2157"/>
      <c r="AH51" s="2157"/>
      <c r="AI51" s="2157"/>
      <c r="AJ51" s="2157"/>
      <c r="AK51" s="2157"/>
      <c r="AL51" s="2157"/>
      <c r="AM51" s="2157"/>
      <c r="AN51" s="333"/>
    </row>
    <row r="52" spans="1:40" ht="3" customHeight="1">
      <c r="A52" s="4"/>
      <c r="B52" s="151"/>
      <c r="C52" s="157" t="s">
        <v>659</v>
      </c>
      <c r="D52" s="158"/>
      <c r="E52" s="158"/>
      <c r="F52" s="158"/>
      <c r="G52" s="158"/>
      <c r="H52" s="158"/>
      <c r="I52" s="158"/>
      <c r="J52" s="158"/>
      <c r="K52" s="158"/>
      <c r="L52" s="159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408"/>
      <c r="AB52" s="2155">
        <f>'GENERAL INFO'!O192</f>
        <v>0</v>
      </c>
      <c r="AC52" s="2156"/>
      <c r="AD52" s="2156"/>
      <c r="AE52" s="2156"/>
      <c r="AF52" s="2156"/>
      <c r="AG52" s="2156"/>
      <c r="AH52" s="2156"/>
      <c r="AI52" s="2156"/>
      <c r="AJ52" s="2156"/>
      <c r="AK52" s="2156"/>
      <c r="AL52" s="2156"/>
      <c r="AM52" s="2156"/>
      <c r="AN52" s="334"/>
    </row>
    <row r="53" spans="1:40" ht="15" customHeight="1">
      <c r="A53" s="4"/>
      <c r="B53" s="398" t="s">
        <v>622</v>
      </c>
      <c r="C53" s="2207" t="s">
        <v>275</v>
      </c>
      <c r="D53" s="2208"/>
      <c r="E53" s="2208"/>
      <c r="F53" s="2208"/>
      <c r="G53" s="2208"/>
      <c r="H53" s="2208"/>
      <c r="I53" s="2208"/>
      <c r="J53" s="2208"/>
      <c r="K53" s="2208"/>
      <c r="L53" s="2208"/>
      <c r="M53" s="2208"/>
      <c r="N53" s="2208"/>
      <c r="O53" s="2208"/>
      <c r="P53" s="2208"/>
      <c r="Q53" s="2208"/>
      <c r="R53" s="2208"/>
      <c r="S53" s="2208"/>
      <c r="T53" s="2208"/>
      <c r="U53" s="2208"/>
      <c r="V53" s="2208"/>
      <c r="W53" s="2208"/>
      <c r="X53" s="2208"/>
      <c r="Y53" s="2208"/>
      <c r="Z53" s="2208"/>
      <c r="AA53" s="2212"/>
      <c r="AB53" s="810"/>
      <c r="AC53" s="302"/>
      <c r="AD53" s="302"/>
      <c r="AE53" s="302"/>
      <c r="AF53" s="302"/>
      <c r="AG53" s="302"/>
      <c r="AH53" s="302"/>
      <c r="AI53" s="302"/>
      <c r="AJ53" s="302"/>
      <c r="AK53" s="302"/>
      <c r="AL53" s="302"/>
      <c r="AM53" s="302"/>
      <c r="AN53" s="327"/>
    </row>
    <row r="54" spans="1:40" ht="15" customHeight="1">
      <c r="A54" s="4"/>
      <c r="B54" s="2211"/>
      <c r="C54" s="2209"/>
      <c r="D54" s="2210"/>
      <c r="E54" s="2210"/>
      <c r="F54" s="2210"/>
      <c r="G54" s="2210"/>
      <c r="H54" s="2210"/>
      <c r="I54" s="2210"/>
      <c r="J54" s="2210"/>
      <c r="K54" s="2210"/>
      <c r="L54" s="2210"/>
      <c r="M54" s="2210"/>
      <c r="N54" s="2210"/>
      <c r="O54" s="2210"/>
      <c r="P54" s="2210"/>
      <c r="Q54" s="2210"/>
      <c r="R54" s="2210"/>
      <c r="S54" s="2210"/>
      <c r="T54" s="2210"/>
      <c r="U54" s="2210"/>
      <c r="V54" s="2210"/>
      <c r="W54" s="2210"/>
      <c r="X54" s="2210"/>
      <c r="Y54" s="2210"/>
      <c r="Z54" s="2210"/>
      <c r="AA54" s="2213"/>
      <c r="AB54" s="625"/>
      <c r="AC54" s="2157"/>
      <c r="AD54" s="2157"/>
      <c r="AE54" s="2157"/>
      <c r="AF54" s="2157"/>
      <c r="AG54" s="2157"/>
      <c r="AH54" s="2157"/>
      <c r="AI54" s="2157"/>
      <c r="AJ54" s="2157"/>
      <c r="AK54" s="2157"/>
      <c r="AL54" s="2157"/>
      <c r="AM54" s="2157"/>
      <c r="AN54" s="333"/>
    </row>
    <row r="55" spans="1:40" ht="3" customHeight="1">
      <c r="A55" s="4"/>
      <c r="B55" s="151"/>
      <c r="C55" s="157"/>
      <c r="D55" s="158"/>
      <c r="E55" s="158"/>
      <c r="F55" s="158"/>
      <c r="G55" s="158"/>
      <c r="H55" s="158"/>
      <c r="I55" s="158"/>
      <c r="J55" s="158"/>
      <c r="K55" s="158"/>
      <c r="L55" s="159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408"/>
      <c r="AB55" s="2155">
        <f>'GENERAL INFO'!O193</f>
        <v>0</v>
      </c>
      <c r="AC55" s="2156"/>
      <c r="AD55" s="2156"/>
      <c r="AE55" s="2156"/>
      <c r="AF55" s="2156"/>
      <c r="AG55" s="2156"/>
      <c r="AH55" s="2156"/>
      <c r="AI55" s="2156"/>
      <c r="AJ55" s="2156"/>
      <c r="AK55" s="2156"/>
      <c r="AL55" s="2156"/>
      <c r="AM55" s="2156"/>
      <c r="AN55" s="334"/>
    </row>
    <row r="56" spans="1:40" ht="15" customHeight="1">
      <c r="A56" s="4"/>
      <c r="B56" s="398" t="s">
        <v>623</v>
      </c>
      <c r="C56" s="2207" t="s">
        <v>660</v>
      </c>
      <c r="D56" s="2208"/>
      <c r="E56" s="2208"/>
      <c r="F56" s="2208"/>
      <c r="G56" s="2208"/>
      <c r="H56" s="2208"/>
      <c r="I56" s="2208"/>
      <c r="J56" s="2208"/>
      <c r="K56" s="2208"/>
      <c r="L56" s="2208"/>
      <c r="M56" s="2208"/>
      <c r="N56" s="2208"/>
      <c r="O56" s="2208"/>
      <c r="P56" s="2208"/>
      <c r="Q56" s="2208"/>
      <c r="R56" s="2208"/>
      <c r="S56" s="2208"/>
      <c r="T56" s="2208"/>
      <c r="U56" s="2208"/>
      <c r="V56" s="2208"/>
      <c r="W56" s="2208"/>
      <c r="X56" s="2208"/>
      <c r="Y56" s="2208"/>
      <c r="Z56" s="2208"/>
      <c r="AA56" s="2212"/>
      <c r="AB56" s="810"/>
      <c r="AC56" s="302"/>
      <c r="AD56" s="302"/>
      <c r="AE56" s="302"/>
      <c r="AF56" s="302"/>
      <c r="AG56" s="302"/>
      <c r="AH56" s="302"/>
      <c r="AI56" s="302"/>
      <c r="AJ56" s="302"/>
      <c r="AK56" s="302"/>
      <c r="AL56" s="302"/>
      <c r="AM56" s="302"/>
      <c r="AN56" s="327"/>
    </row>
    <row r="57" spans="1:40" ht="15" customHeight="1">
      <c r="A57" s="4"/>
      <c r="B57" s="2211"/>
      <c r="C57" s="2209"/>
      <c r="D57" s="2210"/>
      <c r="E57" s="2210"/>
      <c r="F57" s="2210"/>
      <c r="G57" s="2210"/>
      <c r="H57" s="2210"/>
      <c r="I57" s="2210"/>
      <c r="J57" s="2210"/>
      <c r="K57" s="2210"/>
      <c r="L57" s="2210"/>
      <c r="M57" s="2210"/>
      <c r="N57" s="2210"/>
      <c r="O57" s="2210"/>
      <c r="P57" s="2210"/>
      <c r="Q57" s="2210"/>
      <c r="R57" s="2210"/>
      <c r="S57" s="2210"/>
      <c r="T57" s="2210"/>
      <c r="U57" s="2210"/>
      <c r="V57" s="2210"/>
      <c r="W57" s="2210"/>
      <c r="X57" s="2210"/>
      <c r="Y57" s="2210"/>
      <c r="Z57" s="2210"/>
      <c r="AA57" s="2213"/>
      <c r="AB57" s="625"/>
      <c r="AC57" s="2157"/>
      <c r="AD57" s="2157"/>
      <c r="AE57" s="2157"/>
      <c r="AF57" s="2157"/>
      <c r="AG57" s="2157"/>
      <c r="AH57" s="2157"/>
      <c r="AI57" s="2157"/>
      <c r="AJ57" s="2157"/>
      <c r="AK57" s="2157"/>
      <c r="AL57" s="2157"/>
      <c r="AM57" s="2157"/>
      <c r="AN57" s="333"/>
    </row>
    <row r="58" spans="1:40" ht="3" customHeight="1">
      <c r="A58" s="4"/>
      <c r="B58" s="151"/>
      <c r="C58" s="157"/>
      <c r="D58" s="158"/>
      <c r="E58" s="158"/>
      <c r="F58" s="158"/>
      <c r="G58" s="158"/>
      <c r="H58" s="158"/>
      <c r="I58" s="158"/>
      <c r="J58" s="158"/>
      <c r="K58" s="158"/>
      <c r="L58" s="159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408"/>
      <c r="AB58" s="2155">
        <f>'GENERAL INFO'!O194</f>
        <v>0</v>
      </c>
      <c r="AC58" s="2156"/>
      <c r="AD58" s="2156"/>
      <c r="AE58" s="2156"/>
      <c r="AF58" s="2156"/>
      <c r="AG58" s="2156"/>
      <c r="AH58" s="2156"/>
      <c r="AI58" s="2156"/>
      <c r="AJ58" s="2156"/>
      <c r="AK58" s="2156"/>
      <c r="AL58" s="2156"/>
      <c r="AM58" s="2156"/>
      <c r="AN58" s="334"/>
    </row>
    <row r="59" spans="1:40" ht="15" customHeight="1">
      <c r="A59" s="4"/>
      <c r="B59" s="149" t="s">
        <v>624</v>
      </c>
      <c r="C59" s="2240" t="s">
        <v>575</v>
      </c>
      <c r="D59" s="1458"/>
      <c r="E59" s="1458"/>
      <c r="F59" s="1458"/>
      <c r="G59" s="1458"/>
      <c r="H59" s="1458"/>
      <c r="I59" s="1458"/>
      <c r="J59" s="1458"/>
      <c r="K59" s="1458"/>
      <c r="L59" s="1458"/>
      <c r="M59" s="1458"/>
      <c r="N59" s="1458"/>
      <c r="O59" s="1458"/>
      <c r="P59" s="1458"/>
      <c r="Q59" s="1458"/>
      <c r="R59" s="1458"/>
      <c r="S59" s="1458"/>
      <c r="T59" s="1458"/>
      <c r="U59" s="1458"/>
      <c r="V59" s="1458"/>
      <c r="W59" s="1458"/>
      <c r="X59" s="1458"/>
      <c r="Y59" s="1458"/>
      <c r="Z59" s="1458"/>
      <c r="AA59" s="2241"/>
      <c r="AB59" s="810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27"/>
    </row>
    <row r="60" spans="1:40" ht="15" customHeight="1">
      <c r="A60" s="4"/>
      <c r="B60" s="1337"/>
      <c r="C60" s="855"/>
      <c r="D60" s="856"/>
      <c r="E60" s="856"/>
      <c r="F60" s="856"/>
      <c r="G60" s="856"/>
      <c r="H60" s="856"/>
      <c r="I60" s="856"/>
      <c r="J60" s="856"/>
      <c r="K60" s="856"/>
      <c r="L60" s="856"/>
      <c r="M60" s="856"/>
      <c r="N60" s="856"/>
      <c r="O60" s="856"/>
      <c r="P60" s="856"/>
      <c r="Q60" s="856"/>
      <c r="R60" s="856"/>
      <c r="S60" s="856"/>
      <c r="T60" s="856"/>
      <c r="U60" s="856"/>
      <c r="V60" s="856"/>
      <c r="W60" s="856"/>
      <c r="X60" s="856"/>
      <c r="Y60" s="856"/>
      <c r="Z60" s="856"/>
      <c r="AA60" s="857"/>
      <c r="AB60" s="625"/>
      <c r="AC60" s="2157"/>
      <c r="AD60" s="2157"/>
      <c r="AE60" s="2157"/>
      <c r="AF60" s="2157"/>
      <c r="AG60" s="2157"/>
      <c r="AH60" s="2157"/>
      <c r="AI60" s="2157"/>
      <c r="AJ60" s="2157"/>
      <c r="AK60" s="2157"/>
      <c r="AL60" s="2157"/>
      <c r="AM60" s="2157"/>
      <c r="AN60" s="333"/>
    </row>
    <row r="61" spans="1:40" ht="3" customHeight="1">
      <c r="A61" s="4"/>
      <c r="B61" s="151"/>
      <c r="C61" s="157"/>
      <c r="D61" s="158"/>
      <c r="E61" s="158"/>
      <c r="F61" s="158"/>
      <c r="G61" s="158"/>
      <c r="H61" s="158"/>
      <c r="I61" s="158"/>
      <c r="J61" s="158"/>
      <c r="K61" s="158"/>
      <c r="L61" s="159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408"/>
      <c r="AB61" s="2155">
        <f>'GENERAL INFO'!O195</f>
        <v>0</v>
      </c>
      <c r="AC61" s="2156"/>
      <c r="AD61" s="2156"/>
      <c r="AE61" s="2156"/>
      <c r="AF61" s="2156"/>
      <c r="AG61" s="2156"/>
      <c r="AH61" s="2156"/>
      <c r="AI61" s="2156"/>
      <c r="AJ61" s="2156"/>
      <c r="AK61" s="2156"/>
      <c r="AL61" s="2156"/>
      <c r="AM61" s="2156"/>
      <c r="AN61" s="334"/>
    </row>
    <row r="62" spans="1:47" ht="15" customHeight="1">
      <c r="A62" s="4"/>
      <c r="B62" s="149" t="s">
        <v>625</v>
      </c>
      <c r="C62" s="2184" t="s">
        <v>720</v>
      </c>
      <c r="D62" s="396"/>
      <c r="E62" s="396"/>
      <c r="F62" s="396"/>
      <c r="G62" s="396"/>
      <c r="H62" s="396"/>
      <c r="I62" s="396"/>
      <c r="J62" s="396"/>
      <c r="K62" s="396"/>
      <c r="L62" s="396"/>
      <c r="M62" s="396"/>
      <c r="N62" s="396"/>
      <c r="O62" s="396"/>
      <c r="P62" s="396"/>
      <c r="Q62" s="396"/>
      <c r="R62" s="396"/>
      <c r="S62" s="396"/>
      <c r="T62" s="396"/>
      <c r="U62" s="396"/>
      <c r="V62" s="396"/>
      <c r="W62" s="396"/>
      <c r="X62" s="396"/>
      <c r="Y62" s="396"/>
      <c r="Z62" s="396"/>
      <c r="AA62" s="402"/>
      <c r="AB62" s="810"/>
      <c r="AC62" s="302"/>
      <c r="AD62" s="302"/>
      <c r="AE62" s="302"/>
      <c r="AF62" s="302"/>
      <c r="AG62" s="302"/>
      <c r="AH62" s="302"/>
      <c r="AI62" s="302"/>
      <c r="AJ62" s="302"/>
      <c r="AK62" s="302"/>
      <c r="AL62" s="302"/>
      <c r="AM62" s="302"/>
      <c r="AN62" s="327"/>
      <c r="AU62" s="3036" t="s">
        <v>1147</v>
      </c>
    </row>
    <row r="63" spans="1:40" ht="15" customHeight="1">
      <c r="A63" s="4"/>
      <c r="B63" s="1337"/>
      <c r="C63" s="2185"/>
      <c r="D63" s="2186"/>
      <c r="E63" s="2186"/>
      <c r="F63" s="2186"/>
      <c r="G63" s="2186"/>
      <c r="H63" s="2186"/>
      <c r="I63" s="2186"/>
      <c r="J63" s="2186"/>
      <c r="K63" s="2186"/>
      <c r="L63" s="2186"/>
      <c r="M63" s="2186"/>
      <c r="N63" s="2186"/>
      <c r="O63" s="2186"/>
      <c r="P63" s="2186"/>
      <c r="Q63" s="2186"/>
      <c r="R63" s="2186"/>
      <c r="S63" s="2186"/>
      <c r="T63" s="2186"/>
      <c r="U63" s="2186"/>
      <c r="V63" s="2186"/>
      <c r="W63" s="2186"/>
      <c r="X63" s="2186"/>
      <c r="Y63" s="2186"/>
      <c r="Z63" s="2186"/>
      <c r="AA63" s="2188"/>
      <c r="AB63" s="625"/>
      <c r="AC63" s="2157"/>
      <c r="AD63" s="2157"/>
      <c r="AE63" s="2157"/>
      <c r="AF63" s="2157"/>
      <c r="AG63" s="2157"/>
      <c r="AH63" s="2157"/>
      <c r="AI63" s="2157"/>
      <c r="AJ63" s="2157"/>
      <c r="AK63" s="2157"/>
      <c r="AL63" s="2157"/>
      <c r="AM63" s="2157"/>
      <c r="AN63" s="333"/>
    </row>
    <row r="64" spans="1:40" ht="3" customHeight="1">
      <c r="A64" s="4"/>
      <c r="B64" s="149"/>
      <c r="C64" s="163"/>
      <c r="D64" s="15"/>
      <c r="E64" s="15"/>
      <c r="F64" s="15"/>
      <c r="G64" s="15"/>
      <c r="H64" s="15"/>
      <c r="I64" s="15"/>
      <c r="J64" s="15"/>
      <c r="K64" s="15"/>
      <c r="L64" s="6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4"/>
      <c r="AB64" s="810">
        <f>'GENERAL INFO'!O196</f>
        <v>0</v>
      </c>
      <c r="AC64" s="302"/>
      <c r="AD64" s="302"/>
      <c r="AE64" s="302"/>
      <c r="AF64" s="302"/>
      <c r="AG64" s="302"/>
      <c r="AH64" s="302"/>
      <c r="AI64" s="302"/>
      <c r="AJ64" s="302"/>
      <c r="AK64" s="302"/>
      <c r="AL64" s="302"/>
      <c r="AM64" s="302"/>
      <c r="AN64" s="327"/>
    </row>
    <row r="65" spans="1:40" ht="15" customHeight="1">
      <c r="A65" s="4"/>
      <c r="B65" s="149" t="s">
        <v>626</v>
      </c>
      <c r="C65" s="2184" t="s">
        <v>276</v>
      </c>
      <c r="D65" s="396"/>
      <c r="E65" s="396"/>
      <c r="F65" s="396"/>
      <c r="G65" s="396"/>
      <c r="H65" s="396"/>
      <c r="I65" s="396"/>
      <c r="J65" s="396"/>
      <c r="K65" s="396"/>
      <c r="L65" s="396"/>
      <c r="M65" s="396"/>
      <c r="N65" s="396"/>
      <c r="O65" s="396"/>
      <c r="P65" s="396"/>
      <c r="Q65" s="396"/>
      <c r="R65" s="396"/>
      <c r="S65" s="396"/>
      <c r="T65" s="396"/>
      <c r="U65" s="396"/>
      <c r="V65" s="396"/>
      <c r="W65" s="396"/>
      <c r="X65" s="396"/>
      <c r="Y65" s="396"/>
      <c r="Z65" s="396"/>
      <c r="AA65" s="402"/>
      <c r="AB65" s="810"/>
      <c r="AC65" s="302"/>
      <c r="AD65" s="302"/>
      <c r="AE65" s="302"/>
      <c r="AF65" s="302"/>
      <c r="AG65" s="302"/>
      <c r="AH65" s="302"/>
      <c r="AI65" s="302"/>
      <c r="AJ65" s="302"/>
      <c r="AK65" s="302"/>
      <c r="AL65" s="302"/>
      <c r="AM65" s="302"/>
      <c r="AN65" s="327"/>
    </row>
    <row r="66" spans="1:40" ht="15" customHeight="1">
      <c r="A66" s="4"/>
      <c r="B66" s="149"/>
      <c r="C66" s="2184"/>
      <c r="D66" s="396"/>
      <c r="E66" s="396"/>
      <c r="F66" s="396"/>
      <c r="G66" s="396"/>
      <c r="H66" s="396"/>
      <c r="I66" s="396"/>
      <c r="J66" s="396"/>
      <c r="K66" s="396"/>
      <c r="L66" s="396"/>
      <c r="M66" s="396"/>
      <c r="N66" s="396"/>
      <c r="O66" s="396"/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396"/>
      <c r="AA66" s="402"/>
      <c r="AB66" s="625"/>
      <c r="AC66" s="2157"/>
      <c r="AD66" s="2157"/>
      <c r="AE66" s="2157"/>
      <c r="AF66" s="2157"/>
      <c r="AG66" s="2157"/>
      <c r="AH66" s="2157"/>
      <c r="AI66" s="2157"/>
      <c r="AJ66" s="2157"/>
      <c r="AK66" s="2157"/>
      <c r="AL66" s="2157"/>
      <c r="AM66" s="2157"/>
      <c r="AN66" s="333"/>
    </row>
    <row r="67" spans="1:40" ht="3" customHeight="1">
      <c r="A67" s="4"/>
      <c r="B67" s="151"/>
      <c r="C67" s="157"/>
      <c r="D67" s="158"/>
      <c r="E67" s="158"/>
      <c r="F67" s="158"/>
      <c r="G67" s="158"/>
      <c r="H67" s="158"/>
      <c r="I67" s="158"/>
      <c r="J67" s="158"/>
      <c r="K67" s="158"/>
      <c r="L67" s="159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1" t="s">
        <v>580</v>
      </c>
      <c r="AA67" s="2161"/>
      <c r="AB67" s="2155">
        <f>'GENERAL INFO'!O198</f>
        <v>0</v>
      </c>
      <c r="AC67" s="2156"/>
      <c r="AD67" s="2156"/>
      <c r="AE67" s="2156"/>
      <c r="AF67" s="2156"/>
      <c r="AG67" s="2156"/>
      <c r="AH67" s="2156"/>
      <c r="AI67" s="2156"/>
      <c r="AJ67" s="2156"/>
      <c r="AK67" s="2156"/>
      <c r="AL67" s="2156"/>
      <c r="AM67" s="2156"/>
      <c r="AN67" s="334"/>
    </row>
    <row r="68" spans="1:40" ht="15" customHeight="1">
      <c r="A68" s="4"/>
      <c r="B68" s="149"/>
      <c r="C68" s="149" t="s">
        <v>231</v>
      </c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395"/>
      <c r="Z68" s="149"/>
      <c r="AA68" s="395"/>
      <c r="AB68" s="810"/>
      <c r="AC68" s="302"/>
      <c r="AD68" s="302"/>
      <c r="AE68" s="302"/>
      <c r="AF68" s="302"/>
      <c r="AG68" s="302"/>
      <c r="AH68" s="302"/>
      <c r="AI68" s="302"/>
      <c r="AJ68" s="302"/>
      <c r="AK68" s="302"/>
      <c r="AL68" s="302"/>
      <c r="AM68" s="302"/>
      <c r="AN68" s="327"/>
    </row>
    <row r="69" spans="1:40" ht="15" customHeight="1">
      <c r="A69" s="4"/>
      <c r="B69" s="1337"/>
      <c r="C69" s="1337"/>
      <c r="D69" s="2187"/>
      <c r="E69" s="2187"/>
      <c r="F69" s="2187"/>
      <c r="G69" s="2187"/>
      <c r="H69" s="2187"/>
      <c r="I69" s="2187"/>
      <c r="J69" s="2187"/>
      <c r="K69" s="2187"/>
      <c r="L69" s="2187"/>
      <c r="M69" s="2187"/>
      <c r="N69" s="2187"/>
      <c r="O69" s="2187"/>
      <c r="P69" s="2187"/>
      <c r="Q69" s="2187"/>
      <c r="R69" s="2187"/>
      <c r="S69" s="2187"/>
      <c r="T69" s="2187"/>
      <c r="U69" s="2187"/>
      <c r="V69" s="2187"/>
      <c r="W69" s="2187"/>
      <c r="X69" s="2187"/>
      <c r="Y69" s="2180"/>
      <c r="Z69" s="1337"/>
      <c r="AA69" s="2180"/>
      <c r="AB69" s="625"/>
      <c r="AC69" s="2157"/>
      <c r="AD69" s="2157"/>
      <c r="AE69" s="2157"/>
      <c r="AF69" s="2157"/>
      <c r="AG69" s="2157"/>
      <c r="AH69" s="2157"/>
      <c r="AI69" s="2157"/>
      <c r="AJ69" s="2157"/>
      <c r="AK69" s="2157"/>
      <c r="AL69" s="2157"/>
      <c r="AM69" s="2157"/>
      <c r="AN69" s="333"/>
    </row>
    <row r="70" spans="1:40" ht="3" customHeight="1">
      <c r="A70" s="4"/>
      <c r="B70" s="140"/>
      <c r="C70" s="140"/>
      <c r="D70" s="141"/>
      <c r="E70" s="141"/>
      <c r="F70" s="141"/>
      <c r="G70" s="141"/>
      <c r="H70" s="141"/>
      <c r="I70" s="141"/>
      <c r="J70" s="141"/>
      <c r="K70" s="141"/>
      <c r="L70" s="140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</row>
    <row r="71" spans="1:40" ht="12" customHeight="1">
      <c r="A71" s="4"/>
      <c r="B71" s="17"/>
      <c r="C71" s="17"/>
      <c r="D71" s="11"/>
      <c r="E71" s="11"/>
      <c r="F71" s="11"/>
      <c r="G71" s="11"/>
      <c r="H71" s="11"/>
      <c r="I71" s="11"/>
      <c r="J71" s="11"/>
      <c r="K71" s="11"/>
      <c r="L71" s="17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5" customHeight="1">
      <c r="A73" s="4"/>
      <c r="B73" s="75" t="s">
        <v>232</v>
      </c>
      <c r="C73" s="75"/>
      <c r="D73" s="75"/>
      <c r="E73" s="75"/>
      <c r="F73" s="75" t="s">
        <v>664</v>
      </c>
      <c r="G73" s="75"/>
      <c r="H73" s="75"/>
      <c r="I73" s="75"/>
      <c r="J73" s="75"/>
      <c r="K73" s="75"/>
      <c r="L73" s="76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81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3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3" customHeight="1">
      <c r="A75" s="4"/>
      <c r="B75" s="92"/>
      <c r="C75" s="4"/>
      <c r="D75" s="4"/>
      <c r="E75" s="4"/>
      <c r="F75" s="4"/>
      <c r="G75" s="4"/>
      <c r="H75" s="4"/>
      <c r="I75" s="4"/>
      <c r="J75" s="4"/>
      <c r="K75" s="4"/>
      <c r="L75" s="4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91"/>
      <c r="AO75" s="4"/>
    </row>
    <row r="76" spans="1:41" ht="15" customHeight="1">
      <c r="A76" s="4"/>
      <c r="B76" s="151" t="s">
        <v>84</v>
      </c>
      <c r="C76" s="156" t="s">
        <v>233</v>
      </c>
      <c r="D76" s="159"/>
      <c r="E76" s="159"/>
      <c r="F76" s="159"/>
      <c r="G76" s="159"/>
      <c r="H76" s="159"/>
      <c r="I76" s="159"/>
      <c r="J76" s="159"/>
      <c r="K76" s="2162"/>
      <c r="L76" s="1444" t="s">
        <v>594</v>
      </c>
      <c r="M76" s="1444"/>
      <c r="N76" s="1444"/>
      <c r="O76" s="1444"/>
      <c r="P76" s="1444"/>
      <c r="Q76" s="1444"/>
      <c r="R76" s="1444"/>
      <c r="S76" s="1444"/>
      <c r="T76" s="156" t="s">
        <v>596</v>
      </c>
      <c r="U76" s="159"/>
      <c r="V76" s="159"/>
      <c r="W76" s="159"/>
      <c r="X76" s="159"/>
      <c r="Y76" s="159"/>
      <c r="Z76" s="159"/>
      <c r="AA76" s="2162"/>
      <c r="AB76" s="156" t="s">
        <v>237</v>
      </c>
      <c r="AC76" s="159"/>
      <c r="AD76" s="159"/>
      <c r="AE76" s="159"/>
      <c r="AF76" s="2162"/>
      <c r="AG76" s="159" t="s">
        <v>259</v>
      </c>
      <c r="AH76" s="159"/>
      <c r="AI76" s="159"/>
      <c r="AJ76" s="159"/>
      <c r="AK76" s="159"/>
      <c r="AL76" s="159"/>
      <c r="AM76" s="159"/>
      <c r="AN76" s="2162"/>
      <c r="AO76" s="4"/>
    </row>
    <row r="77" spans="1:41" ht="15" customHeight="1">
      <c r="A77" s="4"/>
      <c r="B77" s="149"/>
      <c r="C77" s="149" t="s">
        <v>234</v>
      </c>
      <c r="D77" s="71"/>
      <c r="E77" s="71"/>
      <c r="F77" s="71"/>
      <c r="G77" s="71"/>
      <c r="H77" s="71"/>
      <c r="I77" s="71"/>
      <c r="J77" s="71"/>
      <c r="K77" s="395"/>
      <c r="L77" s="71" t="s">
        <v>595</v>
      </c>
      <c r="M77" s="71"/>
      <c r="N77" s="71"/>
      <c r="O77" s="71"/>
      <c r="P77" s="71"/>
      <c r="Q77" s="71"/>
      <c r="R77" s="71"/>
      <c r="S77" s="71"/>
      <c r="T77" s="164" t="s">
        <v>235</v>
      </c>
      <c r="U77" s="69"/>
      <c r="V77" s="69"/>
      <c r="W77" s="69"/>
      <c r="X77" s="69"/>
      <c r="Y77" s="69"/>
      <c r="Z77" s="69"/>
      <c r="AA77" s="2181"/>
      <c r="AB77" s="164" t="s">
        <v>238</v>
      </c>
      <c r="AC77" s="69"/>
      <c r="AD77" s="69"/>
      <c r="AE77" s="69"/>
      <c r="AF77" s="2181"/>
      <c r="AG77" s="71" t="s">
        <v>260</v>
      </c>
      <c r="AH77" s="71"/>
      <c r="AI77" s="71"/>
      <c r="AJ77" s="71"/>
      <c r="AK77" s="71"/>
      <c r="AL77" s="71"/>
      <c r="AM77" s="71"/>
      <c r="AN77" s="395"/>
      <c r="AO77" s="4"/>
    </row>
    <row r="78" spans="1:41" ht="15" customHeight="1">
      <c r="A78" s="4"/>
      <c r="B78" s="149"/>
      <c r="C78" s="149"/>
      <c r="D78" s="71"/>
      <c r="E78" s="71"/>
      <c r="F78" s="71"/>
      <c r="G78" s="71"/>
      <c r="H78" s="71"/>
      <c r="I78" s="71"/>
      <c r="J78" s="71"/>
      <c r="K78" s="395"/>
      <c r="L78" s="71"/>
      <c r="M78" s="71"/>
      <c r="N78" s="71"/>
      <c r="O78" s="71"/>
      <c r="P78" s="71"/>
      <c r="Q78" s="71"/>
      <c r="R78" s="71"/>
      <c r="S78" s="71"/>
      <c r="T78" s="2214" t="s">
        <v>236</v>
      </c>
      <c r="U78" s="2215"/>
      <c r="V78" s="2215"/>
      <c r="W78" s="2215"/>
      <c r="X78" s="2214" t="s">
        <v>216</v>
      </c>
      <c r="Y78" s="2215"/>
      <c r="Z78" s="2215"/>
      <c r="AA78" s="2216"/>
      <c r="AB78" s="164" t="s">
        <v>662</v>
      </c>
      <c r="AC78" s="69"/>
      <c r="AD78" s="69"/>
      <c r="AE78" s="69"/>
      <c r="AF78" s="2181"/>
      <c r="AG78" s="71"/>
      <c r="AH78" s="71"/>
      <c r="AI78" s="71"/>
      <c r="AJ78" s="71"/>
      <c r="AK78" s="71"/>
      <c r="AL78" s="71"/>
      <c r="AM78" s="71"/>
      <c r="AN78" s="395"/>
      <c r="AO78" s="4"/>
    </row>
    <row r="79" spans="1:41" ht="3" customHeight="1">
      <c r="A79" s="4"/>
      <c r="B79" s="171"/>
      <c r="C79" s="172"/>
      <c r="D79" s="141"/>
      <c r="E79" s="141"/>
      <c r="F79" s="141"/>
      <c r="G79" s="141"/>
      <c r="H79" s="141"/>
      <c r="I79" s="141"/>
      <c r="J79" s="141"/>
      <c r="K79" s="143"/>
      <c r="L79" s="173"/>
      <c r="M79" s="47"/>
      <c r="N79" s="47"/>
      <c r="O79" s="47"/>
      <c r="P79" s="174"/>
      <c r="Q79" s="175"/>
      <c r="R79" s="175"/>
      <c r="S79" s="47"/>
      <c r="T79" s="2191" t="s">
        <v>67</v>
      </c>
      <c r="U79" s="2192"/>
      <c r="V79" s="2192"/>
      <c r="W79" s="2193"/>
      <c r="X79" s="2192" t="s">
        <v>68</v>
      </c>
      <c r="Y79" s="2192"/>
      <c r="Z79" s="2192"/>
      <c r="AA79" s="2192"/>
      <c r="AB79" s="176"/>
      <c r="AC79" s="175"/>
      <c r="AD79" s="177"/>
      <c r="AE79" s="175"/>
      <c r="AF79" s="178"/>
      <c r="AG79" s="175"/>
      <c r="AH79" s="47"/>
      <c r="AI79" s="47"/>
      <c r="AJ79" s="47"/>
      <c r="AK79" s="47"/>
      <c r="AL79" s="47"/>
      <c r="AM79" s="47"/>
      <c r="AN79" s="160"/>
      <c r="AO79" s="4"/>
    </row>
    <row r="80" spans="2:40" s="72" customFormat="1" ht="15" customHeight="1">
      <c r="B80" s="179" t="s">
        <v>65</v>
      </c>
      <c r="C80" s="179" t="s">
        <v>64</v>
      </c>
      <c r="D80" s="2189"/>
      <c r="E80" s="2189"/>
      <c r="F80" s="2189"/>
      <c r="G80" s="2189"/>
      <c r="H80" s="2189"/>
      <c r="I80" s="2189"/>
      <c r="J80" s="2189"/>
      <c r="K80" s="2190"/>
      <c r="L80" s="2189" t="s">
        <v>66</v>
      </c>
      <c r="M80" s="2189"/>
      <c r="N80" s="2189"/>
      <c r="O80" s="2189"/>
      <c r="P80" s="2189"/>
      <c r="Q80" s="2189"/>
      <c r="R80" s="2189"/>
      <c r="S80" s="2189"/>
      <c r="T80" s="179"/>
      <c r="U80" s="2189"/>
      <c r="V80" s="2189"/>
      <c r="W80" s="2190"/>
      <c r="X80" s="2189"/>
      <c r="Y80" s="2189"/>
      <c r="Z80" s="2189"/>
      <c r="AA80" s="2189"/>
      <c r="AB80" s="179" t="s">
        <v>99</v>
      </c>
      <c r="AC80" s="2189"/>
      <c r="AD80" s="2189"/>
      <c r="AE80" s="2189"/>
      <c r="AF80" s="2190"/>
      <c r="AG80" s="2189" t="s">
        <v>149</v>
      </c>
      <c r="AH80" s="2189"/>
      <c r="AI80" s="2189"/>
      <c r="AJ80" s="2189"/>
      <c r="AK80" s="2189"/>
      <c r="AL80" s="2189"/>
      <c r="AM80" s="2189"/>
      <c r="AN80" s="2190"/>
    </row>
    <row r="81" spans="1:55" ht="15" customHeight="1">
      <c r="A81" s="4"/>
      <c r="B81" s="1341" t="s">
        <v>621</v>
      </c>
      <c r="C81" s="1338">
        <f>IF(AND(taxyear&gt;="2018",_art24&gt;0),"-",IF(AND(taxyear&lt;"2018",_art24&gt;0),"Please refer to separate attachment",employer1))</f>
        <v>0</v>
      </c>
      <c r="D81" s="1339"/>
      <c r="E81" s="1339"/>
      <c r="F81" s="1339"/>
      <c r="G81" s="1339"/>
      <c r="H81" s="1339"/>
      <c r="I81" s="1339"/>
      <c r="J81" s="1339"/>
      <c r="K81" s="1340"/>
      <c r="L81" s="2225" t="str">
        <f>IF(_art24&gt;0,"-",IF(LEN(emp_taxID1)&gt;1,CONCATENATE(MID(emp_taxID1,1,2),".",MID(emp_taxID1,3,3),".",MID(emp_taxID1,6,3),".",MID(emp_taxID1,9,1),"-",MID(emp_taxID1,10,3),".",MID(emp_taxID1,13,3)),"-"))</f>
        <v>-</v>
      </c>
      <c r="M81" s="1342"/>
      <c r="N81" s="1342"/>
      <c r="O81" s="1342"/>
      <c r="P81" s="1342"/>
      <c r="Q81" s="1342"/>
      <c r="R81" s="1342"/>
      <c r="S81" s="2226"/>
      <c r="T81" s="1389" t="str">
        <f>IF(_art24&gt;0,"-",IF(LEN(slip01)&gt;1,CONCATENATE(MID(slip01,1,1),".",MID(slip01,2,1),"-",MID(slip01,3,2),".",MID(slip01,5,2),"-",MID(slip01,7,7)),"-"))</f>
        <v>-</v>
      </c>
      <c r="U81" s="1343"/>
      <c r="V81" s="1343"/>
      <c r="W81" s="1344"/>
      <c r="X81" s="2197">
        <f>IF('GENERAL INFO'!K6="X",IF(_art24&gt;0,"-",'GENERAL INFO'!G113),"-")</f>
        <v>0</v>
      </c>
      <c r="Y81" s="2198"/>
      <c r="Z81" s="2198"/>
      <c r="AA81" s="2199"/>
      <c r="AB81" s="1334" t="str">
        <f>IF(_art24&gt;0,"24","21")</f>
        <v>21</v>
      </c>
      <c r="AC81" s="1335"/>
      <c r="AD81" s="1335"/>
      <c r="AE81" s="1335"/>
      <c r="AF81" s="1336"/>
      <c r="AG81" s="2155">
        <f>IF(_art24&gt;0,_art24,'GENERAL INFO'!G147)</f>
        <v>0</v>
      </c>
      <c r="AH81" s="2156"/>
      <c r="AI81" s="2156"/>
      <c r="AJ81" s="2156"/>
      <c r="AK81" s="2156"/>
      <c r="AL81" s="2156"/>
      <c r="AM81" s="2156"/>
      <c r="AN81" s="334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15" customHeight="1">
      <c r="A82" s="4"/>
      <c r="B82" s="2211"/>
      <c r="C82" s="2194"/>
      <c r="D82" s="2195"/>
      <c r="E82" s="2195"/>
      <c r="F82" s="2195"/>
      <c r="G82" s="2195"/>
      <c r="H82" s="2195"/>
      <c r="I82" s="2195"/>
      <c r="J82" s="2195"/>
      <c r="K82" s="2196"/>
      <c r="L82" s="2227"/>
      <c r="M82" s="2228"/>
      <c r="N82" s="2228"/>
      <c r="O82" s="2228"/>
      <c r="P82" s="2228"/>
      <c r="Q82" s="2228"/>
      <c r="R82" s="2228"/>
      <c r="S82" s="2229"/>
      <c r="T82" s="2219"/>
      <c r="U82" s="2220"/>
      <c r="V82" s="2220"/>
      <c r="W82" s="2221"/>
      <c r="X82" s="2200"/>
      <c r="Y82" s="2201"/>
      <c r="Z82" s="2201"/>
      <c r="AA82" s="2202"/>
      <c r="AB82" s="2166"/>
      <c r="AC82" s="2167"/>
      <c r="AD82" s="2167"/>
      <c r="AE82" s="2167"/>
      <c r="AF82" s="2168"/>
      <c r="AG82" s="625"/>
      <c r="AH82" s="2157"/>
      <c r="AI82" s="2157"/>
      <c r="AJ82" s="2157"/>
      <c r="AK82" s="2157"/>
      <c r="AL82" s="2157"/>
      <c r="AM82" s="2157"/>
      <c r="AN82" s="333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15" customHeight="1">
      <c r="A83" s="4"/>
      <c r="B83" s="1341" t="s">
        <v>622</v>
      </c>
      <c r="C83" s="1338" t="str">
        <f>IF(AB81="24",employer1,IF(employer2="","-",employer2))</f>
        <v>-</v>
      </c>
      <c r="D83" s="1339"/>
      <c r="E83" s="1339"/>
      <c r="F83" s="1339"/>
      <c r="G83" s="1339"/>
      <c r="H83" s="1339"/>
      <c r="I83" s="1339"/>
      <c r="J83" s="1339"/>
      <c r="K83" s="1340"/>
      <c r="L83" s="2225" t="str">
        <f>IF(AB81="24",CONCATENATE(MID(emp_taxID1,1,2),".",MID(emp_taxID1,3,3),".",MID(emp_taxID1,6,3),".",MID(emp_taxID1,9,1),"-",MID(emp_taxID1,10,3),".",MID(emp_taxID1,13,3)),IF(LEN(emp_taxID2)&gt;1,CONCATENATE(MID(emp_taxID2,1,2),".",MID(emp_taxID2,3,3),".",MID(emp_taxID2,6,3),".",MID(emp_taxID2,9,1),"-",MID(emp_taxID2,10,3),".",MID(emp_taxID2,13,3)),"-"))</f>
        <v>-</v>
      </c>
      <c r="M83" s="1342"/>
      <c r="N83" s="1342"/>
      <c r="O83" s="1342"/>
      <c r="P83" s="1342"/>
      <c r="Q83" s="1342"/>
      <c r="R83" s="1342"/>
      <c r="S83" s="2226"/>
      <c r="T83" s="1389" t="str">
        <f>IF(AB81="24",IF(LEN(slip01)&gt;1,CONCATENATE(MID(slip01,1,1)&amp;"."&amp;MID(slip01,2,1)&amp;"-"&amp;MID(slip01,3,2)&amp;"."&amp;MID(slip01,5,2)&amp;"-"&amp;MID(slip01,7,7)),"-"),IF(LEN(slip02)&gt;1,CONCATENATE(MID(slip02,1,1)&amp;"."&amp;MID(slip02,2,1)&amp;"-"&amp;MID(slip02,3,2)&amp;"."&amp;MID(slip02,5,2)&amp;"-"&amp;MID(slip02,7,7)),"-"))</f>
        <v>-</v>
      </c>
      <c r="U83" s="1343"/>
      <c r="V83" s="1343"/>
      <c r="W83" s="1344"/>
      <c r="X83" s="2197" t="str">
        <f>IF(AB81="24",'GENERAL INFO'!G113,IF(C83="-","-",'GENERAL INFO'!L113))</f>
        <v>-</v>
      </c>
      <c r="Y83" s="2198"/>
      <c r="Z83" s="2198"/>
      <c r="AA83" s="2199"/>
      <c r="AB83" s="2155" t="str">
        <f>IF(AND(AB81="24",OR('GENERAL INFO'!G147&gt;0,'GENERAL INFO'!L147)),"21","-")</f>
        <v>-</v>
      </c>
      <c r="AC83" s="2156"/>
      <c r="AD83" s="2156"/>
      <c r="AE83" s="2156"/>
      <c r="AF83" s="2169"/>
      <c r="AG83" s="2155">
        <f>IF(AB81="24",'GENERAL INFO'!G147,'GENERAL INFO'!L147)</f>
        <v>0</v>
      </c>
      <c r="AH83" s="2156"/>
      <c r="AI83" s="2156"/>
      <c r="AJ83" s="2156"/>
      <c r="AK83" s="2156"/>
      <c r="AL83" s="2156"/>
      <c r="AM83" s="2156"/>
      <c r="AN83" s="334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15" customHeight="1">
      <c r="A84" s="4"/>
      <c r="B84" s="2211"/>
      <c r="C84" s="2194"/>
      <c r="D84" s="2195"/>
      <c r="E84" s="2195"/>
      <c r="F84" s="2195"/>
      <c r="G84" s="2195"/>
      <c r="H84" s="2195"/>
      <c r="I84" s="2195"/>
      <c r="J84" s="2195"/>
      <c r="K84" s="2196"/>
      <c r="L84" s="2227"/>
      <c r="M84" s="2228"/>
      <c r="N84" s="2228"/>
      <c r="O84" s="2228"/>
      <c r="P84" s="2228"/>
      <c r="Q84" s="2228"/>
      <c r="R84" s="2228"/>
      <c r="S84" s="2229"/>
      <c r="T84" s="2219"/>
      <c r="U84" s="2220"/>
      <c r="V84" s="2220"/>
      <c r="W84" s="2221"/>
      <c r="X84" s="2200"/>
      <c r="Y84" s="2201"/>
      <c r="Z84" s="2201"/>
      <c r="AA84" s="2202"/>
      <c r="AB84" s="625"/>
      <c r="AC84" s="2157"/>
      <c r="AD84" s="2157"/>
      <c r="AE84" s="2157"/>
      <c r="AF84" s="2170"/>
      <c r="AG84" s="625"/>
      <c r="AH84" s="2157"/>
      <c r="AI84" s="2157"/>
      <c r="AJ84" s="2157"/>
      <c r="AK84" s="2157"/>
      <c r="AL84" s="2157"/>
      <c r="AM84" s="2157"/>
      <c r="AN84" s="333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" customHeight="1">
      <c r="A85" s="4"/>
      <c r="B85" s="151"/>
      <c r="C85" s="1338"/>
      <c r="D85" s="1339"/>
      <c r="E85" s="1339"/>
      <c r="F85" s="1339"/>
      <c r="G85" s="1339"/>
      <c r="H85" s="1339"/>
      <c r="I85" s="1339"/>
      <c r="J85" s="1339"/>
      <c r="K85" s="1340"/>
      <c r="L85" s="1342"/>
      <c r="M85" s="1342"/>
      <c r="N85" s="1342"/>
      <c r="O85" s="1342"/>
      <c r="P85" s="1342"/>
      <c r="Q85" s="1342"/>
      <c r="R85" s="1342"/>
      <c r="S85" s="1342"/>
      <c r="T85" s="1389"/>
      <c r="U85" s="1343"/>
      <c r="V85" s="1343"/>
      <c r="W85" s="1344"/>
      <c r="X85" s="1368"/>
      <c r="Y85" s="1390"/>
      <c r="Z85" s="1368"/>
      <c r="AA85" s="1368"/>
      <c r="AB85" s="1334"/>
      <c r="AC85" s="1335"/>
      <c r="AD85" s="1391"/>
      <c r="AE85" s="1335"/>
      <c r="AF85" s="1336"/>
      <c r="AG85" s="2155">
        <f>IF(C83=employer1,'GENERAL INFO'!L147,'GENERAL INFO'!Q147)</f>
        <v>0</v>
      </c>
      <c r="AH85" s="2156"/>
      <c r="AI85" s="2156"/>
      <c r="AJ85" s="2156"/>
      <c r="AK85" s="2156"/>
      <c r="AL85" s="2156"/>
      <c r="AM85" s="2156"/>
      <c r="AN85" s="633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15" customHeight="1">
      <c r="A86" s="4"/>
      <c r="B86" s="398" t="s">
        <v>623</v>
      </c>
      <c r="C86" s="614" t="str">
        <f>IF(C83=employer2,employer3,IF(C83=employer1,employer2,"-"))</f>
        <v>-</v>
      </c>
      <c r="D86" s="615"/>
      <c r="E86" s="615"/>
      <c r="F86" s="615"/>
      <c r="G86" s="615"/>
      <c r="H86" s="615"/>
      <c r="I86" s="615"/>
      <c r="J86" s="615"/>
      <c r="K86" s="616"/>
      <c r="L86" s="2230" t="str">
        <f>IF(C83=employer1,IF(LEN(emp_taxID2)&gt;1,CONCATENATE(MID(emp_taxID2,1,2),".",MID(emp_taxID2,3,3),".",MID(emp_taxID2,6,3),".",MID(emp_taxID2,9,1),"-",MID(emp_taxID2,10,3),".",MID(emp_taxID2,13,3)),"-"),IF(LEN(emp_taxID3)&gt;1,CONCATENATE(MID(emp_taxID3,1,2),".",MID(emp_taxID3,3,3),".",MID(emp_taxID3,6,3),".",MID(emp_taxID3,9,1),"-",MID(emp_taxID3,10,3),".",MID(emp_taxID3,13,3)),"-"))</f>
        <v>-</v>
      </c>
      <c r="M86" s="1013"/>
      <c r="N86" s="1013"/>
      <c r="O86" s="1013"/>
      <c r="P86" s="1013"/>
      <c r="Q86" s="1013"/>
      <c r="R86" s="1013"/>
      <c r="S86" s="2231"/>
      <c r="T86" s="1014" t="str">
        <f>IF(C83=employer1,IF(LEN(slip02)&gt;1,CONCATENATE(MID(slip02,1,1),".",MID(slip02,2,1),"-",MID(slip02,3,2),".",MID(slip02,5,2),"-",MID(slip02,7,7)),"-"),IF(LEN(slip03)&gt;1,CONCATENATE(MID(slip03,1,1),".",MID(slip03,2,1),"-",MID(slip03,3,2),".",MID(slip03,5,2),"-",MID(slip03,7,7)),"-"))</f>
        <v>-</v>
      </c>
      <c r="U86" s="1015"/>
      <c r="V86" s="1015"/>
      <c r="W86" s="1016"/>
      <c r="X86" s="2217" t="str">
        <f>IF(C83=employer1,'GENERAL INFO'!L113,'GENERAL INFO'!Q113)</f>
        <v>-</v>
      </c>
      <c r="Y86" s="2218"/>
      <c r="Z86" s="2218"/>
      <c r="AA86" s="1323"/>
      <c r="AB86" s="810" t="str">
        <f>IF(C86="-","-","21")</f>
        <v>-</v>
      </c>
      <c r="AC86" s="302"/>
      <c r="AD86" s="302"/>
      <c r="AE86" s="302"/>
      <c r="AF86" s="2171"/>
      <c r="AG86" s="810"/>
      <c r="AH86" s="302"/>
      <c r="AI86" s="302"/>
      <c r="AJ86" s="302"/>
      <c r="AK86" s="302"/>
      <c r="AL86" s="302"/>
      <c r="AM86" s="302"/>
      <c r="AN86" s="327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15" customHeight="1">
      <c r="A87" s="4"/>
      <c r="B87" s="2211"/>
      <c r="C87" s="2194"/>
      <c r="D87" s="2195"/>
      <c r="E87" s="2195"/>
      <c r="F87" s="2195"/>
      <c r="G87" s="2195"/>
      <c r="H87" s="2195"/>
      <c r="I87" s="2195"/>
      <c r="J87" s="2195"/>
      <c r="K87" s="2196"/>
      <c r="L87" s="2227"/>
      <c r="M87" s="2228"/>
      <c r="N87" s="2228"/>
      <c r="O87" s="2228"/>
      <c r="P87" s="2228"/>
      <c r="Q87" s="2228"/>
      <c r="R87" s="2228"/>
      <c r="S87" s="2229"/>
      <c r="T87" s="2219"/>
      <c r="U87" s="2220"/>
      <c r="V87" s="2220"/>
      <c r="W87" s="2221"/>
      <c r="X87" s="2200"/>
      <c r="Y87" s="2201"/>
      <c r="Z87" s="2201"/>
      <c r="AA87" s="2202"/>
      <c r="AB87" s="625"/>
      <c r="AC87" s="2157"/>
      <c r="AD87" s="2157"/>
      <c r="AE87" s="2157"/>
      <c r="AF87" s="2170"/>
      <c r="AG87" s="625"/>
      <c r="AH87" s="2157"/>
      <c r="AI87" s="2157"/>
      <c r="AJ87" s="2157"/>
      <c r="AK87" s="2157"/>
      <c r="AL87" s="2157"/>
      <c r="AM87" s="2157"/>
      <c r="AN87" s="333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" customHeight="1">
      <c r="A88" s="4"/>
      <c r="B88" s="151"/>
      <c r="C88" s="1338" t="str">
        <f>IF(C86=employer3,"-",employer3)</f>
        <v>-</v>
      </c>
      <c r="D88" s="1339"/>
      <c r="E88" s="1339"/>
      <c r="F88" s="1339"/>
      <c r="G88" s="1339"/>
      <c r="H88" s="1339"/>
      <c r="I88" s="1339"/>
      <c r="J88" s="1339"/>
      <c r="K88" s="1340"/>
      <c r="L88" s="1342"/>
      <c r="M88" s="1342"/>
      <c r="N88" s="1342"/>
      <c r="O88" s="1342"/>
      <c r="P88" s="1342"/>
      <c r="Q88" s="1342"/>
      <c r="R88" s="1342"/>
      <c r="S88" s="1342"/>
      <c r="T88" s="1389"/>
      <c r="U88" s="1343"/>
      <c r="V88" s="1343"/>
      <c r="W88" s="1344"/>
      <c r="X88" s="1368"/>
      <c r="Y88" s="1390"/>
      <c r="Z88" s="1368"/>
      <c r="AA88" s="1368"/>
      <c r="AB88" s="632"/>
      <c r="AC88" s="337"/>
      <c r="AD88" s="1391"/>
      <c r="AE88" s="337"/>
      <c r="AF88" s="633"/>
      <c r="AG88" s="337"/>
      <c r="AH88" s="337"/>
      <c r="AI88" s="337"/>
      <c r="AJ88" s="337"/>
      <c r="AK88" s="337"/>
      <c r="AL88" s="337"/>
      <c r="AM88" s="337"/>
      <c r="AN88" s="633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15" customHeight="1">
      <c r="A89" s="4"/>
      <c r="B89" s="398" t="s">
        <v>624</v>
      </c>
      <c r="C89" s="614"/>
      <c r="D89" s="615"/>
      <c r="E89" s="615"/>
      <c r="F89" s="615"/>
      <c r="G89" s="615"/>
      <c r="H89" s="615"/>
      <c r="I89" s="615"/>
      <c r="J89" s="615"/>
      <c r="K89" s="616"/>
      <c r="L89" s="2230" t="str">
        <f>IF(C86=employer3,"-",IF(LEN(emp_taxID3)&gt;1,CONCATENATE(MID(emp_taxID3,1,2),".",MID(emp_taxID3,3,3),".",MID(emp_taxID3,6,3),".",MID(emp_taxID3,9,1),"-",MID(emp_taxID3,10,3),".",MID(emp_taxID3,13,3)),"-"))</f>
        <v>-</v>
      </c>
      <c r="M89" s="1013"/>
      <c r="N89" s="1013"/>
      <c r="O89" s="1013"/>
      <c r="P89" s="1013"/>
      <c r="Q89" s="1013"/>
      <c r="R89" s="1013"/>
      <c r="S89" s="2231"/>
      <c r="T89" s="1014" t="str">
        <f>IF(C86=employer3,"-",IF(LEN(slip03)&gt;1,CONCATENATE(MID(slip03,1,1),".",MID(slip03,2,1),"-",MID(slip03,3,2),".",MID(slip03,5,2),"-",MID(slip03,7,7)),"-"))</f>
        <v>-</v>
      </c>
      <c r="U89" s="1015"/>
      <c r="V89" s="1015"/>
      <c r="W89" s="1016"/>
      <c r="X89" s="2217" t="str">
        <f>IF(C86=employer3,"-",'GENERAL INFO'!Q113)</f>
        <v>-</v>
      </c>
      <c r="Y89" s="2218"/>
      <c r="Z89" s="2218"/>
      <c r="AA89" s="1323"/>
      <c r="AB89" s="340" t="str">
        <f>IF(C88="-","-","21")</f>
        <v>-</v>
      </c>
      <c r="AC89" s="322"/>
      <c r="AD89" s="322"/>
      <c r="AE89" s="322"/>
      <c r="AF89" s="341"/>
      <c r="AG89" s="810">
        <f>IF(C86=employer2,'GENERAL INFO'!Q147,0)</f>
        <v>0</v>
      </c>
      <c r="AH89" s="302"/>
      <c r="AI89" s="302"/>
      <c r="AJ89" s="302"/>
      <c r="AK89" s="302"/>
      <c r="AL89" s="302"/>
      <c r="AM89" s="302"/>
      <c r="AN89" s="327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15" customHeight="1">
      <c r="A90" s="4"/>
      <c r="B90" s="2211"/>
      <c r="C90" s="2194"/>
      <c r="D90" s="2195"/>
      <c r="E90" s="2195"/>
      <c r="F90" s="2195"/>
      <c r="G90" s="2195"/>
      <c r="H90" s="2195"/>
      <c r="I90" s="2195"/>
      <c r="J90" s="2195"/>
      <c r="K90" s="2196"/>
      <c r="L90" s="2227"/>
      <c r="M90" s="2228"/>
      <c r="N90" s="2228"/>
      <c r="O90" s="2228"/>
      <c r="P90" s="2228"/>
      <c r="Q90" s="2228"/>
      <c r="R90" s="2228"/>
      <c r="S90" s="2229"/>
      <c r="T90" s="2219"/>
      <c r="U90" s="2220"/>
      <c r="V90" s="2220"/>
      <c r="W90" s="2221"/>
      <c r="X90" s="2200"/>
      <c r="Y90" s="2201"/>
      <c r="Z90" s="2201"/>
      <c r="AA90" s="2202"/>
      <c r="AB90" s="2166"/>
      <c r="AC90" s="2167"/>
      <c r="AD90" s="2167"/>
      <c r="AE90" s="2167"/>
      <c r="AF90" s="2168"/>
      <c r="AG90" s="625"/>
      <c r="AH90" s="2157"/>
      <c r="AI90" s="2157"/>
      <c r="AJ90" s="2157"/>
      <c r="AK90" s="2157"/>
      <c r="AL90" s="2157"/>
      <c r="AM90" s="2157"/>
      <c r="AN90" s="333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40" ht="3" customHeight="1">
      <c r="A91" s="4"/>
      <c r="B91" s="149"/>
      <c r="C91" s="614"/>
      <c r="D91" s="615"/>
      <c r="E91" s="615"/>
      <c r="F91" s="615"/>
      <c r="G91" s="615"/>
      <c r="H91" s="615"/>
      <c r="I91" s="615"/>
      <c r="J91" s="615"/>
      <c r="K91" s="616"/>
      <c r="L91" s="1013"/>
      <c r="M91" s="1013"/>
      <c r="N91" s="1013"/>
      <c r="O91" s="1013"/>
      <c r="P91" s="1013"/>
      <c r="Q91" s="1013"/>
      <c r="R91" s="1013"/>
      <c r="S91" s="1013"/>
      <c r="T91" s="1014"/>
      <c r="U91" s="1015"/>
      <c r="V91" s="1015"/>
      <c r="W91" s="1016"/>
      <c r="X91" s="441"/>
      <c r="Y91" s="442"/>
      <c r="Z91" s="441"/>
      <c r="AA91" s="441"/>
      <c r="AB91" s="340"/>
      <c r="AC91" s="322"/>
      <c r="AD91" s="342"/>
      <c r="AE91" s="322"/>
      <c r="AF91" s="341"/>
      <c r="AG91" s="40"/>
      <c r="AH91" s="40"/>
      <c r="AI91" s="40"/>
      <c r="AJ91" s="40"/>
      <c r="AK91" s="40"/>
      <c r="AL91" s="40"/>
      <c r="AM91" s="40"/>
      <c r="AN91" s="344"/>
    </row>
    <row r="92" spans="1:41" ht="15" customHeight="1">
      <c r="A92" s="4"/>
      <c r="B92" s="149" t="s">
        <v>625</v>
      </c>
      <c r="C92" s="614" t="s">
        <v>30</v>
      </c>
      <c r="D92" s="615"/>
      <c r="E92" s="615"/>
      <c r="F92" s="615"/>
      <c r="G92" s="615"/>
      <c r="H92" s="615"/>
      <c r="I92" s="615"/>
      <c r="J92" s="615"/>
      <c r="K92" s="616"/>
      <c r="L92" s="2230" t="s">
        <v>30</v>
      </c>
      <c r="M92" s="1013"/>
      <c r="N92" s="1013"/>
      <c r="O92" s="1013"/>
      <c r="P92" s="1013"/>
      <c r="Q92" s="1013"/>
      <c r="R92" s="1013"/>
      <c r="S92" s="2231"/>
      <c r="T92" s="1014" t="s">
        <v>30</v>
      </c>
      <c r="U92" s="1015"/>
      <c r="V92" s="1015"/>
      <c r="W92" s="1016"/>
      <c r="X92" s="614" t="s">
        <v>30</v>
      </c>
      <c r="Y92" s="615"/>
      <c r="Z92" s="615"/>
      <c r="AA92" s="616"/>
      <c r="AB92" s="340" t="s">
        <v>30</v>
      </c>
      <c r="AC92" s="322"/>
      <c r="AD92" s="322"/>
      <c r="AE92" s="322"/>
      <c r="AF92" s="341"/>
      <c r="AG92" s="810">
        <v>0</v>
      </c>
      <c r="AH92" s="302"/>
      <c r="AI92" s="302"/>
      <c r="AJ92" s="302"/>
      <c r="AK92" s="302"/>
      <c r="AL92" s="302"/>
      <c r="AM92" s="302"/>
      <c r="AN92" s="327"/>
      <c r="AO92" s="4"/>
    </row>
    <row r="93" spans="1:41" ht="15" customHeight="1">
      <c r="A93" s="4"/>
      <c r="B93" s="152" t="s">
        <v>700</v>
      </c>
      <c r="C93" s="2222"/>
      <c r="D93" s="2223"/>
      <c r="E93" s="2223"/>
      <c r="F93" s="2223"/>
      <c r="G93" s="2223"/>
      <c r="H93" s="2223"/>
      <c r="I93" s="2223"/>
      <c r="J93" s="2223"/>
      <c r="K93" s="2224"/>
      <c r="L93" s="2232"/>
      <c r="M93" s="2233"/>
      <c r="N93" s="2233"/>
      <c r="O93" s="2233"/>
      <c r="P93" s="2233"/>
      <c r="Q93" s="2233"/>
      <c r="R93" s="2233"/>
      <c r="S93" s="2234"/>
      <c r="T93" s="2235"/>
      <c r="U93" s="2236"/>
      <c r="V93" s="2236"/>
      <c r="W93" s="2237"/>
      <c r="X93" s="2222"/>
      <c r="Y93" s="2223"/>
      <c r="Z93" s="2223"/>
      <c r="AA93" s="2224"/>
      <c r="AB93" s="2163"/>
      <c r="AC93" s="2164"/>
      <c r="AD93" s="2164"/>
      <c r="AE93" s="2164"/>
      <c r="AF93" s="2165"/>
      <c r="AG93" s="2159"/>
      <c r="AH93" s="2160"/>
      <c r="AI93" s="2160"/>
      <c r="AJ93" s="2160"/>
      <c r="AK93" s="2160"/>
      <c r="AL93" s="2160"/>
      <c r="AM93" s="2160"/>
      <c r="AN93" s="330"/>
      <c r="AO93" s="4"/>
    </row>
    <row r="94" spans="1:41" ht="3" customHeight="1">
      <c r="A94" s="4"/>
      <c r="B94" s="156"/>
      <c r="C94" s="151" t="s">
        <v>239</v>
      </c>
      <c r="D94" s="1444"/>
      <c r="E94" s="1444"/>
      <c r="F94" s="1444"/>
      <c r="G94" s="1444"/>
      <c r="H94" s="1444"/>
      <c r="I94" s="1444"/>
      <c r="J94" s="1444"/>
      <c r="K94" s="1444"/>
      <c r="L94" s="1444"/>
      <c r="M94" s="1444"/>
      <c r="N94" s="1444"/>
      <c r="O94" s="1444"/>
      <c r="P94" s="1444"/>
      <c r="Q94" s="1444"/>
      <c r="R94" s="1444"/>
      <c r="S94" s="1444"/>
      <c r="T94" s="1444"/>
      <c r="U94" s="1444"/>
      <c r="V94" s="1444"/>
      <c r="W94" s="1444"/>
      <c r="X94" s="1444"/>
      <c r="Y94" s="1444"/>
      <c r="Z94" s="1444"/>
      <c r="AA94" s="2161"/>
      <c r="AB94" s="180"/>
      <c r="AC94" s="181"/>
      <c r="AD94" s="181"/>
      <c r="AE94" s="151" t="s">
        <v>581</v>
      </c>
      <c r="AF94" s="2161"/>
      <c r="AG94" s="338"/>
      <c r="AH94" s="338"/>
      <c r="AI94" s="338"/>
      <c r="AJ94" s="339"/>
      <c r="AK94" s="339"/>
      <c r="AL94" s="339"/>
      <c r="AM94" s="339"/>
      <c r="AN94" s="160"/>
      <c r="AO94" s="4"/>
    </row>
    <row r="95" spans="1:41" ht="15" customHeight="1">
      <c r="A95" s="4"/>
      <c r="B95" s="149"/>
      <c r="C95" s="149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395"/>
      <c r="AB95" s="169"/>
      <c r="AC95" s="105"/>
      <c r="AD95" s="105"/>
      <c r="AE95" s="149"/>
      <c r="AF95" s="395"/>
      <c r="AG95" s="810">
        <f>SUM(AG81:AN90)</f>
        <v>0</v>
      </c>
      <c r="AH95" s="302"/>
      <c r="AI95" s="302"/>
      <c r="AJ95" s="302"/>
      <c r="AK95" s="302"/>
      <c r="AL95" s="302"/>
      <c r="AM95" s="302"/>
      <c r="AN95" s="300"/>
      <c r="AO95" s="4"/>
    </row>
    <row r="96" spans="1:41" ht="15" customHeight="1">
      <c r="A96" s="4"/>
      <c r="B96" s="153"/>
      <c r="C96" s="149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395"/>
      <c r="AB96" s="169"/>
      <c r="AC96" s="105"/>
      <c r="AD96" s="105"/>
      <c r="AE96" s="149"/>
      <c r="AF96" s="395"/>
      <c r="AG96" s="810"/>
      <c r="AH96" s="302"/>
      <c r="AI96" s="302"/>
      <c r="AJ96" s="302"/>
      <c r="AK96" s="302"/>
      <c r="AL96" s="302"/>
      <c r="AM96" s="302"/>
      <c r="AN96" s="300"/>
      <c r="AO96" s="4"/>
    </row>
    <row r="97" spans="1:41" customFormat="1" ht="3" customHeight="1">
      <c r="A97" s="4"/>
      <c r="B97" s="165"/>
      <c r="C97" s="1337"/>
      <c r="D97" s="2187"/>
      <c r="E97" s="2187"/>
      <c r="F97" s="2187"/>
      <c r="G97" s="2187"/>
      <c r="H97" s="2187"/>
      <c r="I97" s="2187"/>
      <c r="J97" s="2187"/>
      <c r="K97" s="2187"/>
      <c r="L97" s="2187"/>
      <c r="M97" s="2187"/>
      <c r="N97" s="2187"/>
      <c r="O97" s="2187"/>
      <c r="P97" s="2187"/>
      <c r="Q97" s="2187"/>
      <c r="R97" s="2187"/>
      <c r="S97" s="2187"/>
      <c r="T97" s="2187"/>
      <c r="U97" s="2187"/>
      <c r="V97" s="2187"/>
      <c r="W97" s="2187"/>
      <c r="X97" s="2187"/>
      <c r="Y97" s="2187"/>
      <c r="Z97" s="2187"/>
      <c r="AA97" s="2180"/>
      <c r="AB97" s="170"/>
      <c r="AC97" s="166"/>
      <c r="AD97" s="166"/>
      <c r="AE97" s="1337"/>
      <c r="AF97" s="2180"/>
      <c r="AG97" s="167"/>
      <c r="AH97" s="167"/>
      <c r="AI97" s="167"/>
      <c r="AJ97" s="45"/>
      <c r="AK97" s="45"/>
      <c r="AL97" s="45"/>
      <c r="AM97" s="45"/>
      <c r="AN97" s="150"/>
      <c r="AO97" s="4"/>
    </row>
    <row r="98" spans="1:41" customFormat="1" ht="12.75" customHeight="1">
      <c r="A98" s="4"/>
      <c r="B98" s="15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  <c r="AA98" s="322"/>
      <c r="AB98" s="70"/>
      <c r="AC98" s="70"/>
      <c r="AD98" s="70"/>
      <c r="AE98" s="322"/>
      <c r="AF98" s="322"/>
      <c r="AG98" s="4" t="s">
        <v>261</v>
      </c>
      <c r="AH98" s="16"/>
      <c r="AI98" s="16"/>
      <c r="AJ98" s="4"/>
      <c r="AK98" s="4"/>
      <c r="AL98" s="4"/>
      <c r="AM98" s="4"/>
      <c r="AN98" s="4"/>
      <c r="AO98" s="4"/>
    </row>
    <row r="99" spans="1:41" customFormat="1" ht="14.25" customHeight="1">
      <c r="A99" s="4"/>
      <c r="B99" s="15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  <c r="AA99" s="322"/>
      <c r="AB99" s="70"/>
      <c r="AC99" s="70"/>
      <c r="AD99" s="70"/>
      <c r="AE99" s="322"/>
      <c r="AF99" s="322"/>
      <c r="AG99" s="4" t="s">
        <v>665</v>
      </c>
      <c r="AH99" s="16"/>
      <c r="AI99" s="16"/>
      <c r="AJ99" s="4"/>
      <c r="AK99" s="4"/>
      <c r="AL99" s="4"/>
      <c r="AM99" s="4"/>
      <c r="AN99" s="4"/>
      <c r="AO99" s="4"/>
    </row>
    <row r="100" spans="1:41" customFormat="1" ht="14.25" customHeight="1">
      <c r="A100" s="4"/>
      <c r="B100" s="15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  <c r="AA100" s="322"/>
      <c r="AB100" s="70"/>
      <c r="AC100" s="70"/>
      <c r="AD100" s="70"/>
      <c r="AE100" s="322"/>
      <c r="AF100" s="322"/>
      <c r="AG100" s="4"/>
      <c r="AH100" s="16"/>
      <c r="AI100" s="16"/>
      <c r="AJ100" s="4"/>
      <c r="AK100" s="4"/>
      <c r="AL100" s="4"/>
      <c r="AM100" s="4"/>
      <c r="AN100" s="4"/>
      <c r="AO100" s="4"/>
    </row>
    <row r="101" spans="1:41" ht="14.25" customHeight="1">
      <c r="A101" s="4"/>
      <c r="B101" s="386" t="s">
        <v>60</v>
      </c>
      <c r="C101" s="386"/>
      <c r="D101" s="386"/>
      <c r="E101" s="386"/>
      <c r="F101" s="386"/>
      <c r="G101" s="386"/>
      <c r="H101" s="386"/>
      <c r="I101" s="386"/>
      <c r="J101" s="386"/>
      <c r="K101" s="4"/>
      <c r="L101" s="43"/>
      <c r="M101" s="4"/>
      <c r="N101" s="34"/>
      <c r="O101" s="34"/>
      <c r="P101" s="34"/>
      <c r="Q101" s="34"/>
      <c r="R101" s="34"/>
      <c r="S101" s="34"/>
      <c r="T101" s="34"/>
      <c r="U101" s="16"/>
      <c r="V101" s="16"/>
      <c r="W101" s="16"/>
      <c r="X101" s="16"/>
      <c r="Y101" s="16"/>
      <c r="Z101" s="16"/>
      <c r="AA101" s="16"/>
      <c r="AB101" s="16"/>
      <c r="AC101" s="16"/>
      <c r="AH101" s="6"/>
      <c r="AI101" s="6"/>
      <c r="AJ101" s="6"/>
      <c r="AK101" s="6"/>
      <c r="AL101" s="6"/>
      <c r="AN101" s="6"/>
      <c r="AO101" s="4"/>
    </row>
    <row r="102" spans="1:41" ht="12.75" customHeight="1">
      <c r="A102" s="4"/>
      <c r="B102" s="386" t="s">
        <v>62</v>
      </c>
      <c r="C102" s="387" t="s">
        <v>584</v>
      </c>
      <c r="D102" s="387"/>
      <c r="E102" s="386"/>
      <c r="F102" s="386"/>
      <c r="G102" s="386"/>
      <c r="H102" s="386"/>
      <c r="I102" s="386"/>
      <c r="J102" s="386"/>
      <c r="K102" s="4"/>
      <c r="L102" s="4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E102" s="5"/>
      <c r="AH102" s="5"/>
      <c r="AI102" s="5"/>
      <c r="AJ102" s="5"/>
      <c r="AK102" s="5"/>
      <c r="AL102" s="5"/>
      <c r="AN102" s="5"/>
      <c r="AO102" s="4"/>
    </row>
    <row r="103" spans="1:40" ht="12" customHeight="1">
      <c r="A103" s="4"/>
      <c r="B103" s="388"/>
      <c r="C103" s="387" t="s">
        <v>585</v>
      </c>
      <c r="D103" s="387"/>
      <c r="E103" s="386"/>
      <c r="F103" s="386"/>
      <c r="G103" s="386"/>
      <c r="H103" s="386"/>
      <c r="I103" s="386"/>
      <c r="J103" s="386"/>
      <c r="K103" s="4"/>
      <c r="L103" s="43"/>
      <c r="M103" s="4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N103" s="4"/>
    </row>
    <row r="104" spans="2:40" ht="15" customHeight="1">
      <c r="B104" s="388"/>
      <c r="C104" s="389" t="s">
        <v>586</v>
      </c>
      <c r="D104" s="390"/>
      <c r="E104" s="390"/>
      <c r="F104" s="390"/>
      <c r="G104" s="390"/>
      <c r="H104" s="390"/>
      <c r="I104" s="390"/>
      <c r="J104" s="390"/>
      <c r="K104" s="93"/>
      <c r="L104" s="119"/>
      <c r="M104" s="93"/>
      <c r="N104" s="46"/>
      <c r="O104" s="46"/>
      <c r="P104" s="46"/>
      <c r="Q104" s="46"/>
      <c r="R104" s="46"/>
      <c r="S104" s="46"/>
      <c r="T104" s="46"/>
      <c r="U104" s="46"/>
      <c r="V104" s="46"/>
      <c r="W104" s="93"/>
      <c r="X104" s="93"/>
      <c r="Y104" s="93"/>
      <c r="Z104" s="93"/>
      <c r="AA104" s="93"/>
      <c r="AB104" s="93"/>
      <c r="AC104" s="93"/>
      <c r="AD104" s="93"/>
      <c r="AE104" s="93"/>
      <c r="AN104" s="72"/>
    </row>
    <row r="105" spans="2:40" ht="15" customHeight="1">
      <c r="B105" s="388"/>
      <c r="C105" s="389" t="s">
        <v>676</v>
      </c>
      <c r="D105" s="390"/>
      <c r="E105" s="390"/>
      <c r="F105" s="390"/>
      <c r="G105" s="390"/>
      <c r="H105" s="390"/>
      <c r="I105" s="390"/>
      <c r="J105" s="390"/>
      <c r="K105" s="93"/>
      <c r="L105" s="119"/>
      <c r="M105" s="93"/>
      <c r="N105" s="46"/>
      <c r="O105" s="46"/>
      <c r="P105" s="46"/>
      <c r="Q105" s="46"/>
      <c r="R105" s="46"/>
      <c r="S105" s="46"/>
      <c r="T105" s="46"/>
      <c r="U105" s="46"/>
      <c r="V105" s="46"/>
      <c r="W105" s="93"/>
      <c r="X105" s="93"/>
      <c r="Y105" s="93"/>
      <c r="Z105" s="93"/>
      <c r="AA105" s="93"/>
      <c r="AB105" s="93"/>
      <c r="AC105" s="93"/>
      <c r="AD105" s="93"/>
      <c r="AE105" s="93"/>
      <c r="AN105" s="72"/>
    </row>
    <row r="106" spans="2:40" ht="15" customHeight="1">
      <c r="B106" s="388"/>
      <c r="C106" s="389"/>
      <c r="D106" s="390"/>
      <c r="E106" s="390"/>
      <c r="F106" s="390"/>
      <c r="G106" s="390"/>
      <c r="H106" s="390"/>
      <c r="I106" s="390"/>
      <c r="J106" s="390"/>
      <c r="K106" s="93"/>
      <c r="L106" s="119"/>
      <c r="M106" s="93"/>
      <c r="N106" s="46"/>
      <c r="O106" s="46"/>
      <c r="P106" s="46"/>
      <c r="Q106" s="46"/>
      <c r="R106" s="46"/>
      <c r="S106" s="46"/>
      <c r="T106" s="46"/>
      <c r="U106" s="46"/>
      <c r="V106" s="46"/>
      <c r="W106" s="93"/>
      <c r="X106" s="93"/>
      <c r="Y106" s="93"/>
      <c r="Z106" s="93"/>
      <c r="AA106" s="93"/>
      <c r="AB106" s="93"/>
      <c r="AC106" s="93"/>
      <c r="AD106" s="93"/>
      <c r="AE106" s="93"/>
      <c r="AN106" s="72"/>
    </row>
    <row r="107" spans="2:3" ht="15" customHeight="1" thickBot="1">
      <c r="B107" s="222"/>
      <c r="C107" s="223"/>
    </row>
    <row r="108" spans="2:40" ht="16.5" customHeight="1" thickBot="1">
      <c r="B108" s="204" t="s">
        <v>600</v>
      </c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6"/>
      <c r="U108" s="205"/>
      <c r="V108" s="381"/>
      <c r="W108" s="381"/>
      <c r="X108" s="381"/>
      <c r="Y108" s="381"/>
      <c r="Z108" s="381"/>
      <c r="AA108" s="382"/>
      <c r="AD108" s="223"/>
      <c r="AE108" s="65" t="s">
        <v>262</v>
      </c>
      <c r="AF108" s="65"/>
      <c r="AG108" s="1392">
        <v>1</v>
      </c>
      <c r="AH108" s="36" t="s">
        <v>263</v>
      </c>
      <c r="AI108" s="1392">
        <v>1</v>
      </c>
      <c r="AJ108" s="65" t="s">
        <v>258</v>
      </c>
      <c r="AK108" s="11"/>
      <c r="AL108" s="11"/>
      <c r="AM108" s="11"/>
      <c r="AN108" s="11"/>
    </row>
    <row r="109" spans="2:40" ht="16.5" customHeight="1">
      <c r="B109" s="202"/>
      <c r="C109" s="202"/>
      <c r="D109" s="202"/>
      <c r="E109" s="202"/>
      <c r="F109" s="202"/>
      <c r="G109" s="202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V109"/>
      <c r="W109"/>
      <c r="X109"/>
      <c r="Y109"/>
      <c r="Z109"/>
      <c r="AA109"/>
      <c r="AD109" s="223"/>
      <c r="AE109" s="65"/>
      <c r="AF109" s="65"/>
      <c r="AG109" s="65"/>
      <c r="AH109" s="36"/>
      <c r="AI109" s="65"/>
      <c r="AJ109" s="65"/>
      <c r="AK109" s="11"/>
      <c r="AL109" s="11"/>
      <c r="AM109" s="11"/>
      <c r="AN109" s="11"/>
    </row>
    <row r="110" spans="2:40" ht="16.5" customHeight="1">
      <c r="B110" s="202"/>
      <c r="C110" s="202"/>
      <c r="D110" s="202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V110"/>
      <c r="W110"/>
      <c r="X110"/>
      <c r="Y110"/>
      <c r="Z110"/>
      <c r="AA110"/>
      <c r="AD110" s="223"/>
      <c r="AE110" s="65"/>
      <c r="AF110" s="65"/>
      <c r="AG110" s="65"/>
      <c r="AH110" s="36"/>
      <c r="AI110" s="65"/>
      <c r="AJ110" s="65"/>
      <c r="AK110" s="11"/>
      <c r="AL110" s="11"/>
      <c r="AM110" s="11"/>
      <c r="AN110" s="11"/>
    </row>
    <row r="111" spans="2:40" ht="16.5" customHeight="1"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/>
      <c r="W111"/>
      <c r="X111"/>
      <c r="Y111"/>
      <c r="Z111"/>
      <c r="AA111"/>
      <c r="AD111" s="223"/>
      <c r="AE111" s="65"/>
      <c r="AF111" s="65"/>
      <c r="AG111" s="65"/>
      <c r="AH111" s="36"/>
      <c r="AI111" s="65"/>
      <c r="AJ111" s="65"/>
      <c r="AK111" s="11"/>
      <c r="AL111" s="11"/>
      <c r="AM111" s="11"/>
      <c r="AN111" s="11"/>
    </row>
    <row r="112" spans="2:40" ht="16.5" customHeight="1">
      <c r="B112" s="202"/>
      <c r="C112" s="202"/>
      <c r="D112" s="202"/>
      <c r="E112" s="202"/>
      <c r="F112" s="202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  <c r="U112" s="202"/>
      <c r="V112"/>
      <c r="W112"/>
      <c r="X112"/>
      <c r="Y112"/>
      <c r="Z112"/>
      <c r="AA112"/>
      <c r="AD112" s="223"/>
      <c r="AE112" s="65"/>
      <c r="AF112" s="65"/>
      <c r="AG112" s="65"/>
      <c r="AH112" s="36"/>
      <c r="AI112" s="65"/>
      <c r="AJ112" s="65"/>
      <c r="AK112" s="11"/>
      <c r="AL112" s="11"/>
      <c r="AM112" s="11"/>
      <c r="AN112" s="11"/>
    </row>
    <row r="113" spans="2:40" ht="16.5" customHeight="1">
      <c r="B113" s="202"/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2"/>
      <c r="S113" s="202"/>
      <c r="T113" s="202"/>
      <c r="U113" s="202"/>
      <c r="V113"/>
      <c r="W113"/>
      <c r="X113"/>
      <c r="Y113"/>
      <c r="Z113"/>
      <c r="AA113"/>
      <c r="AD113" s="223"/>
      <c r="AE113" s="65"/>
      <c r="AF113" s="65"/>
      <c r="AG113" s="65"/>
      <c r="AH113" s="36"/>
      <c r="AI113" s="65"/>
      <c r="AJ113" s="65"/>
      <c r="AK113" s="11"/>
      <c r="AL113" s="11"/>
      <c r="AM113" s="11"/>
      <c r="AN113" s="11"/>
    </row>
    <row r="114" spans="1:41" customHeight="1">
      <c r="A114" s="1"/>
      <c r="B114" s="4"/>
      <c r="C114" s="4"/>
      <c r="D114" s="4"/>
      <c r="AO114" s="1"/>
    </row>
    <row r="115" spans="2:34" customHeight="1">
      <c r="B115" s="16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AC115" s="16"/>
      <c r="AH115" s="6"/>
    </row>
    <row r="117" spans="17:26" customHeight="1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5:26" customHeight="1">
      <c r="E118" s="104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2:26" customHeight="1">
      <c r="B119" s="6"/>
      <c r="C119" s="6"/>
      <c r="E119" s="104"/>
      <c r="F119" s="6"/>
      <c r="G119" s="6"/>
      <c r="H119" s="6"/>
      <c r="I119" s="6"/>
      <c r="J119" s="6"/>
      <c r="K119" s="6"/>
      <c r="L119" s="8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2:26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sheetProtection password="BDAF" sheet="1" objects="1" scenarios="1" selectLockedCells="1" selectUnlockedCells="1"/>
  <mergeCells count="131">
    <mergeCell ref="B83:B84"/>
    <mergeCell ref="B86:B87"/>
    <mergeCell ref="B2:B7"/>
    <mergeCell ref="D2:K4"/>
    <mergeCell ref="B27:B28"/>
    <mergeCell ref="B30:B31"/>
    <mergeCell ref="B33:B34"/>
    <mergeCell ref="B21:B22"/>
    <mergeCell ref="B24:B25"/>
    <mergeCell ref="B36:B37"/>
    <mergeCell ref="B46:B47"/>
    <mergeCell ref="B65:B66"/>
    <mergeCell ref="B39:B40"/>
    <mergeCell ref="B56:B57"/>
    <mergeCell ref="B59:B60"/>
    <mergeCell ref="B68:B69"/>
    <mergeCell ref="B50:B51"/>
    <mergeCell ref="C56:AA57"/>
    <mergeCell ref="B53:B54"/>
    <mergeCell ref="C46:AA47"/>
    <mergeCell ref="C50:K51"/>
    <mergeCell ref="C39:Y40"/>
    <mergeCell ref="C48:AA48"/>
    <mergeCell ref="C59:AA60"/>
    <mergeCell ref="X83:AA84"/>
    <mergeCell ref="X86:AA87"/>
    <mergeCell ref="T78:W78"/>
    <mergeCell ref="T83:W84"/>
    <mergeCell ref="T86:W87"/>
    <mergeCell ref="C92:K93"/>
    <mergeCell ref="C88:K90"/>
    <mergeCell ref="C77:K78"/>
    <mergeCell ref="L77:S78"/>
    <mergeCell ref="L81:S82"/>
    <mergeCell ref="T89:W90"/>
    <mergeCell ref="X92:AA93"/>
    <mergeCell ref="T81:W82"/>
    <mergeCell ref="L92:S93"/>
    <mergeCell ref="X89:AA90"/>
    <mergeCell ref="L83:S84"/>
    <mergeCell ref="L86:S87"/>
    <mergeCell ref="L89:S90"/>
    <mergeCell ref="T92:W93"/>
    <mergeCell ref="AG80:AN80"/>
    <mergeCell ref="AB80:AF80"/>
    <mergeCell ref="AG77:AN78"/>
    <mergeCell ref="AB77:AF77"/>
    <mergeCell ref="AB78:AF78"/>
    <mergeCell ref="Z67:AA69"/>
    <mergeCell ref="C53:AA54"/>
    <mergeCell ref="AB61:AM63"/>
    <mergeCell ref="B81:B82"/>
    <mergeCell ref="B76:B78"/>
    <mergeCell ref="X78:AA78"/>
    <mergeCell ref="B62:B63"/>
    <mergeCell ref="C62:Q63"/>
    <mergeCell ref="R62:AA63"/>
    <mergeCell ref="B18:B19"/>
    <mergeCell ref="AE94:AF97"/>
    <mergeCell ref="C80:K80"/>
    <mergeCell ref="L80:S80"/>
    <mergeCell ref="C94:AA97"/>
    <mergeCell ref="T79:W80"/>
    <mergeCell ref="X79:AA80"/>
    <mergeCell ref="C81:K82"/>
    <mergeCell ref="C83:K84"/>
    <mergeCell ref="C86:K87"/>
    <mergeCell ref="X81:AA82"/>
    <mergeCell ref="AB76:AF76"/>
    <mergeCell ref="AB48:AN48"/>
    <mergeCell ref="R65:AA66"/>
    <mergeCell ref="C68:Y69"/>
    <mergeCell ref="L76:S76"/>
    <mergeCell ref="C18:AA19"/>
    <mergeCell ref="C21:E22"/>
    <mergeCell ref="C27:F28"/>
    <mergeCell ref="B89:B90"/>
    <mergeCell ref="AB89:AF90"/>
    <mergeCell ref="C24:E25"/>
    <mergeCell ref="F24:AA25"/>
    <mergeCell ref="C20:AA20"/>
    <mergeCell ref="Z39:AA40"/>
    <mergeCell ref="T77:AA77"/>
    <mergeCell ref="AB30:AM31"/>
    <mergeCell ref="AB39:AM40"/>
    <mergeCell ref="AB42:AN42"/>
    <mergeCell ref="AB20:AN20"/>
    <mergeCell ref="C30:J31"/>
    <mergeCell ref="C33:L34"/>
    <mergeCell ref="C36:O37"/>
    <mergeCell ref="P36:AA37"/>
    <mergeCell ref="C76:K76"/>
    <mergeCell ref="C65:Q66"/>
    <mergeCell ref="L50:AA51"/>
    <mergeCell ref="T76:AA76"/>
    <mergeCell ref="AB58:AM60"/>
    <mergeCell ref="AB64:AM66"/>
    <mergeCell ref="AB67:AM69"/>
    <mergeCell ref="C6:L6"/>
    <mergeCell ref="AD2:AE7"/>
    <mergeCell ref="M3:AC3"/>
    <mergeCell ref="M2:AC2"/>
    <mergeCell ref="C5:L5"/>
    <mergeCell ref="E7:I7"/>
    <mergeCell ref="AF3:AG4"/>
    <mergeCell ref="AH3:AI4"/>
    <mergeCell ref="AL3:AM4"/>
    <mergeCell ref="AB19:AN19"/>
    <mergeCell ref="AB21:AM22"/>
    <mergeCell ref="AB24:AM25"/>
    <mergeCell ref="AB27:AM28"/>
    <mergeCell ref="AJ3:AK4"/>
    <mergeCell ref="AG95:AM96"/>
    <mergeCell ref="AG92:AM93"/>
    <mergeCell ref="AG81:AM82"/>
    <mergeCell ref="AG83:AM84"/>
    <mergeCell ref="AG85:AM87"/>
    <mergeCell ref="AG89:AM90"/>
    <mergeCell ref="AB33:AM34"/>
    <mergeCell ref="AB36:AM37"/>
    <mergeCell ref="AB47:AN47"/>
    <mergeCell ref="AB46:AN46"/>
    <mergeCell ref="AG76:AN76"/>
    <mergeCell ref="AB92:AF93"/>
    <mergeCell ref="AB81:AF82"/>
    <mergeCell ref="AB83:AF84"/>
    <mergeCell ref="AB86:AF87"/>
    <mergeCell ref="AB50:AM51"/>
    <mergeCell ref="AB52:AM54"/>
    <mergeCell ref="AB55:AM57"/>
    <mergeCell ref="AB18:AN18"/>
  </mergeCells>
  <pageMargins left="0.196850393700787" right="0.236220472440945" top="0.393700787401575" bottom="0.275590551181102" header="0.196850393700787" footer="0.236220472440945"/>
  <pageSetup paperSize="5" scale="67" orientation="portrait" r:id="rId1"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  <pageSetUpPr fitToPage="1"/>
  </sheetPr>
  <dimension ref="A1:AP152"/>
  <sheetViews>
    <sheetView topLeftCell="A64" showGridLines="0" zoomScaleNormal="75" zoomScaleSheetLayoutView="100" view="pageBreakPreview" workbookViewId="0">
      <selection pane="topLeft" activeCell="N75" sqref="N75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3" width="4.7109375" customWidth="1"/>
    <col min="11" max="11" width="3.710937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5" customHeight="1">
      <c r="A2"/>
      <c r="B2" s="2296" t="s">
        <v>175</v>
      </c>
      <c r="C2" s="2139" t="s">
        <v>85</v>
      </c>
      <c r="D2" s="2139"/>
      <c r="E2" s="2139"/>
      <c r="F2" s="2139"/>
      <c r="G2" s="2139"/>
      <c r="H2" s="2139"/>
      <c r="I2" s="2139"/>
      <c r="J2" s="2275"/>
      <c r="K2" s="2177" t="s">
        <v>241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178"/>
      <c r="AE2" s="2088" t="s">
        <v>178</v>
      </c>
      <c r="AF2" s="2296"/>
      <c r="AG2" s="2270">
        <v>2</v>
      </c>
      <c r="AH2" s="2270"/>
      <c r="AI2" s="2270">
        <v>0</v>
      </c>
      <c r="AJ2" s="2270"/>
      <c r="AK2" s="2270">
        <f>'FE-1770 S-1'!AJ3</f>
        <v>0</v>
      </c>
      <c r="AL2" s="2270"/>
      <c r="AM2" s="2270">
        <f>'FE-1770 S-1'!AL3</f>
        <v>0</v>
      </c>
      <c r="AN2" s="2270"/>
    </row>
    <row r="3" spans="2:40" ht="15" customHeight="1">
      <c r="B3" s="2296"/>
      <c r="C3" s="2139"/>
      <c r="D3" s="2139"/>
      <c r="E3" s="2139"/>
      <c r="F3" s="2139"/>
      <c r="G3" s="2139"/>
      <c r="H3" s="2139"/>
      <c r="I3" s="2139"/>
      <c r="J3" s="2275"/>
      <c r="K3" s="2271" t="s">
        <v>219</v>
      </c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2"/>
      <c r="AD3" s="2272"/>
      <c r="AE3" s="2088"/>
      <c r="AF3" s="2296"/>
      <c r="AG3" s="2270"/>
      <c r="AH3" s="2270"/>
      <c r="AI3" s="2270"/>
      <c r="AJ3" s="2270"/>
      <c r="AK3" s="2270"/>
      <c r="AL3" s="2270"/>
      <c r="AM3" s="2270"/>
      <c r="AN3" s="2270"/>
    </row>
    <row r="4" spans="2:40" ht="2.25" customHeight="1" thickBot="1">
      <c r="B4" s="2296"/>
      <c r="C4" s="2139"/>
      <c r="D4" s="2139"/>
      <c r="E4" s="2139"/>
      <c r="F4" s="2139"/>
      <c r="G4" s="2139"/>
      <c r="H4" s="2139"/>
      <c r="I4" s="2139"/>
      <c r="J4" s="2275"/>
      <c r="K4" s="424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  <c r="AB4" s="425"/>
      <c r="AC4" s="425"/>
      <c r="AD4" s="426"/>
      <c r="AE4" s="2088"/>
      <c r="AF4" s="2296"/>
      <c r="AG4" s="217"/>
      <c r="AH4" s="217"/>
      <c r="AI4" s="217"/>
      <c r="AJ4" s="217"/>
      <c r="AK4" s="217"/>
      <c r="AL4" s="217"/>
      <c r="AM4" s="217"/>
      <c r="AN4" s="217"/>
    </row>
    <row r="5" spans="2:40" ht="15" customHeight="1">
      <c r="B5" s="2296"/>
      <c r="C5" s="2273" t="s">
        <v>285</v>
      </c>
      <c r="D5" s="2273"/>
      <c r="E5" s="2273"/>
      <c r="F5" s="2273"/>
      <c r="G5" s="2273"/>
      <c r="H5" s="2273"/>
      <c r="I5" s="2273"/>
      <c r="J5" s="2274"/>
      <c r="K5" s="61" t="s">
        <v>23</v>
      </c>
      <c r="L5" s="46" t="s">
        <v>692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2088"/>
      <c r="AF5" s="2296"/>
      <c r="AG5" s="217"/>
      <c r="AH5" s="217"/>
      <c r="AI5" s="25"/>
      <c r="AJ5" s="25"/>
      <c r="AK5" s="25"/>
      <c r="AL5" s="25"/>
      <c r="AM5" s="25"/>
      <c r="AN5" s="25"/>
    </row>
    <row r="6" spans="2:32" ht="15" customHeight="1">
      <c r="B6" s="2296"/>
      <c r="C6" s="2273" t="s">
        <v>286</v>
      </c>
      <c r="D6" s="2273"/>
      <c r="E6" s="2273"/>
      <c r="F6" s="2273"/>
      <c r="G6" s="2273"/>
      <c r="H6" s="2273"/>
      <c r="I6" s="2273"/>
      <c r="J6" s="2274"/>
      <c r="K6" s="121" t="s">
        <v>23</v>
      </c>
      <c r="L6" s="46" t="s">
        <v>693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088"/>
      <c r="AF6" s="2296"/>
    </row>
    <row r="7" spans="2:32" ht="15" customHeight="1">
      <c r="B7" s="2296"/>
      <c r="C7" s="2306" t="s">
        <v>287</v>
      </c>
      <c r="D7" s="2306"/>
      <c r="E7" s="2306"/>
      <c r="F7" s="2306"/>
      <c r="G7" s="2306"/>
      <c r="H7" s="2306"/>
      <c r="I7" s="2306"/>
      <c r="J7" s="2307"/>
      <c r="K7" s="121" t="s">
        <v>23</v>
      </c>
      <c r="L7" s="46" t="s">
        <v>694</v>
      </c>
      <c r="M7"/>
      <c r="N7"/>
      <c r="O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088"/>
      <c r="AF7" s="2296"/>
    </row>
    <row r="8" spans="2:40" ht="15" customHeight="1" thickBot="1">
      <c r="B8" s="2297"/>
      <c r="C8" s="25"/>
      <c r="D8" s="25"/>
      <c r="H8" s="25"/>
      <c r="I8" s="25"/>
      <c r="J8" s="82"/>
      <c r="K8" s="121" t="s">
        <v>23</v>
      </c>
      <c r="L8" s="46" t="s">
        <v>695</v>
      </c>
      <c r="M8"/>
      <c r="N8"/>
      <c r="O8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090"/>
      <c r="AF8" s="2297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13"/>
    </row>
    <row r="10" spans="2:40" s="11" customFormat="1" ht="20.15" customHeight="1">
      <c r="B10" s="115" t="s">
        <v>181</v>
      </c>
      <c r="C10" s="70"/>
      <c r="D10" s="70"/>
      <c r="E10" s="70"/>
      <c r="F10" s="70"/>
      <c r="G10" s="70"/>
      <c r="H10" s="61" t="s">
        <v>26</v>
      </c>
      <c r="I10" s="65"/>
      <c r="J10" s="1386" t="str">
        <f>taxId1</f>
        <v/>
      </c>
      <c r="K10" s="1386" t="str">
        <f>taxId2</f>
        <v/>
      </c>
      <c r="L10" s="1001"/>
      <c r="M10" s="1386" t="str">
        <f>taxId3</f>
        <v/>
      </c>
      <c r="N10" s="1386" t="str">
        <f>taxId4</f>
        <v/>
      </c>
      <c r="O10" s="1386" t="str">
        <f>taxId5</f>
        <v/>
      </c>
      <c r="P10" s="1001"/>
      <c r="Q10" s="1386" t="str">
        <f>taxId6</f>
        <v/>
      </c>
      <c r="R10" s="1386" t="str">
        <f>taxId7</f>
        <v/>
      </c>
      <c r="S10" s="1386" t="str">
        <f>taxId8</f>
        <v/>
      </c>
      <c r="T10" s="1001"/>
      <c r="U10" s="1386" t="str">
        <f>taxId9</f>
        <v/>
      </c>
      <c r="V10" s="1001"/>
      <c r="W10" s="1386" t="str">
        <f>taxId10</f>
        <v/>
      </c>
      <c r="X10" s="1386" t="str">
        <f>taxId11</f>
        <v/>
      </c>
      <c r="Y10" s="1386" t="str">
        <f>taxId12</f>
        <v/>
      </c>
      <c r="Z10" s="1001"/>
      <c r="AA10" s="1386" t="str">
        <f>taxId13</f>
        <v/>
      </c>
      <c r="AB10" s="1386" t="str">
        <f>taxId14</f>
        <v/>
      </c>
      <c r="AC10" s="1386" t="str">
        <f>taxId15</f>
        <v/>
      </c>
      <c r="AD10" s="435"/>
      <c r="AE10" s="435"/>
      <c r="AF10" s="435" t="s">
        <v>295</v>
      </c>
      <c r="AG10" s="435"/>
      <c r="AH10" s="435"/>
      <c r="AI10" s="435"/>
      <c r="AJ10" s="435"/>
      <c r="AK10" s="435"/>
      <c r="AL10" s="435"/>
      <c r="AM10" s="435"/>
      <c r="AN10" s="49"/>
    </row>
    <row r="11" spans="2:40" ht="3" customHeight="1">
      <c r="B11" s="115"/>
      <c r="C11" s="93"/>
      <c r="D11" s="93"/>
      <c r="E11" s="93"/>
      <c r="F11" s="93"/>
      <c r="G11" s="93"/>
      <c r="H11" s="119"/>
      <c r="I11" s="93"/>
      <c r="J11" s="435"/>
      <c r="K11" s="435"/>
      <c r="L11" s="435"/>
      <c r="M11" s="435"/>
      <c r="N11" s="435"/>
      <c r="O11" s="435"/>
      <c r="P11" s="435"/>
      <c r="Q11" s="435"/>
      <c r="R11" s="435"/>
      <c r="S11" s="435"/>
      <c r="T11" s="435"/>
      <c r="U11" s="435"/>
      <c r="V11" s="435"/>
      <c r="W11" s="435"/>
      <c r="X11" s="435"/>
      <c r="Y11" s="435"/>
      <c r="Z11" s="435"/>
      <c r="AA11" s="435"/>
      <c r="AB11" s="435"/>
      <c r="AC11" s="435"/>
      <c r="AD11" s="435"/>
      <c r="AE11" s="435"/>
      <c r="AF11" s="435"/>
      <c r="AG11" s="435"/>
      <c r="AH11" s="435"/>
      <c r="AI11" s="435"/>
      <c r="AJ11" s="435"/>
      <c r="AK11" s="435"/>
      <c r="AL11" s="435"/>
      <c r="AM11" s="435"/>
      <c r="AN11" s="54"/>
    </row>
    <row r="12" spans="2:40" s="11" customFormat="1" ht="20.15" customHeight="1">
      <c r="B12" s="115" t="s">
        <v>182</v>
      </c>
      <c r="C12" s="70"/>
      <c r="D12" s="70"/>
      <c r="E12" s="70"/>
      <c r="F12" s="70"/>
      <c r="G12" s="70"/>
      <c r="H12" s="61" t="s">
        <v>26</v>
      </c>
      <c r="I12" s="65"/>
      <c r="J12" s="1393">
        <f>name</f>
        <v>0</v>
      </c>
      <c r="K12" s="1394"/>
      <c r="L12" s="1394"/>
      <c r="M12" s="1394"/>
      <c r="N12" s="1394"/>
      <c r="O12" s="1394"/>
      <c r="P12" s="1394"/>
      <c r="Q12" s="1394"/>
      <c r="R12" s="1394"/>
      <c r="S12" s="1394"/>
      <c r="T12" s="1394"/>
      <c r="U12" s="1394"/>
      <c r="V12" s="1394"/>
      <c r="W12" s="1394"/>
      <c r="X12" s="1394"/>
      <c r="Y12" s="1394"/>
      <c r="Z12" s="1394"/>
      <c r="AA12" s="1394"/>
      <c r="AB12" s="1394"/>
      <c r="AC12" s="1394"/>
      <c r="AD12" s="1394"/>
      <c r="AE12" s="1394"/>
      <c r="AF12" s="1394"/>
      <c r="AG12" s="1394"/>
      <c r="AH12" s="1394"/>
      <c r="AI12" s="1394"/>
      <c r="AJ12" s="1394"/>
      <c r="AK12" s="1394"/>
      <c r="AL12" s="1394"/>
      <c r="AM12" s="1394"/>
      <c r="AN12" s="49"/>
    </row>
    <row r="13" spans="2:40" ht="3" customHeight="1" thickBot="1">
      <c r="B13" s="84"/>
      <c r="C13" s="2"/>
      <c r="D13" s="2"/>
      <c r="E13" s="2"/>
      <c r="F13" s="2"/>
      <c r="G13" s="2"/>
      <c r="H13" s="2"/>
      <c r="I13" s="2"/>
      <c r="J13" s="2"/>
      <c r="K13" s="6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</row>
    <row r="15" spans="2:40" ht="15" customHeight="1">
      <c r="B15" s="75" t="s">
        <v>242</v>
      </c>
      <c r="C15" s="80"/>
      <c r="D15" s="80"/>
      <c r="E15"/>
      <c r="F15" s="80" t="s">
        <v>26</v>
      </c>
      <c r="G15" s="80" t="s">
        <v>692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6.7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4.25" customHeight="1">
      <c r="B17" s="151" t="s">
        <v>76</v>
      </c>
      <c r="C17" s="151" t="s">
        <v>243</v>
      </c>
      <c r="D17" s="1444"/>
      <c r="E17" s="1444"/>
      <c r="F17" s="1444"/>
      <c r="G17" s="1444"/>
      <c r="H17" s="1444"/>
      <c r="I17" s="1444"/>
      <c r="J17" s="1444"/>
      <c r="K17" s="1444"/>
      <c r="L17" s="1444"/>
      <c r="M17" s="1444"/>
      <c r="N17" s="1444"/>
      <c r="O17" s="1444"/>
      <c r="P17" s="1444"/>
      <c r="Q17" s="2161"/>
      <c r="R17" s="1444" t="s">
        <v>255</v>
      </c>
      <c r="S17" s="1444"/>
      <c r="T17" s="1444"/>
      <c r="U17" s="1444"/>
      <c r="V17" s="1444"/>
      <c r="W17" s="1444"/>
      <c r="X17" s="1444"/>
      <c r="Y17" s="1444"/>
      <c r="Z17" s="1444"/>
      <c r="AA17" s="1444"/>
      <c r="AB17" s="1444"/>
      <c r="AC17" s="1444"/>
      <c r="AD17" s="151" t="s">
        <v>245</v>
      </c>
      <c r="AE17" s="1444"/>
      <c r="AF17" s="1444"/>
      <c r="AG17" s="1444"/>
      <c r="AH17" s="1444"/>
      <c r="AI17" s="1444"/>
      <c r="AJ17" s="1444"/>
      <c r="AK17" s="1444"/>
      <c r="AL17" s="1444"/>
      <c r="AM17" s="1444"/>
      <c r="AN17" s="2161"/>
    </row>
    <row r="18" spans="2:40" ht="12.75" customHeight="1">
      <c r="B18" s="149"/>
      <c r="C18" s="14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395"/>
      <c r="R18" s="71" t="s">
        <v>244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149"/>
      <c r="AE18" s="71"/>
      <c r="AF18" s="71"/>
      <c r="AG18" s="71"/>
      <c r="AH18" s="71"/>
      <c r="AI18" s="71"/>
      <c r="AJ18" s="71"/>
      <c r="AK18" s="71"/>
      <c r="AL18" s="71"/>
      <c r="AM18" s="71"/>
      <c r="AN18" s="395"/>
    </row>
    <row r="19" spans="2:40" ht="15" customHeight="1">
      <c r="B19" s="149"/>
      <c r="C19" s="149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395"/>
      <c r="R19" s="2298" t="s">
        <v>70</v>
      </c>
      <c r="S19" s="2299"/>
      <c r="T19" s="2299"/>
      <c r="U19" s="2299"/>
      <c r="V19" s="2299"/>
      <c r="W19" s="2299"/>
      <c r="X19" s="2299"/>
      <c r="Y19" s="2299"/>
      <c r="Z19" s="2299"/>
      <c r="AA19" s="2299"/>
      <c r="AB19" s="2299"/>
      <c r="AC19" s="2300"/>
      <c r="AD19" s="149" t="s">
        <v>70</v>
      </c>
      <c r="AE19" s="71"/>
      <c r="AF19" s="71"/>
      <c r="AG19" s="71"/>
      <c r="AH19" s="71"/>
      <c r="AI19" s="71"/>
      <c r="AJ19" s="71"/>
      <c r="AK19" s="71"/>
      <c r="AL19" s="71"/>
      <c r="AM19" s="71"/>
      <c r="AN19" s="395"/>
    </row>
    <row r="20" spans="2:40" s="16" customFormat="1" ht="12" customHeight="1">
      <c r="B20" s="188" t="s">
        <v>65</v>
      </c>
      <c r="C20" s="2191" t="s">
        <v>64</v>
      </c>
      <c r="D20" s="2192"/>
      <c r="E20" s="2192"/>
      <c r="F20" s="2192"/>
      <c r="G20" s="2192"/>
      <c r="H20" s="2192"/>
      <c r="I20" s="2192"/>
      <c r="J20" s="2192"/>
      <c r="K20" s="2192"/>
      <c r="L20" s="2192"/>
      <c r="M20" s="2192"/>
      <c r="N20" s="2192"/>
      <c r="O20" s="2192"/>
      <c r="P20" s="2192"/>
      <c r="Q20" s="2193"/>
      <c r="R20" s="2192" t="s">
        <v>66</v>
      </c>
      <c r="S20" s="2192"/>
      <c r="T20" s="2192"/>
      <c r="U20" s="2192"/>
      <c r="V20" s="2192"/>
      <c r="W20" s="2192"/>
      <c r="X20" s="2192"/>
      <c r="Y20" s="2192"/>
      <c r="Z20" s="2192"/>
      <c r="AA20" s="2192"/>
      <c r="AB20" s="2192"/>
      <c r="AC20" s="2192"/>
      <c r="AD20" s="2191" t="s">
        <v>67</v>
      </c>
      <c r="AE20" s="2192"/>
      <c r="AF20" s="2192"/>
      <c r="AG20" s="2192"/>
      <c r="AH20" s="2192"/>
      <c r="AI20" s="2192"/>
      <c r="AJ20" s="2192"/>
      <c r="AK20" s="2192"/>
      <c r="AL20" s="2192"/>
      <c r="AM20" s="2192"/>
      <c r="AN20" s="2193"/>
    </row>
    <row r="21" spans="2:40" ht="2.25" customHeight="1">
      <c r="B21" s="189"/>
      <c r="C21" s="189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5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9"/>
      <c r="AE21" s="184"/>
      <c r="AF21" s="184"/>
      <c r="AG21" s="184"/>
      <c r="AH21" s="184"/>
      <c r="AI21" s="184"/>
      <c r="AJ21" s="184"/>
      <c r="AK21" s="184"/>
      <c r="AL21" s="184"/>
      <c r="AM21" s="184"/>
      <c r="AN21" s="185"/>
    </row>
    <row r="22" spans="2:40" ht="15" customHeight="1">
      <c r="B22" s="1341" t="s">
        <v>621</v>
      </c>
      <c r="C22" s="2303" t="s">
        <v>688</v>
      </c>
      <c r="D22" s="2304"/>
      <c r="E22" s="2304"/>
      <c r="F22" s="2304"/>
      <c r="G22" s="2304"/>
      <c r="H22" s="2304"/>
      <c r="I22" s="2304"/>
      <c r="J22" s="2304"/>
      <c r="K22" s="2304"/>
      <c r="L22" s="2304"/>
      <c r="M22" s="2304"/>
      <c r="N22" s="2304"/>
      <c r="O22" s="2304"/>
      <c r="P22" s="2304"/>
      <c r="Q22" s="2305"/>
      <c r="R22" s="2155">
        <f>'GENERAL INFO'!O172</f>
        <v>0</v>
      </c>
      <c r="S22" s="2156"/>
      <c r="T22" s="2156"/>
      <c r="U22" s="2156"/>
      <c r="V22" s="2156"/>
      <c r="W22" s="2156"/>
      <c r="X22" s="2156"/>
      <c r="Y22" s="2156"/>
      <c r="Z22" s="2156"/>
      <c r="AA22" s="2156"/>
      <c r="AB22" s="2156"/>
      <c r="AC22" s="334"/>
      <c r="AD22" s="2155">
        <f>'GENERAL INFO'!T172</f>
        <v>0</v>
      </c>
      <c r="AE22" s="2156"/>
      <c r="AF22" s="2156"/>
      <c r="AG22" s="2156"/>
      <c r="AH22" s="2156"/>
      <c r="AI22" s="2156"/>
      <c r="AJ22" s="2156"/>
      <c r="AK22" s="2156"/>
      <c r="AL22" s="2156"/>
      <c r="AM22" s="2156"/>
      <c r="AN22" s="334"/>
    </row>
    <row r="23" spans="2:40" ht="15" customHeight="1">
      <c r="B23" s="2211"/>
      <c r="C23" s="2209"/>
      <c r="D23" s="2210"/>
      <c r="E23" s="2210"/>
      <c r="F23" s="2210"/>
      <c r="G23" s="2210"/>
      <c r="H23" s="2210"/>
      <c r="I23" s="2210"/>
      <c r="J23" s="2210"/>
      <c r="K23" s="2210"/>
      <c r="L23" s="2210"/>
      <c r="M23" s="2210"/>
      <c r="N23" s="2210"/>
      <c r="O23" s="2210"/>
      <c r="P23" s="2210"/>
      <c r="Q23" s="2213"/>
      <c r="R23" s="625"/>
      <c r="S23" s="2157"/>
      <c r="T23" s="2157"/>
      <c r="U23" s="2157"/>
      <c r="V23" s="2157"/>
      <c r="W23" s="2157"/>
      <c r="X23" s="2157"/>
      <c r="Y23" s="2157"/>
      <c r="Z23" s="2157"/>
      <c r="AA23" s="2157"/>
      <c r="AB23" s="2157"/>
      <c r="AC23" s="333"/>
      <c r="AD23" s="625"/>
      <c r="AE23" s="2157"/>
      <c r="AF23" s="2157"/>
      <c r="AG23" s="2157"/>
      <c r="AH23" s="2157"/>
      <c r="AI23" s="2157"/>
      <c r="AJ23" s="2157"/>
      <c r="AK23" s="2157"/>
      <c r="AL23" s="2157"/>
      <c r="AM23" s="2157"/>
      <c r="AN23" s="333"/>
    </row>
    <row r="24" spans="2:40" ht="3" customHeight="1">
      <c r="B24" s="149"/>
      <c r="C24" s="224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9"/>
      <c r="R24" s="71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149"/>
      <c r="AE24" s="70"/>
      <c r="AF24" s="70"/>
      <c r="AG24" s="70"/>
      <c r="AH24" s="70"/>
      <c r="AI24" s="70"/>
      <c r="AJ24" s="70"/>
      <c r="AK24" s="70"/>
      <c r="AL24" s="70"/>
      <c r="AM24" s="70"/>
      <c r="AN24" s="161"/>
    </row>
    <row r="25" spans="2:40" ht="15" customHeight="1">
      <c r="B25" s="398" t="s">
        <v>622</v>
      </c>
      <c r="C25" s="2184" t="s">
        <v>718</v>
      </c>
      <c r="D25" s="396"/>
      <c r="E25" s="396"/>
      <c r="F25" s="396"/>
      <c r="G25" s="396"/>
      <c r="H25" s="396"/>
      <c r="I25" s="396"/>
      <c r="J25" s="396"/>
      <c r="K25" s="396"/>
      <c r="L25" s="396"/>
      <c r="M25" s="396"/>
      <c r="N25" s="396"/>
      <c r="O25" s="396"/>
      <c r="P25" s="396"/>
      <c r="Q25" s="402"/>
      <c r="R25" s="810">
        <f>'GENERAL INFO'!O173</f>
        <v>0</v>
      </c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27"/>
      <c r="AD25" s="810">
        <f>'GENERAL INFO'!T173</f>
        <v>0</v>
      </c>
      <c r="AE25" s="302"/>
      <c r="AF25" s="302"/>
      <c r="AG25" s="302"/>
      <c r="AH25" s="302"/>
      <c r="AI25" s="302"/>
      <c r="AJ25" s="302"/>
      <c r="AK25" s="302"/>
      <c r="AL25" s="302"/>
      <c r="AM25" s="302"/>
      <c r="AN25" s="327"/>
    </row>
    <row r="26" spans="2:40" ht="9" customHeight="1">
      <c r="B26" s="2211"/>
      <c r="C26" s="2185"/>
      <c r="D26" s="2186"/>
      <c r="E26" s="2186"/>
      <c r="F26" s="2186"/>
      <c r="G26" s="2186"/>
      <c r="H26" s="2186"/>
      <c r="I26" s="2186"/>
      <c r="J26" s="2186"/>
      <c r="K26" s="2186"/>
      <c r="L26" s="2186"/>
      <c r="M26" s="2186"/>
      <c r="N26" s="2186"/>
      <c r="O26" s="2186"/>
      <c r="P26" s="2186"/>
      <c r="Q26" s="2188"/>
      <c r="R26" s="625"/>
      <c r="S26" s="2157"/>
      <c r="T26" s="2157"/>
      <c r="U26" s="2157"/>
      <c r="V26" s="2157"/>
      <c r="W26" s="2157"/>
      <c r="X26" s="2157"/>
      <c r="Y26" s="2157"/>
      <c r="Z26" s="2157"/>
      <c r="AA26" s="2157"/>
      <c r="AB26" s="2157"/>
      <c r="AC26" s="333"/>
      <c r="AD26" s="625"/>
      <c r="AE26" s="2157"/>
      <c r="AF26" s="2157"/>
      <c r="AG26" s="2157"/>
      <c r="AH26" s="2157"/>
      <c r="AI26" s="2157"/>
      <c r="AJ26" s="2157"/>
      <c r="AK26" s="2157"/>
      <c r="AL26" s="2157"/>
      <c r="AM26" s="2157"/>
      <c r="AN26" s="333"/>
    </row>
    <row r="27" spans="2:40" ht="3" customHeight="1">
      <c r="B27" s="149"/>
      <c r="C27" s="224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9"/>
      <c r="R27" s="71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149"/>
      <c r="AE27" s="70"/>
      <c r="AF27" s="70"/>
      <c r="AG27" s="70"/>
      <c r="AH27" s="70"/>
      <c r="AI27" s="70"/>
      <c r="AJ27" s="70"/>
      <c r="AK27" s="70"/>
      <c r="AL27" s="70"/>
      <c r="AM27" s="70"/>
      <c r="AN27" s="161"/>
    </row>
    <row r="28" spans="2:40" ht="15" customHeight="1">
      <c r="B28" s="149" t="s">
        <v>623</v>
      </c>
      <c r="C28" s="153" t="s">
        <v>690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118"/>
      <c r="O28" s="118"/>
      <c r="P28" s="118"/>
      <c r="Q28" s="231"/>
      <c r="R28" s="810">
        <f>'GENERAL INFO'!O174</f>
        <v>0</v>
      </c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27"/>
      <c r="AD28" s="810">
        <f>'GENERAL INFO'!T174</f>
        <v>0</v>
      </c>
      <c r="AE28" s="302"/>
      <c r="AF28" s="302"/>
      <c r="AG28" s="302"/>
      <c r="AH28" s="302"/>
      <c r="AI28" s="302"/>
      <c r="AJ28" s="302"/>
      <c r="AK28" s="302"/>
      <c r="AL28" s="302"/>
      <c r="AM28" s="302"/>
      <c r="AN28" s="327"/>
    </row>
    <row r="29" spans="2:40" ht="11.25" customHeight="1">
      <c r="B29" s="1337"/>
      <c r="C29" s="628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396"/>
      <c r="O29" s="1396"/>
      <c r="P29" s="1396"/>
      <c r="Q29" s="1397"/>
      <c r="R29" s="625"/>
      <c r="S29" s="2157"/>
      <c r="T29" s="2157"/>
      <c r="U29" s="2157"/>
      <c r="V29" s="2157"/>
      <c r="W29" s="2157"/>
      <c r="X29" s="2157"/>
      <c r="Y29" s="2157"/>
      <c r="Z29" s="2157"/>
      <c r="AA29" s="2157"/>
      <c r="AB29" s="2157"/>
      <c r="AC29" s="333"/>
      <c r="AD29" s="625"/>
      <c r="AE29" s="2157"/>
      <c r="AF29" s="2157"/>
      <c r="AG29" s="2157"/>
      <c r="AH29" s="2157"/>
      <c r="AI29" s="2157"/>
      <c r="AJ29" s="2157"/>
      <c r="AK29" s="2157"/>
      <c r="AL29" s="2157"/>
      <c r="AM29" s="2157"/>
      <c r="AN29" s="333"/>
    </row>
    <row r="30" spans="2:40" ht="3" customHeight="1">
      <c r="B30" s="149"/>
      <c r="C30" s="230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231"/>
      <c r="R30" s="71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149"/>
      <c r="AE30" s="70"/>
      <c r="AF30" s="70"/>
      <c r="AG30" s="70"/>
      <c r="AH30" s="70"/>
      <c r="AI30" s="70"/>
      <c r="AJ30" s="70"/>
      <c r="AK30" s="70"/>
      <c r="AL30" s="70"/>
      <c r="AM30" s="70"/>
      <c r="AN30" s="161"/>
    </row>
    <row r="31" spans="2:40" ht="15" customHeight="1">
      <c r="B31" s="149" t="s">
        <v>624</v>
      </c>
      <c r="C31" s="2240" t="s">
        <v>578</v>
      </c>
      <c r="D31" s="1458"/>
      <c r="E31" s="1458"/>
      <c r="F31" s="1458"/>
      <c r="G31" s="1458"/>
      <c r="H31" s="1458"/>
      <c r="I31" s="1458"/>
      <c r="J31" s="1458"/>
      <c r="K31" s="1458"/>
      <c r="L31" s="1458"/>
      <c r="M31" s="1458"/>
      <c r="N31" s="1458"/>
      <c r="O31" s="1458"/>
      <c r="P31" s="1458"/>
      <c r="Q31" s="2241"/>
      <c r="R31" s="810">
        <f>'GENERAL INFO'!O175</f>
        <v>0</v>
      </c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27"/>
      <c r="AD31" s="810">
        <f>'GENERAL INFO'!T175</f>
        <v>0</v>
      </c>
      <c r="AE31" s="302"/>
      <c r="AF31" s="302"/>
      <c r="AG31" s="302"/>
      <c r="AH31" s="302"/>
      <c r="AI31" s="302"/>
      <c r="AJ31" s="302"/>
      <c r="AK31" s="302"/>
      <c r="AL31" s="302"/>
      <c r="AM31" s="302"/>
      <c r="AN31" s="327"/>
    </row>
    <row r="32" spans="2:40" ht="9.75" customHeight="1">
      <c r="B32" s="1337"/>
      <c r="C32" s="855"/>
      <c r="D32" s="856"/>
      <c r="E32" s="856"/>
      <c r="F32" s="856"/>
      <c r="G32" s="856"/>
      <c r="H32" s="856"/>
      <c r="I32" s="856"/>
      <c r="J32" s="856"/>
      <c r="K32" s="856"/>
      <c r="L32" s="856"/>
      <c r="M32" s="856"/>
      <c r="N32" s="856"/>
      <c r="O32" s="856"/>
      <c r="P32" s="856"/>
      <c r="Q32" s="857"/>
      <c r="R32" s="625"/>
      <c r="S32" s="2157"/>
      <c r="T32" s="2157"/>
      <c r="U32" s="2157"/>
      <c r="V32" s="2157"/>
      <c r="W32" s="2157"/>
      <c r="X32" s="2157"/>
      <c r="Y32" s="2157"/>
      <c r="Z32" s="2157"/>
      <c r="AA32" s="2157"/>
      <c r="AB32" s="2157"/>
      <c r="AC32" s="333"/>
      <c r="AD32" s="625"/>
      <c r="AE32" s="2157"/>
      <c r="AF32" s="2157"/>
      <c r="AG32" s="2157"/>
      <c r="AH32" s="2157"/>
      <c r="AI32" s="2157"/>
      <c r="AJ32" s="2157"/>
      <c r="AK32" s="2157"/>
      <c r="AL32" s="2157"/>
      <c r="AM32" s="2157"/>
      <c r="AN32" s="333"/>
    </row>
    <row r="33" spans="2:40" ht="3" customHeight="1">
      <c r="B33" s="149"/>
      <c r="C33" s="224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9"/>
      <c r="R33" s="71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149"/>
      <c r="AE33" s="70"/>
      <c r="AF33" s="70"/>
      <c r="AG33" s="70"/>
      <c r="AH33" s="70"/>
      <c r="AI33" s="70"/>
      <c r="AJ33" s="70"/>
      <c r="AK33" s="70"/>
      <c r="AL33" s="70"/>
      <c r="AM33" s="70"/>
      <c r="AN33" s="161"/>
    </row>
    <row r="34" spans="2:40" ht="15" customHeight="1">
      <c r="B34" s="398" t="s">
        <v>625</v>
      </c>
      <c r="C34" s="187" t="s">
        <v>277</v>
      </c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29"/>
      <c r="R34" s="810">
        <f>'GENERAL INFO'!O176</f>
        <v>0</v>
      </c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27"/>
      <c r="AD34" s="810">
        <f>'GENERAL INFO'!T176</f>
        <v>0</v>
      </c>
      <c r="AE34" s="302"/>
      <c r="AF34" s="302"/>
      <c r="AG34" s="302"/>
      <c r="AH34" s="302"/>
      <c r="AI34" s="302"/>
      <c r="AJ34" s="302"/>
      <c r="AK34" s="302"/>
      <c r="AL34" s="302"/>
      <c r="AM34" s="302"/>
      <c r="AN34" s="327"/>
    </row>
    <row r="35" spans="2:40" ht="15.75" customHeight="1">
      <c r="B35" s="2211"/>
      <c r="C35" s="2301" t="s">
        <v>278</v>
      </c>
      <c r="D35" s="2302"/>
      <c r="E35" s="2302"/>
      <c r="F35" s="2302"/>
      <c r="G35" s="2302"/>
      <c r="H35" s="2302"/>
      <c r="I35" s="2302"/>
      <c r="J35" s="2302"/>
      <c r="K35" s="2302"/>
      <c r="L35" s="2302"/>
      <c r="M35" s="2302"/>
      <c r="N35" s="2302"/>
      <c r="O35" s="2302"/>
      <c r="P35" s="2302"/>
      <c r="Q35" s="1398"/>
      <c r="R35" s="625"/>
      <c r="S35" s="2157"/>
      <c r="T35" s="2157"/>
      <c r="U35" s="2157"/>
      <c r="V35" s="2157"/>
      <c r="W35" s="2157"/>
      <c r="X35" s="2157"/>
      <c r="Y35" s="2157"/>
      <c r="Z35" s="2157"/>
      <c r="AA35" s="2157"/>
      <c r="AB35" s="2157"/>
      <c r="AC35" s="333"/>
      <c r="AD35" s="625"/>
      <c r="AE35" s="2157"/>
      <c r="AF35" s="2157"/>
      <c r="AG35" s="2157"/>
      <c r="AH35" s="2157"/>
      <c r="AI35" s="2157"/>
      <c r="AJ35" s="2157"/>
      <c r="AK35" s="2157"/>
      <c r="AL35" s="2157"/>
      <c r="AM35" s="2157"/>
      <c r="AN35" s="333"/>
    </row>
    <row r="36" spans="2:40" ht="3" customHeight="1">
      <c r="B36" s="149"/>
      <c r="C36" s="224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9"/>
      <c r="R36" s="71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149"/>
      <c r="AE36" s="70"/>
      <c r="AF36" s="70"/>
      <c r="AG36" s="70"/>
      <c r="AH36" s="70"/>
      <c r="AI36" s="70"/>
      <c r="AJ36" s="70"/>
      <c r="AK36" s="70"/>
      <c r="AL36" s="70"/>
      <c r="AM36" s="70"/>
      <c r="AN36" s="161"/>
    </row>
    <row r="37" spans="2:40" ht="15" customHeight="1">
      <c r="B37" s="149" t="s">
        <v>626</v>
      </c>
      <c r="C37" s="2184" t="s">
        <v>279</v>
      </c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402"/>
      <c r="R37" s="810">
        <f>'GENERAL INFO'!O177</f>
        <v>0</v>
      </c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27"/>
      <c r="AD37" s="810">
        <f>'GENERAL INFO'!T177</f>
        <v>0</v>
      </c>
      <c r="AE37" s="302"/>
      <c r="AF37" s="302"/>
      <c r="AG37" s="302"/>
      <c r="AH37" s="302"/>
      <c r="AI37" s="302"/>
      <c r="AJ37" s="302"/>
      <c r="AK37" s="302"/>
      <c r="AL37" s="302"/>
      <c r="AM37" s="302"/>
      <c r="AN37" s="327"/>
    </row>
    <row r="38" spans="2:40" ht="12" customHeight="1">
      <c r="B38" s="1337"/>
      <c r="C38" s="2185"/>
      <c r="D38" s="2186"/>
      <c r="E38" s="2186"/>
      <c r="F38" s="2186"/>
      <c r="G38" s="2186"/>
      <c r="H38" s="2186"/>
      <c r="I38" s="2186"/>
      <c r="J38" s="2186"/>
      <c r="K38" s="2186"/>
      <c r="L38" s="2186"/>
      <c r="M38" s="2186"/>
      <c r="N38" s="2186"/>
      <c r="O38" s="2186"/>
      <c r="P38" s="2186"/>
      <c r="Q38" s="2188"/>
      <c r="R38" s="625"/>
      <c r="S38" s="2157"/>
      <c r="T38" s="2157"/>
      <c r="U38" s="2157"/>
      <c r="V38" s="2157"/>
      <c r="W38" s="2157"/>
      <c r="X38" s="2157"/>
      <c r="Y38" s="2157"/>
      <c r="Z38" s="2157"/>
      <c r="AA38" s="2157"/>
      <c r="AB38" s="2157"/>
      <c r="AC38" s="333"/>
      <c r="AD38" s="625"/>
      <c r="AE38" s="2157"/>
      <c r="AF38" s="2157"/>
      <c r="AG38" s="2157"/>
      <c r="AH38" s="2157"/>
      <c r="AI38" s="2157"/>
      <c r="AJ38" s="2157"/>
      <c r="AK38" s="2157"/>
      <c r="AL38" s="2157"/>
      <c r="AM38" s="2157"/>
      <c r="AN38" s="333"/>
    </row>
    <row r="39" spans="2:40" ht="3" customHeight="1">
      <c r="B39" s="149"/>
      <c r="C39" s="230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231"/>
      <c r="R39" s="71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149"/>
      <c r="AE39" s="70"/>
      <c r="AF39" s="70"/>
      <c r="AG39" s="70"/>
      <c r="AH39" s="70"/>
      <c r="AI39" s="70"/>
      <c r="AJ39" s="70"/>
      <c r="AK39" s="70"/>
      <c r="AL39" s="70"/>
      <c r="AM39" s="70"/>
      <c r="AN39" s="161"/>
    </row>
    <row r="40" spans="2:40" ht="15" customHeight="1">
      <c r="B40" s="149" t="s">
        <v>629</v>
      </c>
      <c r="C40" s="2184" t="s">
        <v>597</v>
      </c>
      <c r="D40" s="396"/>
      <c r="E40" s="396"/>
      <c r="F40" s="396"/>
      <c r="G40" s="396"/>
      <c r="H40" s="396"/>
      <c r="I40" s="396"/>
      <c r="J40" s="396"/>
      <c r="K40" s="396"/>
      <c r="L40" s="396"/>
      <c r="M40" s="396"/>
      <c r="N40" s="396"/>
      <c r="O40" s="396"/>
      <c r="P40" s="396"/>
      <c r="Q40" s="231"/>
      <c r="R40" s="811">
        <f>'GENERAL INFO'!O178</f>
        <v>0</v>
      </c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327"/>
      <c r="AD40" s="2279">
        <f>'GENERAL INFO'!T178</f>
        <v>0</v>
      </c>
      <c r="AE40" s="2280"/>
      <c r="AF40" s="2280"/>
      <c r="AG40" s="2280"/>
      <c r="AH40" s="2280"/>
      <c r="AI40" s="2280"/>
      <c r="AJ40" s="2280"/>
      <c r="AK40" s="2280"/>
      <c r="AL40" s="2280"/>
      <c r="AM40" s="2280"/>
      <c r="AN40" s="346"/>
    </row>
    <row r="41" spans="2:40" ht="12" customHeight="1">
      <c r="B41" s="1337"/>
      <c r="C41" s="2185"/>
      <c r="D41" s="2186"/>
      <c r="E41" s="2186"/>
      <c r="F41" s="2186"/>
      <c r="G41" s="2186"/>
      <c r="H41" s="2186"/>
      <c r="I41" s="2186"/>
      <c r="J41" s="2186"/>
      <c r="K41" s="2186"/>
      <c r="L41" s="2186"/>
      <c r="M41" s="2186"/>
      <c r="N41" s="2186"/>
      <c r="O41" s="2186"/>
      <c r="P41" s="2186"/>
      <c r="Q41" s="1397"/>
      <c r="R41" s="2285"/>
      <c r="S41" s="2286"/>
      <c r="T41" s="2286"/>
      <c r="U41" s="2286"/>
      <c r="V41" s="2286"/>
      <c r="W41" s="2286"/>
      <c r="X41" s="2286"/>
      <c r="Y41" s="2286"/>
      <c r="Z41" s="2286"/>
      <c r="AA41" s="2286"/>
      <c r="AB41" s="2286"/>
      <c r="AC41" s="333"/>
      <c r="AD41" s="2281"/>
      <c r="AE41" s="2282"/>
      <c r="AF41" s="2282"/>
      <c r="AG41" s="2282"/>
      <c r="AH41" s="2282"/>
      <c r="AI41" s="2282"/>
      <c r="AJ41" s="2282"/>
      <c r="AK41" s="2282"/>
      <c r="AL41" s="2282"/>
      <c r="AM41" s="2282"/>
      <c r="AN41" s="1399"/>
    </row>
    <row r="42" spans="2:40" ht="3" customHeight="1">
      <c r="B42" s="149"/>
      <c r="C42" s="230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231"/>
      <c r="R42" s="71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149"/>
      <c r="AE42" s="70"/>
      <c r="AF42" s="70"/>
      <c r="AG42" s="70"/>
      <c r="AH42" s="70"/>
      <c r="AI42" s="70"/>
      <c r="AJ42" s="70"/>
      <c r="AK42" s="70"/>
      <c r="AL42" s="70"/>
      <c r="AM42" s="70"/>
      <c r="AN42" s="161"/>
    </row>
    <row r="43" spans="2:40" ht="15" customHeight="1">
      <c r="B43" s="149" t="s">
        <v>630</v>
      </c>
      <c r="C43" s="2184" t="s">
        <v>697</v>
      </c>
      <c r="D43" s="396"/>
      <c r="E43" s="396"/>
      <c r="F43" s="396"/>
      <c r="G43" s="396"/>
      <c r="H43" s="396"/>
      <c r="I43" s="396"/>
      <c r="J43" s="396"/>
      <c r="K43" s="396"/>
      <c r="L43" s="396"/>
      <c r="M43" s="396"/>
      <c r="N43" s="109"/>
      <c r="O43" s="109"/>
      <c r="P43" s="109"/>
      <c r="Q43" s="2276"/>
      <c r="R43" s="810">
        <f>'GENERAL INFO'!O179</f>
        <v>0</v>
      </c>
      <c r="S43" s="302"/>
      <c r="T43" s="302"/>
      <c r="U43" s="302"/>
      <c r="V43" s="302"/>
      <c r="W43" s="302"/>
      <c r="X43" s="302"/>
      <c r="Y43" s="302"/>
      <c r="Z43" s="302"/>
      <c r="AA43" s="302"/>
      <c r="AB43" s="302"/>
      <c r="AC43" s="327"/>
      <c r="AD43" s="810">
        <f>'GENERAL INFO'!T179</f>
        <v>0</v>
      </c>
      <c r="AE43" s="302"/>
      <c r="AF43" s="302"/>
      <c r="AG43" s="302"/>
      <c r="AH43" s="302"/>
      <c r="AI43" s="302"/>
      <c r="AJ43" s="302"/>
      <c r="AK43" s="302"/>
      <c r="AL43" s="302"/>
      <c r="AM43" s="302"/>
      <c r="AN43" s="327"/>
    </row>
    <row r="44" spans="2:40" ht="12" customHeight="1">
      <c r="B44" s="1337"/>
      <c r="C44" s="2185"/>
      <c r="D44" s="2186"/>
      <c r="E44" s="2186"/>
      <c r="F44" s="2186"/>
      <c r="G44" s="2186"/>
      <c r="H44" s="2186"/>
      <c r="I44" s="2186"/>
      <c r="J44" s="2186"/>
      <c r="K44" s="2186"/>
      <c r="L44" s="2186"/>
      <c r="M44" s="2186"/>
      <c r="N44" s="2277"/>
      <c r="O44" s="2277"/>
      <c r="P44" s="2277"/>
      <c r="Q44" s="2278"/>
      <c r="R44" s="625"/>
      <c r="S44" s="2157"/>
      <c r="T44" s="2157"/>
      <c r="U44" s="2157"/>
      <c r="V44" s="2157"/>
      <c r="W44" s="2157"/>
      <c r="X44" s="2157"/>
      <c r="Y44" s="2157"/>
      <c r="Z44" s="2157"/>
      <c r="AA44" s="2157"/>
      <c r="AB44" s="2157"/>
      <c r="AC44" s="333"/>
      <c r="AD44" s="625"/>
      <c r="AE44" s="2157"/>
      <c r="AF44" s="2157"/>
      <c r="AG44" s="2157"/>
      <c r="AH44" s="2157"/>
      <c r="AI44" s="2157"/>
      <c r="AJ44" s="2157"/>
      <c r="AK44" s="2157"/>
      <c r="AL44" s="2157"/>
      <c r="AM44" s="2157"/>
      <c r="AN44" s="333"/>
    </row>
    <row r="45" spans="2:40" ht="3" customHeight="1">
      <c r="B45" s="149"/>
      <c r="C45" s="224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32"/>
      <c r="P45" s="232"/>
      <c r="Q45" s="229"/>
      <c r="R45" s="71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149"/>
      <c r="AE45" s="70"/>
      <c r="AF45" s="70"/>
      <c r="AG45" s="70"/>
      <c r="AH45" s="70"/>
      <c r="AI45" s="70"/>
      <c r="AJ45" s="70"/>
      <c r="AK45" s="70"/>
      <c r="AL45" s="70"/>
      <c r="AM45" s="70"/>
      <c r="AN45" s="161"/>
    </row>
    <row r="46" spans="2:40" ht="15" customHeight="1">
      <c r="B46" s="398" t="s">
        <v>631</v>
      </c>
      <c r="C46" s="2184" t="s">
        <v>280</v>
      </c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402"/>
      <c r="R46" s="810">
        <f>'GENERAL INFO'!O180</f>
        <v>0</v>
      </c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27"/>
      <c r="AD46" s="810">
        <f>'GENERAL INFO'!T180</f>
        <v>0</v>
      </c>
      <c r="AE46" s="302"/>
      <c r="AF46" s="302"/>
      <c r="AG46" s="302"/>
      <c r="AH46" s="302"/>
      <c r="AI46" s="302"/>
      <c r="AJ46" s="302"/>
      <c r="AK46" s="302"/>
      <c r="AL46" s="302"/>
      <c r="AM46" s="302"/>
      <c r="AN46" s="327"/>
    </row>
    <row r="47" spans="2:40" ht="11.25" customHeight="1">
      <c r="B47" s="2211"/>
      <c r="C47" s="2185"/>
      <c r="D47" s="2186"/>
      <c r="E47" s="2186"/>
      <c r="F47" s="2186"/>
      <c r="G47" s="2186"/>
      <c r="H47" s="2186"/>
      <c r="I47" s="2186"/>
      <c r="J47" s="2186"/>
      <c r="K47" s="2186"/>
      <c r="L47" s="2186"/>
      <c r="M47" s="2186"/>
      <c r="N47" s="2186"/>
      <c r="O47" s="2186"/>
      <c r="P47" s="2186"/>
      <c r="Q47" s="2188"/>
      <c r="R47" s="625"/>
      <c r="S47" s="2157"/>
      <c r="T47" s="2157"/>
      <c r="U47" s="2157"/>
      <c r="V47" s="2157"/>
      <c r="W47" s="2157"/>
      <c r="X47" s="2157"/>
      <c r="Y47" s="2157"/>
      <c r="Z47" s="2157"/>
      <c r="AA47" s="2157"/>
      <c r="AB47" s="2157"/>
      <c r="AC47" s="333"/>
      <c r="AD47" s="625"/>
      <c r="AE47" s="2157"/>
      <c r="AF47" s="2157"/>
      <c r="AG47" s="2157"/>
      <c r="AH47" s="2157"/>
      <c r="AI47" s="2157"/>
      <c r="AJ47" s="2157"/>
      <c r="AK47" s="2157"/>
      <c r="AL47" s="2157"/>
      <c r="AM47" s="2157"/>
      <c r="AN47" s="333"/>
    </row>
    <row r="48" spans="2:40" ht="3" customHeight="1">
      <c r="B48" s="149"/>
      <c r="C48" s="230"/>
      <c r="D48" s="118"/>
      <c r="E48" s="118"/>
      <c r="F48" s="118"/>
      <c r="G48" s="118"/>
      <c r="H48" s="118"/>
      <c r="I48" s="118"/>
      <c r="J48" s="228"/>
      <c r="K48" s="228"/>
      <c r="L48" s="228"/>
      <c r="M48" s="228"/>
      <c r="N48" s="228"/>
      <c r="O48" s="228"/>
      <c r="P48" s="228"/>
      <c r="Q48" s="229"/>
      <c r="R48" s="71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149"/>
      <c r="AE48" s="70"/>
      <c r="AF48" s="70"/>
      <c r="AG48" s="70"/>
      <c r="AH48" s="70"/>
      <c r="AI48" s="70"/>
      <c r="AJ48" s="70"/>
      <c r="AK48" s="70"/>
      <c r="AL48" s="70"/>
      <c r="AM48" s="70"/>
      <c r="AN48" s="161"/>
    </row>
    <row r="49" spans="2:40" ht="15" customHeight="1">
      <c r="B49" s="398" t="s">
        <v>632</v>
      </c>
      <c r="C49" s="2184" t="s">
        <v>699</v>
      </c>
      <c r="D49" s="396"/>
      <c r="E49" s="396"/>
      <c r="F49" s="396"/>
      <c r="G49" s="396"/>
      <c r="H49" s="396"/>
      <c r="I49" s="396"/>
      <c r="J49" s="396"/>
      <c r="K49" s="396"/>
      <c r="L49" s="396"/>
      <c r="M49" s="396"/>
      <c r="N49" s="396"/>
      <c r="O49" s="396"/>
      <c r="P49" s="396"/>
      <c r="Q49" s="402"/>
      <c r="R49" s="810">
        <f>'GENERAL INFO'!O181</f>
        <v>0</v>
      </c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27"/>
      <c r="AD49" s="810">
        <f>'GENERAL INFO'!T181</f>
        <v>0</v>
      </c>
      <c r="AE49" s="302"/>
      <c r="AF49" s="302"/>
      <c r="AG49" s="302"/>
      <c r="AH49" s="302"/>
      <c r="AI49" s="302"/>
      <c r="AJ49" s="302"/>
      <c r="AK49" s="302"/>
      <c r="AL49" s="302"/>
      <c r="AM49" s="302"/>
      <c r="AN49" s="327"/>
    </row>
    <row r="50" spans="2:40" ht="9" customHeight="1">
      <c r="B50" s="2211"/>
      <c r="C50" s="2185"/>
      <c r="D50" s="2186"/>
      <c r="E50" s="2186"/>
      <c r="F50" s="2186"/>
      <c r="G50" s="2186"/>
      <c r="H50" s="2186"/>
      <c r="I50" s="2186"/>
      <c r="J50" s="2186"/>
      <c r="K50" s="2186"/>
      <c r="L50" s="2186"/>
      <c r="M50" s="2186"/>
      <c r="N50" s="2186"/>
      <c r="O50" s="2186"/>
      <c r="P50" s="2186"/>
      <c r="Q50" s="2188"/>
      <c r="R50" s="625"/>
      <c r="S50" s="2157"/>
      <c r="T50" s="2157"/>
      <c r="U50" s="2157"/>
      <c r="V50" s="2157"/>
      <c r="W50" s="2157"/>
      <c r="X50" s="2157"/>
      <c r="Y50" s="2157"/>
      <c r="Z50" s="2157"/>
      <c r="AA50" s="2157"/>
      <c r="AB50" s="2157"/>
      <c r="AC50" s="333"/>
      <c r="AD50" s="625"/>
      <c r="AE50" s="2157"/>
      <c r="AF50" s="2157"/>
      <c r="AG50" s="2157"/>
      <c r="AH50" s="2157"/>
      <c r="AI50" s="2157"/>
      <c r="AJ50" s="2157"/>
      <c r="AK50" s="2157"/>
      <c r="AL50" s="2157"/>
      <c r="AM50" s="2157"/>
      <c r="AN50" s="333"/>
    </row>
    <row r="51" spans="2:40" ht="3" customHeight="1">
      <c r="B51" s="149"/>
      <c r="C51" s="149"/>
      <c r="D51" s="396"/>
      <c r="E51" s="396"/>
      <c r="F51" s="396"/>
      <c r="G51" s="396"/>
      <c r="H51" s="396"/>
      <c r="I51" s="396"/>
      <c r="J51" s="396"/>
      <c r="K51" s="396"/>
      <c r="L51" s="396"/>
      <c r="M51" s="396"/>
      <c r="N51" s="396"/>
      <c r="O51" s="396"/>
      <c r="P51" s="396"/>
      <c r="Q51" s="402"/>
      <c r="R51" s="831"/>
      <c r="S51" s="831"/>
      <c r="T51" s="831"/>
      <c r="U51" s="831"/>
      <c r="V51" s="831"/>
      <c r="W51" s="831"/>
      <c r="X51" s="831"/>
      <c r="Y51" s="831"/>
      <c r="Z51" s="831"/>
      <c r="AA51" s="831"/>
      <c r="AB51" s="831"/>
      <c r="AC51" s="832"/>
      <c r="AD51" s="833"/>
      <c r="AE51" s="831"/>
      <c r="AF51" s="831"/>
      <c r="AG51" s="831"/>
      <c r="AH51" s="831"/>
      <c r="AI51" s="831"/>
      <c r="AJ51" s="831"/>
      <c r="AK51" s="831"/>
      <c r="AL51" s="831"/>
      <c r="AM51" s="831"/>
      <c r="AN51" s="834"/>
    </row>
    <row r="52" spans="2:40" ht="15" customHeight="1">
      <c r="B52" s="398" t="s">
        <v>633</v>
      </c>
      <c r="C52" s="2184" t="s">
        <v>691</v>
      </c>
      <c r="D52" s="396"/>
      <c r="E52" s="396"/>
      <c r="F52" s="396"/>
      <c r="G52" s="396"/>
      <c r="H52" s="396"/>
      <c r="I52" s="396"/>
      <c r="J52" s="396"/>
      <c r="K52" s="396"/>
      <c r="L52" s="396"/>
      <c r="M52" s="396"/>
      <c r="N52" s="396"/>
      <c r="O52" s="396"/>
      <c r="P52" s="396"/>
      <c r="Q52" s="402"/>
      <c r="R52" s="833">
        <f>'GENERAL INFO'!O182</f>
        <v>0</v>
      </c>
      <c r="S52" s="831"/>
      <c r="T52" s="831"/>
      <c r="U52" s="831"/>
      <c r="V52" s="831"/>
      <c r="W52" s="831"/>
      <c r="X52" s="831"/>
      <c r="Y52" s="831"/>
      <c r="Z52" s="831"/>
      <c r="AA52" s="831"/>
      <c r="AB52" s="831"/>
      <c r="AC52" s="832"/>
      <c r="AD52" s="833">
        <f>'GENERAL INFO'!T182</f>
        <v>0</v>
      </c>
      <c r="AE52" s="831"/>
      <c r="AF52" s="831"/>
      <c r="AG52" s="831"/>
      <c r="AH52" s="831"/>
      <c r="AI52" s="831"/>
      <c r="AJ52" s="831"/>
      <c r="AK52" s="831"/>
      <c r="AL52" s="831"/>
      <c r="AM52" s="831"/>
      <c r="AN52" s="834"/>
    </row>
    <row r="53" spans="2:40" ht="12" customHeight="1">
      <c r="B53" s="2211"/>
      <c r="C53" s="2185"/>
      <c r="D53" s="2186"/>
      <c r="E53" s="2186"/>
      <c r="F53" s="2186"/>
      <c r="G53" s="2186"/>
      <c r="H53" s="2186"/>
      <c r="I53" s="2186"/>
      <c r="J53" s="2186"/>
      <c r="K53" s="2186"/>
      <c r="L53" s="2186"/>
      <c r="M53" s="2186"/>
      <c r="N53" s="2186"/>
      <c r="O53" s="2186"/>
      <c r="P53" s="2186"/>
      <c r="Q53" s="2188"/>
      <c r="R53" s="2283"/>
      <c r="S53" s="2284"/>
      <c r="T53" s="2284"/>
      <c r="U53" s="2284"/>
      <c r="V53" s="2284"/>
      <c r="W53" s="2284"/>
      <c r="X53" s="2284"/>
      <c r="Y53" s="2284"/>
      <c r="Z53" s="2284"/>
      <c r="AA53" s="2284"/>
      <c r="AB53" s="2284"/>
      <c r="AC53" s="1400"/>
      <c r="AD53" s="2283"/>
      <c r="AE53" s="2284"/>
      <c r="AF53" s="2284"/>
      <c r="AG53" s="2284"/>
      <c r="AH53" s="2284"/>
      <c r="AI53" s="2284"/>
      <c r="AJ53" s="2284"/>
      <c r="AK53" s="2284"/>
      <c r="AL53" s="2284"/>
      <c r="AM53" s="2284"/>
      <c r="AN53" s="1401"/>
    </row>
    <row r="54" spans="2:40" ht="3" customHeight="1">
      <c r="B54" s="149"/>
      <c r="C54" s="14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161"/>
      <c r="R54" s="347"/>
      <c r="S54" s="348"/>
      <c r="T54" s="348"/>
      <c r="U54" s="348"/>
      <c r="V54" s="348"/>
      <c r="W54" s="348"/>
      <c r="X54" s="348"/>
      <c r="Y54" s="348"/>
      <c r="Z54" s="348"/>
      <c r="AA54" s="348"/>
      <c r="AB54" s="348"/>
      <c r="AC54" s="348"/>
      <c r="AD54" s="349"/>
      <c r="AE54" s="70"/>
      <c r="AF54" s="70"/>
      <c r="AG54" s="70"/>
      <c r="AH54" s="70"/>
      <c r="AI54" s="70"/>
      <c r="AJ54" s="70"/>
      <c r="AK54" s="70"/>
      <c r="AL54" s="70"/>
      <c r="AM54" s="70"/>
      <c r="AN54" s="161"/>
    </row>
    <row r="55" spans="2:40" ht="15" customHeight="1">
      <c r="B55" s="398" t="s">
        <v>634</v>
      </c>
      <c r="C55" s="2184" t="s">
        <v>352</v>
      </c>
      <c r="D55" s="396"/>
      <c r="E55" s="396"/>
      <c r="F55" s="396"/>
      <c r="G55" s="396"/>
      <c r="H55" s="396"/>
      <c r="I55" s="396"/>
      <c r="J55" s="396"/>
      <c r="K55" s="396"/>
      <c r="L55" s="396"/>
      <c r="M55" s="396"/>
      <c r="N55" s="396"/>
      <c r="O55" s="396"/>
      <c r="P55" s="396"/>
      <c r="Q55" s="402"/>
      <c r="R55" s="810">
        <f>'GENERAL INFO'!O183</f>
        <v>0</v>
      </c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27"/>
      <c r="AD55" s="810">
        <f>'GENERAL INFO'!T183</f>
        <v>0</v>
      </c>
      <c r="AE55" s="302"/>
      <c r="AF55" s="302"/>
      <c r="AG55" s="302"/>
      <c r="AH55" s="302"/>
      <c r="AI55" s="302"/>
      <c r="AJ55" s="302"/>
      <c r="AK55" s="302"/>
      <c r="AL55" s="302"/>
      <c r="AM55" s="302"/>
      <c r="AN55" s="327"/>
    </row>
    <row r="56" spans="2:40" ht="6.75" customHeight="1">
      <c r="B56" s="2211"/>
      <c r="C56" s="2185"/>
      <c r="D56" s="2186"/>
      <c r="E56" s="2186"/>
      <c r="F56" s="2186"/>
      <c r="G56" s="2186"/>
      <c r="H56" s="2186"/>
      <c r="I56" s="2186"/>
      <c r="J56" s="2186"/>
      <c r="K56" s="2186"/>
      <c r="L56" s="2186"/>
      <c r="M56" s="2186"/>
      <c r="N56" s="2186"/>
      <c r="O56" s="2186"/>
      <c r="P56" s="2186"/>
      <c r="Q56" s="2188"/>
      <c r="R56" s="625"/>
      <c r="S56" s="2157"/>
      <c r="T56" s="2157"/>
      <c r="U56" s="2157"/>
      <c r="V56" s="2157"/>
      <c r="W56" s="2157"/>
      <c r="X56" s="2157"/>
      <c r="Y56" s="2157"/>
      <c r="Z56" s="2157"/>
      <c r="AA56" s="2157"/>
      <c r="AB56" s="2157"/>
      <c r="AC56" s="333"/>
      <c r="AD56" s="625"/>
      <c r="AE56" s="2157"/>
      <c r="AF56" s="2157"/>
      <c r="AG56" s="2157"/>
      <c r="AH56" s="2157"/>
      <c r="AI56" s="2157"/>
      <c r="AJ56" s="2157"/>
      <c r="AK56" s="2157"/>
      <c r="AL56" s="2157"/>
      <c r="AM56" s="2157"/>
      <c r="AN56" s="333"/>
    </row>
    <row r="57" spans="2:40" ht="3" customHeight="1">
      <c r="B57" s="151"/>
      <c r="C57" s="2203" t="s">
        <v>281</v>
      </c>
      <c r="D57" s="2288"/>
      <c r="E57" s="2288"/>
      <c r="F57" s="2288"/>
      <c r="G57" s="2288"/>
      <c r="H57" s="2288"/>
      <c r="I57" s="2288"/>
      <c r="J57" s="2288"/>
      <c r="K57" s="2288"/>
      <c r="L57" s="2288"/>
      <c r="M57" s="2288"/>
      <c r="N57" s="2288"/>
      <c r="O57" s="2288"/>
      <c r="P57" s="2288"/>
      <c r="Q57" s="2289"/>
      <c r="R57" s="1402"/>
      <c r="S57" s="1403"/>
      <c r="T57" s="1403"/>
      <c r="U57" s="1403"/>
      <c r="V57" s="1403"/>
      <c r="W57" s="1403"/>
      <c r="X57" s="1403"/>
      <c r="Y57" s="1403"/>
      <c r="Z57" s="1403"/>
      <c r="AA57" s="1403"/>
      <c r="AB57" s="1403"/>
      <c r="AC57" s="1403"/>
      <c r="AD57" s="1404"/>
      <c r="AE57" s="182"/>
      <c r="AF57" s="182"/>
      <c r="AG57" s="182"/>
      <c r="AH57" s="182"/>
      <c r="AI57" s="182"/>
      <c r="AJ57" s="182"/>
      <c r="AK57" s="182"/>
      <c r="AL57" s="182"/>
      <c r="AM57" s="182"/>
      <c r="AN57" s="221"/>
    </row>
    <row r="58" spans="2:40" ht="15" customHeight="1">
      <c r="B58" s="398" t="s">
        <v>635</v>
      </c>
      <c r="C58" s="2184"/>
      <c r="D58" s="396"/>
      <c r="E58" s="396"/>
      <c r="F58" s="396"/>
      <c r="G58" s="396"/>
      <c r="H58" s="396"/>
      <c r="I58" s="396"/>
      <c r="J58" s="396"/>
      <c r="K58" s="396"/>
      <c r="L58" s="396"/>
      <c r="M58" s="396"/>
      <c r="N58" s="396"/>
      <c r="O58" s="396"/>
      <c r="P58" s="396"/>
      <c r="Q58" s="402"/>
      <c r="R58" s="810">
        <f>'GENERAL INFO'!O184</f>
        <v>0</v>
      </c>
      <c r="S58" s="302"/>
      <c r="T58" s="302"/>
      <c r="U58" s="302"/>
      <c r="V58" s="302"/>
      <c r="W58" s="302"/>
      <c r="X58" s="302"/>
      <c r="Y58" s="302"/>
      <c r="Z58" s="302"/>
      <c r="AA58" s="302"/>
      <c r="AB58" s="302"/>
      <c r="AC58" s="327"/>
      <c r="AD58" s="810">
        <f>'GENERAL INFO'!T184</f>
        <v>0</v>
      </c>
      <c r="AE58" s="302"/>
      <c r="AF58" s="302"/>
      <c r="AG58" s="302"/>
      <c r="AH58" s="302"/>
      <c r="AI58" s="302"/>
      <c r="AJ58" s="302"/>
      <c r="AK58" s="302"/>
      <c r="AL58" s="302"/>
      <c r="AM58" s="302"/>
      <c r="AN58" s="327"/>
    </row>
    <row r="59" spans="2:40" ht="9.75" customHeight="1">
      <c r="B59" s="2211"/>
      <c r="C59" s="2185"/>
      <c r="D59" s="2186"/>
      <c r="E59" s="2186"/>
      <c r="F59" s="2186"/>
      <c r="G59" s="2186"/>
      <c r="H59" s="2186"/>
      <c r="I59" s="2186"/>
      <c r="J59" s="2186"/>
      <c r="K59" s="2186"/>
      <c r="L59" s="2186"/>
      <c r="M59" s="2186"/>
      <c r="N59" s="2186"/>
      <c r="O59" s="2186"/>
      <c r="P59" s="2186"/>
      <c r="Q59" s="2188"/>
      <c r="R59" s="625"/>
      <c r="S59" s="2157"/>
      <c r="T59" s="2157"/>
      <c r="U59" s="2157"/>
      <c r="V59" s="2157"/>
      <c r="W59" s="2157"/>
      <c r="X59" s="2157"/>
      <c r="Y59" s="2157"/>
      <c r="Z59" s="2157"/>
      <c r="AA59" s="2157"/>
      <c r="AB59" s="2157"/>
      <c r="AC59" s="333"/>
      <c r="AD59" s="625"/>
      <c r="AE59" s="2157"/>
      <c r="AF59" s="2157"/>
      <c r="AG59" s="2157"/>
      <c r="AH59" s="2157"/>
      <c r="AI59" s="2157"/>
      <c r="AJ59" s="2157"/>
      <c r="AK59" s="2157"/>
      <c r="AL59" s="2157"/>
      <c r="AM59" s="2157"/>
      <c r="AN59" s="333"/>
    </row>
    <row r="60" spans="2:40" ht="3" customHeight="1">
      <c r="B60" s="149"/>
      <c r="C60" s="227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9"/>
      <c r="R60" s="347"/>
      <c r="S60" s="348"/>
      <c r="T60" s="348"/>
      <c r="U60" s="348"/>
      <c r="V60" s="348"/>
      <c r="W60" s="348"/>
      <c r="X60" s="348"/>
      <c r="Y60" s="348"/>
      <c r="Z60" s="348"/>
      <c r="AA60" s="348"/>
      <c r="AB60" s="348"/>
      <c r="AC60" s="348"/>
      <c r="AD60" s="349"/>
      <c r="AE60" s="70"/>
      <c r="AF60" s="70"/>
      <c r="AG60" s="70"/>
      <c r="AH60" s="70"/>
      <c r="AI60" s="70"/>
      <c r="AJ60" s="70"/>
      <c r="AK60" s="70"/>
      <c r="AL60" s="70"/>
      <c r="AM60" s="70"/>
      <c r="AN60" s="161"/>
    </row>
    <row r="61" spans="2:40" ht="15" customHeight="1">
      <c r="B61" s="149" t="s">
        <v>636</v>
      </c>
      <c r="C61" s="187" t="s">
        <v>283</v>
      </c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9"/>
      <c r="R61" s="810">
        <f>'GENERAL INFO'!O185</f>
        <v>0</v>
      </c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27"/>
      <c r="AD61" s="810">
        <f>'GENERAL INFO'!T185</f>
        <v>0</v>
      </c>
      <c r="AE61" s="302"/>
      <c r="AF61" s="302"/>
      <c r="AG61" s="302"/>
      <c r="AH61" s="302"/>
      <c r="AI61" s="302"/>
      <c r="AJ61" s="302"/>
      <c r="AK61" s="302"/>
      <c r="AL61" s="302"/>
      <c r="AM61" s="302"/>
      <c r="AN61" s="327"/>
    </row>
    <row r="62" spans="2:40" ht="15" customHeight="1">
      <c r="B62" s="149"/>
      <c r="C62" s="187" t="s">
        <v>282</v>
      </c>
      <c r="D62" s="228"/>
      <c r="E62" s="228"/>
      <c r="F62" s="228"/>
      <c r="G62" s="228"/>
      <c r="H62" s="232"/>
      <c r="I62" s="232"/>
      <c r="J62" s="232"/>
      <c r="K62" s="232"/>
      <c r="L62" s="232"/>
      <c r="M62" s="232"/>
      <c r="N62" s="232"/>
      <c r="O62" s="232"/>
      <c r="P62" s="232"/>
      <c r="Q62" s="2287"/>
      <c r="R62" s="625"/>
      <c r="S62" s="2157"/>
      <c r="T62" s="2157"/>
      <c r="U62" s="2157"/>
      <c r="V62" s="2157"/>
      <c r="W62" s="2157"/>
      <c r="X62" s="2157"/>
      <c r="Y62" s="2157"/>
      <c r="Z62" s="2157"/>
      <c r="AA62" s="2157"/>
      <c r="AB62" s="2157"/>
      <c r="AC62" s="333"/>
      <c r="AD62" s="625"/>
      <c r="AE62" s="2157"/>
      <c r="AF62" s="2157"/>
      <c r="AG62" s="2157"/>
      <c r="AH62" s="2157"/>
      <c r="AI62" s="2157"/>
      <c r="AJ62" s="2157"/>
      <c r="AK62" s="2157"/>
      <c r="AL62" s="2157"/>
      <c r="AM62" s="2157"/>
      <c r="AN62" s="333"/>
    </row>
    <row r="63" spans="2:40" ht="3" customHeight="1">
      <c r="B63" s="190"/>
      <c r="C63" s="151" t="s">
        <v>227</v>
      </c>
      <c r="D63" s="1444"/>
      <c r="E63" s="1444"/>
      <c r="F63" s="1444"/>
      <c r="G63" s="1444"/>
      <c r="H63" s="1444"/>
      <c r="I63" s="1444"/>
      <c r="J63" s="1444"/>
      <c r="K63" s="1444"/>
      <c r="L63" s="1444"/>
      <c r="M63" s="1444"/>
      <c r="N63" s="1444"/>
      <c r="O63" s="1444"/>
      <c r="P63" s="1444"/>
      <c r="Q63" s="2161"/>
      <c r="R63" s="835"/>
      <c r="S63" s="836"/>
      <c r="T63" s="836"/>
      <c r="U63" s="836"/>
      <c r="V63" s="836"/>
      <c r="W63" s="836"/>
      <c r="X63" s="836"/>
      <c r="Y63" s="836"/>
      <c r="Z63" s="836"/>
      <c r="AA63" s="836"/>
      <c r="AB63" s="151" t="s">
        <v>579</v>
      </c>
      <c r="AC63" s="2161"/>
      <c r="AD63" s="2155">
        <f>SUM(AD22:AN62)</f>
        <v>0</v>
      </c>
      <c r="AE63" s="2156"/>
      <c r="AF63" s="2156"/>
      <c r="AG63" s="2156"/>
      <c r="AH63" s="2156"/>
      <c r="AI63" s="2156"/>
      <c r="AJ63" s="2156"/>
      <c r="AK63" s="2156"/>
      <c r="AL63" s="2156"/>
      <c r="AM63" s="2156"/>
      <c r="AN63" s="334"/>
    </row>
    <row r="64" spans="2:40" ht="12" customHeight="1">
      <c r="B64" s="186"/>
      <c r="C64" s="149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395"/>
      <c r="R64" s="837"/>
      <c r="S64" s="838"/>
      <c r="T64" s="839"/>
      <c r="U64" s="839"/>
      <c r="V64" s="839"/>
      <c r="W64" s="839"/>
      <c r="X64" s="839"/>
      <c r="Y64" s="839"/>
      <c r="Z64" s="839"/>
      <c r="AA64" s="839"/>
      <c r="AB64" s="149"/>
      <c r="AC64" s="395"/>
      <c r="AD64" s="810"/>
      <c r="AE64" s="302"/>
      <c r="AF64" s="302"/>
      <c r="AG64" s="302"/>
      <c r="AH64" s="302"/>
      <c r="AI64" s="302"/>
      <c r="AJ64" s="302"/>
      <c r="AK64" s="302"/>
      <c r="AL64" s="302"/>
      <c r="AM64" s="302"/>
      <c r="AN64" s="327"/>
    </row>
    <row r="65" spans="2:40" ht="9" customHeight="1">
      <c r="B65" s="183"/>
      <c r="C65" s="1337"/>
      <c r="D65" s="2187"/>
      <c r="E65" s="2187"/>
      <c r="F65" s="2187"/>
      <c r="G65" s="2187"/>
      <c r="H65" s="2187"/>
      <c r="I65" s="2187"/>
      <c r="J65" s="2187"/>
      <c r="K65" s="2187"/>
      <c r="L65" s="2187"/>
      <c r="M65" s="2187"/>
      <c r="N65" s="2187"/>
      <c r="O65" s="2187"/>
      <c r="P65" s="2187"/>
      <c r="Q65" s="2180"/>
      <c r="R65" s="840"/>
      <c r="S65" s="840"/>
      <c r="T65" s="841"/>
      <c r="U65" s="841"/>
      <c r="V65" s="841"/>
      <c r="W65" s="841"/>
      <c r="X65" s="841"/>
      <c r="Y65" s="841"/>
      <c r="Z65" s="841"/>
      <c r="AA65" s="841"/>
      <c r="AB65" s="1337"/>
      <c r="AC65" s="2180"/>
      <c r="AD65" s="625"/>
      <c r="AE65" s="2157"/>
      <c r="AF65" s="2157"/>
      <c r="AG65" s="2157"/>
      <c r="AH65" s="2157"/>
      <c r="AI65" s="2157"/>
      <c r="AJ65" s="2157"/>
      <c r="AK65" s="2157"/>
      <c r="AL65" s="2157"/>
      <c r="AM65" s="2157"/>
      <c r="AN65" s="333"/>
    </row>
    <row r="66" spans="2:40" ht="8.15" customHeight="1">
      <c r="B66" s="175"/>
      <c r="C66" s="175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</row>
    <row r="67" spans="2:40" ht="8.15" customHeight="1">
      <c r="B67"/>
      <c r="C6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8.15" customHeight="1">
      <c r="B68"/>
      <c r="C6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5" customHeight="1">
      <c r="B69" s="75" t="s">
        <v>246</v>
      </c>
      <c r="C69" s="75"/>
      <c r="D69" s="75"/>
      <c r="E69" s="15"/>
      <c r="F69" s="75" t="s">
        <v>26</v>
      </c>
      <c r="G69" s="75" t="s">
        <v>693</v>
      </c>
      <c r="H69" s="75"/>
      <c r="I69" s="75"/>
      <c r="J69" s="75"/>
      <c r="K69" s="7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2:40" ht="6.7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2:40" ht="15" customHeight="1">
      <c r="B71" s="2203" t="s">
        <v>76</v>
      </c>
      <c r="C71" s="2257" t="s">
        <v>830</v>
      </c>
      <c r="D71" s="2258"/>
      <c r="E71" s="2259"/>
      <c r="F71" s="151" t="s">
        <v>829</v>
      </c>
      <c r="G71" s="1444"/>
      <c r="H71" s="1444"/>
      <c r="I71" s="1444"/>
      <c r="J71" s="1444"/>
      <c r="K71" s="1444"/>
      <c r="L71" s="1444"/>
      <c r="M71" s="2161"/>
      <c r="N71" s="156" t="s">
        <v>247</v>
      </c>
      <c r="O71" s="159"/>
      <c r="P71" s="159"/>
      <c r="Q71" s="2162"/>
      <c r="R71" s="156" t="s">
        <v>249</v>
      </c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2162"/>
      <c r="AD71" s="151" t="s">
        <v>250</v>
      </c>
      <c r="AE71" s="1444"/>
      <c r="AF71" s="1444"/>
      <c r="AG71" s="1444"/>
      <c r="AH71" s="1444"/>
      <c r="AI71" s="1444"/>
      <c r="AJ71" s="1444"/>
      <c r="AK71" s="1444"/>
      <c r="AL71" s="1444"/>
      <c r="AM71" s="1444"/>
      <c r="AN71" s="2161"/>
    </row>
    <row r="72" spans="2:40" ht="12.75" customHeight="1">
      <c r="B72" s="2184"/>
      <c r="C72" s="2260"/>
      <c r="D72" s="2261"/>
      <c r="E72" s="2262"/>
      <c r="F72" s="149"/>
      <c r="G72" s="71"/>
      <c r="H72" s="71"/>
      <c r="I72" s="71"/>
      <c r="J72" s="71"/>
      <c r="K72" s="71"/>
      <c r="L72" s="71"/>
      <c r="M72" s="395"/>
      <c r="N72" s="164" t="s">
        <v>248</v>
      </c>
      <c r="O72" s="69"/>
      <c r="P72" s="69"/>
      <c r="Q72" s="2181"/>
      <c r="R72" s="164" t="s">
        <v>70</v>
      </c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2181"/>
      <c r="AD72" s="149"/>
      <c r="AE72" s="71"/>
      <c r="AF72" s="71"/>
      <c r="AG72" s="71"/>
      <c r="AH72" s="71"/>
      <c r="AI72" s="71"/>
      <c r="AJ72" s="71"/>
      <c r="AK72" s="71"/>
      <c r="AL72" s="71"/>
      <c r="AM72" s="71"/>
      <c r="AN72" s="395"/>
    </row>
    <row r="73" spans="2:40" ht="3" customHeight="1">
      <c r="B73" s="2184"/>
      <c r="C73" s="2312"/>
      <c r="D73" s="2313"/>
      <c r="E73" s="2314"/>
      <c r="F73" s="1337"/>
      <c r="G73" s="2187"/>
      <c r="H73" s="2187"/>
      <c r="I73" s="2187"/>
      <c r="J73" s="2187"/>
      <c r="K73" s="2187"/>
      <c r="L73" s="2187"/>
      <c r="M73" s="2180"/>
      <c r="N73" s="165"/>
      <c r="O73" s="630"/>
      <c r="P73" s="630"/>
      <c r="Q73" s="631"/>
      <c r="R73" s="165"/>
      <c r="S73" s="630"/>
      <c r="T73" s="630"/>
      <c r="U73" s="630"/>
      <c r="V73" s="630"/>
      <c r="W73" s="630"/>
      <c r="X73" s="630"/>
      <c r="Y73" s="630"/>
      <c r="Z73" s="630"/>
      <c r="AA73" s="630"/>
      <c r="AB73" s="630"/>
      <c r="AC73" s="630"/>
      <c r="AD73" s="165"/>
      <c r="AE73" s="630"/>
      <c r="AF73" s="630"/>
      <c r="AG73" s="70"/>
      <c r="AH73" s="70"/>
      <c r="AI73" s="70"/>
      <c r="AJ73" s="70"/>
      <c r="AK73" s="70"/>
      <c r="AL73" s="70"/>
      <c r="AM73" s="70"/>
      <c r="AN73" s="161"/>
    </row>
    <row r="74" spans="2:40" s="72" customFormat="1" ht="12.75" customHeight="1">
      <c r="B74" s="155" t="s">
        <v>65</v>
      </c>
      <c r="C74" s="155" t="s">
        <v>64</v>
      </c>
      <c r="D74" s="2182"/>
      <c r="E74" s="2183"/>
      <c r="F74" s="155" t="s">
        <v>66</v>
      </c>
      <c r="G74" s="2182"/>
      <c r="H74" s="2182"/>
      <c r="I74" s="2182"/>
      <c r="J74" s="2182"/>
      <c r="K74" s="2182"/>
      <c r="L74" s="2182"/>
      <c r="M74" s="2183"/>
      <c r="N74" s="155" t="s">
        <v>67</v>
      </c>
      <c r="O74" s="2182"/>
      <c r="P74" s="2182"/>
      <c r="Q74" s="2183"/>
      <c r="R74" s="155" t="s">
        <v>68</v>
      </c>
      <c r="S74" s="2182"/>
      <c r="T74" s="2182"/>
      <c r="U74" s="2182"/>
      <c r="V74" s="2182"/>
      <c r="W74" s="2182"/>
      <c r="X74" s="2182"/>
      <c r="Y74" s="2182"/>
      <c r="Z74" s="2182"/>
      <c r="AA74" s="2182"/>
      <c r="AB74" s="2182"/>
      <c r="AC74" s="2183"/>
      <c r="AD74" s="155" t="s">
        <v>99</v>
      </c>
      <c r="AE74" s="2182"/>
      <c r="AF74" s="2182"/>
      <c r="AG74" s="2182"/>
      <c r="AH74" s="2182"/>
      <c r="AI74" s="2182"/>
      <c r="AJ74" s="2182"/>
      <c r="AK74" s="2182"/>
      <c r="AL74" s="2182"/>
      <c r="AM74" s="2182"/>
      <c r="AN74" s="2183"/>
    </row>
    <row r="75" spans="2:42" ht="18" customHeight="1">
      <c r="B75" s="1341" t="s">
        <v>621</v>
      </c>
      <c r="C75" s="1334" t="str">
        <f ca="1">'Attachment'!B182</f>
        <v/>
      </c>
      <c r="D75" s="1335"/>
      <c r="E75" s="1336"/>
      <c r="F75" s="2253" t="str">
        <f ca="1">'Attachment'!D182</f>
        <v/>
      </c>
      <c r="G75" s="2254"/>
      <c r="H75" s="2254"/>
      <c r="I75" s="2254"/>
      <c r="J75" s="2254"/>
      <c r="K75" s="2254"/>
      <c r="L75" s="2254"/>
      <c r="M75" s="2255"/>
      <c r="N75" s="2308" t="str">
        <f ca="1">'Attachment'!O182</f>
        <v/>
      </c>
      <c r="O75" s="2309"/>
      <c r="P75" s="2309"/>
      <c r="Q75" s="2310"/>
      <c r="R75" s="2246" t="str">
        <f ca="1">'Attachment'!S182</f>
        <v/>
      </c>
      <c r="S75" s="1348"/>
      <c r="T75" s="1348"/>
      <c r="U75" s="1348"/>
      <c r="V75" s="1348"/>
      <c r="W75" s="1348"/>
      <c r="X75" s="1348"/>
      <c r="Y75" s="1348"/>
      <c r="Z75" s="1348"/>
      <c r="AA75" s="1348"/>
      <c r="AB75" s="1348"/>
      <c r="AC75" s="323"/>
      <c r="AD75" s="2290" t="str">
        <f>IF(dateofdeparture&gt;0,"I have left Indonesia","")</f>
        <v/>
      </c>
      <c r="AE75" s="2291"/>
      <c r="AF75" s="2291"/>
      <c r="AG75" s="2291"/>
      <c r="AH75" s="2291"/>
      <c r="AI75" s="2291"/>
      <c r="AJ75" s="2291"/>
      <c r="AK75" s="2291"/>
      <c r="AL75" s="2291"/>
      <c r="AM75" s="2291"/>
      <c r="AN75" s="2292"/>
      <c r="AP75" s="1321" t="s">
        <v>1332</v>
      </c>
    </row>
    <row r="76" spans="2:40" ht="18" customHeight="1">
      <c r="B76" s="398"/>
      <c r="C76" s="340"/>
      <c r="D76" s="322"/>
      <c r="E76" s="341"/>
      <c r="F76" s="2256"/>
      <c r="G76" s="1317"/>
      <c r="H76" s="1317"/>
      <c r="I76" s="1317"/>
      <c r="J76" s="1317"/>
      <c r="K76" s="1317"/>
      <c r="L76" s="1317"/>
      <c r="M76" s="1318"/>
      <c r="N76" s="2311"/>
      <c r="O76" s="1330"/>
      <c r="P76" s="1330"/>
      <c r="Q76" s="1331"/>
      <c r="R76" s="1347"/>
      <c r="S76" s="1194"/>
      <c r="T76" s="1194"/>
      <c r="U76" s="1194"/>
      <c r="V76" s="1194"/>
      <c r="W76" s="1194"/>
      <c r="X76" s="1194"/>
      <c r="Y76" s="1194"/>
      <c r="Z76" s="1194"/>
      <c r="AA76" s="1194"/>
      <c r="AB76" s="1194"/>
      <c r="AC76" s="324"/>
      <c r="AD76" s="2293"/>
      <c r="AE76" s="2294"/>
      <c r="AF76" s="2294"/>
      <c r="AG76" s="2294"/>
      <c r="AH76" s="2294"/>
      <c r="AI76" s="2294"/>
      <c r="AJ76" s="2294"/>
      <c r="AK76" s="2294"/>
      <c r="AL76" s="2294"/>
      <c r="AM76" s="2294"/>
      <c r="AN76" s="2295"/>
    </row>
    <row r="77" spans="2:40" ht="3" customHeight="1">
      <c r="B77" s="149"/>
      <c r="C77" s="340"/>
      <c r="D77" s="40"/>
      <c r="E77" s="344"/>
      <c r="F77" s="1317"/>
      <c r="G77" s="1317"/>
      <c r="H77" s="1317"/>
      <c r="I77" s="1317"/>
      <c r="J77" s="1317"/>
      <c r="K77" s="1317"/>
      <c r="L77" s="1317"/>
      <c r="M77" s="1318"/>
      <c r="N77" s="1319"/>
      <c r="O77" s="1319"/>
      <c r="P77" s="1319"/>
      <c r="Q77" s="1319"/>
      <c r="R77" s="1347"/>
      <c r="S77" s="1194"/>
      <c r="T77" s="1194"/>
      <c r="U77" s="1194"/>
      <c r="V77" s="1194"/>
      <c r="W77" s="1194"/>
      <c r="X77" s="1194"/>
      <c r="Y77" s="1194"/>
      <c r="Z77" s="1194"/>
      <c r="AA77" s="1194"/>
      <c r="AB77" s="1194"/>
      <c r="AC77" s="324"/>
      <c r="AD77" s="965"/>
      <c r="AE77" s="432"/>
      <c r="AF77" s="432"/>
      <c r="AG77" s="966"/>
      <c r="AH77" s="263"/>
      <c r="AI77" s="263"/>
      <c r="AJ77" s="263"/>
      <c r="AK77" s="263"/>
      <c r="AL77" s="263"/>
      <c r="AM77" s="263"/>
      <c r="AN77" s="967"/>
    </row>
    <row r="78" spans="2:40" ht="18" customHeight="1">
      <c r="B78" s="1341" t="s">
        <v>622</v>
      </c>
      <c r="C78" s="1334" t="str">
        <f ca="1">'Attachment'!B183</f>
        <v/>
      </c>
      <c r="D78" s="1335"/>
      <c r="E78" s="1336"/>
      <c r="F78" s="2253" t="str">
        <f ca="1">'Attachment'!D183</f>
        <v/>
      </c>
      <c r="G78" s="2254"/>
      <c r="H78" s="2254"/>
      <c r="I78" s="2254"/>
      <c r="J78" s="2254"/>
      <c r="K78" s="2254"/>
      <c r="L78" s="2254"/>
      <c r="M78" s="2255"/>
      <c r="N78" s="2308" t="str">
        <f ca="1">'Attachment'!O183</f>
        <v/>
      </c>
      <c r="O78" s="2309"/>
      <c r="P78" s="2309"/>
      <c r="Q78" s="2310"/>
      <c r="R78" s="2246" t="str">
        <f ca="1">'Attachment'!S183</f>
        <v/>
      </c>
      <c r="S78" s="1348"/>
      <c r="T78" s="1348"/>
      <c r="U78" s="1348"/>
      <c r="V78" s="1348"/>
      <c r="W78" s="1348"/>
      <c r="X78" s="1348"/>
      <c r="Y78" s="1348"/>
      <c r="Z78" s="1348"/>
      <c r="AA78" s="1348"/>
      <c r="AB78" s="1348"/>
      <c r="AC78" s="323"/>
      <c r="AD78" s="2290" t="str">
        <f>IF(dateofdeparture&gt;0,"My copy of EPO is attached","")</f>
        <v/>
      </c>
      <c r="AE78" s="2291"/>
      <c r="AF78" s="2291"/>
      <c r="AG78" s="2291"/>
      <c r="AH78" s="2291"/>
      <c r="AI78" s="2291"/>
      <c r="AJ78" s="2291"/>
      <c r="AK78" s="2291"/>
      <c r="AL78" s="2291"/>
      <c r="AM78" s="2291"/>
      <c r="AN78" s="2292"/>
    </row>
    <row r="79" spans="2:40" ht="18" customHeight="1">
      <c r="B79" s="398"/>
      <c r="C79" s="340"/>
      <c r="D79" s="322"/>
      <c r="E79" s="341"/>
      <c r="F79" s="2256"/>
      <c r="G79" s="1317"/>
      <c r="H79" s="1317"/>
      <c r="I79" s="1317"/>
      <c r="J79" s="1317"/>
      <c r="K79" s="1317"/>
      <c r="L79" s="1317"/>
      <c r="M79" s="1318"/>
      <c r="N79" s="2311"/>
      <c r="O79" s="1330"/>
      <c r="P79" s="1330"/>
      <c r="Q79" s="1331"/>
      <c r="R79" s="1347"/>
      <c r="S79" s="1194"/>
      <c r="T79" s="1194"/>
      <c r="U79" s="1194"/>
      <c r="V79" s="1194"/>
      <c r="W79" s="1194"/>
      <c r="X79" s="1194"/>
      <c r="Y79" s="1194"/>
      <c r="Z79" s="1194"/>
      <c r="AA79" s="1194"/>
      <c r="AB79" s="1194"/>
      <c r="AC79" s="324"/>
      <c r="AD79" s="2293"/>
      <c r="AE79" s="2294"/>
      <c r="AF79" s="2294"/>
      <c r="AG79" s="2294"/>
      <c r="AH79" s="2294"/>
      <c r="AI79" s="2294"/>
      <c r="AJ79" s="2294"/>
      <c r="AK79" s="2294"/>
      <c r="AL79" s="2294"/>
      <c r="AM79" s="2294"/>
      <c r="AN79" s="2295"/>
    </row>
    <row r="80" spans="2:40" ht="3" customHeight="1">
      <c r="B80" s="149"/>
      <c r="C80" s="340"/>
      <c r="D80" s="40"/>
      <c r="E80" s="344"/>
      <c r="F80" s="1317"/>
      <c r="G80" s="1317"/>
      <c r="H80" s="1317"/>
      <c r="I80" s="1317"/>
      <c r="J80" s="1317"/>
      <c r="K80" s="1317"/>
      <c r="L80" s="1317"/>
      <c r="M80" s="1318"/>
      <c r="N80" s="1319"/>
      <c r="O80" s="1319"/>
      <c r="P80" s="1319"/>
      <c r="Q80" s="1319"/>
      <c r="R80" s="1347"/>
      <c r="S80" s="1194"/>
      <c r="T80" s="1194"/>
      <c r="U80" s="1194"/>
      <c r="V80" s="1194"/>
      <c r="W80" s="1194"/>
      <c r="X80" s="1194"/>
      <c r="Y80" s="1194"/>
      <c r="Z80" s="1194"/>
      <c r="AA80" s="1194"/>
      <c r="AB80" s="1194"/>
      <c r="AC80" s="1194"/>
      <c r="AD80" s="1405"/>
      <c r="AE80" s="1406"/>
      <c r="AF80" s="1406"/>
      <c r="AG80" s="966"/>
      <c r="AH80" s="263"/>
      <c r="AI80" s="263"/>
      <c r="AJ80" s="263"/>
      <c r="AK80" s="263"/>
      <c r="AL80" s="263"/>
      <c r="AM80" s="263"/>
      <c r="AN80" s="967"/>
    </row>
    <row r="81" spans="2:40" ht="18" customHeight="1">
      <c r="B81" s="1341" t="s">
        <v>623</v>
      </c>
      <c r="C81" s="1334" t="str">
        <f ca="1">'Attachment'!B184</f>
        <v/>
      </c>
      <c r="D81" s="1335"/>
      <c r="E81" s="1336"/>
      <c r="F81" s="2253" t="str">
        <f ca="1">'Attachment'!D184</f>
        <v/>
      </c>
      <c r="G81" s="2254"/>
      <c r="H81" s="2254"/>
      <c r="I81" s="2254"/>
      <c r="J81" s="2254"/>
      <c r="K81" s="2254"/>
      <c r="L81" s="2254"/>
      <c r="M81" s="2255"/>
      <c r="N81" s="2308" t="str">
        <f ca="1">'Attachment'!O184</f>
        <v/>
      </c>
      <c r="O81" s="2309"/>
      <c r="P81" s="2309"/>
      <c r="Q81" s="2310"/>
      <c r="R81" s="2246" t="str">
        <f ca="1">'Attachment'!S184</f>
        <v/>
      </c>
      <c r="S81" s="1348"/>
      <c r="T81" s="1348"/>
      <c r="U81" s="1348"/>
      <c r="V81" s="1348"/>
      <c r="W81" s="1348"/>
      <c r="X81" s="1348"/>
      <c r="Y81" s="1348"/>
      <c r="Z81" s="1348"/>
      <c r="AA81" s="1348"/>
      <c r="AB81" s="1348"/>
      <c r="AC81" s="323"/>
      <c r="AD81" s="2290"/>
      <c r="AE81" s="2291"/>
      <c r="AF81" s="2291"/>
      <c r="AG81" s="2291"/>
      <c r="AH81" s="2291"/>
      <c r="AI81" s="2291"/>
      <c r="AJ81" s="2291"/>
      <c r="AK81" s="2291"/>
      <c r="AL81" s="2291"/>
      <c r="AM81" s="2291"/>
      <c r="AN81" s="2292"/>
    </row>
    <row r="82" spans="2:40" ht="18" customHeight="1">
      <c r="B82" s="398"/>
      <c r="C82" s="340"/>
      <c r="D82" s="322"/>
      <c r="E82" s="341"/>
      <c r="F82" s="2256"/>
      <c r="G82" s="1317"/>
      <c r="H82" s="1317"/>
      <c r="I82" s="1317"/>
      <c r="J82" s="1317"/>
      <c r="K82" s="1317"/>
      <c r="L82" s="1317"/>
      <c r="M82" s="1318"/>
      <c r="N82" s="2311"/>
      <c r="O82" s="1330"/>
      <c r="P82" s="1330"/>
      <c r="Q82" s="1331"/>
      <c r="R82" s="1347"/>
      <c r="S82" s="1194"/>
      <c r="T82" s="1194"/>
      <c r="U82" s="1194"/>
      <c r="V82" s="1194"/>
      <c r="W82" s="1194"/>
      <c r="X82" s="1194"/>
      <c r="Y82" s="1194"/>
      <c r="Z82" s="1194"/>
      <c r="AA82" s="1194"/>
      <c r="AB82" s="1194"/>
      <c r="AC82" s="324"/>
      <c r="AD82" s="2293"/>
      <c r="AE82" s="2294"/>
      <c r="AF82" s="2294"/>
      <c r="AG82" s="2294"/>
      <c r="AH82" s="2294"/>
      <c r="AI82" s="2294"/>
      <c r="AJ82" s="2294"/>
      <c r="AK82" s="2294"/>
      <c r="AL82" s="2294"/>
      <c r="AM82" s="2294"/>
      <c r="AN82" s="2295"/>
    </row>
    <row r="83" spans="2:40" ht="3" customHeight="1">
      <c r="B83" s="149"/>
      <c r="C83" s="340"/>
      <c r="D83" s="40"/>
      <c r="E83" s="344"/>
      <c r="F83" s="1317"/>
      <c r="G83" s="1317"/>
      <c r="H83" s="1317"/>
      <c r="I83" s="1317"/>
      <c r="J83" s="1317"/>
      <c r="K83" s="1317"/>
      <c r="L83" s="1317"/>
      <c r="M83" s="1318"/>
      <c r="N83" s="1319"/>
      <c r="O83" s="1319"/>
      <c r="P83" s="1319"/>
      <c r="Q83" s="1319"/>
      <c r="R83" s="1347"/>
      <c r="S83" s="1194"/>
      <c r="T83" s="1194"/>
      <c r="U83" s="1194"/>
      <c r="V83" s="1194"/>
      <c r="W83" s="1194"/>
      <c r="X83" s="1194"/>
      <c r="Y83" s="1194"/>
      <c r="Z83" s="1194"/>
      <c r="AA83" s="1194"/>
      <c r="AB83" s="1194"/>
      <c r="AC83" s="1194"/>
      <c r="AD83" s="1405"/>
      <c r="AE83" s="1406"/>
      <c r="AF83" s="1406"/>
      <c r="AG83" s="966"/>
      <c r="AH83" s="263"/>
      <c r="AI83" s="263"/>
      <c r="AJ83" s="263"/>
      <c r="AK83" s="263"/>
      <c r="AL83" s="263"/>
      <c r="AM83" s="263"/>
      <c r="AN83" s="967"/>
    </row>
    <row r="84" spans="2:40" ht="18" customHeight="1">
      <c r="B84" s="1341" t="s">
        <v>624</v>
      </c>
      <c r="C84" s="2155" t="str">
        <f ca="1">'Attachment'!B185</f>
        <v/>
      </c>
      <c r="D84" s="2156"/>
      <c r="E84" s="2169"/>
      <c r="F84" s="2263" t="str">
        <f ca="1">'Attachment'!D185</f>
        <v/>
      </c>
      <c r="G84" s="2264"/>
      <c r="H84" s="2264"/>
      <c r="I84" s="2264"/>
      <c r="J84" s="2264"/>
      <c r="K84" s="2264"/>
      <c r="L84" s="2264"/>
      <c r="M84" s="2265"/>
      <c r="N84" s="2308" t="str">
        <f ca="1">'Attachment'!O185</f>
        <v/>
      </c>
      <c r="O84" s="2309"/>
      <c r="P84" s="2309"/>
      <c r="Q84" s="2310"/>
      <c r="R84" s="1456" t="str">
        <f ca="1">'Attachment'!S185</f>
        <v/>
      </c>
      <c r="S84" s="1457"/>
      <c r="T84" s="1457"/>
      <c r="U84" s="1457"/>
      <c r="V84" s="1457"/>
      <c r="W84" s="1457"/>
      <c r="X84" s="1457"/>
      <c r="Y84" s="1457"/>
      <c r="Z84" s="1457"/>
      <c r="AA84" s="1457"/>
      <c r="AB84" s="1457"/>
      <c r="AC84" s="1411"/>
      <c r="AD84" s="2290"/>
      <c r="AE84" s="2291"/>
      <c r="AF84" s="2291"/>
      <c r="AG84" s="2291"/>
      <c r="AH84" s="2291"/>
      <c r="AI84" s="2291"/>
      <c r="AJ84" s="2291"/>
      <c r="AK84" s="2291"/>
      <c r="AL84" s="2291"/>
      <c r="AM84" s="2291"/>
      <c r="AN84" s="2292"/>
    </row>
    <row r="85" spans="2:40" ht="18" customHeight="1">
      <c r="B85" s="398"/>
      <c r="C85" s="810"/>
      <c r="D85" s="302"/>
      <c r="E85" s="2171"/>
      <c r="F85" s="2266"/>
      <c r="G85" s="1349"/>
      <c r="H85" s="1349"/>
      <c r="I85" s="1349"/>
      <c r="J85" s="1349"/>
      <c r="K85" s="1349"/>
      <c r="L85" s="1349"/>
      <c r="M85" s="1350"/>
      <c r="N85" s="2311"/>
      <c r="O85" s="1330"/>
      <c r="P85" s="1330"/>
      <c r="Q85" s="1331"/>
      <c r="R85" s="1351"/>
      <c r="S85" s="1352"/>
      <c r="T85" s="1352"/>
      <c r="U85" s="1352"/>
      <c r="V85" s="1352"/>
      <c r="W85" s="1352"/>
      <c r="X85" s="1352"/>
      <c r="Y85" s="1352"/>
      <c r="Z85" s="1352"/>
      <c r="AA85" s="1352"/>
      <c r="AB85" s="1352"/>
      <c r="AC85" s="1353"/>
      <c r="AD85" s="2293"/>
      <c r="AE85" s="2294"/>
      <c r="AF85" s="2294"/>
      <c r="AG85" s="2294"/>
      <c r="AH85" s="2294"/>
      <c r="AI85" s="2294"/>
      <c r="AJ85" s="2294"/>
      <c r="AK85" s="2294"/>
      <c r="AL85" s="2294"/>
      <c r="AM85" s="2294"/>
      <c r="AN85" s="2295"/>
    </row>
    <row r="86" spans="2:40" ht="3" customHeight="1">
      <c r="B86" s="149"/>
      <c r="C86" s="810"/>
      <c r="D86" s="326"/>
      <c r="E86" s="327"/>
      <c r="F86" s="1349"/>
      <c r="G86" s="1349"/>
      <c r="H86" s="1349"/>
      <c r="I86" s="1349"/>
      <c r="J86" s="1349"/>
      <c r="K86" s="1349"/>
      <c r="L86" s="1349"/>
      <c r="M86" s="1350"/>
      <c r="N86" s="1319"/>
      <c r="O86" s="1319"/>
      <c r="P86" s="1319"/>
      <c r="Q86" s="1319"/>
      <c r="R86" s="1351"/>
      <c r="S86" s="1352"/>
      <c r="T86" s="1352"/>
      <c r="U86" s="1352"/>
      <c r="V86" s="1352"/>
      <c r="W86" s="1352"/>
      <c r="X86" s="1352"/>
      <c r="Y86" s="1352"/>
      <c r="Z86" s="1352"/>
      <c r="AA86" s="1352"/>
      <c r="AB86" s="1352"/>
      <c r="AC86" s="1352"/>
      <c r="AD86" s="1407"/>
      <c r="AE86" s="1408"/>
      <c r="AF86" s="1408"/>
      <c r="AG86" s="1068"/>
      <c r="AH86" s="1066"/>
      <c r="AI86" s="1066"/>
      <c r="AJ86" s="1066"/>
      <c r="AK86" s="1066"/>
      <c r="AL86" s="1066"/>
      <c r="AM86" s="1066"/>
      <c r="AN86" s="1069"/>
    </row>
    <row r="87" spans="2:40" ht="18" customHeight="1">
      <c r="B87" s="1341" t="s">
        <v>625</v>
      </c>
      <c r="C87" s="2155" t="str">
        <f ca="1">'Attachment'!B186</f>
        <v/>
      </c>
      <c r="D87" s="2156"/>
      <c r="E87" s="2169"/>
      <c r="F87" s="2263" t="str">
        <f ca="1">'Attachment'!D186</f>
        <v/>
      </c>
      <c r="G87" s="2264"/>
      <c r="H87" s="2264"/>
      <c r="I87" s="2264"/>
      <c r="J87" s="2264"/>
      <c r="K87" s="2264"/>
      <c r="L87" s="2264"/>
      <c r="M87" s="2265"/>
      <c r="N87" s="2308" t="str">
        <f ca="1">'Attachment'!O186</f>
        <v/>
      </c>
      <c r="O87" s="2309"/>
      <c r="P87" s="2309"/>
      <c r="Q87" s="2310"/>
      <c r="R87" s="1456" t="str">
        <f ca="1">'Attachment'!S186</f>
        <v/>
      </c>
      <c r="S87" s="1457"/>
      <c r="T87" s="1457"/>
      <c r="U87" s="1457"/>
      <c r="V87" s="1457"/>
      <c r="W87" s="1457"/>
      <c r="X87" s="1457"/>
      <c r="Y87" s="1457"/>
      <c r="Z87" s="1457"/>
      <c r="AA87" s="1457"/>
      <c r="AB87" s="1457"/>
      <c r="AC87" s="1411"/>
      <c r="AD87" s="2290"/>
      <c r="AE87" s="2291"/>
      <c r="AF87" s="2291"/>
      <c r="AG87" s="2291"/>
      <c r="AH87" s="2291"/>
      <c r="AI87" s="2291"/>
      <c r="AJ87" s="2291"/>
      <c r="AK87" s="2291"/>
      <c r="AL87" s="2291"/>
      <c r="AM87" s="2291"/>
      <c r="AN87" s="2292"/>
    </row>
    <row r="88" spans="2:40" ht="18" customHeight="1">
      <c r="B88" s="398" t="s">
        <v>700</v>
      </c>
      <c r="C88" s="810"/>
      <c r="D88" s="302"/>
      <c r="E88" s="2171"/>
      <c r="F88" s="2266"/>
      <c r="G88" s="1349"/>
      <c r="H88" s="1349"/>
      <c r="I88" s="1349"/>
      <c r="J88" s="1349"/>
      <c r="K88" s="1349"/>
      <c r="L88" s="1349"/>
      <c r="M88" s="1350"/>
      <c r="N88" s="2311"/>
      <c r="O88" s="1330"/>
      <c r="P88" s="1330"/>
      <c r="Q88" s="1331"/>
      <c r="R88" s="1351"/>
      <c r="S88" s="1352"/>
      <c r="T88" s="1352"/>
      <c r="U88" s="1352"/>
      <c r="V88" s="1352"/>
      <c r="W88" s="1352"/>
      <c r="X88" s="1352"/>
      <c r="Y88" s="1352"/>
      <c r="Z88" s="1352"/>
      <c r="AA88" s="1352"/>
      <c r="AB88" s="1352"/>
      <c r="AC88" s="1353"/>
      <c r="AD88" s="2293"/>
      <c r="AE88" s="2294"/>
      <c r="AF88" s="2294"/>
      <c r="AG88" s="2294"/>
      <c r="AH88" s="2294"/>
      <c r="AI88" s="2294"/>
      <c r="AJ88" s="2294"/>
      <c r="AK88" s="2294"/>
      <c r="AL88" s="2294"/>
      <c r="AM88" s="2294"/>
      <c r="AN88" s="2295"/>
    </row>
    <row r="89" spans="2:40" ht="3" customHeight="1">
      <c r="B89" s="419"/>
      <c r="C89" s="625"/>
      <c r="D89" s="635"/>
      <c r="E89" s="333"/>
      <c r="F89" s="326"/>
      <c r="G89" s="326"/>
      <c r="H89" s="326"/>
      <c r="I89" s="326"/>
      <c r="J89" s="326"/>
      <c r="K89" s="326"/>
      <c r="L89" s="326"/>
      <c r="M89" s="327"/>
      <c r="N89" s="302"/>
      <c r="O89" s="326"/>
      <c r="P89" s="326"/>
      <c r="Q89" s="326"/>
      <c r="R89" s="328"/>
      <c r="S89" s="329"/>
      <c r="T89" s="329"/>
      <c r="U89" s="329"/>
      <c r="V89" s="329"/>
      <c r="W89" s="329"/>
      <c r="X89" s="329"/>
      <c r="Y89" s="329"/>
      <c r="Z89" s="329"/>
      <c r="AA89" s="329"/>
      <c r="AB89" s="329"/>
      <c r="AC89" s="329"/>
      <c r="AD89" s="328"/>
      <c r="AE89" s="329"/>
      <c r="AF89" s="329"/>
      <c r="AG89" s="267"/>
      <c r="AH89" s="299"/>
      <c r="AI89" s="299"/>
      <c r="AJ89" s="299"/>
      <c r="AK89" s="299"/>
      <c r="AL89" s="299"/>
      <c r="AM89" s="299"/>
      <c r="AN89" s="300"/>
    </row>
    <row r="90" spans="2:40" ht="15" customHeight="1">
      <c r="B90" s="151"/>
      <c r="C90" s="151" t="s">
        <v>231</v>
      </c>
      <c r="D90" s="1444"/>
      <c r="E90" s="1444"/>
      <c r="F90" s="1444"/>
      <c r="G90" s="1444"/>
      <c r="H90" s="1444"/>
      <c r="I90" s="1444"/>
      <c r="J90" s="1444"/>
      <c r="K90" s="1444"/>
      <c r="L90" s="1444"/>
      <c r="M90" s="2161"/>
      <c r="N90" s="181"/>
      <c r="O90" s="181"/>
      <c r="P90" s="151" t="s">
        <v>580</v>
      </c>
      <c r="Q90" s="2161"/>
      <c r="R90" s="2246">
        <f ca="1">SUM(R75:AC88)</f>
        <v>0</v>
      </c>
      <c r="S90" s="1348"/>
      <c r="T90" s="1348"/>
      <c r="U90" s="1348"/>
      <c r="V90" s="1348"/>
      <c r="W90" s="1348"/>
      <c r="X90" s="1348"/>
      <c r="Y90" s="1348"/>
      <c r="Z90" s="1348"/>
      <c r="AA90" s="1348"/>
      <c r="AB90" s="1348"/>
      <c r="AC90" s="323"/>
      <c r="AD90" s="195"/>
      <c r="AE90" s="195"/>
      <c r="AF90" s="195"/>
      <c r="AG90" s="195"/>
      <c r="AH90" s="195"/>
      <c r="AI90" s="195"/>
      <c r="AJ90" s="195"/>
      <c r="AK90" s="196"/>
      <c r="AL90" s="196"/>
      <c r="AM90" s="196"/>
      <c r="AN90" s="197"/>
    </row>
    <row r="91" spans="2:40" ht="6.75" customHeight="1">
      <c r="B91" s="149"/>
      <c r="C91" s="149"/>
      <c r="D91" s="71"/>
      <c r="E91" s="71"/>
      <c r="F91" s="71"/>
      <c r="G91" s="71"/>
      <c r="H91" s="71"/>
      <c r="I91" s="71"/>
      <c r="J91" s="71"/>
      <c r="K91" s="71"/>
      <c r="L91" s="71"/>
      <c r="M91" s="395"/>
      <c r="N91" s="105"/>
      <c r="O91" s="105"/>
      <c r="P91" s="149"/>
      <c r="Q91" s="395"/>
      <c r="R91" s="1347"/>
      <c r="S91" s="1194"/>
      <c r="T91" s="1194"/>
      <c r="U91" s="1194"/>
      <c r="V91" s="1194"/>
      <c r="W91" s="1194"/>
      <c r="X91" s="1194"/>
      <c r="Y91" s="1194"/>
      <c r="Z91" s="1194"/>
      <c r="AA91" s="1194"/>
      <c r="AB91" s="1194"/>
      <c r="AC91" s="324"/>
      <c r="AD91" s="102"/>
      <c r="AE91" s="102"/>
      <c r="AF91" s="102"/>
      <c r="AG91" s="102"/>
      <c r="AH91" s="102"/>
      <c r="AI91" s="102"/>
      <c r="AJ91" s="102"/>
      <c r="AK91" s="103"/>
      <c r="AL91" s="103"/>
      <c r="AM91" s="103"/>
      <c r="AN91" s="191"/>
    </row>
    <row r="92" spans="2:40" ht="3" customHeight="1">
      <c r="B92" s="361"/>
      <c r="C92" s="1337"/>
      <c r="D92" s="2187"/>
      <c r="E92" s="2187"/>
      <c r="F92" s="2187"/>
      <c r="G92" s="2187"/>
      <c r="H92" s="2187"/>
      <c r="I92" s="2187"/>
      <c r="J92" s="2187"/>
      <c r="K92" s="2187"/>
      <c r="L92" s="2187"/>
      <c r="M92" s="2180"/>
      <c r="N92" s="166"/>
      <c r="O92" s="166"/>
      <c r="P92" s="1337"/>
      <c r="Q92" s="2180"/>
      <c r="R92" s="2267"/>
      <c r="S92" s="2268"/>
      <c r="T92" s="2268"/>
      <c r="U92" s="2268"/>
      <c r="V92" s="2268"/>
      <c r="W92" s="2268"/>
      <c r="X92" s="2268"/>
      <c r="Y92" s="2268"/>
      <c r="Z92" s="2268"/>
      <c r="AA92" s="2268"/>
      <c r="AB92" s="2268"/>
      <c r="AC92" s="2269"/>
      <c r="AD92" s="192"/>
      <c r="AE92" s="192"/>
      <c r="AF92" s="192"/>
      <c r="AG92" s="192"/>
      <c r="AH92" s="192"/>
      <c r="AI92" s="192"/>
      <c r="AJ92" s="192"/>
      <c r="AK92" s="193"/>
      <c r="AL92" s="193"/>
      <c r="AM92" s="193"/>
      <c r="AN92" s="194"/>
    </row>
    <row r="93" spans="2:40" ht="3" customHeight="1"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47"/>
      <c r="AE93" s="47"/>
      <c r="AF93" s="47"/>
      <c r="AG93" s="47"/>
      <c r="AH93" s="47"/>
      <c r="AI93" s="47"/>
      <c r="AJ93" s="175"/>
      <c r="AK93" s="175"/>
      <c r="AL93" s="175"/>
      <c r="AM93" s="175"/>
      <c r="AN93" s="175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3" customHeight="1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4"/>
      <c r="AE96" s="4"/>
      <c r="AF96" s="4"/>
      <c r="AG96" s="4"/>
      <c r="AH96" s="4"/>
      <c r="AI96" s="4"/>
      <c r="AJ96"/>
      <c r="AK96"/>
      <c r="AL96"/>
      <c r="AM96"/>
      <c r="AN96"/>
    </row>
    <row r="97" spans="2:40" ht="15" customHeight="1">
      <c r="B97" s="75"/>
      <c r="C97" s="76" t="s">
        <v>251</v>
      </c>
      <c r="D97" s="76"/>
      <c r="E97" s="15"/>
      <c r="F97" s="76" t="s">
        <v>26</v>
      </c>
      <c r="G97" s="83" t="s">
        <v>694</v>
      </c>
      <c r="H97" s="15"/>
      <c r="I97" s="76"/>
      <c r="J97" s="76"/>
      <c r="K97" s="76"/>
      <c r="L97" s="69"/>
      <c r="M97" s="4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7"/>
      <c r="AC97" s="11"/>
      <c r="AD97" s="4"/>
      <c r="AE97" s="4"/>
      <c r="AF97" s="4"/>
      <c r="AG97" s="4"/>
      <c r="AH97" s="4"/>
      <c r="AI97" s="4"/>
      <c r="AJ97"/>
      <c r="AK97"/>
      <c r="AL97"/>
      <c r="AM97"/>
      <c r="AN97"/>
    </row>
    <row r="98" spans="2:40" ht="5.25" customHeight="1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4"/>
      <c r="AE98" s="4"/>
      <c r="AF98" s="4"/>
      <c r="AG98" s="4"/>
      <c r="AH98" s="4"/>
      <c r="AI98" s="4"/>
      <c r="AJ98"/>
      <c r="AK98"/>
      <c r="AL98"/>
      <c r="AM98"/>
      <c r="AN98"/>
    </row>
    <row r="99" spans="2:40" ht="3" customHeight="1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4"/>
      <c r="AE99" s="4"/>
      <c r="AF99" s="4"/>
      <c r="AG99" s="4"/>
      <c r="AH99" s="4"/>
      <c r="AI99" s="4"/>
      <c r="AJ99"/>
      <c r="AK99"/>
      <c r="AL99"/>
      <c r="AM99"/>
      <c r="AN99"/>
    </row>
    <row r="100" spans="2:40" ht="15" customHeight="1">
      <c r="B100" s="2203" t="s">
        <v>76</v>
      </c>
      <c r="C100" s="2257" t="s">
        <v>883</v>
      </c>
      <c r="D100" s="2258"/>
      <c r="E100" s="2259"/>
      <c r="F100" s="151" t="s">
        <v>882</v>
      </c>
      <c r="G100" s="1444"/>
      <c r="H100" s="1444"/>
      <c r="I100" s="1444"/>
      <c r="J100" s="1444"/>
      <c r="K100" s="1444"/>
      <c r="L100" s="1444"/>
      <c r="M100" s="2161"/>
      <c r="N100" s="156" t="s">
        <v>253</v>
      </c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6" t="s">
        <v>247</v>
      </c>
      <c r="AA100" s="159"/>
      <c r="AB100" s="159"/>
      <c r="AC100" s="2162"/>
      <c r="AD100" s="1444" t="s">
        <v>254</v>
      </c>
      <c r="AE100" s="1444"/>
      <c r="AF100" s="1444"/>
      <c r="AG100" s="1444"/>
      <c r="AH100" s="1444"/>
      <c r="AI100" s="1444"/>
      <c r="AJ100" s="1444"/>
      <c r="AK100" s="1444"/>
      <c r="AL100" s="1444"/>
      <c r="AM100" s="1444"/>
      <c r="AN100" s="2161"/>
    </row>
    <row r="101" spans="2:40" ht="15" customHeight="1">
      <c r="B101" s="2184"/>
      <c r="C101" s="2260"/>
      <c r="D101" s="2261"/>
      <c r="E101" s="2262"/>
      <c r="F101" s="149"/>
      <c r="G101" s="71"/>
      <c r="H101" s="71"/>
      <c r="I101" s="71"/>
      <c r="J101" s="71"/>
      <c r="K101" s="71"/>
      <c r="L101" s="71"/>
      <c r="M101" s="395"/>
      <c r="N101" s="164" t="s">
        <v>252</v>
      </c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164" t="s">
        <v>248</v>
      </c>
      <c r="AA101" s="69"/>
      <c r="AB101" s="69"/>
      <c r="AC101" s="218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395"/>
    </row>
    <row r="102" spans="2:40" ht="3" customHeight="1">
      <c r="B102" s="2184"/>
      <c r="C102" s="855"/>
      <c r="D102" s="856"/>
      <c r="E102" s="857"/>
      <c r="F102" s="628"/>
      <c r="G102" s="162"/>
      <c r="H102" s="162"/>
      <c r="I102" s="162"/>
      <c r="J102" s="162"/>
      <c r="K102" s="162"/>
      <c r="L102" s="162"/>
      <c r="M102" s="162"/>
      <c r="N102" s="165"/>
      <c r="O102" s="162"/>
      <c r="P102" s="184"/>
      <c r="Q102" s="630"/>
      <c r="R102" s="630"/>
      <c r="S102" s="630"/>
      <c r="T102" s="630"/>
      <c r="U102" s="630"/>
      <c r="V102" s="630"/>
      <c r="W102" s="630"/>
      <c r="X102" s="630"/>
      <c r="Y102" s="630"/>
      <c r="Z102" s="2298"/>
      <c r="AA102" s="2299"/>
      <c r="AB102" s="2299"/>
      <c r="AC102" s="2300"/>
      <c r="AD102" s="162"/>
      <c r="AE102" s="630"/>
      <c r="AF102" s="630"/>
      <c r="AG102" s="184"/>
      <c r="AH102" s="630"/>
      <c r="AI102" s="162"/>
      <c r="AJ102" s="162"/>
      <c r="AK102" s="162"/>
      <c r="AL102" s="162"/>
      <c r="AM102" s="162"/>
      <c r="AN102" s="629"/>
    </row>
    <row r="103" spans="2:40" s="16" customFormat="1" ht="12" customHeight="1">
      <c r="B103" s="155" t="s">
        <v>65</v>
      </c>
      <c r="C103" s="155" t="s">
        <v>64</v>
      </c>
      <c r="D103" s="2182"/>
      <c r="E103" s="2183"/>
      <c r="F103" s="155" t="s">
        <v>66</v>
      </c>
      <c r="G103" s="2182"/>
      <c r="H103" s="2182"/>
      <c r="I103" s="2182"/>
      <c r="J103" s="2182"/>
      <c r="K103" s="2182"/>
      <c r="L103" s="2182"/>
      <c r="M103" s="2183"/>
      <c r="N103" s="155" t="s">
        <v>67</v>
      </c>
      <c r="O103" s="2182"/>
      <c r="P103" s="2182"/>
      <c r="Q103" s="2182"/>
      <c r="R103" s="2182"/>
      <c r="S103" s="2182"/>
      <c r="T103" s="2182"/>
      <c r="U103" s="2182"/>
      <c r="V103" s="2182"/>
      <c r="W103" s="2182"/>
      <c r="X103" s="2182"/>
      <c r="Y103" s="2182"/>
      <c r="Z103" s="155" t="s">
        <v>68</v>
      </c>
      <c r="AA103" s="2182"/>
      <c r="AB103" s="2182"/>
      <c r="AC103" s="2183"/>
      <c r="AD103" s="2182" t="s">
        <v>99</v>
      </c>
      <c r="AE103" s="2182"/>
      <c r="AF103" s="2182"/>
      <c r="AG103" s="2182"/>
      <c r="AH103" s="2182"/>
      <c r="AI103" s="2182"/>
      <c r="AJ103" s="2182"/>
      <c r="AK103" s="2182"/>
      <c r="AL103" s="2182"/>
      <c r="AM103" s="2182"/>
      <c r="AN103" s="2183"/>
    </row>
    <row r="104" spans="2:40" ht="18" customHeight="1">
      <c r="B104" s="1355" t="s">
        <v>621</v>
      </c>
      <c r="C104" s="1334" t="str">
        <f ca="1">'Attachment'!B218</f>
        <v/>
      </c>
      <c r="D104" s="1335"/>
      <c r="E104" s="1336"/>
      <c r="F104" s="2253" t="str">
        <f ca="1">'Attachment'!D218</f>
        <v/>
      </c>
      <c r="G104" s="2254"/>
      <c r="H104" s="2254"/>
      <c r="I104" s="2254"/>
      <c r="J104" s="2254"/>
      <c r="K104" s="2254"/>
      <c r="L104" s="2254"/>
      <c r="M104" s="2255"/>
      <c r="N104" s="343"/>
      <c r="O104" s="40"/>
      <c r="P104" s="75"/>
      <c r="Q104" s="40"/>
      <c r="R104" s="40"/>
      <c r="S104" s="40"/>
      <c r="T104" s="40"/>
      <c r="U104" s="40"/>
      <c r="V104" s="40"/>
      <c r="W104" s="40"/>
      <c r="X104" s="40"/>
      <c r="Y104" s="40"/>
      <c r="Z104" s="2197" t="str">
        <f ca="1">'Attachment'!T218</f>
        <v/>
      </c>
      <c r="AA104" s="2198"/>
      <c r="AB104" s="2198"/>
      <c r="AC104" s="2199"/>
      <c r="AD104" s="1194" t="str">
        <f ca="1">'Attachment'!X218</f>
        <v/>
      </c>
      <c r="AE104" s="1194"/>
      <c r="AF104" s="1194"/>
      <c r="AG104" s="1194"/>
      <c r="AH104" s="1194"/>
      <c r="AI104" s="1194"/>
      <c r="AJ104" s="1194"/>
      <c r="AK104" s="1194"/>
      <c r="AL104" s="1194"/>
      <c r="AM104" s="1194"/>
      <c r="AN104" s="324"/>
    </row>
    <row r="105" spans="2:42" ht="18" customHeight="1">
      <c r="B105" s="1354"/>
      <c r="C105" s="340"/>
      <c r="D105" s="322"/>
      <c r="E105" s="341"/>
      <c r="F105" s="2256"/>
      <c r="G105" s="1317"/>
      <c r="H105" s="1317"/>
      <c r="I105" s="1317"/>
      <c r="J105" s="1317"/>
      <c r="K105" s="1317"/>
      <c r="L105" s="1317"/>
      <c r="M105" s="1318"/>
      <c r="N105" s="343"/>
      <c r="O105" s="40"/>
      <c r="P105" s="75"/>
      <c r="Q105" s="40"/>
      <c r="R105" s="40"/>
      <c r="S105" s="40"/>
      <c r="T105" s="40"/>
      <c r="U105" s="40"/>
      <c r="V105" s="40"/>
      <c r="W105" s="40"/>
      <c r="X105" s="40"/>
      <c r="Y105" s="40"/>
      <c r="Z105" s="2217"/>
      <c r="AA105" s="2218"/>
      <c r="AB105" s="2218"/>
      <c r="AC105" s="1323"/>
      <c r="AD105" s="1194"/>
      <c r="AE105" s="1194"/>
      <c r="AF105" s="1194"/>
      <c r="AG105" s="1194"/>
      <c r="AH105" s="1194"/>
      <c r="AI105" s="1194"/>
      <c r="AJ105" s="1194"/>
      <c r="AK105" s="1194"/>
      <c r="AL105" s="1194"/>
      <c r="AM105" s="1194"/>
      <c r="AN105" s="324"/>
      <c r="AP105" s="1321" t="s">
        <v>1331</v>
      </c>
    </row>
    <row r="106" spans="2:40" ht="3" customHeight="1">
      <c r="B106" s="1354"/>
      <c r="C106" s="343"/>
      <c r="D106" s="40"/>
      <c r="E106" s="344"/>
      <c r="F106" s="1345"/>
      <c r="G106" s="1346"/>
      <c r="H106" s="1346"/>
      <c r="I106" s="1346"/>
      <c r="J106" s="1346"/>
      <c r="K106" s="1346"/>
      <c r="L106" s="1346"/>
      <c r="M106" s="1346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1327"/>
      <c r="AA106" s="1328"/>
      <c r="AB106" s="1328"/>
      <c r="AC106" s="1323"/>
      <c r="AD106" s="1194"/>
      <c r="AE106" s="1194"/>
      <c r="AF106" s="1194"/>
      <c r="AG106" s="1194"/>
      <c r="AH106" s="1194"/>
      <c r="AI106" s="1194"/>
      <c r="AJ106" s="1194"/>
      <c r="AK106" s="1194"/>
      <c r="AL106" s="1194"/>
      <c r="AM106" s="1194"/>
      <c r="AN106" s="324"/>
    </row>
    <row r="107" spans="2:40" ht="18" customHeight="1">
      <c r="B107" s="1355" t="s">
        <v>622</v>
      </c>
      <c r="C107" s="1334" t="str">
        <f ca="1">'Attachment'!B219</f>
        <v/>
      </c>
      <c r="D107" s="1335"/>
      <c r="E107" s="1336"/>
      <c r="F107" s="2242" t="str">
        <f ca="1">'Attachment'!D219</f>
        <v/>
      </c>
      <c r="G107" s="2243"/>
      <c r="H107" s="2243"/>
      <c r="I107" s="2243"/>
      <c r="J107" s="2243"/>
      <c r="K107" s="2243"/>
      <c r="L107" s="2243"/>
      <c r="M107" s="2244"/>
      <c r="N107" s="632"/>
      <c r="O107" s="337"/>
      <c r="P107" s="337"/>
      <c r="Q107" s="337"/>
      <c r="R107" s="337"/>
      <c r="S107" s="337"/>
      <c r="T107" s="337"/>
      <c r="U107" s="337"/>
      <c r="V107" s="337"/>
      <c r="W107" s="337"/>
      <c r="X107" s="337"/>
      <c r="Y107" s="337"/>
      <c r="Z107" s="2197" t="str">
        <f ca="1">'Attachment'!T219</f>
        <v/>
      </c>
      <c r="AA107" s="2198"/>
      <c r="AB107" s="2198"/>
      <c r="AC107" s="2199"/>
      <c r="AD107" s="2246" t="str">
        <f ca="1">'Attachment'!X219</f>
        <v/>
      </c>
      <c r="AE107" s="1348"/>
      <c r="AF107" s="1348"/>
      <c r="AG107" s="1348"/>
      <c r="AH107" s="1348"/>
      <c r="AI107" s="1348"/>
      <c r="AJ107" s="1348"/>
      <c r="AK107" s="1348"/>
      <c r="AL107" s="1348"/>
      <c r="AM107" s="1348"/>
      <c r="AN107" s="323"/>
    </row>
    <row r="108" spans="2:40" ht="18" customHeight="1">
      <c r="B108" s="1354"/>
      <c r="C108" s="340"/>
      <c r="D108" s="322"/>
      <c r="E108" s="341"/>
      <c r="F108" s="1345"/>
      <c r="G108" s="1346"/>
      <c r="H108" s="1346"/>
      <c r="I108" s="1346"/>
      <c r="J108" s="1346"/>
      <c r="K108" s="1346"/>
      <c r="L108" s="1346"/>
      <c r="M108" s="2245"/>
      <c r="N108" s="343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2217"/>
      <c r="AA108" s="2218"/>
      <c r="AB108" s="2218"/>
      <c r="AC108" s="1323"/>
      <c r="AD108" s="1347"/>
      <c r="AE108" s="1194"/>
      <c r="AF108" s="1194"/>
      <c r="AG108" s="1194"/>
      <c r="AH108" s="1194"/>
      <c r="AI108" s="1194"/>
      <c r="AJ108" s="1194"/>
      <c r="AK108" s="1194"/>
      <c r="AL108" s="1194"/>
      <c r="AM108" s="1194"/>
      <c r="AN108" s="324"/>
    </row>
    <row r="109" spans="2:40" ht="3" customHeight="1">
      <c r="B109" s="340"/>
      <c r="C109" s="343"/>
      <c r="D109" s="40"/>
      <c r="E109" s="344"/>
      <c r="F109" s="1346"/>
      <c r="G109" s="1346"/>
      <c r="H109" s="1346"/>
      <c r="I109" s="1346"/>
      <c r="J109" s="1346"/>
      <c r="K109" s="1346"/>
      <c r="L109" s="1346"/>
      <c r="M109" s="1346"/>
      <c r="N109" s="343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1327"/>
      <c r="AA109" s="1328"/>
      <c r="AB109" s="1328"/>
      <c r="AC109" s="1323"/>
      <c r="AD109" s="362"/>
      <c r="AE109" s="362"/>
      <c r="AF109" s="362"/>
      <c r="AG109" s="362"/>
      <c r="AH109" s="362"/>
      <c r="AI109" s="362"/>
      <c r="AJ109" s="362"/>
      <c r="AK109" s="362"/>
      <c r="AL109" s="362"/>
      <c r="AM109" s="362"/>
      <c r="AN109" s="373"/>
    </row>
    <row r="110" spans="2:40" ht="18" customHeight="1">
      <c r="B110" s="1355" t="s">
        <v>623</v>
      </c>
      <c r="C110" s="2346" t="str">
        <f ca="1">IF('Attachment'!B220&lt;&gt;"", 'Attachment'!B220, "")</f>
        <v/>
      </c>
      <c r="D110" s="2347"/>
      <c r="E110" s="2348"/>
      <c r="F110" s="2247" t="str">
        <f ca="1">'Attachment'!D220</f>
        <v/>
      </c>
      <c r="G110" s="2248"/>
      <c r="H110" s="2248"/>
      <c r="I110" s="2248"/>
      <c r="J110" s="2248"/>
      <c r="K110" s="2248"/>
      <c r="L110" s="2248"/>
      <c r="M110" s="2249"/>
      <c r="N110" s="632"/>
      <c r="O110" s="337"/>
      <c r="P110" s="337"/>
      <c r="Q110" s="337"/>
      <c r="R110" s="337"/>
      <c r="S110" s="337"/>
      <c r="T110" s="337"/>
      <c r="U110" s="337"/>
      <c r="V110" s="337"/>
      <c r="W110" s="337"/>
      <c r="X110" s="337"/>
      <c r="Y110" s="337"/>
      <c r="Z110" s="2197" t="str">
        <f ca="1">'Attachment'!T220</f>
        <v/>
      </c>
      <c r="AA110" s="2198"/>
      <c r="AB110" s="2198"/>
      <c r="AC110" s="2199"/>
      <c r="AD110" s="2246" t="str">
        <f ca="1">'Attachment'!X220</f>
        <v/>
      </c>
      <c r="AE110" s="1348"/>
      <c r="AF110" s="1348"/>
      <c r="AG110" s="1348"/>
      <c r="AH110" s="1348"/>
      <c r="AI110" s="1348"/>
      <c r="AJ110" s="1348"/>
      <c r="AK110" s="1348"/>
      <c r="AL110" s="1348"/>
      <c r="AM110" s="1348"/>
      <c r="AN110" s="323"/>
    </row>
    <row r="111" spans="2:40" ht="18" customHeight="1">
      <c r="B111" s="1354"/>
      <c r="C111" s="2349"/>
      <c r="D111" s="2350"/>
      <c r="E111" s="2351"/>
      <c r="F111" s="2250"/>
      <c r="G111" s="2251"/>
      <c r="H111" s="2251"/>
      <c r="I111" s="2251"/>
      <c r="J111" s="2251"/>
      <c r="K111" s="2251"/>
      <c r="L111" s="2251"/>
      <c r="M111" s="2252"/>
      <c r="N111" s="343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2217"/>
      <c r="AA111" s="2218"/>
      <c r="AB111" s="2218"/>
      <c r="AC111" s="1323"/>
      <c r="AD111" s="1347"/>
      <c r="AE111" s="1194"/>
      <c r="AF111" s="1194"/>
      <c r="AG111" s="1194"/>
      <c r="AH111" s="1194"/>
      <c r="AI111" s="1194"/>
      <c r="AJ111" s="1194"/>
      <c r="AK111" s="1194"/>
      <c r="AL111" s="1194"/>
      <c r="AM111" s="1194"/>
      <c r="AN111" s="324"/>
    </row>
    <row r="112" spans="2:40" ht="3" customHeight="1">
      <c r="B112" s="340"/>
      <c r="C112" s="343"/>
      <c r="D112" s="40"/>
      <c r="E112" s="344"/>
      <c r="F112" s="1346"/>
      <c r="G112" s="1346"/>
      <c r="H112" s="1346"/>
      <c r="I112" s="1346"/>
      <c r="J112" s="1346"/>
      <c r="K112" s="1346"/>
      <c r="L112" s="1346"/>
      <c r="M112" s="1346"/>
      <c r="N112" s="343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1327"/>
      <c r="AA112" s="1328"/>
      <c r="AB112" s="1328"/>
      <c r="AC112" s="1329"/>
      <c r="AD112" s="362"/>
      <c r="AE112" s="362"/>
      <c r="AF112" s="362"/>
      <c r="AG112" s="362"/>
      <c r="AH112" s="362"/>
      <c r="AI112" s="362"/>
      <c r="AJ112" s="362"/>
      <c r="AK112" s="362"/>
      <c r="AL112" s="362"/>
      <c r="AM112" s="362"/>
      <c r="AN112" s="373"/>
    </row>
    <row r="113" spans="2:40" ht="18" customHeight="1">
      <c r="B113" s="1355" t="s">
        <v>624</v>
      </c>
      <c r="C113" s="1334" t="str">
        <f ca="1">'Attachment'!B221</f>
        <v/>
      </c>
      <c r="D113" s="1335"/>
      <c r="E113" s="1336"/>
      <c r="F113" s="2242" t="str">
        <f ca="1">'Attachment'!D221</f>
        <v/>
      </c>
      <c r="G113" s="2243"/>
      <c r="H113" s="2243"/>
      <c r="I113" s="2243"/>
      <c r="J113" s="2243"/>
      <c r="K113" s="2243"/>
      <c r="L113" s="2243"/>
      <c r="M113" s="2244"/>
      <c r="N113" s="632"/>
      <c r="O113" s="337"/>
      <c r="P113" s="337"/>
      <c r="Q113" s="337"/>
      <c r="R113" s="337"/>
      <c r="S113" s="337"/>
      <c r="T113" s="337"/>
      <c r="U113" s="337"/>
      <c r="V113" s="337"/>
      <c r="W113" s="337"/>
      <c r="X113" s="337"/>
      <c r="Y113" s="337"/>
      <c r="Z113" s="2197" t="str">
        <f ca="1">'Attachment'!T221</f>
        <v/>
      </c>
      <c r="AA113" s="2198"/>
      <c r="AB113" s="2198"/>
      <c r="AC113" s="2199"/>
      <c r="AD113" s="2246" t="str">
        <f ca="1">'Attachment'!X221</f>
        <v/>
      </c>
      <c r="AE113" s="1348"/>
      <c r="AF113" s="1348"/>
      <c r="AG113" s="1348"/>
      <c r="AH113" s="1348"/>
      <c r="AI113" s="1348"/>
      <c r="AJ113" s="1348"/>
      <c r="AK113" s="1348"/>
      <c r="AL113" s="1348"/>
      <c r="AM113" s="1348"/>
      <c r="AN113" s="323"/>
    </row>
    <row r="114" spans="2:40" ht="18" customHeight="1">
      <c r="B114" s="1354"/>
      <c r="C114" s="340"/>
      <c r="D114" s="322"/>
      <c r="E114" s="341"/>
      <c r="F114" s="1345"/>
      <c r="G114" s="1346"/>
      <c r="H114" s="1346"/>
      <c r="I114" s="1346"/>
      <c r="J114" s="1346"/>
      <c r="K114" s="1346"/>
      <c r="L114" s="1346"/>
      <c r="M114" s="2245"/>
      <c r="N114" s="343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2217"/>
      <c r="AA114" s="2218"/>
      <c r="AB114" s="2218"/>
      <c r="AC114" s="1323"/>
      <c r="AD114" s="1347"/>
      <c r="AE114" s="1194"/>
      <c r="AF114" s="1194"/>
      <c r="AG114" s="1194"/>
      <c r="AH114" s="1194"/>
      <c r="AI114" s="1194"/>
      <c r="AJ114" s="1194"/>
      <c r="AK114" s="1194"/>
      <c r="AL114" s="1194"/>
      <c r="AM114" s="1194"/>
      <c r="AN114" s="324"/>
    </row>
    <row r="115" spans="2:40" ht="3" customHeight="1">
      <c r="B115" s="340"/>
      <c r="C115" s="343"/>
      <c r="D115" s="40"/>
      <c r="E115" s="344"/>
      <c r="F115" s="1346"/>
      <c r="G115" s="1346"/>
      <c r="H115" s="1346"/>
      <c r="I115" s="1346"/>
      <c r="J115" s="1346"/>
      <c r="K115" s="1346"/>
      <c r="L115" s="1346"/>
      <c r="M115" s="1346"/>
      <c r="N115" s="343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1327"/>
      <c r="AA115" s="1328"/>
      <c r="AB115" s="1328"/>
      <c r="AC115" s="1329"/>
      <c r="AD115" s="362"/>
      <c r="AE115" s="362"/>
      <c r="AF115" s="362"/>
      <c r="AG115" s="1180"/>
      <c r="AH115" s="362"/>
      <c r="AI115" s="362"/>
      <c r="AJ115" s="362"/>
      <c r="AK115" s="362"/>
      <c r="AL115" s="362"/>
      <c r="AM115" s="362"/>
      <c r="AN115" s="373"/>
    </row>
    <row r="116" spans="2:40" ht="15" customHeight="1">
      <c r="B116" s="1355" t="s">
        <v>625</v>
      </c>
      <c r="C116" s="1334"/>
      <c r="D116" s="1335"/>
      <c r="E116" s="1336"/>
      <c r="F116" s="2242"/>
      <c r="G116" s="2243"/>
      <c r="H116" s="2243"/>
      <c r="I116" s="2243"/>
      <c r="J116" s="2243"/>
      <c r="K116" s="2243"/>
      <c r="L116" s="2243"/>
      <c r="M116" s="2244"/>
      <c r="N116" s="632"/>
      <c r="O116" s="337"/>
      <c r="P116" s="337"/>
      <c r="Q116" s="337"/>
      <c r="R116" s="337"/>
      <c r="S116" s="337"/>
      <c r="T116" s="337"/>
      <c r="U116" s="337"/>
      <c r="V116" s="337"/>
      <c r="W116" s="337"/>
      <c r="X116" s="337"/>
      <c r="Y116" s="337"/>
      <c r="Z116" s="2197"/>
      <c r="AA116" s="2198"/>
      <c r="AB116" s="2198"/>
      <c r="AC116" s="2199"/>
      <c r="AD116" s="1348"/>
      <c r="AE116" s="1409"/>
      <c r="AF116" s="1409"/>
      <c r="AG116" s="1410"/>
      <c r="AH116" s="1348"/>
      <c r="AI116" s="1348"/>
      <c r="AJ116" s="1348"/>
      <c r="AK116" s="1348"/>
      <c r="AL116" s="1348"/>
      <c r="AM116" s="1348"/>
      <c r="AN116" s="323"/>
    </row>
    <row r="117" spans="2:40" ht="15" customHeight="1">
      <c r="B117" s="1354" t="s">
        <v>700</v>
      </c>
      <c r="C117" s="340"/>
      <c r="D117" s="322"/>
      <c r="E117" s="341"/>
      <c r="F117" s="1345"/>
      <c r="G117" s="1346"/>
      <c r="H117" s="1346"/>
      <c r="I117" s="1346"/>
      <c r="J117" s="1346"/>
      <c r="K117" s="1346"/>
      <c r="L117" s="1346"/>
      <c r="M117" s="2245"/>
      <c r="N117" s="343"/>
      <c r="O117" s="40"/>
      <c r="P117" s="75"/>
      <c r="Q117" s="40"/>
      <c r="R117" s="40"/>
      <c r="S117" s="40"/>
      <c r="T117" s="40"/>
      <c r="U117" s="40"/>
      <c r="V117" s="40"/>
      <c r="W117" s="40"/>
      <c r="X117" s="40"/>
      <c r="Y117" s="40"/>
      <c r="Z117" s="2217"/>
      <c r="AA117" s="2218"/>
      <c r="AB117" s="2218"/>
      <c r="AC117" s="1323"/>
      <c r="AD117" s="1194"/>
      <c r="AE117" s="1179"/>
      <c r="AF117" s="1179"/>
      <c r="AG117" s="1180"/>
      <c r="AH117" s="1194"/>
      <c r="AI117" s="1194"/>
      <c r="AJ117" s="1194"/>
      <c r="AK117" s="1194"/>
      <c r="AL117" s="1194"/>
      <c r="AM117" s="1194"/>
      <c r="AN117" s="324"/>
    </row>
    <row r="118" spans="2:40" ht="3" customHeight="1">
      <c r="B118" s="1181"/>
      <c r="C118" s="1182"/>
      <c r="D118" s="336"/>
      <c r="E118" s="1183"/>
      <c r="F118" s="1185"/>
      <c r="G118" s="1185"/>
      <c r="H118" s="1185"/>
      <c r="I118" s="1185"/>
      <c r="J118" s="1185"/>
      <c r="K118" s="1185"/>
      <c r="L118" s="1185"/>
      <c r="M118" s="1185"/>
      <c r="N118" s="1182"/>
      <c r="O118" s="336"/>
      <c r="P118" s="1184"/>
      <c r="Q118" s="336"/>
      <c r="R118" s="336"/>
      <c r="S118" s="336"/>
      <c r="T118" s="336"/>
      <c r="U118" s="336"/>
      <c r="V118" s="336"/>
      <c r="W118" s="336"/>
      <c r="X118" s="336"/>
      <c r="Y118" s="336"/>
      <c r="Z118" s="1182"/>
      <c r="AA118" s="336"/>
      <c r="AB118" s="1184"/>
      <c r="AC118" s="1183"/>
      <c r="AD118" s="336"/>
      <c r="AE118" s="336"/>
      <c r="AF118" s="336"/>
      <c r="AG118" s="1184"/>
      <c r="AH118" s="336"/>
      <c r="AI118" s="336"/>
      <c r="AJ118" s="336"/>
      <c r="AK118" s="336"/>
      <c r="AL118" s="336"/>
      <c r="AM118" s="336"/>
      <c r="AN118" s="1183"/>
    </row>
    <row r="119" spans="2:40" ht="15" customHeight="1">
      <c r="B119" s="151"/>
      <c r="C119" s="151" t="s">
        <v>239</v>
      </c>
      <c r="D119" s="1444"/>
      <c r="E119" s="1444"/>
      <c r="F119" s="1444"/>
      <c r="G119" s="1444"/>
      <c r="H119" s="1444"/>
      <c r="I119" s="1444"/>
      <c r="J119" s="1444"/>
      <c r="K119" s="1444"/>
      <c r="L119" s="1444"/>
      <c r="M119" s="1444"/>
      <c r="N119" s="1444"/>
      <c r="O119" s="1444"/>
      <c r="P119" s="1444"/>
      <c r="Q119" s="1444"/>
      <c r="R119" s="1444"/>
      <c r="S119" s="1444"/>
      <c r="T119" s="1444"/>
      <c r="U119" s="1444"/>
      <c r="V119" s="1444"/>
      <c r="W119" s="1444"/>
      <c r="X119" s="1444"/>
      <c r="Y119" s="2161"/>
      <c r="Z119" s="180"/>
      <c r="AA119" s="181"/>
      <c r="AB119" s="151" t="s">
        <v>581</v>
      </c>
      <c r="AC119" s="2161"/>
      <c r="AD119" s="1348">
        <f ca="1">SUM(AD104:AN117)</f>
        <v>0</v>
      </c>
      <c r="AE119" s="1348"/>
      <c r="AF119" s="1348"/>
      <c r="AG119" s="1348"/>
      <c r="AH119" s="1348"/>
      <c r="AI119" s="1348"/>
      <c r="AJ119" s="1348"/>
      <c r="AK119" s="1348"/>
      <c r="AL119" s="1348"/>
      <c r="AM119" s="1348"/>
      <c r="AN119" s="359"/>
    </row>
    <row r="120" spans="2:40" ht="6" customHeight="1">
      <c r="B120" s="153"/>
      <c r="C120" s="149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395"/>
      <c r="Z120" s="169"/>
      <c r="AA120" s="105"/>
      <c r="AB120" s="149"/>
      <c r="AC120" s="395"/>
      <c r="AD120" s="1194"/>
      <c r="AE120" s="1194"/>
      <c r="AF120" s="1194"/>
      <c r="AG120" s="1194"/>
      <c r="AH120" s="1194"/>
      <c r="AI120" s="1194"/>
      <c r="AJ120" s="1194"/>
      <c r="AK120" s="1194"/>
      <c r="AL120" s="1194"/>
      <c r="AM120" s="1194"/>
      <c r="AN120" s="360"/>
    </row>
    <row r="121" spans="2:40" ht="3" customHeight="1">
      <c r="B121" s="628"/>
      <c r="C121" s="1337"/>
      <c r="D121" s="2187"/>
      <c r="E121" s="2187"/>
      <c r="F121" s="2187"/>
      <c r="G121" s="2187"/>
      <c r="H121" s="2187"/>
      <c r="I121" s="2187"/>
      <c r="J121" s="2187"/>
      <c r="K121" s="2187"/>
      <c r="L121" s="2187"/>
      <c r="M121" s="2187"/>
      <c r="N121" s="2187"/>
      <c r="O121" s="2187"/>
      <c r="P121" s="2187"/>
      <c r="Q121" s="2187"/>
      <c r="R121" s="2187"/>
      <c r="S121" s="2187"/>
      <c r="T121" s="2187"/>
      <c r="U121" s="2187"/>
      <c r="V121" s="2187"/>
      <c r="W121" s="2187"/>
      <c r="X121" s="2187"/>
      <c r="Y121" s="2180"/>
      <c r="Z121" s="170"/>
      <c r="AA121" s="166"/>
      <c r="AB121" s="628"/>
      <c r="AC121" s="629"/>
      <c r="AD121" s="2268"/>
      <c r="AE121" s="2268"/>
      <c r="AF121" s="2268"/>
      <c r="AG121" s="2268"/>
      <c r="AH121" s="2268"/>
      <c r="AI121" s="2268"/>
      <c r="AJ121" s="2268"/>
      <c r="AK121" s="2268"/>
      <c r="AL121" s="2268"/>
      <c r="AM121" s="2268"/>
      <c r="AN121" s="858"/>
    </row>
    <row r="122" spans="2:40" ht="3" customHeight="1">
      <c r="B122" s="9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65"/>
      <c r="AC122" s="65"/>
      <c r="AD122" s="65"/>
      <c r="AE122" s="71"/>
      <c r="AF122" s="71"/>
      <c r="AG122" s="70"/>
      <c r="AH122" s="93"/>
      <c r="AI122" s="93"/>
      <c r="AJ122" s="46"/>
      <c r="AK122" s="93"/>
      <c r="AL122" s="93"/>
      <c r="AM122" s="93"/>
      <c r="AN122" s="93"/>
    </row>
    <row r="123" spans="2:40" ht="1.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4"/>
      <c r="AE123" s="4"/>
      <c r="AF123" s="4"/>
      <c r="AG123" s="4"/>
      <c r="AH123" s="4"/>
      <c r="AI123" s="4"/>
      <c r="AJ123"/>
      <c r="AK123"/>
      <c r="AL123"/>
      <c r="AM123"/>
      <c r="AN123"/>
    </row>
    <row r="124" spans="2:40" ht="3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4"/>
      <c r="AE124" s="4"/>
      <c r="AF124" s="4"/>
      <c r="AG124" s="4"/>
      <c r="AH124" s="4"/>
      <c r="AI124" s="4"/>
      <c r="AJ124"/>
      <c r="AK124"/>
      <c r="AL124"/>
      <c r="AM124"/>
      <c r="AN124"/>
    </row>
    <row r="125" spans="2:40" ht="15" customHeight="1">
      <c r="B125" s="75"/>
      <c r="C125" s="76" t="s">
        <v>703</v>
      </c>
      <c r="D125" s="76"/>
      <c r="E125" s="15"/>
      <c r="F125" s="76" t="s">
        <v>26</v>
      </c>
      <c r="G125" s="83" t="s">
        <v>695</v>
      </c>
      <c r="H125" s="15"/>
      <c r="I125" s="76"/>
      <c r="J125" s="76"/>
      <c r="K125" s="76"/>
      <c r="L125" s="69"/>
      <c r="M125" s="4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7"/>
      <c r="AC125" s="11"/>
      <c r="AD125" s="4"/>
      <c r="AE125" s="4"/>
      <c r="AF125" s="4"/>
      <c r="AG125" s="4"/>
      <c r="AH125" s="4"/>
      <c r="AI125" s="4"/>
      <c r="AJ125"/>
      <c r="AK125"/>
      <c r="AL125"/>
      <c r="AM125"/>
      <c r="AN125"/>
    </row>
    <row r="126" spans="2:40" ht="4.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4"/>
      <c r="AE126" s="4"/>
      <c r="AF126" s="4"/>
      <c r="AG126" s="4"/>
      <c r="AH126" s="4"/>
      <c r="AI126" s="4"/>
      <c r="AJ126"/>
      <c r="AK126"/>
      <c r="AL126"/>
      <c r="AM126"/>
      <c r="AN126"/>
    </row>
    <row r="127" spans="2:40" ht="3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4"/>
      <c r="AE127" s="4"/>
      <c r="AF127" s="4"/>
      <c r="AG127" s="4"/>
      <c r="AH127" s="4"/>
      <c r="AI127" s="4"/>
      <c r="AJ127"/>
      <c r="AK127"/>
      <c r="AL127"/>
      <c r="AM127"/>
      <c r="AN127"/>
    </row>
    <row r="128" spans="2:40" ht="15" customHeight="1">
      <c r="B128" s="2203" t="s">
        <v>76</v>
      </c>
      <c r="C128" s="151" t="s">
        <v>607</v>
      </c>
      <c r="D128" s="1444"/>
      <c r="E128" s="1444"/>
      <c r="F128" s="1444"/>
      <c r="G128" s="1444"/>
      <c r="H128" s="1444"/>
      <c r="I128" s="1444"/>
      <c r="J128" s="1444"/>
      <c r="K128" s="1444"/>
      <c r="L128" s="1444"/>
      <c r="M128" s="1444"/>
      <c r="N128" s="1444"/>
      <c r="O128" s="2161"/>
      <c r="P128" s="151" t="s">
        <v>828</v>
      </c>
      <c r="Q128" s="2352"/>
      <c r="R128" s="2352"/>
      <c r="S128" s="2352"/>
      <c r="T128" s="2352"/>
      <c r="U128" s="2352"/>
      <c r="V128" s="2352"/>
      <c r="W128" s="2353"/>
      <c r="X128" s="151" t="s">
        <v>704</v>
      </c>
      <c r="Y128" s="1444"/>
      <c r="Z128" s="1444"/>
      <c r="AA128" s="1444"/>
      <c r="AB128" s="1444"/>
      <c r="AC128" s="1444"/>
      <c r="AD128" s="1444"/>
      <c r="AE128" s="1444"/>
      <c r="AF128" s="2161"/>
      <c r="AG128" s="151" t="s">
        <v>183</v>
      </c>
      <c r="AH128" s="1444"/>
      <c r="AI128" s="1444"/>
      <c r="AJ128" s="1444"/>
      <c r="AK128" s="1444"/>
      <c r="AL128" s="1444"/>
      <c r="AM128" s="1444"/>
      <c r="AN128" s="2161"/>
    </row>
    <row r="129" spans="2:40" ht="1.5" customHeight="1">
      <c r="B129" s="2184"/>
      <c r="C129" s="149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395"/>
      <c r="P129" s="411"/>
      <c r="Q129" s="119"/>
      <c r="R129" s="119"/>
      <c r="S129" s="119"/>
      <c r="T129" s="119"/>
      <c r="U129" s="119"/>
      <c r="V129" s="119"/>
      <c r="W129" s="2354"/>
      <c r="X129" s="149"/>
      <c r="Y129" s="71"/>
      <c r="Z129" s="71"/>
      <c r="AA129" s="71"/>
      <c r="AB129" s="71"/>
      <c r="AC129" s="71"/>
      <c r="AD129" s="71"/>
      <c r="AE129" s="71"/>
      <c r="AF129" s="395"/>
      <c r="AG129" s="149"/>
      <c r="AH129" s="71"/>
      <c r="AI129" s="71"/>
      <c r="AJ129" s="71"/>
      <c r="AK129" s="71"/>
      <c r="AL129" s="71"/>
      <c r="AM129" s="71"/>
      <c r="AN129" s="395"/>
    </row>
    <row r="130" spans="2:40" ht="3" customHeight="1">
      <c r="B130" s="2184"/>
      <c r="C130" s="1337"/>
      <c r="D130" s="2187"/>
      <c r="E130" s="2187"/>
      <c r="F130" s="2187"/>
      <c r="G130" s="2187"/>
      <c r="H130" s="2187"/>
      <c r="I130" s="2187"/>
      <c r="J130" s="2187"/>
      <c r="K130" s="2187"/>
      <c r="L130" s="2187"/>
      <c r="M130" s="2187"/>
      <c r="N130" s="2187"/>
      <c r="O130" s="2180"/>
      <c r="P130" s="2355"/>
      <c r="Q130" s="2356"/>
      <c r="R130" s="2356"/>
      <c r="S130" s="2356"/>
      <c r="T130" s="2356"/>
      <c r="U130" s="2356"/>
      <c r="V130" s="2356"/>
      <c r="W130" s="2357"/>
      <c r="X130" s="1337"/>
      <c r="Y130" s="2187"/>
      <c r="Z130" s="2187"/>
      <c r="AA130" s="2187"/>
      <c r="AB130" s="2187"/>
      <c r="AC130" s="2187"/>
      <c r="AD130" s="2187"/>
      <c r="AE130" s="2187"/>
      <c r="AF130" s="2180"/>
      <c r="AG130" s="1337"/>
      <c r="AH130" s="2187"/>
      <c r="AI130" s="2187"/>
      <c r="AJ130" s="2187"/>
      <c r="AK130" s="2187"/>
      <c r="AL130" s="2187"/>
      <c r="AM130" s="2187"/>
      <c r="AN130" s="2180"/>
    </row>
    <row r="131" spans="2:40" s="16" customFormat="1" ht="12.75" customHeight="1">
      <c r="B131" s="155" t="s">
        <v>65</v>
      </c>
      <c r="C131" s="155" t="s">
        <v>64</v>
      </c>
      <c r="D131" s="2182"/>
      <c r="E131" s="2182"/>
      <c r="F131" s="2182"/>
      <c r="G131" s="2182"/>
      <c r="H131" s="2182"/>
      <c r="I131" s="2182"/>
      <c r="J131" s="2182"/>
      <c r="K131" s="2182"/>
      <c r="L131" s="2182"/>
      <c r="M131" s="2182"/>
      <c r="N131" s="2182"/>
      <c r="O131" s="2183"/>
      <c r="P131" s="155" t="s">
        <v>66</v>
      </c>
      <c r="Q131" s="2182"/>
      <c r="R131" s="2182"/>
      <c r="S131" s="2182"/>
      <c r="T131" s="2182"/>
      <c r="U131" s="2182"/>
      <c r="V131" s="2182"/>
      <c r="W131" s="2183"/>
      <c r="X131" s="155" t="s">
        <v>67</v>
      </c>
      <c r="Y131" s="2182"/>
      <c r="Z131" s="2182"/>
      <c r="AA131" s="2182"/>
      <c r="AB131" s="2182"/>
      <c r="AC131" s="2182"/>
      <c r="AD131" s="2182"/>
      <c r="AE131" s="2182"/>
      <c r="AF131" s="2183"/>
      <c r="AG131" s="2182" t="s">
        <v>68</v>
      </c>
      <c r="AH131" s="2182"/>
      <c r="AI131" s="2182"/>
      <c r="AJ131" s="2182"/>
      <c r="AK131" s="2182"/>
      <c r="AL131" s="2182"/>
      <c r="AM131" s="2182"/>
      <c r="AN131" s="2183"/>
    </row>
    <row r="132" spans="2:40" ht="15" customHeight="1">
      <c r="B132" s="1341" t="s">
        <v>621</v>
      </c>
      <c r="C132" s="2321" t="str">
        <f>IF('GENERAL INFO'!C71="","-",'GENERAL INFO'!C71)</f>
        <v>-</v>
      </c>
      <c r="D132" s="2322"/>
      <c r="E132" s="2322"/>
      <c r="F132" s="2322"/>
      <c r="G132" s="2322"/>
      <c r="H132" s="2322"/>
      <c r="I132" s="2322"/>
      <c r="J132" s="2322"/>
      <c r="K132" s="2322"/>
      <c r="L132" s="2322"/>
      <c r="M132" s="2322"/>
      <c r="N132" s="2322"/>
      <c r="O132" s="2323"/>
      <c r="P132" s="2328" t="str">
        <f>IF('GENERAL INFO'!J71="","-",'GENERAL INFO'!J71)</f>
        <v>-</v>
      </c>
      <c r="Q132" s="2329"/>
      <c r="R132" s="2329"/>
      <c r="S132" s="2329"/>
      <c r="T132" s="2329"/>
      <c r="U132" s="2329"/>
      <c r="V132" s="2329"/>
      <c r="W132" s="2330"/>
      <c r="X132" s="2337" t="str">
        <f>IF('GENERAL INFO'!E71="","-",'GENERAL INFO'!E71)</f>
        <v>-</v>
      </c>
      <c r="Y132" s="2338"/>
      <c r="Z132" s="2338"/>
      <c r="AA132" s="2338"/>
      <c r="AB132" s="2338"/>
      <c r="AC132" s="2338"/>
      <c r="AD132" s="2338"/>
      <c r="AE132" s="2338"/>
      <c r="AF132" s="2339"/>
      <c r="AG132" s="2361" t="str">
        <f>IF('GENERAL INFO'!N71="","-",'GENERAL INFO'!N71)</f>
        <v>-</v>
      </c>
      <c r="AH132" s="2362"/>
      <c r="AI132" s="2362"/>
      <c r="AJ132" s="2362"/>
      <c r="AK132" s="2362"/>
      <c r="AL132" s="2362"/>
      <c r="AM132" s="2362"/>
      <c r="AN132" s="323"/>
    </row>
    <row r="133" spans="2:40" ht="8.25" customHeight="1">
      <c r="B133" s="398"/>
      <c r="C133" s="2324"/>
      <c r="D133" s="955"/>
      <c r="E133" s="955"/>
      <c r="F133" s="955"/>
      <c r="G133" s="955"/>
      <c r="H133" s="955"/>
      <c r="I133" s="955"/>
      <c r="J133" s="955"/>
      <c r="K133" s="955"/>
      <c r="L133" s="955"/>
      <c r="M133" s="955"/>
      <c r="N133" s="955"/>
      <c r="O133" s="956"/>
      <c r="P133" s="2331"/>
      <c r="Q133" s="2332"/>
      <c r="R133" s="2332"/>
      <c r="S133" s="2332"/>
      <c r="T133" s="2332"/>
      <c r="U133" s="2332"/>
      <c r="V133" s="2332"/>
      <c r="W133" s="2333"/>
      <c r="X133" s="2340"/>
      <c r="Y133" s="2341"/>
      <c r="Z133" s="2341"/>
      <c r="AA133" s="2341"/>
      <c r="AB133" s="2341"/>
      <c r="AC133" s="2341"/>
      <c r="AD133" s="2341"/>
      <c r="AE133" s="2341"/>
      <c r="AF133" s="2342"/>
      <c r="AG133" s="2363"/>
      <c r="AH133" s="2364"/>
      <c r="AI133" s="2364"/>
      <c r="AJ133" s="2364"/>
      <c r="AK133" s="2364"/>
      <c r="AL133" s="2364"/>
      <c r="AM133" s="2364"/>
      <c r="AN133" s="324"/>
    </row>
    <row r="134" spans="2:40" ht="3" customHeight="1">
      <c r="B134" s="149"/>
      <c r="C134" s="2324"/>
      <c r="D134" s="955"/>
      <c r="E134" s="955"/>
      <c r="F134" s="955"/>
      <c r="G134" s="955"/>
      <c r="H134" s="955"/>
      <c r="I134" s="955"/>
      <c r="J134" s="955"/>
      <c r="K134" s="955"/>
      <c r="L134" s="955"/>
      <c r="M134" s="955"/>
      <c r="N134" s="955"/>
      <c r="O134" s="956"/>
      <c r="P134" s="2331"/>
      <c r="Q134" s="2332"/>
      <c r="R134" s="2332"/>
      <c r="S134" s="2332"/>
      <c r="T134" s="2332"/>
      <c r="U134" s="2332"/>
      <c r="V134" s="2332"/>
      <c r="W134" s="2333"/>
      <c r="X134" s="2343"/>
      <c r="Y134" s="2344"/>
      <c r="Z134" s="2344"/>
      <c r="AA134" s="2344"/>
      <c r="AB134" s="2344"/>
      <c r="AC134" s="2344"/>
      <c r="AD134" s="2344"/>
      <c r="AE134" s="2344"/>
      <c r="AF134" s="2345"/>
      <c r="AG134" s="322"/>
      <c r="AH134" s="322"/>
      <c r="AI134" s="322"/>
      <c r="AJ134" s="322"/>
      <c r="AK134" s="322"/>
      <c r="AL134" s="322"/>
      <c r="AM134" s="322"/>
      <c r="AN134" s="373"/>
    </row>
    <row r="135" spans="2:40" ht="15" customHeight="1">
      <c r="B135" s="1341" t="s">
        <v>622</v>
      </c>
      <c r="C135" s="2321" t="str">
        <f>IF('GENERAL INFO'!C72="","-",'GENERAL INFO'!C72)</f>
        <v>-</v>
      </c>
      <c r="D135" s="2322"/>
      <c r="E135" s="2322"/>
      <c r="F135" s="2322"/>
      <c r="G135" s="2322"/>
      <c r="H135" s="2322"/>
      <c r="I135" s="2322"/>
      <c r="J135" s="2322"/>
      <c r="K135" s="2322"/>
      <c r="L135" s="2322"/>
      <c r="M135" s="2322"/>
      <c r="N135" s="2322"/>
      <c r="O135" s="2323"/>
      <c r="P135" s="2328" t="str">
        <f>IF('GENERAL INFO'!J72="","-",'GENERAL INFO'!J72)</f>
        <v>-</v>
      </c>
      <c r="Q135" s="2329"/>
      <c r="R135" s="2329"/>
      <c r="S135" s="2329"/>
      <c r="T135" s="2329"/>
      <c r="U135" s="2329"/>
      <c r="V135" s="2329"/>
      <c r="W135" s="2330"/>
      <c r="X135" s="2337" t="str">
        <f>IF('GENERAL INFO'!E72="","-",'GENERAL INFO'!E72)</f>
        <v>-</v>
      </c>
      <c r="Y135" s="2338"/>
      <c r="Z135" s="2338"/>
      <c r="AA135" s="2338"/>
      <c r="AB135" s="2338"/>
      <c r="AC135" s="2338"/>
      <c r="AD135" s="2338"/>
      <c r="AE135" s="2338"/>
      <c r="AF135" s="2339"/>
      <c r="AG135" s="2155" t="str">
        <f>IF('GENERAL INFO'!N72="","-",'GENERAL INFO'!N72)</f>
        <v>-</v>
      </c>
      <c r="AH135" s="2156"/>
      <c r="AI135" s="2156"/>
      <c r="AJ135" s="2156"/>
      <c r="AK135" s="2156"/>
      <c r="AL135" s="2156"/>
      <c r="AM135" s="2156"/>
      <c r="AN135" s="1411"/>
    </row>
    <row r="136" spans="2:40" ht="9.75" customHeight="1">
      <c r="B136" s="398"/>
      <c r="C136" s="2324"/>
      <c r="D136" s="955"/>
      <c r="E136" s="955"/>
      <c r="F136" s="955"/>
      <c r="G136" s="955"/>
      <c r="H136" s="955"/>
      <c r="I136" s="955"/>
      <c r="J136" s="955"/>
      <c r="K136" s="955"/>
      <c r="L136" s="955"/>
      <c r="M136" s="955"/>
      <c r="N136" s="955"/>
      <c r="O136" s="956"/>
      <c r="P136" s="2331"/>
      <c r="Q136" s="2332"/>
      <c r="R136" s="2332"/>
      <c r="S136" s="2332"/>
      <c r="T136" s="2332"/>
      <c r="U136" s="2332"/>
      <c r="V136" s="2332"/>
      <c r="W136" s="2333"/>
      <c r="X136" s="2340"/>
      <c r="Y136" s="2341"/>
      <c r="Z136" s="2341"/>
      <c r="AA136" s="2341"/>
      <c r="AB136" s="2341"/>
      <c r="AC136" s="2341"/>
      <c r="AD136" s="2341"/>
      <c r="AE136" s="2341"/>
      <c r="AF136" s="2342"/>
      <c r="AG136" s="810"/>
      <c r="AH136" s="302"/>
      <c r="AI136" s="302"/>
      <c r="AJ136" s="302"/>
      <c r="AK136" s="302"/>
      <c r="AL136" s="302"/>
      <c r="AM136" s="302"/>
      <c r="AN136" s="1353"/>
    </row>
    <row r="137" spans="2:40" ht="3" customHeight="1">
      <c r="B137" s="149"/>
      <c r="C137" s="2324"/>
      <c r="D137" s="955"/>
      <c r="E137" s="955"/>
      <c r="F137" s="955"/>
      <c r="G137" s="955"/>
      <c r="H137" s="955"/>
      <c r="I137" s="955"/>
      <c r="J137" s="955"/>
      <c r="K137" s="955"/>
      <c r="L137" s="955"/>
      <c r="M137" s="955"/>
      <c r="N137" s="955"/>
      <c r="O137" s="956"/>
      <c r="P137" s="2331"/>
      <c r="Q137" s="2332"/>
      <c r="R137" s="2332"/>
      <c r="S137" s="2332"/>
      <c r="T137" s="2332"/>
      <c r="U137" s="2332"/>
      <c r="V137" s="2332"/>
      <c r="W137" s="2333"/>
      <c r="X137" s="2343"/>
      <c r="Y137" s="2344"/>
      <c r="Z137" s="2344"/>
      <c r="AA137" s="2344"/>
      <c r="AB137" s="2344"/>
      <c r="AC137" s="2344"/>
      <c r="AD137" s="2344"/>
      <c r="AE137" s="2344"/>
      <c r="AF137" s="2345"/>
      <c r="AG137" s="302"/>
      <c r="AH137" s="302"/>
      <c r="AI137" s="302"/>
      <c r="AJ137" s="302"/>
      <c r="AK137" s="302"/>
      <c r="AL137" s="302"/>
      <c r="AM137" s="302"/>
      <c r="AN137" s="1353"/>
    </row>
    <row r="138" spans="2:40" ht="15" customHeight="1">
      <c r="B138" s="1341" t="s">
        <v>623</v>
      </c>
      <c r="C138" s="2315" t="str">
        <f>IF('GENERAL INFO'!C73="","-",'GENERAL INFO'!C73)</f>
        <v>-</v>
      </c>
      <c r="D138" s="2316"/>
      <c r="E138" s="2316"/>
      <c r="F138" s="2316"/>
      <c r="G138" s="2316"/>
      <c r="H138" s="2316"/>
      <c r="I138" s="2316"/>
      <c r="J138" s="2316"/>
      <c r="K138" s="2316"/>
      <c r="L138" s="2316"/>
      <c r="M138" s="2316"/>
      <c r="N138" s="2316"/>
      <c r="O138" s="2317"/>
      <c r="P138" s="2328" t="str">
        <f>IF('GENERAL INFO'!J73="","-",'GENERAL INFO'!J73)</f>
        <v>-</v>
      </c>
      <c r="Q138" s="2329"/>
      <c r="R138" s="2329"/>
      <c r="S138" s="2329"/>
      <c r="T138" s="2329"/>
      <c r="U138" s="2329"/>
      <c r="V138" s="2329"/>
      <c r="W138" s="2330"/>
      <c r="X138" s="2337" t="str">
        <f>IF('GENERAL INFO'!E73="","-",'GENERAL INFO'!E73)</f>
        <v>-</v>
      </c>
      <c r="Y138" s="2338"/>
      <c r="Z138" s="2338"/>
      <c r="AA138" s="2338"/>
      <c r="AB138" s="2338"/>
      <c r="AC138" s="2338"/>
      <c r="AD138" s="2338"/>
      <c r="AE138" s="2338"/>
      <c r="AF138" s="2339"/>
      <c r="AG138" s="2155" t="str">
        <f>IF('GENERAL INFO'!N73="","-",'GENERAL INFO'!N73)</f>
        <v>-</v>
      </c>
      <c r="AH138" s="2156"/>
      <c r="AI138" s="2156"/>
      <c r="AJ138" s="2156"/>
      <c r="AK138" s="2156"/>
      <c r="AL138" s="2156"/>
      <c r="AM138" s="2156"/>
      <c r="AN138" s="1412"/>
    </row>
    <row r="139" spans="2:40" ht="10.5" customHeight="1">
      <c r="B139" s="398"/>
      <c r="C139" s="2318"/>
      <c r="D139" s="2319"/>
      <c r="E139" s="2319"/>
      <c r="F139" s="2319"/>
      <c r="G139" s="2319"/>
      <c r="H139" s="2319"/>
      <c r="I139" s="2319"/>
      <c r="J139" s="2319"/>
      <c r="K139" s="2319"/>
      <c r="L139" s="2319"/>
      <c r="M139" s="2319"/>
      <c r="N139" s="2319"/>
      <c r="O139" s="2320"/>
      <c r="P139" s="2331"/>
      <c r="Q139" s="2332"/>
      <c r="R139" s="2332"/>
      <c r="S139" s="2332"/>
      <c r="T139" s="2332"/>
      <c r="U139" s="2332"/>
      <c r="V139" s="2332"/>
      <c r="W139" s="2333"/>
      <c r="X139" s="2340"/>
      <c r="Y139" s="2341"/>
      <c r="Z139" s="2341"/>
      <c r="AA139" s="2341"/>
      <c r="AB139" s="2341"/>
      <c r="AC139" s="2341"/>
      <c r="AD139" s="2341"/>
      <c r="AE139" s="2341"/>
      <c r="AF139" s="2342"/>
      <c r="AG139" s="810"/>
      <c r="AH139" s="302"/>
      <c r="AI139" s="302"/>
      <c r="AJ139" s="302"/>
      <c r="AK139" s="302"/>
      <c r="AL139" s="302"/>
      <c r="AM139" s="302"/>
      <c r="AN139" s="376"/>
    </row>
    <row r="140" spans="2:40" ht="3" customHeight="1">
      <c r="B140" s="149"/>
      <c r="C140" s="2318"/>
      <c r="D140" s="2319"/>
      <c r="E140" s="2319"/>
      <c r="F140" s="2319"/>
      <c r="G140" s="2319"/>
      <c r="H140" s="2319"/>
      <c r="I140" s="2319"/>
      <c r="J140" s="2319"/>
      <c r="K140" s="2319"/>
      <c r="L140" s="2319"/>
      <c r="M140" s="2319"/>
      <c r="N140" s="2319"/>
      <c r="O140" s="2320"/>
      <c r="P140" s="2331"/>
      <c r="Q140" s="2332"/>
      <c r="R140" s="2332"/>
      <c r="S140" s="2332"/>
      <c r="T140" s="2332"/>
      <c r="U140" s="2332"/>
      <c r="V140" s="2332"/>
      <c r="W140" s="2333"/>
      <c r="X140" s="2343"/>
      <c r="Y140" s="2344"/>
      <c r="Z140" s="2344"/>
      <c r="AA140" s="2344"/>
      <c r="AB140" s="2344"/>
      <c r="AC140" s="2344"/>
      <c r="AD140" s="2344"/>
      <c r="AE140" s="2344"/>
      <c r="AF140" s="2345"/>
      <c r="AG140" s="302"/>
      <c r="AH140" s="302"/>
      <c r="AI140" s="302"/>
      <c r="AJ140" s="302"/>
      <c r="AK140" s="302"/>
      <c r="AL140" s="302"/>
      <c r="AM140" s="302"/>
      <c r="AN140" s="820"/>
    </row>
    <row r="141" spans="2:40" ht="15" customHeight="1">
      <c r="B141" s="1341" t="s">
        <v>624</v>
      </c>
      <c r="C141" s="2321" t="str">
        <f>IF('GENERAL INFO'!C74="","-",'GENERAL INFO'!C74)</f>
        <v>-</v>
      </c>
      <c r="D141" s="2322"/>
      <c r="E141" s="2322"/>
      <c r="F141" s="2322"/>
      <c r="G141" s="2322"/>
      <c r="H141" s="2322"/>
      <c r="I141" s="2322"/>
      <c r="J141" s="2322"/>
      <c r="K141" s="2322"/>
      <c r="L141" s="2322"/>
      <c r="M141" s="2322"/>
      <c r="N141" s="2322"/>
      <c r="O141" s="2323"/>
      <c r="P141" s="2328" t="str">
        <f>IF('GENERAL INFO'!J74="","-",'GENERAL INFO'!J74)</f>
        <v>-</v>
      </c>
      <c r="Q141" s="2329"/>
      <c r="R141" s="2329"/>
      <c r="S141" s="2329"/>
      <c r="T141" s="2329"/>
      <c r="U141" s="2329"/>
      <c r="V141" s="2329"/>
      <c r="W141" s="2330"/>
      <c r="X141" s="2337" t="str">
        <f>IF('GENERAL INFO'!E74="","-",'GENERAL INFO'!E74)</f>
        <v>-</v>
      </c>
      <c r="Y141" s="2338"/>
      <c r="Z141" s="2338"/>
      <c r="AA141" s="2338"/>
      <c r="AB141" s="2338"/>
      <c r="AC141" s="2338"/>
      <c r="AD141" s="2338"/>
      <c r="AE141" s="2338"/>
      <c r="AF141" s="2339"/>
      <c r="AG141" s="2155" t="str">
        <f>IF('GENERAL INFO'!N74="","-",'GENERAL INFO'!N74)</f>
        <v>-</v>
      </c>
      <c r="AH141" s="2156"/>
      <c r="AI141" s="2156"/>
      <c r="AJ141" s="2156"/>
      <c r="AK141" s="2156"/>
      <c r="AL141" s="2156"/>
      <c r="AM141" s="2156"/>
      <c r="AN141" s="1412"/>
    </row>
    <row r="142" spans="2:40" ht="9" customHeight="1">
      <c r="B142" s="398"/>
      <c r="C142" s="2324"/>
      <c r="D142" s="955"/>
      <c r="E142" s="955"/>
      <c r="F142" s="955"/>
      <c r="G142" s="955"/>
      <c r="H142" s="955"/>
      <c r="I142" s="955"/>
      <c r="J142" s="955"/>
      <c r="K142" s="955"/>
      <c r="L142" s="955"/>
      <c r="M142" s="955"/>
      <c r="N142" s="955"/>
      <c r="O142" s="956"/>
      <c r="P142" s="2331"/>
      <c r="Q142" s="2332"/>
      <c r="R142" s="2332"/>
      <c r="S142" s="2332"/>
      <c r="T142" s="2332"/>
      <c r="U142" s="2332"/>
      <c r="V142" s="2332"/>
      <c r="W142" s="2333"/>
      <c r="X142" s="2340"/>
      <c r="Y142" s="2341"/>
      <c r="Z142" s="2341"/>
      <c r="AA142" s="2341"/>
      <c r="AB142" s="2341"/>
      <c r="AC142" s="2341"/>
      <c r="AD142" s="2341"/>
      <c r="AE142" s="2341"/>
      <c r="AF142" s="2342"/>
      <c r="AG142" s="810"/>
      <c r="AH142" s="302"/>
      <c r="AI142" s="302"/>
      <c r="AJ142" s="302"/>
      <c r="AK142" s="302"/>
      <c r="AL142" s="302"/>
      <c r="AM142" s="302"/>
      <c r="AN142" s="376"/>
    </row>
    <row r="143" spans="2:40" ht="3" customHeight="1">
      <c r="B143" s="149"/>
      <c r="C143" s="2324"/>
      <c r="D143" s="955"/>
      <c r="E143" s="955"/>
      <c r="F143" s="955"/>
      <c r="G143" s="955"/>
      <c r="H143" s="955"/>
      <c r="I143" s="955"/>
      <c r="J143" s="955"/>
      <c r="K143" s="955"/>
      <c r="L143" s="955"/>
      <c r="M143" s="955"/>
      <c r="N143" s="955"/>
      <c r="O143" s="956"/>
      <c r="P143" s="2331"/>
      <c r="Q143" s="2332"/>
      <c r="R143" s="2332"/>
      <c r="S143" s="2332"/>
      <c r="T143" s="2332"/>
      <c r="U143" s="2332"/>
      <c r="V143" s="2332"/>
      <c r="W143" s="2333"/>
      <c r="X143" s="2343"/>
      <c r="Y143" s="2344"/>
      <c r="Z143" s="2344"/>
      <c r="AA143" s="2344"/>
      <c r="AB143" s="2344"/>
      <c r="AC143" s="2344"/>
      <c r="AD143" s="2344"/>
      <c r="AE143" s="2344"/>
      <c r="AF143" s="2345"/>
      <c r="AG143" s="302"/>
      <c r="AH143" s="302"/>
      <c r="AI143" s="302"/>
      <c r="AJ143" s="302"/>
      <c r="AK143" s="302"/>
      <c r="AL143" s="302"/>
      <c r="AM143" s="302"/>
      <c r="AN143" s="820"/>
    </row>
    <row r="144" spans="2:40" ht="15" customHeight="1">
      <c r="B144" s="1341" t="s">
        <v>625</v>
      </c>
      <c r="C144" s="2321" t="str">
        <f>IF('GENERAL INFO'!C75="","-",'GENERAL INFO'!C75)</f>
        <v>-</v>
      </c>
      <c r="D144" s="2322"/>
      <c r="E144" s="2322"/>
      <c r="F144" s="2322"/>
      <c r="G144" s="2322"/>
      <c r="H144" s="2322"/>
      <c r="I144" s="2322"/>
      <c r="J144" s="2322"/>
      <c r="K144" s="2322"/>
      <c r="L144" s="2322"/>
      <c r="M144" s="2322"/>
      <c r="N144" s="2322"/>
      <c r="O144" s="2323"/>
      <c r="P144" s="2328" t="str">
        <f>IF('GENERAL INFO'!J75="","-",'GENERAL INFO'!J75)</f>
        <v>-</v>
      </c>
      <c r="Q144" s="2329"/>
      <c r="R144" s="2329"/>
      <c r="S144" s="2329"/>
      <c r="T144" s="2329"/>
      <c r="U144" s="2329"/>
      <c r="V144" s="2329"/>
      <c r="W144" s="2330"/>
      <c r="X144" s="2337" t="str">
        <f>IF('GENERAL INFO'!E75="","-",'GENERAL INFO'!E75)</f>
        <v>-</v>
      </c>
      <c r="Y144" s="2338"/>
      <c r="Z144" s="2338"/>
      <c r="AA144" s="2338"/>
      <c r="AB144" s="2338"/>
      <c r="AC144" s="2338"/>
      <c r="AD144" s="2338"/>
      <c r="AE144" s="2338"/>
      <c r="AF144" s="2339"/>
      <c r="AG144" s="2155" t="str">
        <f>IF('GENERAL INFO'!N75="","-",'GENERAL INFO'!N75)</f>
        <v>-</v>
      </c>
      <c r="AH144" s="2156"/>
      <c r="AI144" s="2156"/>
      <c r="AJ144" s="2156"/>
      <c r="AK144" s="2156"/>
      <c r="AL144" s="2156"/>
      <c r="AM144" s="2156"/>
      <c r="AN144" s="1412"/>
    </row>
    <row r="145" spans="2:40" ht="10.5" customHeight="1">
      <c r="B145" s="398"/>
      <c r="C145" s="2324"/>
      <c r="D145" s="955"/>
      <c r="E145" s="955"/>
      <c r="F145" s="955"/>
      <c r="G145" s="955"/>
      <c r="H145" s="955"/>
      <c r="I145" s="955"/>
      <c r="J145" s="955"/>
      <c r="K145" s="955"/>
      <c r="L145" s="955"/>
      <c r="M145" s="955"/>
      <c r="N145" s="955"/>
      <c r="O145" s="956"/>
      <c r="P145" s="2331"/>
      <c r="Q145" s="2332"/>
      <c r="R145" s="2332"/>
      <c r="S145" s="2332"/>
      <c r="T145" s="2332"/>
      <c r="U145" s="2332"/>
      <c r="V145" s="2332"/>
      <c r="W145" s="2333"/>
      <c r="X145" s="2340"/>
      <c r="Y145" s="2341"/>
      <c r="Z145" s="2341"/>
      <c r="AA145" s="2341"/>
      <c r="AB145" s="2341"/>
      <c r="AC145" s="2341"/>
      <c r="AD145" s="2341"/>
      <c r="AE145" s="2341"/>
      <c r="AF145" s="2342"/>
      <c r="AG145" s="810"/>
      <c r="AH145" s="302"/>
      <c r="AI145" s="302"/>
      <c r="AJ145" s="302"/>
      <c r="AK145" s="302"/>
      <c r="AL145" s="302"/>
      <c r="AM145" s="302"/>
      <c r="AN145" s="376"/>
    </row>
    <row r="146" spans="2:40" ht="3" customHeight="1">
      <c r="B146" s="1337"/>
      <c r="C146" s="2325"/>
      <c r="D146" s="2326"/>
      <c r="E146" s="2326"/>
      <c r="F146" s="2326"/>
      <c r="G146" s="2326"/>
      <c r="H146" s="2326"/>
      <c r="I146" s="2326"/>
      <c r="J146" s="2326"/>
      <c r="K146" s="2326"/>
      <c r="L146" s="2326"/>
      <c r="M146" s="2326"/>
      <c r="N146" s="2326"/>
      <c r="O146" s="2327"/>
      <c r="P146" s="2334"/>
      <c r="Q146" s="2335"/>
      <c r="R146" s="2335"/>
      <c r="S146" s="2335"/>
      <c r="T146" s="2335"/>
      <c r="U146" s="2335"/>
      <c r="V146" s="2335"/>
      <c r="W146" s="2336"/>
      <c r="X146" s="2358"/>
      <c r="Y146" s="2359"/>
      <c r="Z146" s="2359"/>
      <c r="AA146" s="2359"/>
      <c r="AB146" s="2359"/>
      <c r="AC146" s="2359"/>
      <c r="AD146" s="2359"/>
      <c r="AE146" s="2359"/>
      <c r="AF146" s="2360"/>
      <c r="AG146" s="420"/>
      <c r="AH146" s="420"/>
      <c r="AI146" s="420"/>
      <c r="AJ146" s="420"/>
      <c r="AK146" s="420"/>
      <c r="AL146" s="420"/>
      <c r="AM146" s="420"/>
      <c r="AN146" s="421"/>
    </row>
    <row r="147" spans="2:40" customHeight="1" thickBo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2:36" ht="15" customHeight="1" thickBot="1">
      <c r="B148" s="204" t="s">
        <v>600</v>
      </c>
      <c r="C148" s="225"/>
      <c r="D148" s="225"/>
      <c r="E148" s="225"/>
      <c r="F148" s="225"/>
      <c r="G148" s="225"/>
      <c r="H148" s="225"/>
      <c r="I148" s="225"/>
      <c r="J148" s="225"/>
      <c r="K148" s="225"/>
      <c r="L148" s="225"/>
      <c r="M148" s="225"/>
      <c r="N148" s="225"/>
      <c r="O148" s="225"/>
      <c r="P148" s="225"/>
      <c r="Q148" s="225"/>
      <c r="R148" s="225"/>
      <c r="S148" s="225"/>
      <c r="T148" s="226"/>
      <c r="U148" s="383"/>
      <c r="V148" s="430"/>
      <c r="W148" s="862"/>
      <c r="X148" s="383"/>
      <c r="Y148" s="382"/>
      <c r="Z148"/>
      <c r="AA148"/>
      <c r="AC148" s="65"/>
      <c r="AD148" s="65"/>
      <c r="AE148" s="207" t="s">
        <v>256</v>
      </c>
      <c r="AG148" s="1395">
        <v>1</v>
      </c>
      <c r="AH148" s="7" t="s">
        <v>257</v>
      </c>
      <c r="AI148" s="1395">
        <f ca="1">TOTAL_PAGES</f>
        <v>-2</v>
      </c>
      <c r="AJ148" s="65" t="s">
        <v>258</v>
      </c>
    </row>
    <row r="149" spans="1:41" customHeight="1">
      <c r="A149" s="1"/>
      <c r="B149" s="4"/>
      <c r="C149" s="4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O149" s="58"/>
    </row>
    <row r="152" spans="21:21" customHeight="1">
      <c r="U152" s="22"/>
    </row>
  </sheetData>
  <sheetProtection password="BDAF" sheet="1" objects="1" scenarios="1" selectLockedCells="1" selectUnlockedCells="1"/>
  <mergeCells count="200">
    <mergeCell ref="AG128:AN130"/>
    <mergeCell ref="C128:O130"/>
    <mergeCell ref="P128:W130"/>
    <mergeCell ref="AG138:AM139"/>
    <mergeCell ref="AG141:AM142"/>
    <mergeCell ref="AG144:AM145"/>
    <mergeCell ref="P138:W140"/>
    <mergeCell ref="X138:AF140"/>
    <mergeCell ref="P141:W143"/>
    <mergeCell ref="X141:AF143"/>
    <mergeCell ref="X144:AF146"/>
    <mergeCell ref="AG131:AN131"/>
    <mergeCell ref="AG132:AM133"/>
    <mergeCell ref="AG135:AM136"/>
    <mergeCell ref="B84:B85"/>
    <mergeCell ref="B138:B139"/>
    <mergeCell ref="C138:O140"/>
    <mergeCell ref="C144:O146"/>
    <mergeCell ref="P144:W146"/>
    <mergeCell ref="B144:B145"/>
    <mergeCell ref="B141:B142"/>
    <mergeCell ref="C141:O143"/>
    <mergeCell ref="R74:AC74"/>
    <mergeCell ref="F74:M74"/>
    <mergeCell ref="C74:E74"/>
    <mergeCell ref="B135:B136"/>
    <mergeCell ref="C135:O137"/>
    <mergeCell ref="C132:O134"/>
    <mergeCell ref="B132:B133"/>
    <mergeCell ref="X132:AF134"/>
    <mergeCell ref="P135:W137"/>
    <mergeCell ref="X135:AF137"/>
    <mergeCell ref="P132:W134"/>
    <mergeCell ref="B78:B79"/>
    <mergeCell ref="B81:B82"/>
    <mergeCell ref="C107:E108"/>
    <mergeCell ref="C110:E111"/>
    <mergeCell ref="F107:M108"/>
    <mergeCell ref="AB63:AC65"/>
    <mergeCell ref="C71:E73"/>
    <mergeCell ref="B100:B102"/>
    <mergeCell ref="B113:B114"/>
    <mergeCell ref="B104:B106"/>
    <mergeCell ref="B107:B108"/>
    <mergeCell ref="C131:O131"/>
    <mergeCell ref="B128:B130"/>
    <mergeCell ref="Z103:AC103"/>
    <mergeCell ref="N103:Y103"/>
    <mergeCell ref="C103:E103"/>
    <mergeCell ref="B110:B111"/>
    <mergeCell ref="C119:Y121"/>
    <mergeCell ref="P131:W131"/>
    <mergeCell ref="X131:AF131"/>
    <mergeCell ref="X128:AF130"/>
    <mergeCell ref="AD119:AM121"/>
    <mergeCell ref="F104:M105"/>
    <mergeCell ref="F103:M103"/>
    <mergeCell ref="AB119:AC120"/>
    <mergeCell ref="C113:E114"/>
    <mergeCell ref="C116:E117"/>
    <mergeCell ref="F113:M114"/>
    <mergeCell ref="Z102:AC102"/>
    <mergeCell ref="AD78:AN79"/>
    <mergeCell ref="N75:Q76"/>
    <mergeCell ref="N78:Q79"/>
    <mergeCell ref="N81:Q82"/>
    <mergeCell ref="N84:Q85"/>
    <mergeCell ref="N87:Q88"/>
    <mergeCell ref="AD81:AN82"/>
    <mergeCell ref="AD84:AN85"/>
    <mergeCell ref="AD87:AN88"/>
    <mergeCell ref="B2:B8"/>
    <mergeCell ref="C20:Q20"/>
    <mergeCell ref="C5:J5"/>
    <mergeCell ref="K2:AD2"/>
    <mergeCell ref="AD19:AN19"/>
    <mergeCell ref="R18:AC18"/>
    <mergeCell ref="R19:AC19"/>
    <mergeCell ref="R17:AC17"/>
    <mergeCell ref="C35:P35"/>
    <mergeCell ref="B34:B35"/>
    <mergeCell ref="B22:B23"/>
    <mergeCell ref="C22:Q23"/>
    <mergeCell ref="C25:Q26"/>
    <mergeCell ref="B25:B26"/>
    <mergeCell ref="C31:Q32"/>
    <mergeCell ref="R31:AB32"/>
    <mergeCell ref="R34:AB35"/>
    <mergeCell ref="AD25:AM26"/>
    <mergeCell ref="B17:B19"/>
    <mergeCell ref="AD34:AM35"/>
    <mergeCell ref="AM2:AN3"/>
    <mergeCell ref="C7:J7"/>
    <mergeCell ref="AE2:AF8"/>
    <mergeCell ref="AD17:AN17"/>
    <mergeCell ref="B75:B76"/>
    <mergeCell ref="B71:B73"/>
    <mergeCell ref="AD20:AN20"/>
    <mergeCell ref="R20:AC20"/>
    <mergeCell ref="B37:B38"/>
    <mergeCell ref="C46:Q47"/>
    <mergeCell ref="B40:B41"/>
    <mergeCell ref="C37:Q38"/>
    <mergeCell ref="AD58:AM59"/>
    <mergeCell ref="AD61:AM62"/>
    <mergeCell ref="AD52:AM53"/>
    <mergeCell ref="AD63:AM65"/>
    <mergeCell ref="N74:Q74"/>
    <mergeCell ref="N71:Q71"/>
    <mergeCell ref="C63:Q65"/>
    <mergeCell ref="H62:Q62"/>
    <mergeCell ref="C57:Q59"/>
    <mergeCell ref="R58:AB59"/>
    <mergeCell ref="AD75:AN76"/>
    <mergeCell ref="R37:AB38"/>
    <mergeCell ref="C49:Q50"/>
    <mergeCell ref="R43:AB44"/>
    <mergeCell ref="R46:AB47"/>
    <mergeCell ref="AD55:AM56"/>
    <mergeCell ref="AD74:AN74"/>
    <mergeCell ref="AD71:AN72"/>
    <mergeCell ref="AD40:AM41"/>
    <mergeCell ref="AD31:AM32"/>
    <mergeCell ref="B28:B29"/>
    <mergeCell ref="B31:B32"/>
    <mergeCell ref="C40:P41"/>
    <mergeCell ref="B61:B62"/>
    <mergeCell ref="B58:B59"/>
    <mergeCell ref="B43:B44"/>
    <mergeCell ref="B46:B47"/>
    <mergeCell ref="B49:B50"/>
    <mergeCell ref="B52:B53"/>
    <mergeCell ref="R52:AB53"/>
    <mergeCell ref="AD37:AM38"/>
    <mergeCell ref="R40:AB41"/>
    <mergeCell ref="B55:B56"/>
    <mergeCell ref="C55:Q56"/>
    <mergeCell ref="R55:AB56"/>
    <mergeCell ref="F71:M73"/>
    <mergeCell ref="N72:Q72"/>
    <mergeCell ref="R71:AC71"/>
    <mergeCell ref="R72:AC72"/>
    <mergeCell ref="C52:Q53"/>
    <mergeCell ref="R28:AB29"/>
    <mergeCell ref="AD22:AM23"/>
    <mergeCell ref="R22:AB23"/>
    <mergeCell ref="R25:AB26"/>
    <mergeCell ref="R61:AB62"/>
    <mergeCell ref="AI2:AJ3"/>
    <mergeCell ref="AK2:AL3"/>
    <mergeCell ref="K3:AD3"/>
    <mergeCell ref="C17:Q19"/>
    <mergeCell ref="C6:J6"/>
    <mergeCell ref="C2:J4"/>
    <mergeCell ref="AD28:AM29"/>
    <mergeCell ref="C43:M44"/>
    <mergeCell ref="N43:Q44"/>
    <mergeCell ref="R49:AB50"/>
    <mergeCell ref="AD43:AM44"/>
    <mergeCell ref="AD49:AM50"/>
    <mergeCell ref="AD46:AM47"/>
    <mergeCell ref="AG2:AH3"/>
    <mergeCell ref="F78:M79"/>
    <mergeCell ref="F81:M82"/>
    <mergeCell ref="C104:E105"/>
    <mergeCell ref="F100:M101"/>
    <mergeCell ref="C100:E101"/>
    <mergeCell ref="R75:AC76"/>
    <mergeCell ref="F84:M85"/>
    <mergeCell ref="F87:M88"/>
    <mergeCell ref="R78:AC79"/>
    <mergeCell ref="R81:AC82"/>
    <mergeCell ref="R84:AC85"/>
    <mergeCell ref="R87:AC88"/>
    <mergeCell ref="F75:M76"/>
    <mergeCell ref="R90:AC92"/>
    <mergeCell ref="C90:M92"/>
    <mergeCell ref="Z104:AC105"/>
    <mergeCell ref="P90:Q92"/>
    <mergeCell ref="N100:Y100"/>
    <mergeCell ref="C75:E76"/>
    <mergeCell ref="C78:E79"/>
    <mergeCell ref="C81:E82"/>
    <mergeCell ref="C84:E85"/>
    <mergeCell ref="Z100:AC100"/>
    <mergeCell ref="Z101:AC101"/>
    <mergeCell ref="Z107:AC108"/>
    <mergeCell ref="Z110:AC111"/>
    <mergeCell ref="Z113:AC114"/>
    <mergeCell ref="Z116:AC117"/>
    <mergeCell ref="F116:M117"/>
    <mergeCell ref="AD107:AN108"/>
    <mergeCell ref="AD110:AN111"/>
    <mergeCell ref="AD113:AN114"/>
    <mergeCell ref="C87:E88"/>
    <mergeCell ref="AD103:AN103"/>
    <mergeCell ref="AD104:AN106"/>
    <mergeCell ref="AD100:AN101"/>
    <mergeCell ref="N101:Y101"/>
    <mergeCell ref="F110:M111"/>
  </mergeCells>
  <printOptions horizontalCentered="1"/>
  <pageMargins left="0.23622047244094491" right="0.19685039370078741" top="0" bottom="0" header="0.17" footer="0.23622047244094491"/>
  <pageSetup paperSize="5" scale="66" orientation="portrait" r:id="rId1"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  <pageSetUpPr fitToPage="1"/>
  </sheetPr>
  <dimension ref="A1:AV152"/>
  <sheetViews>
    <sheetView topLeftCell="A117" showGridLines="0" zoomScale="90" zoomScaleNormal="75" zoomScaleSheetLayoutView="90" view="pageBreakPreview" workbookViewId="0">
      <selection pane="topLeft" activeCell="AI148" sqref="AI148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3" width="4.7109375" customWidth="1"/>
    <col min="11" max="11" width="3.710937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5" customHeight="1">
      <c r="A2"/>
      <c r="B2" s="2296" t="s">
        <v>175</v>
      </c>
      <c r="C2" s="2139" t="s">
        <v>85</v>
      </c>
      <c r="D2" s="2139"/>
      <c r="E2" s="2139"/>
      <c r="F2" s="2139"/>
      <c r="G2" s="2139"/>
      <c r="H2" s="2139"/>
      <c r="I2" s="2139"/>
      <c r="J2" s="2275"/>
      <c r="K2" s="2177" t="s">
        <v>241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178"/>
      <c r="AE2" s="2088" t="s">
        <v>178</v>
      </c>
      <c r="AF2" s="2296"/>
      <c r="AG2" s="2270">
        <v>2</v>
      </c>
      <c r="AH2" s="2270"/>
      <c r="AI2" s="2270">
        <v>0</v>
      </c>
      <c r="AJ2" s="2270"/>
      <c r="AK2" s="2270">
        <f>'FE-1770 S-1'!AJ3</f>
        <v>0</v>
      </c>
      <c r="AL2" s="2270"/>
      <c r="AM2" s="2270">
        <f>'FE-1770 S-1'!AL3</f>
        <v>0</v>
      </c>
      <c r="AN2" s="2270"/>
    </row>
    <row r="3" spans="2:40" ht="15" customHeight="1">
      <c r="B3" s="2296"/>
      <c r="C3" s="2139"/>
      <c r="D3" s="2139"/>
      <c r="E3" s="2139"/>
      <c r="F3" s="2139"/>
      <c r="G3" s="2139"/>
      <c r="H3" s="2139"/>
      <c r="I3" s="2139"/>
      <c r="J3" s="2275"/>
      <c r="K3" s="2271" t="s">
        <v>219</v>
      </c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2"/>
      <c r="AD3" s="2272"/>
      <c r="AE3" s="2088"/>
      <c r="AF3" s="2296"/>
      <c r="AG3" s="2270"/>
      <c r="AH3" s="2270"/>
      <c r="AI3" s="2270"/>
      <c r="AJ3" s="2270"/>
      <c r="AK3" s="2270"/>
      <c r="AL3" s="2270"/>
      <c r="AM3" s="2270"/>
      <c r="AN3" s="2270"/>
    </row>
    <row r="4" spans="2:40" ht="2.25" customHeight="1" thickBot="1">
      <c r="B4" s="2296"/>
      <c r="C4" s="2139"/>
      <c r="D4" s="2139"/>
      <c r="E4" s="2139"/>
      <c r="F4" s="2139"/>
      <c r="G4" s="2139"/>
      <c r="H4" s="2139"/>
      <c r="I4" s="2139"/>
      <c r="J4" s="2275"/>
      <c r="K4" s="424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  <c r="AB4" s="425"/>
      <c r="AC4" s="425"/>
      <c r="AD4" s="426"/>
      <c r="AE4" s="2088"/>
      <c r="AF4" s="2296"/>
      <c r="AG4" s="217"/>
      <c r="AH4" s="217"/>
      <c r="AI4" s="217"/>
      <c r="AJ4" s="217"/>
      <c r="AK4" s="217"/>
      <c r="AL4" s="217"/>
      <c r="AM4" s="217"/>
      <c r="AN4" s="217"/>
    </row>
    <row r="5" spans="2:40" ht="15" customHeight="1">
      <c r="B5" s="2296"/>
      <c r="C5" s="2273" t="s">
        <v>285</v>
      </c>
      <c r="D5" s="2273"/>
      <c r="E5" s="2273"/>
      <c r="F5" s="2273"/>
      <c r="G5" s="2273"/>
      <c r="H5" s="2273"/>
      <c r="I5" s="2273"/>
      <c r="J5" s="2274"/>
      <c r="K5" s="61" t="s">
        <v>23</v>
      </c>
      <c r="L5" s="46" t="s">
        <v>692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2088"/>
      <c r="AF5" s="2296"/>
      <c r="AG5" s="217"/>
      <c r="AH5" s="217"/>
      <c r="AI5" s="25"/>
      <c r="AJ5" s="25"/>
      <c r="AK5" s="25"/>
      <c r="AL5" s="25"/>
      <c r="AM5" s="25"/>
      <c r="AN5" s="25"/>
    </row>
    <row r="6" spans="2:32" ht="15" customHeight="1">
      <c r="B6" s="2296"/>
      <c r="C6" s="2273" t="s">
        <v>286</v>
      </c>
      <c r="D6" s="2273"/>
      <c r="E6" s="2273"/>
      <c r="F6" s="2273"/>
      <c r="G6" s="2273"/>
      <c r="H6" s="2273"/>
      <c r="I6" s="2273"/>
      <c r="J6" s="2274"/>
      <c r="K6" s="121" t="s">
        <v>23</v>
      </c>
      <c r="L6" s="46" t="s">
        <v>693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088"/>
      <c r="AF6" s="2296"/>
    </row>
    <row r="7" spans="2:32" ht="15" customHeight="1">
      <c r="B7" s="2296"/>
      <c r="C7" s="2306" t="s">
        <v>287</v>
      </c>
      <c r="D7" s="2306"/>
      <c r="E7" s="2306"/>
      <c r="F7" s="2306"/>
      <c r="G7" s="2306"/>
      <c r="H7" s="2306"/>
      <c r="I7" s="2306"/>
      <c r="J7" s="2307"/>
      <c r="K7" s="121" t="s">
        <v>23</v>
      </c>
      <c r="L7" s="46" t="s">
        <v>694</v>
      </c>
      <c r="M7"/>
      <c r="N7"/>
      <c r="O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088"/>
      <c r="AF7" s="2296"/>
    </row>
    <row r="8" spans="2:40" ht="15" customHeight="1" thickBot="1">
      <c r="B8" s="2297"/>
      <c r="C8" s="25"/>
      <c r="D8" s="25"/>
      <c r="H8" s="25"/>
      <c r="I8" s="25"/>
      <c r="J8" s="82"/>
      <c r="K8" s="121" t="s">
        <v>23</v>
      </c>
      <c r="L8" s="46" t="s">
        <v>695</v>
      </c>
      <c r="M8"/>
      <c r="N8"/>
      <c r="O8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090"/>
      <c r="AF8" s="2297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13"/>
    </row>
    <row r="10" spans="2:40" s="11" customFormat="1" ht="20.15" customHeight="1">
      <c r="B10" s="115" t="s">
        <v>181</v>
      </c>
      <c r="C10" s="70"/>
      <c r="D10" s="70"/>
      <c r="E10" s="70"/>
      <c r="F10" s="70"/>
      <c r="G10" s="70"/>
      <c r="H10" s="61" t="s">
        <v>26</v>
      </c>
      <c r="I10" s="65"/>
      <c r="J10" s="1386" t="str">
        <f>taxId1</f>
        <v/>
      </c>
      <c r="K10" s="1386" t="str">
        <f>taxId2</f>
        <v/>
      </c>
      <c r="L10" s="1001"/>
      <c r="M10" s="1386" t="str">
        <f>taxId3</f>
        <v/>
      </c>
      <c r="N10" s="1386" t="str">
        <f>taxId4</f>
        <v/>
      </c>
      <c r="O10" s="1386" t="str">
        <f>taxId5</f>
        <v/>
      </c>
      <c r="P10" s="1001"/>
      <c r="Q10" s="1386" t="str">
        <f>taxId6</f>
        <v/>
      </c>
      <c r="R10" s="1386" t="str">
        <f>taxId7</f>
        <v/>
      </c>
      <c r="S10" s="1386" t="str">
        <f>taxId8</f>
        <v/>
      </c>
      <c r="T10" s="1001"/>
      <c r="U10" s="1386" t="str">
        <f>taxId9</f>
        <v/>
      </c>
      <c r="V10" s="1001"/>
      <c r="W10" s="1386" t="str">
        <f>taxId10</f>
        <v/>
      </c>
      <c r="X10" s="1386" t="str">
        <f>taxId11</f>
        <v/>
      </c>
      <c r="Y10" s="1386" t="str">
        <f>taxId12</f>
        <v/>
      </c>
      <c r="Z10" s="1001"/>
      <c r="AA10" s="1386" t="str">
        <f>taxId13</f>
        <v/>
      </c>
      <c r="AB10" s="1386" t="str">
        <f>taxId14</f>
        <v/>
      </c>
      <c r="AC10" s="1386" t="str">
        <f>taxId15</f>
        <v/>
      </c>
      <c r="AD10" s="435"/>
      <c r="AE10" s="435"/>
      <c r="AF10" s="435" t="s">
        <v>295</v>
      </c>
      <c r="AG10" s="435"/>
      <c r="AH10" s="435"/>
      <c r="AI10" s="435"/>
      <c r="AJ10" s="435"/>
      <c r="AK10" s="435"/>
      <c r="AL10" s="435"/>
      <c r="AM10" s="435"/>
      <c r="AN10" s="49"/>
    </row>
    <row r="11" spans="2:40" ht="3" customHeight="1">
      <c r="B11" s="115"/>
      <c r="C11" s="93"/>
      <c r="D11" s="93"/>
      <c r="E11" s="93"/>
      <c r="F11" s="93"/>
      <c r="G11" s="93"/>
      <c r="H11" s="119"/>
      <c r="I11" s="93"/>
      <c r="J11" s="435"/>
      <c r="K11" s="435"/>
      <c r="L11" s="435"/>
      <c r="M11" s="435"/>
      <c r="N11" s="435"/>
      <c r="O11" s="435"/>
      <c r="P11" s="435"/>
      <c r="Q11" s="435"/>
      <c r="R11" s="435"/>
      <c r="S11" s="435"/>
      <c r="T11" s="435"/>
      <c r="U11" s="435"/>
      <c r="V11" s="435"/>
      <c r="W11" s="435"/>
      <c r="X11" s="435"/>
      <c r="Y11" s="435"/>
      <c r="Z11" s="435"/>
      <c r="AA11" s="435"/>
      <c r="AB11" s="435"/>
      <c r="AC11" s="435"/>
      <c r="AD11" s="435"/>
      <c r="AE11" s="435"/>
      <c r="AF11" s="435"/>
      <c r="AG11" s="435"/>
      <c r="AH11" s="435"/>
      <c r="AI11" s="435"/>
      <c r="AJ11" s="435"/>
      <c r="AK11" s="435"/>
      <c r="AL11" s="435"/>
      <c r="AM11" s="435"/>
      <c r="AN11" s="54"/>
    </row>
    <row r="12" spans="2:40" s="11" customFormat="1" ht="20.15" customHeight="1">
      <c r="B12" s="115" t="s">
        <v>182</v>
      </c>
      <c r="C12" s="70"/>
      <c r="D12" s="70"/>
      <c r="E12" s="70"/>
      <c r="F12" s="70"/>
      <c r="G12" s="70"/>
      <c r="H12" s="61" t="s">
        <v>26</v>
      </c>
      <c r="I12" s="65"/>
      <c r="J12" s="1393">
        <f>name</f>
        <v>0</v>
      </c>
      <c r="K12" s="1394"/>
      <c r="L12" s="1394"/>
      <c r="M12" s="1394"/>
      <c r="N12" s="1394"/>
      <c r="O12" s="1394"/>
      <c r="P12" s="1394"/>
      <c r="Q12" s="1394"/>
      <c r="R12" s="1394"/>
      <c r="S12" s="1394"/>
      <c r="T12" s="1394"/>
      <c r="U12" s="1394"/>
      <c r="V12" s="1394"/>
      <c r="W12" s="1394"/>
      <c r="X12" s="1394"/>
      <c r="Y12" s="1394"/>
      <c r="Z12" s="1394"/>
      <c r="AA12" s="1394"/>
      <c r="AB12" s="1394"/>
      <c r="AC12" s="1394"/>
      <c r="AD12" s="1394"/>
      <c r="AE12" s="1394"/>
      <c r="AF12" s="1394"/>
      <c r="AG12" s="1394"/>
      <c r="AH12" s="1394"/>
      <c r="AI12" s="1394"/>
      <c r="AJ12" s="1394"/>
      <c r="AK12" s="1394"/>
      <c r="AL12" s="1394"/>
      <c r="AM12" s="1394"/>
      <c r="AN12" s="49"/>
    </row>
    <row r="13" spans="2:40" ht="3" customHeight="1" thickBot="1">
      <c r="B13" s="84"/>
      <c r="C13" s="2"/>
      <c r="D13" s="2"/>
      <c r="E13" s="2"/>
      <c r="F13" s="2"/>
      <c r="G13" s="2"/>
      <c r="H13" s="2"/>
      <c r="I13" s="2"/>
      <c r="J13" s="2"/>
      <c r="K13" s="6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</row>
    <row r="15" spans="2:40" ht="15" customHeight="1">
      <c r="B15" s="75" t="s">
        <v>242</v>
      </c>
      <c r="C15" s="80"/>
      <c r="D15" s="80"/>
      <c r="E15"/>
      <c r="F15" s="80" t="s">
        <v>26</v>
      </c>
      <c r="G15" s="80" t="s">
        <v>692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6.7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4.25" customHeight="1">
      <c r="B17" s="151" t="s">
        <v>76</v>
      </c>
      <c r="C17" s="151" t="s">
        <v>243</v>
      </c>
      <c r="D17" s="1444"/>
      <c r="E17" s="1444"/>
      <c r="F17" s="1444"/>
      <c r="G17" s="1444"/>
      <c r="H17" s="1444"/>
      <c r="I17" s="1444"/>
      <c r="J17" s="1444"/>
      <c r="K17" s="1444"/>
      <c r="L17" s="1444"/>
      <c r="M17" s="1444"/>
      <c r="N17" s="1444"/>
      <c r="O17" s="1444"/>
      <c r="P17" s="1444"/>
      <c r="Q17" s="2161"/>
      <c r="R17" s="1444" t="s">
        <v>255</v>
      </c>
      <c r="S17" s="1444"/>
      <c r="T17" s="1444"/>
      <c r="U17" s="1444"/>
      <c r="V17" s="1444"/>
      <c r="W17" s="1444"/>
      <c r="X17" s="1444"/>
      <c r="Y17" s="1444"/>
      <c r="Z17" s="1444"/>
      <c r="AA17" s="1444"/>
      <c r="AB17" s="1444"/>
      <c r="AC17" s="1444"/>
      <c r="AD17" s="151" t="s">
        <v>245</v>
      </c>
      <c r="AE17" s="1444"/>
      <c r="AF17" s="1444"/>
      <c r="AG17" s="1444"/>
      <c r="AH17" s="1444"/>
      <c r="AI17" s="1444"/>
      <c r="AJ17" s="1444"/>
      <c r="AK17" s="1444"/>
      <c r="AL17" s="1444"/>
      <c r="AM17" s="1444"/>
      <c r="AN17" s="2161"/>
    </row>
    <row r="18" spans="2:40" ht="12.75" customHeight="1">
      <c r="B18" s="149"/>
      <c r="C18" s="14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395"/>
      <c r="R18" s="71" t="s">
        <v>244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149"/>
      <c r="AE18" s="71"/>
      <c r="AF18" s="71"/>
      <c r="AG18" s="71"/>
      <c r="AH18" s="71"/>
      <c r="AI18" s="71"/>
      <c r="AJ18" s="71"/>
      <c r="AK18" s="71"/>
      <c r="AL18" s="71"/>
      <c r="AM18" s="71"/>
      <c r="AN18" s="395"/>
    </row>
    <row r="19" spans="2:40" ht="15" customHeight="1">
      <c r="B19" s="149"/>
      <c r="C19" s="149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395"/>
      <c r="R19" s="2298" t="s">
        <v>70</v>
      </c>
      <c r="S19" s="2299"/>
      <c r="T19" s="2299"/>
      <c r="U19" s="2299"/>
      <c r="V19" s="2299"/>
      <c r="W19" s="2299"/>
      <c r="X19" s="2299"/>
      <c r="Y19" s="2299"/>
      <c r="Z19" s="2299"/>
      <c r="AA19" s="2299"/>
      <c r="AB19" s="2299"/>
      <c r="AC19" s="2300"/>
      <c r="AD19" s="149" t="s">
        <v>70</v>
      </c>
      <c r="AE19" s="71"/>
      <c r="AF19" s="71"/>
      <c r="AG19" s="71"/>
      <c r="AH19" s="71"/>
      <c r="AI19" s="71"/>
      <c r="AJ19" s="71"/>
      <c r="AK19" s="71"/>
      <c r="AL19" s="71"/>
      <c r="AM19" s="71"/>
      <c r="AN19" s="395"/>
    </row>
    <row r="20" spans="2:40" s="16" customFormat="1" ht="12" customHeight="1">
      <c r="B20" s="188" t="s">
        <v>65</v>
      </c>
      <c r="C20" s="2191" t="s">
        <v>64</v>
      </c>
      <c r="D20" s="2192"/>
      <c r="E20" s="2192"/>
      <c r="F20" s="2192"/>
      <c r="G20" s="2192"/>
      <c r="H20" s="2192"/>
      <c r="I20" s="2192"/>
      <c r="J20" s="2192"/>
      <c r="K20" s="2192"/>
      <c r="L20" s="2192"/>
      <c r="M20" s="2192"/>
      <c r="N20" s="2192"/>
      <c r="O20" s="2192"/>
      <c r="P20" s="2192"/>
      <c r="Q20" s="2193"/>
      <c r="R20" s="2192" t="s">
        <v>66</v>
      </c>
      <c r="S20" s="2192"/>
      <c r="T20" s="2192"/>
      <c r="U20" s="2192"/>
      <c r="V20" s="2192"/>
      <c r="W20" s="2192"/>
      <c r="X20" s="2192"/>
      <c r="Y20" s="2192"/>
      <c r="Z20" s="2192"/>
      <c r="AA20" s="2192"/>
      <c r="AB20" s="2192"/>
      <c r="AC20" s="2192"/>
      <c r="AD20" s="2191" t="s">
        <v>67</v>
      </c>
      <c r="AE20" s="2192"/>
      <c r="AF20" s="2192"/>
      <c r="AG20" s="2192"/>
      <c r="AH20" s="2192"/>
      <c r="AI20" s="2192"/>
      <c r="AJ20" s="2192"/>
      <c r="AK20" s="2192"/>
      <c r="AL20" s="2192"/>
      <c r="AM20" s="2192"/>
      <c r="AN20" s="2193"/>
    </row>
    <row r="21" spans="2:40" ht="2.25" customHeight="1">
      <c r="B21" s="189"/>
      <c r="C21" s="189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5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9"/>
      <c r="AE21" s="184"/>
      <c r="AF21" s="184"/>
      <c r="AG21" s="184"/>
      <c r="AH21" s="184"/>
      <c r="AI21" s="184"/>
      <c r="AJ21" s="184"/>
      <c r="AK21" s="184"/>
      <c r="AL21" s="184"/>
      <c r="AM21" s="184"/>
      <c r="AN21" s="185"/>
    </row>
    <row r="22" spans="2:40" ht="15" customHeight="1">
      <c r="B22" s="1341" t="s">
        <v>621</v>
      </c>
      <c r="C22" s="2303" t="s">
        <v>688</v>
      </c>
      <c r="D22" s="2304"/>
      <c r="E22" s="2304"/>
      <c r="F22" s="2304"/>
      <c r="G22" s="2304"/>
      <c r="H22" s="2304"/>
      <c r="I22" s="2304"/>
      <c r="J22" s="2304"/>
      <c r="K22" s="2304"/>
      <c r="L22" s="2304"/>
      <c r="M22" s="2304"/>
      <c r="N22" s="2304"/>
      <c r="O22" s="2304"/>
      <c r="P22" s="2304"/>
      <c r="Q22" s="2305"/>
      <c r="R22" s="2155"/>
      <c r="S22" s="2156"/>
      <c r="T22" s="2156"/>
      <c r="U22" s="2156"/>
      <c r="V22" s="2156"/>
      <c r="W22" s="2156"/>
      <c r="X22" s="2156"/>
      <c r="Y22" s="2156"/>
      <c r="Z22" s="2156"/>
      <c r="AA22" s="2156"/>
      <c r="AB22" s="2156"/>
      <c r="AC22" s="334"/>
      <c r="AD22" s="2155"/>
      <c r="AE22" s="2156"/>
      <c r="AF22" s="2156"/>
      <c r="AG22" s="2156"/>
      <c r="AH22" s="2156"/>
      <c r="AI22" s="2156"/>
      <c r="AJ22" s="2156"/>
      <c r="AK22" s="2156"/>
      <c r="AL22" s="2156"/>
      <c r="AM22" s="2156"/>
      <c r="AN22" s="334"/>
    </row>
    <row r="23" spans="2:40" ht="15" customHeight="1">
      <c r="B23" s="2211"/>
      <c r="C23" s="2209"/>
      <c r="D23" s="2210"/>
      <c r="E23" s="2210"/>
      <c r="F23" s="2210"/>
      <c r="G23" s="2210"/>
      <c r="H23" s="2210"/>
      <c r="I23" s="2210"/>
      <c r="J23" s="2210"/>
      <c r="K23" s="2210"/>
      <c r="L23" s="2210"/>
      <c r="M23" s="2210"/>
      <c r="N23" s="2210"/>
      <c r="O23" s="2210"/>
      <c r="P23" s="2210"/>
      <c r="Q23" s="2213"/>
      <c r="R23" s="625"/>
      <c r="S23" s="2157"/>
      <c r="T23" s="2157"/>
      <c r="U23" s="2157"/>
      <c r="V23" s="2157"/>
      <c r="W23" s="2157"/>
      <c r="X23" s="2157"/>
      <c r="Y23" s="2157"/>
      <c r="Z23" s="2157"/>
      <c r="AA23" s="2157"/>
      <c r="AB23" s="2157"/>
      <c r="AC23" s="333"/>
      <c r="AD23" s="625"/>
      <c r="AE23" s="2157"/>
      <c r="AF23" s="2157"/>
      <c r="AG23" s="2157"/>
      <c r="AH23" s="2157"/>
      <c r="AI23" s="2157"/>
      <c r="AJ23" s="2157"/>
      <c r="AK23" s="2157"/>
      <c r="AL23" s="2157"/>
      <c r="AM23" s="2157"/>
      <c r="AN23" s="333"/>
    </row>
    <row r="24" spans="2:40" ht="3" customHeight="1">
      <c r="B24" s="149"/>
      <c r="C24" s="224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9"/>
      <c r="R24" s="71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149"/>
      <c r="AE24" s="70"/>
      <c r="AF24" s="70"/>
      <c r="AG24" s="70"/>
      <c r="AH24" s="70"/>
      <c r="AI24" s="70"/>
      <c r="AJ24" s="70"/>
      <c r="AK24" s="70"/>
      <c r="AL24" s="70"/>
      <c r="AM24" s="70"/>
      <c r="AN24" s="161"/>
    </row>
    <row r="25" spans="2:40" ht="15" customHeight="1">
      <c r="B25" s="398" t="s">
        <v>622</v>
      </c>
      <c r="C25" s="2184" t="s">
        <v>718</v>
      </c>
      <c r="D25" s="396"/>
      <c r="E25" s="396"/>
      <c r="F25" s="396"/>
      <c r="G25" s="396"/>
      <c r="H25" s="396"/>
      <c r="I25" s="396"/>
      <c r="J25" s="396"/>
      <c r="K25" s="396"/>
      <c r="L25" s="396"/>
      <c r="M25" s="396"/>
      <c r="N25" s="396"/>
      <c r="O25" s="396"/>
      <c r="P25" s="396"/>
      <c r="Q25" s="402"/>
      <c r="R25" s="810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27"/>
      <c r="AD25" s="810"/>
      <c r="AE25" s="302"/>
      <c r="AF25" s="302"/>
      <c r="AG25" s="302"/>
      <c r="AH25" s="302"/>
      <c r="AI25" s="302"/>
      <c r="AJ25" s="302"/>
      <c r="AK25" s="302"/>
      <c r="AL25" s="302"/>
      <c r="AM25" s="302"/>
      <c r="AN25" s="327"/>
    </row>
    <row r="26" spans="2:40" ht="9" customHeight="1">
      <c r="B26" s="2211"/>
      <c r="C26" s="2185"/>
      <c r="D26" s="2186"/>
      <c r="E26" s="2186"/>
      <c r="F26" s="2186"/>
      <c r="G26" s="2186"/>
      <c r="H26" s="2186"/>
      <c r="I26" s="2186"/>
      <c r="J26" s="2186"/>
      <c r="K26" s="2186"/>
      <c r="L26" s="2186"/>
      <c r="M26" s="2186"/>
      <c r="N26" s="2186"/>
      <c r="O26" s="2186"/>
      <c r="P26" s="2186"/>
      <c r="Q26" s="2188"/>
      <c r="R26" s="625"/>
      <c r="S26" s="2157"/>
      <c r="T26" s="2157"/>
      <c r="U26" s="2157"/>
      <c r="V26" s="2157"/>
      <c r="W26" s="2157"/>
      <c r="X26" s="2157"/>
      <c r="Y26" s="2157"/>
      <c r="Z26" s="2157"/>
      <c r="AA26" s="2157"/>
      <c r="AB26" s="2157"/>
      <c r="AC26" s="333"/>
      <c r="AD26" s="625"/>
      <c r="AE26" s="2157"/>
      <c r="AF26" s="2157"/>
      <c r="AG26" s="2157"/>
      <c r="AH26" s="2157"/>
      <c r="AI26" s="2157"/>
      <c r="AJ26" s="2157"/>
      <c r="AK26" s="2157"/>
      <c r="AL26" s="2157"/>
      <c r="AM26" s="2157"/>
      <c r="AN26" s="333"/>
    </row>
    <row r="27" spans="2:40" ht="3" customHeight="1">
      <c r="B27" s="149"/>
      <c r="C27" s="224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9"/>
      <c r="R27" s="71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149"/>
      <c r="AE27" s="70"/>
      <c r="AF27" s="70"/>
      <c r="AG27" s="70"/>
      <c r="AH27" s="70"/>
      <c r="AI27" s="70"/>
      <c r="AJ27" s="70"/>
      <c r="AK27" s="70"/>
      <c r="AL27" s="70"/>
      <c r="AM27" s="70"/>
      <c r="AN27" s="161"/>
    </row>
    <row r="28" spans="2:40" ht="15" customHeight="1">
      <c r="B28" s="149" t="s">
        <v>623</v>
      </c>
      <c r="C28" s="153" t="s">
        <v>690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118"/>
      <c r="O28" s="118"/>
      <c r="P28" s="118"/>
      <c r="Q28" s="231"/>
      <c r="R28" s="810"/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27"/>
      <c r="AD28" s="810"/>
      <c r="AE28" s="302"/>
      <c r="AF28" s="302"/>
      <c r="AG28" s="302"/>
      <c r="AH28" s="302"/>
      <c r="AI28" s="302"/>
      <c r="AJ28" s="302"/>
      <c r="AK28" s="302"/>
      <c r="AL28" s="302"/>
      <c r="AM28" s="302"/>
      <c r="AN28" s="327"/>
    </row>
    <row r="29" spans="2:40" ht="11.25" customHeight="1">
      <c r="B29" s="1337"/>
      <c r="C29" s="628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396"/>
      <c r="O29" s="1396"/>
      <c r="P29" s="1396"/>
      <c r="Q29" s="1397"/>
      <c r="R29" s="625"/>
      <c r="S29" s="2157"/>
      <c r="T29" s="2157"/>
      <c r="U29" s="2157"/>
      <c r="V29" s="2157"/>
      <c r="W29" s="2157"/>
      <c r="X29" s="2157"/>
      <c r="Y29" s="2157"/>
      <c r="Z29" s="2157"/>
      <c r="AA29" s="2157"/>
      <c r="AB29" s="2157"/>
      <c r="AC29" s="333"/>
      <c r="AD29" s="625"/>
      <c r="AE29" s="2157"/>
      <c r="AF29" s="2157"/>
      <c r="AG29" s="2157"/>
      <c r="AH29" s="2157"/>
      <c r="AI29" s="2157"/>
      <c r="AJ29" s="2157"/>
      <c r="AK29" s="2157"/>
      <c r="AL29" s="2157"/>
      <c r="AM29" s="2157"/>
      <c r="AN29" s="333"/>
    </row>
    <row r="30" spans="2:40" ht="3" customHeight="1">
      <c r="B30" s="149"/>
      <c r="C30" s="230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231"/>
      <c r="R30" s="71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149"/>
      <c r="AE30" s="70"/>
      <c r="AF30" s="70"/>
      <c r="AG30" s="70"/>
      <c r="AH30" s="70"/>
      <c r="AI30" s="70"/>
      <c r="AJ30" s="70"/>
      <c r="AK30" s="70"/>
      <c r="AL30" s="70"/>
      <c r="AM30" s="70"/>
      <c r="AN30" s="161"/>
    </row>
    <row r="31" spans="2:40" ht="15" customHeight="1">
      <c r="B31" s="149" t="s">
        <v>624</v>
      </c>
      <c r="C31" s="2240" t="s">
        <v>578</v>
      </c>
      <c r="D31" s="1458"/>
      <c r="E31" s="1458"/>
      <c r="F31" s="1458"/>
      <c r="G31" s="1458"/>
      <c r="H31" s="1458"/>
      <c r="I31" s="1458"/>
      <c r="J31" s="1458"/>
      <c r="K31" s="1458"/>
      <c r="L31" s="1458"/>
      <c r="M31" s="1458"/>
      <c r="N31" s="1458"/>
      <c r="O31" s="1458"/>
      <c r="P31" s="1458"/>
      <c r="Q31" s="2241"/>
      <c r="R31" s="810"/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27"/>
      <c r="AD31" s="810"/>
      <c r="AE31" s="302"/>
      <c r="AF31" s="302"/>
      <c r="AG31" s="302"/>
      <c r="AH31" s="302"/>
      <c r="AI31" s="302"/>
      <c r="AJ31" s="302"/>
      <c r="AK31" s="302"/>
      <c r="AL31" s="302"/>
      <c r="AM31" s="302"/>
      <c r="AN31" s="327"/>
    </row>
    <row r="32" spans="2:40" ht="9.75" customHeight="1">
      <c r="B32" s="1337"/>
      <c r="C32" s="855"/>
      <c r="D32" s="856"/>
      <c r="E32" s="856"/>
      <c r="F32" s="856"/>
      <c r="G32" s="856"/>
      <c r="H32" s="856"/>
      <c r="I32" s="856"/>
      <c r="J32" s="856"/>
      <c r="K32" s="856"/>
      <c r="L32" s="856"/>
      <c r="M32" s="856"/>
      <c r="N32" s="856"/>
      <c r="O32" s="856"/>
      <c r="P32" s="856"/>
      <c r="Q32" s="857"/>
      <c r="R32" s="625"/>
      <c r="S32" s="2157"/>
      <c r="T32" s="2157"/>
      <c r="U32" s="2157"/>
      <c r="V32" s="2157"/>
      <c r="W32" s="2157"/>
      <c r="X32" s="2157"/>
      <c r="Y32" s="2157"/>
      <c r="Z32" s="2157"/>
      <c r="AA32" s="2157"/>
      <c r="AB32" s="2157"/>
      <c r="AC32" s="333"/>
      <c r="AD32" s="625"/>
      <c r="AE32" s="2157"/>
      <c r="AF32" s="2157"/>
      <c r="AG32" s="2157"/>
      <c r="AH32" s="2157"/>
      <c r="AI32" s="2157"/>
      <c r="AJ32" s="2157"/>
      <c r="AK32" s="2157"/>
      <c r="AL32" s="2157"/>
      <c r="AM32" s="2157"/>
      <c r="AN32" s="333"/>
    </row>
    <row r="33" spans="2:40" ht="3" customHeight="1">
      <c r="B33" s="149"/>
      <c r="C33" s="224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9"/>
      <c r="R33" s="71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149"/>
      <c r="AE33" s="70"/>
      <c r="AF33" s="70"/>
      <c r="AG33" s="70"/>
      <c r="AH33" s="70"/>
      <c r="AI33" s="70"/>
      <c r="AJ33" s="70"/>
      <c r="AK33" s="70"/>
      <c r="AL33" s="70"/>
      <c r="AM33" s="70"/>
      <c r="AN33" s="161"/>
    </row>
    <row r="34" spans="2:40" ht="15" customHeight="1">
      <c r="B34" s="398" t="s">
        <v>625</v>
      </c>
      <c r="C34" s="187" t="s">
        <v>277</v>
      </c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29"/>
      <c r="R34" s="810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27"/>
      <c r="AD34" s="810"/>
      <c r="AE34" s="302"/>
      <c r="AF34" s="302"/>
      <c r="AG34" s="302"/>
      <c r="AH34" s="302"/>
      <c r="AI34" s="302"/>
      <c r="AJ34" s="302"/>
      <c r="AK34" s="302"/>
      <c r="AL34" s="302"/>
      <c r="AM34" s="302"/>
      <c r="AN34" s="327"/>
    </row>
    <row r="35" spans="2:40" ht="15.75" customHeight="1">
      <c r="B35" s="2211"/>
      <c r="C35" s="2301" t="s">
        <v>278</v>
      </c>
      <c r="D35" s="2302"/>
      <c r="E35" s="2302"/>
      <c r="F35" s="2302"/>
      <c r="G35" s="2302"/>
      <c r="H35" s="2302"/>
      <c r="I35" s="2302"/>
      <c r="J35" s="2302"/>
      <c r="K35" s="2302"/>
      <c r="L35" s="2302"/>
      <c r="M35" s="2302"/>
      <c r="N35" s="2302"/>
      <c r="O35" s="2302"/>
      <c r="P35" s="2302"/>
      <c r="Q35" s="1398"/>
      <c r="R35" s="625"/>
      <c r="S35" s="2157"/>
      <c r="T35" s="2157"/>
      <c r="U35" s="2157"/>
      <c r="V35" s="2157"/>
      <c r="W35" s="2157"/>
      <c r="X35" s="2157"/>
      <c r="Y35" s="2157"/>
      <c r="Z35" s="2157"/>
      <c r="AA35" s="2157"/>
      <c r="AB35" s="2157"/>
      <c r="AC35" s="333"/>
      <c r="AD35" s="625"/>
      <c r="AE35" s="2157"/>
      <c r="AF35" s="2157"/>
      <c r="AG35" s="2157"/>
      <c r="AH35" s="2157"/>
      <c r="AI35" s="2157"/>
      <c r="AJ35" s="2157"/>
      <c r="AK35" s="2157"/>
      <c r="AL35" s="2157"/>
      <c r="AM35" s="2157"/>
      <c r="AN35" s="333"/>
    </row>
    <row r="36" spans="2:40" ht="3" customHeight="1">
      <c r="B36" s="149"/>
      <c r="C36" s="224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9"/>
      <c r="R36" s="71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149"/>
      <c r="AE36" s="70"/>
      <c r="AF36" s="70"/>
      <c r="AG36" s="70"/>
      <c r="AH36" s="70"/>
      <c r="AI36" s="70"/>
      <c r="AJ36" s="70"/>
      <c r="AK36" s="70"/>
      <c r="AL36" s="70"/>
      <c r="AM36" s="70"/>
      <c r="AN36" s="161"/>
    </row>
    <row r="37" spans="2:40" ht="15" customHeight="1">
      <c r="B37" s="149" t="s">
        <v>626</v>
      </c>
      <c r="C37" s="2184" t="s">
        <v>279</v>
      </c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402"/>
      <c r="R37" s="810"/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27"/>
      <c r="AD37" s="810"/>
      <c r="AE37" s="302"/>
      <c r="AF37" s="302"/>
      <c r="AG37" s="302"/>
      <c r="AH37" s="302"/>
      <c r="AI37" s="302"/>
      <c r="AJ37" s="302"/>
      <c r="AK37" s="302"/>
      <c r="AL37" s="302"/>
      <c r="AM37" s="302"/>
      <c r="AN37" s="327"/>
    </row>
    <row r="38" spans="2:40" ht="12" customHeight="1">
      <c r="B38" s="1337"/>
      <c r="C38" s="2185"/>
      <c r="D38" s="2186"/>
      <c r="E38" s="2186"/>
      <c r="F38" s="2186"/>
      <c r="G38" s="2186"/>
      <c r="H38" s="2186"/>
      <c r="I38" s="2186"/>
      <c r="J38" s="2186"/>
      <c r="K38" s="2186"/>
      <c r="L38" s="2186"/>
      <c r="M38" s="2186"/>
      <c r="N38" s="2186"/>
      <c r="O38" s="2186"/>
      <c r="P38" s="2186"/>
      <c r="Q38" s="2188"/>
      <c r="R38" s="625"/>
      <c r="S38" s="2157"/>
      <c r="T38" s="2157"/>
      <c r="U38" s="2157"/>
      <c r="V38" s="2157"/>
      <c r="W38" s="2157"/>
      <c r="X38" s="2157"/>
      <c r="Y38" s="2157"/>
      <c r="Z38" s="2157"/>
      <c r="AA38" s="2157"/>
      <c r="AB38" s="2157"/>
      <c r="AC38" s="333"/>
      <c r="AD38" s="625"/>
      <c r="AE38" s="2157"/>
      <c r="AF38" s="2157"/>
      <c r="AG38" s="2157"/>
      <c r="AH38" s="2157"/>
      <c r="AI38" s="2157"/>
      <c r="AJ38" s="2157"/>
      <c r="AK38" s="2157"/>
      <c r="AL38" s="2157"/>
      <c r="AM38" s="2157"/>
      <c r="AN38" s="333"/>
    </row>
    <row r="39" spans="2:40" ht="3" customHeight="1">
      <c r="B39" s="149"/>
      <c r="C39" s="230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231"/>
      <c r="R39" s="71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149"/>
      <c r="AE39" s="70"/>
      <c r="AF39" s="70"/>
      <c r="AG39" s="70"/>
      <c r="AH39" s="70"/>
      <c r="AI39" s="70"/>
      <c r="AJ39" s="70"/>
      <c r="AK39" s="70"/>
      <c r="AL39" s="70"/>
      <c r="AM39" s="70"/>
      <c r="AN39" s="161"/>
    </row>
    <row r="40" spans="2:40" ht="15" customHeight="1">
      <c r="B40" s="149" t="s">
        <v>629</v>
      </c>
      <c r="C40" s="2184" t="s">
        <v>597</v>
      </c>
      <c r="D40" s="396"/>
      <c r="E40" s="396"/>
      <c r="F40" s="396"/>
      <c r="G40" s="396"/>
      <c r="H40" s="396"/>
      <c r="I40" s="396"/>
      <c r="J40" s="396"/>
      <c r="K40" s="396"/>
      <c r="L40" s="396"/>
      <c r="M40" s="396"/>
      <c r="N40" s="396"/>
      <c r="O40" s="396"/>
      <c r="P40" s="396"/>
      <c r="Q40" s="231"/>
      <c r="R40" s="811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327"/>
      <c r="AD40" s="2279"/>
      <c r="AE40" s="2280"/>
      <c r="AF40" s="2280"/>
      <c r="AG40" s="2280"/>
      <c r="AH40" s="2280"/>
      <c r="AI40" s="2280"/>
      <c r="AJ40" s="2280"/>
      <c r="AK40" s="2280"/>
      <c r="AL40" s="2280"/>
      <c r="AM40" s="2280"/>
      <c r="AN40" s="346"/>
    </row>
    <row r="41" spans="2:40" ht="12" customHeight="1">
      <c r="B41" s="149"/>
      <c r="C41" s="2184"/>
      <c r="D41" s="396"/>
      <c r="E41" s="396"/>
      <c r="F41" s="396"/>
      <c r="G41" s="396"/>
      <c r="H41" s="396"/>
      <c r="I41" s="396"/>
      <c r="J41" s="396"/>
      <c r="K41" s="396"/>
      <c r="L41" s="396"/>
      <c r="M41" s="396"/>
      <c r="N41" s="396"/>
      <c r="O41" s="396"/>
      <c r="P41" s="396"/>
      <c r="Q41" s="231"/>
      <c r="R41" s="811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327"/>
      <c r="AD41" s="2279"/>
      <c r="AE41" s="2280"/>
      <c r="AF41" s="2280"/>
      <c r="AG41" s="2280"/>
      <c r="AH41" s="2280"/>
      <c r="AI41" s="2280"/>
      <c r="AJ41" s="2280"/>
      <c r="AK41" s="2280"/>
      <c r="AL41" s="2280"/>
      <c r="AM41" s="2280"/>
      <c r="AN41" s="346"/>
    </row>
    <row r="42" spans="2:40" ht="3" customHeight="1">
      <c r="B42" s="149"/>
      <c r="C42" s="230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231"/>
      <c r="R42" s="71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149"/>
      <c r="AE42" s="70"/>
      <c r="AF42" s="70"/>
      <c r="AG42" s="70"/>
      <c r="AH42" s="70"/>
      <c r="AI42" s="70"/>
      <c r="AJ42" s="70"/>
      <c r="AK42" s="70"/>
      <c r="AL42" s="70"/>
      <c r="AM42" s="70"/>
      <c r="AN42" s="161"/>
    </row>
    <row r="43" spans="2:40" ht="15" customHeight="1">
      <c r="B43" s="151" t="s">
        <v>630</v>
      </c>
      <c r="C43" s="2203" t="s">
        <v>697</v>
      </c>
      <c r="D43" s="2288"/>
      <c r="E43" s="2288"/>
      <c r="F43" s="2288"/>
      <c r="G43" s="2288"/>
      <c r="H43" s="2288"/>
      <c r="I43" s="2288"/>
      <c r="J43" s="2288"/>
      <c r="K43" s="2288"/>
      <c r="L43" s="2288"/>
      <c r="M43" s="2288"/>
      <c r="N43" s="2370"/>
      <c r="O43" s="2370"/>
      <c r="P43" s="2370"/>
      <c r="Q43" s="2371"/>
      <c r="R43" s="2155"/>
      <c r="S43" s="2156"/>
      <c r="T43" s="2156"/>
      <c r="U43" s="2156"/>
      <c r="V43" s="2156"/>
      <c r="W43" s="2156"/>
      <c r="X43" s="2156"/>
      <c r="Y43" s="2156"/>
      <c r="Z43" s="2156"/>
      <c r="AA43" s="2156"/>
      <c r="AB43" s="2156"/>
      <c r="AC43" s="334"/>
      <c r="AD43" s="2155"/>
      <c r="AE43" s="2156"/>
      <c r="AF43" s="2156"/>
      <c r="AG43" s="2156"/>
      <c r="AH43" s="2156"/>
      <c r="AI43" s="2156"/>
      <c r="AJ43" s="2156"/>
      <c r="AK43" s="2156"/>
      <c r="AL43" s="2156"/>
      <c r="AM43" s="2156"/>
      <c r="AN43" s="334"/>
    </row>
    <row r="44" spans="2:40" ht="12" customHeight="1">
      <c r="B44" s="1337"/>
      <c r="C44" s="2185"/>
      <c r="D44" s="2186"/>
      <c r="E44" s="2186"/>
      <c r="F44" s="2186"/>
      <c r="G44" s="2186"/>
      <c r="H44" s="2186"/>
      <c r="I44" s="2186"/>
      <c r="J44" s="2186"/>
      <c r="K44" s="2186"/>
      <c r="L44" s="2186"/>
      <c r="M44" s="2186"/>
      <c r="N44" s="2277"/>
      <c r="O44" s="2277"/>
      <c r="P44" s="2277"/>
      <c r="Q44" s="2278"/>
      <c r="R44" s="625"/>
      <c r="S44" s="2157"/>
      <c r="T44" s="2157"/>
      <c r="U44" s="2157"/>
      <c r="V44" s="2157"/>
      <c r="W44" s="2157"/>
      <c r="X44" s="2157"/>
      <c r="Y44" s="2157"/>
      <c r="Z44" s="2157"/>
      <c r="AA44" s="2157"/>
      <c r="AB44" s="2157"/>
      <c r="AC44" s="333"/>
      <c r="AD44" s="625"/>
      <c r="AE44" s="2157"/>
      <c r="AF44" s="2157"/>
      <c r="AG44" s="2157"/>
      <c r="AH44" s="2157"/>
      <c r="AI44" s="2157"/>
      <c r="AJ44" s="2157"/>
      <c r="AK44" s="2157"/>
      <c r="AL44" s="2157"/>
      <c r="AM44" s="2157"/>
      <c r="AN44" s="333"/>
    </row>
    <row r="45" spans="2:40" ht="3" customHeight="1">
      <c r="B45" s="149"/>
      <c r="C45" s="224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32"/>
      <c r="P45" s="232"/>
      <c r="Q45" s="229"/>
      <c r="R45" s="71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149"/>
      <c r="AE45" s="70"/>
      <c r="AF45" s="70"/>
      <c r="AG45" s="70"/>
      <c r="AH45" s="70"/>
      <c r="AI45" s="70"/>
      <c r="AJ45" s="70"/>
      <c r="AK45" s="70"/>
      <c r="AL45" s="70"/>
      <c r="AM45" s="70"/>
      <c r="AN45" s="161"/>
    </row>
    <row r="46" spans="2:40" ht="15" customHeight="1">
      <c r="B46" s="398" t="s">
        <v>631</v>
      </c>
      <c r="C46" s="2184" t="s">
        <v>280</v>
      </c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402"/>
      <c r="R46" s="810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27"/>
      <c r="AD46" s="810"/>
      <c r="AE46" s="302"/>
      <c r="AF46" s="302"/>
      <c r="AG46" s="302"/>
      <c r="AH46" s="302"/>
      <c r="AI46" s="302"/>
      <c r="AJ46" s="302"/>
      <c r="AK46" s="302"/>
      <c r="AL46" s="302"/>
      <c r="AM46" s="302"/>
      <c r="AN46" s="327"/>
    </row>
    <row r="47" spans="2:40" ht="11.25" customHeight="1">
      <c r="B47" s="2211"/>
      <c r="C47" s="2185"/>
      <c r="D47" s="2186"/>
      <c r="E47" s="2186"/>
      <c r="F47" s="2186"/>
      <c r="G47" s="2186"/>
      <c r="H47" s="2186"/>
      <c r="I47" s="2186"/>
      <c r="J47" s="2186"/>
      <c r="K47" s="2186"/>
      <c r="L47" s="2186"/>
      <c r="M47" s="2186"/>
      <c r="N47" s="2186"/>
      <c r="O47" s="2186"/>
      <c r="P47" s="2186"/>
      <c r="Q47" s="2188"/>
      <c r="R47" s="625"/>
      <c r="S47" s="2157"/>
      <c r="T47" s="2157"/>
      <c r="U47" s="2157"/>
      <c r="V47" s="2157"/>
      <c r="W47" s="2157"/>
      <c r="X47" s="2157"/>
      <c r="Y47" s="2157"/>
      <c r="Z47" s="2157"/>
      <c r="AA47" s="2157"/>
      <c r="AB47" s="2157"/>
      <c r="AC47" s="333"/>
      <c r="AD47" s="625"/>
      <c r="AE47" s="2157"/>
      <c r="AF47" s="2157"/>
      <c r="AG47" s="2157"/>
      <c r="AH47" s="2157"/>
      <c r="AI47" s="2157"/>
      <c r="AJ47" s="2157"/>
      <c r="AK47" s="2157"/>
      <c r="AL47" s="2157"/>
      <c r="AM47" s="2157"/>
      <c r="AN47" s="333"/>
    </row>
    <row r="48" spans="2:40" ht="3" customHeight="1">
      <c r="B48" s="149"/>
      <c r="C48" s="230"/>
      <c r="D48" s="118"/>
      <c r="E48" s="118"/>
      <c r="F48" s="118"/>
      <c r="G48" s="118"/>
      <c r="H48" s="118"/>
      <c r="I48" s="118"/>
      <c r="J48" s="228"/>
      <c r="K48" s="228"/>
      <c r="L48" s="228"/>
      <c r="M48" s="228"/>
      <c r="N48" s="228"/>
      <c r="O48" s="228"/>
      <c r="P48" s="228"/>
      <c r="Q48" s="229"/>
      <c r="R48" s="71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149"/>
      <c r="AE48" s="70"/>
      <c r="AF48" s="70"/>
      <c r="AG48" s="70"/>
      <c r="AH48" s="70"/>
      <c r="AI48" s="70"/>
      <c r="AJ48" s="70"/>
      <c r="AK48" s="70"/>
      <c r="AL48" s="70"/>
      <c r="AM48" s="70"/>
      <c r="AN48" s="161"/>
    </row>
    <row r="49" spans="2:40" ht="15" customHeight="1">
      <c r="B49" s="398" t="s">
        <v>632</v>
      </c>
      <c r="C49" s="2184" t="s">
        <v>699</v>
      </c>
      <c r="D49" s="396"/>
      <c r="E49" s="396"/>
      <c r="F49" s="396"/>
      <c r="G49" s="396"/>
      <c r="H49" s="396"/>
      <c r="I49" s="396"/>
      <c r="J49" s="396"/>
      <c r="K49" s="396"/>
      <c r="L49" s="396"/>
      <c r="M49" s="396"/>
      <c r="N49" s="396"/>
      <c r="O49" s="396"/>
      <c r="P49" s="396"/>
      <c r="Q49" s="402"/>
      <c r="R49" s="810"/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27"/>
      <c r="AD49" s="810"/>
      <c r="AE49" s="302"/>
      <c r="AF49" s="302"/>
      <c r="AG49" s="302"/>
      <c r="AH49" s="302"/>
      <c r="AI49" s="302"/>
      <c r="AJ49" s="302"/>
      <c r="AK49" s="302"/>
      <c r="AL49" s="302"/>
      <c r="AM49" s="302"/>
      <c r="AN49" s="327"/>
    </row>
    <row r="50" spans="2:40" ht="9" customHeight="1">
      <c r="B50" s="2211"/>
      <c r="C50" s="2185"/>
      <c r="D50" s="2186"/>
      <c r="E50" s="2186"/>
      <c r="F50" s="2186"/>
      <c r="G50" s="2186"/>
      <c r="H50" s="2186"/>
      <c r="I50" s="2186"/>
      <c r="J50" s="2186"/>
      <c r="K50" s="2186"/>
      <c r="L50" s="2186"/>
      <c r="M50" s="2186"/>
      <c r="N50" s="2186"/>
      <c r="O50" s="2186"/>
      <c r="P50" s="2186"/>
      <c r="Q50" s="2188"/>
      <c r="R50" s="625"/>
      <c r="S50" s="2157"/>
      <c r="T50" s="2157"/>
      <c r="U50" s="2157"/>
      <c r="V50" s="2157"/>
      <c r="W50" s="2157"/>
      <c r="X50" s="2157"/>
      <c r="Y50" s="2157"/>
      <c r="Z50" s="2157"/>
      <c r="AA50" s="2157"/>
      <c r="AB50" s="2157"/>
      <c r="AC50" s="333"/>
      <c r="AD50" s="625"/>
      <c r="AE50" s="2157"/>
      <c r="AF50" s="2157"/>
      <c r="AG50" s="2157"/>
      <c r="AH50" s="2157"/>
      <c r="AI50" s="2157"/>
      <c r="AJ50" s="2157"/>
      <c r="AK50" s="2157"/>
      <c r="AL50" s="2157"/>
      <c r="AM50" s="2157"/>
      <c r="AN50" s="333"/>
    </row>
    <row r="51" spans="2:40" ht="3" customHeight="1">
      <c r="B51" s="149"/>
      <c r="C51" s="149"/>
      <c r="D51" s="396"/>
      <c r="E51" s="396"/>
      <c r="F51" s="396"/>
      <c r="G51" s="396"/>
      <c r="H51" s="396"/>
      <c r="I51" s="396"/>
      <c r="J51" s="396"/>
      <c r="K51" s="396"/>
      <c r="L51" s="396"/>
      <c r="M51" s="396"/>
      <c r="N51" s="396"/>
      <c r="O51" s="396"/>
      <c r="P51" s="396"/>
      <c r="Q51" s="402"/>
      <c r="R51" s="831"/>
      <c r="S51" s="831"/>
      <c r="T51" s="831"/>
      <c r="U51" s="831"/>
      <c r="V51" s="831"/>
      <c r="W51" s="831"/>
      <c r="X51" s="831"/>
      <c r="Y51" s="831"/>
      <c r="Z51" s="831"/>
      <c r="AA51" s="831"/>
      <c r="AB51" s="831"/>
      <c r="AC51" s="832"/>
      <c r="AD51" s="833"/>
      <c r="AE51" s="831"/>
      <c r="AF51" s="831"/>
      <c r="AG51" s="831"/>
      <c r="AH51" s="831"/>
      <c r="AI51" s="831"/>
      <c r="AJ51" s="831"/>
      <c r="AK51" s="831"/>
      <c r="AL51" s="831"/>
      <c r="AM51" s="831"/>
      <c r="AN51" s="834"/>
    </row>
    <row r="52" spans="2:40" ht="15" customHeight="1">
      <c r="B52" s="398" t="s">
        <v>633</v>
      </c>
      <c r="C52" s="2184" t="s">
        <v>691</v>
      </c>
      <c r="D52" s="396"/>
      <c r="E52" s="396"/>
      <c r="F52" s="396"/>
      <c r="G52" s="396"/>
      <c r="H52" s="396"/>
      <c r="I52" s="396"/>
      <c r="J52" s="396"/>
      <c r="K52" s="396"/>
      <c r="L52" s="396"/>
      <c r="M52" s="396"/>
      <c r="N52" s="396"/>
      <c r="O52" s="396"/>
      <c r="P52" s="396"/>
      <c r="Q52" s="402"/>
      <c r="R52" s="833"/>
      <c r="S52" s="831"/>
      <c r="T52" s="831"/>
      <c r="U52" s="831"/>
      <c r="V52" s="831"/>
      <c r="W52" s="831"/>
      <c r="X52" s="831"/>
      <c r="Y52" s="831"/>
      <c r="Z52" s="831"/>
      <c r="AA52" s="831"/>
      <c r="AB52" s="831"/>
      <c r="AC52" s="832"/>
      <c r="AD52" s="833"/>
      <c r="AE52" s="831"/>
      <c r="AF52" s="831"/>
      <c r="AG52" s="831"/>
      <c r="AH52" s="831"/>
      <c r="AI52" s="831"/>
      <c r="AJ52" s="831"/>
      <c r="AK52" s="831"/>
      <c r="AL52" s="831"/>
      <c r="AM52" s="831"/>
      <c r="AN52" s="834"/>
    </row>
    <row r="53" spans="2:40" ht="12" customHeight="1">
      <c r="B53" s="2211"/>
      <c r="C53" s="2185"/>
      <c r="D53" s="2186"/>
      <c r="E53" s="2186"/>
      <c r="F53" s="2186"/>
      <c r="G53" s="2186"/>
      <c r="H53" s="2186"/>
      <c r="I53" s="2186"/>
      <c r="J53" s="2186"/>
      <c r="K53" s="2186"/>
      <c r="L53" s="2186"/>
      <c r="M53" s="2186"/>
      <c r="N53" s="2186"/>
      <c r="O53" s="2186"/>
      <c r="P53" s="2186"/>
      <c r="Q53" s="2188"/>
      <c r="R53" s="2283"/>
      <c r="S53" s="2284"/>
      <c r="T53" s="2284"/>
      <c r="U53" s="2284"/>
      <c r="V53" s="2284"/>
      <c r="W53" s="2284"/>
      <c r="X53" s="2284"/>
      <c r="Y53" s="2284"/>
      <c r="Z53" s="2284"/>
      <c r="AA53" s="2284"/>
      <c r="AB53" s="2284"/>
      <c r="AC53" s="1400"/>
      <c r="AD53" s="2283"/>
      <c r="AE53" s="2284"/>
      <c r="AF53" s="2284"/>
      <c r="AG53" s="2284"/>
      <c r="AH53" s="2284"/>
      <c r="AI53" s="2284"/>
      <c r="AJ53" s="2284"/>
      <c r="AK53" s="2284"/>
      <c r="AL53" s="2284"/>
      <c r="AM53" s="2284"/>
      <c r="AN53" s="1401"/>
    </row>
    <row r="54" spans="2:40" ht="3" customHeight="1">
      <c r="B54" s="149"/>
      <c r="C54" s="14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161"/>
      <c r="R54" s="347"/>
      <c r="S54" s="348"/>
      <c r="T54" s="348"/>
      <c r="U54" s="348"/>
      <c r="V54" s="348"/>
      <c r="W54" s="348"/>
      <c r="X54" s="348"/>
      <c r="Y54" s="348"/>
      <c r="Z54" s="348"/>
      <c r="AA54" s="348"/>
      <c r="AB54" s="348"/>
      <c r="AC54" s="348"/>
      <c r="AD54" s="349"/>
      <c r="AE54" s="70"/>
      <c r="AF54" s="70"/>
      <c r="AG54" s="70"/>
      <c r="AH54" s="70"/>
      <c r="AI54" s="70"/>
      <c r="AJ54" s="70"/>
      <c r="AK54" s="70"/>
      <c r="AL54" s="70"/>
      <c r="AM54" s="70"/>
      <c r="AN54" s="161"/>
    </row>
    <row r="55" spans="2:40" ht="15" customHeight="1">
      <c r="B55" s="398" t="s">
        <v>634</v>
      </c>
      <c r="C55" s="2184" t="s">
        <v>352</v>
      </c>
      <c r="D55" s="396"/>
      <c r="E55" s="396"/>
      <c r="F55" s="396"/>
      <c r="G55" s="396"/>
      <c r="H55" s="396"/>
      <c r="I55" s="396"/>
      <c r="J55" s="396"/>
      <c r="K55" s="396"/>
      <c r="L55" s="396"/>
      <c r="M55" s="396"/>
      <c r="N55" s="396"/>
      <c r="O55" s="396"/>
      <c r="P55" s="396"/>
      <c r="Q55" s="402"/>
      <c r="R55" s="810"/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27"/>
      <c r="AD55" s="810"/>
      <c r="AE55" s="302"/>
      <c r="AF55" s="302"/>
      <c r="AG55" s="302"/>
      <c r="AH55" s="302"/>
      <c r="AI55" s="302"/>
      <c r="AJ55" s="302"/>
      <c r="AK55" s="302"/>
      <c r="AL55" s="302"/>
      <c r="AM55" s="302"/>
      <c r="AN55" s="327"/>
    </row>
    <row r="56" spans="2:40" ht="6.75" customHeight="1">
      <c r="B56" s="2211"/>
      <c r="C56" s="2185"/>
      <c r="D56" s="2186"/>
      <c r="E56" s="2186"/>
      <c r="F56" s="2186"/>
      <c r="G56" s="2186"/>
      <c r="H56" s="2186"/>
      <c r="I56" s="2186"/>
      <c r="J56" s="2186"/>
      <c r="K56" s="2186"/>
      <c r="L56" s="2186"/>
      <c r="M56" s="2186"/>
      <c r="N56" s="2186"/>
      <c r="O56" s="2186"/>
      <c r="P56" s="2186"/>
      <c r="Q56" s="2188"/>
      <c r="R56" s="625"/>
      <c r="S56" s="2157"/>
      <c r="T56" s="2157"/>
      <c r="U56" s="2157"/>
      <c r="V56" s="2157"/>
      <c r="W56" s="2157"/>
      <c r="X56" s="2157"/>
      <c r="Y56" s="2157"/>
      <c r="Z56" s="2157"/>
      <c r="AA56" s="2157"/>
      <c r="AB56" s="2157"/>
      <c r="AC56" s="333"/>
      <c r="AD56" s="625"/>
      <c r="AE56" s="2157"/>
      <c r="AF56" s="2157"/>
      <c r="AG56" s="2157"/>
      <c r="AH56" s="2157"/>
      <c r="AI56" s="2157"/>
      <c r="AJ56" s="2157"/>
      <c r="AK56" s="2157"/>
      <c r="AL56" s="2157"/>
      <c r="AM56" s="2157"/>
      <c r="AN56" s="333"/>
    </row>
    <row r="57" spans="2:40" ht="3" customHeight="1">
      <c r="B57" s="151"/>
      <c r="C57" s="2203" t="s">
        <v>281</v>
      </c>
      <c r="D57" s="2288"/>
      <c r="E57" s="2288"/>
      <c r="F57" s="2288"/>
      <c r="G57" s="2288"/>
      <c r="H57" s="2288"/>
      <c r="I57" s="2288"/>
      <c r="J57" s="2288"/>
      <c r="K57" s="2288"/>
      <c r="L57" s="2288"/>
      <c r="M57" s="2288"/>
      <c r="N57" s="2288"/>
      <c r="O57" s="2288"/>
      <c r="P57" s="2288"/>
      <c r="Q57" s="2289"/>
      <c r="R57" s="1402"/>
      <c r="S57" s="1403"/>
      <c r="T57" s="1403"/>
      <c r="U57" s="1403"/>
      <c r="V57" s="1403"/>
      <c r="W57" s="1403"/>
      <c r="X57" s="1403"/>
      <c r="Y57" s="1403"/>
      <c r="Z57" s="1403"/>
      <c r="AA57" s="1403"/>
      <c r="AB57" s="1403"/>
      <c r="AC57" s="1403"/>
      <c r="AD57" s="1404"/>
      <c r="AE57" s="182"/>
      <c r="AF57" s="182"/>
      <c r="AG57" s="182"/>
      <c r="AH57" s="182"/>
      <c r="AI57" s="182"/>
      <c r="AJ57" s="182"/>
      <c r="AK57" s="182"/>
      <c r="AL57" s="182"/>
      <c r="AM57" s="182"/>
      <c r="AN57" s="221"/>
    </row>
    <row r="58" spans="2:40" ht="15" customHeight="1">
      <c r="B58" s="398" t="s">
        <v>635</v>
      </c>
      <c r="C58" s="2184"/>
      <c r="D58" s="396"/>
      <c r="E58" s="396"/>
      <c r="F58" s="396"/>
      <c r="G58" s="396"/>
      <c r="H58" s="396"/>
      <c r="I58" s="396"/>
      <c r="J58" s="396"/>
      <c r="K58" s="396"/>
      <c r="L58" s="396"/>
      <c r="M58" s="396"/>
      <c r="N58" s="396"/>
      <c r="O58" s="396"/>
      <c r="P58" s="396"/>
      <c r="Q58" s="402"/>
      <c r="R58" s="810"/>
      <c r="S58" s="302"/>
      <c r="T58" s="302"/>
      <c r="U58" s="302"/>
      <c r="V58" s="302"/>
      <c r="W58" s="302"/>
      <c r="X58" s="302"/>
      <c r="Y58" s="302"/>
      <c r="Z58" s="302"/>
      <c r="AA58" s="302"/>
      <c r="AB58" s="302"/>
      <c r="AC58" s="327"/>
      <c r="AD58" s="810"/>
      <c r="AE58" s="302"/>
      <c r="AF58" s="302"/>
      <c r="AG58" s="302"/>
      <c r="AH58" s="302"/>
      <c r="AI58" s="302"/>
      <c r="AJ58" s="302"/>
      <c r="AK58" s="302"/>
      <c r="AL58" s="302"/>
      <c r="AM58" s="302"/>
      <c r="AN58" s="327"/>
    </row>
    <row r="59" spans="2:40" ht="9.75" customHeight="1">
      <c r="B59" s="2211"/>
      <c r="C59" s="2185"/>
      <c r="D59" s="2186"/>
      <c r="E59" s="2186"/>
      <c r="F59" s="2186"/>
      <c r="G59" s="2186"/>
      <c r="H59" s="2186"/>
      <c r="I59" s="2186"/>
      <c r="J59" s="2186"/>
      <c r="K59" s="2186"/>
      <c r="L59" s="2186"/>
      <c r="M59" s="2186"/>
      <c r="N59" s="2186"/>
      <c r="O59" s="2186"/>
      <c r="P59" s="2186"/>
      <c r="Q59" s="2188"/>
      <c r="R59" s="625"/>
      <c r="S59" s="2157"/>
      <c r="T59" s="2157"/>
      <c r="U59" s="2157"/>
      <c r="V59" s="2157"/>
      <c r="W59" s="2157"/>
      <c r="X59" s="2157"/>
      <c r="Y59" s="2157"/>
      <c r="Z59" s="2157"/>
      <c r="AA59" s="2157"/>
      <c r="AB59" s="2157"/>
      <c r="AC59" s="333"/>
      <c r="AD59" s="625"/>
      <c r="AE59" s="2157"/>
      <c r="AF59" s="2157"/>
      <c r="AG59" s="2157"/>
      <c r="AH59" s="2157"/>
      <c r="AI59" s="2157"/>
      <c r="AJ59" s="2157"/>
      <c r="AK59" s="2157"/>
      <c r="AL59" s="2157"/>
      <c r="AM59" s="2157"/>
      <c r="AN59" s="333"/>
    </row>
    <row r="60" spans="2:40" ht="3" customHeight="1">
      <c r="B60" s="149"/>
      <c r="C60" s="227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9"/>
      <c r="R60" s="347"/>
      <c r="S60" s="348"/>
      <c r="T60" s="348"/>
      <c r="U60" s="348"/>
      <c r="V60" s="348"/>
      <c r="W60" s="348"/>
      <c r="X60" s="348"/>
      <c r="Y60" s="348"/>
      <c r="Z60" s="348"/>
      <c r="AA60" s="348"/>
      <c r="AB60" s="348"/>
      <c r="AC60" s="348"/>
      <c r="AD60" s="349"/>
      <c r="AE60" s="70"/>
      <c r="AF60" s="70"/>
      <c r="AG60" s="70"/>
      <c r="AH60" s="70"/>
      <c r="AI60" s="70"/>
      <c r="AJ60" s="70"/>
      <c r="AK60" s="70"/>
      <c r="AL60" s="70"/>
      <c r="AM60" s="70"/>
      <c r="AN60" s="161"/>
    </row>
    <row r="61" spans="2:40" ht="15" customHeight="1">
      <c r="B61" s="149" t="s">
        <v>636</v>
      </c>
      <c r="C61" s="187" t="s">
        <v>283</v>
      </c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9"/>
      <c r="R61" s="810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27"/>
      <c r="AD61" s="810"/>
      <c r="AE61" s="302"/>
      <c r="AF61" s="302"/>
      <c r="AG61" s="302"/>
      <c r="AH61" s="302"/>
      <c r="AI61" s="302"/>
      <c r="AJ61" s="302"/>
      <c r="AK61" s="302"/>
      <c r="AL61" s="302"/>
      <c r="AM61" s="302"/>
      <c r="AN61" s="327"/>
    </row>
    <row r="62" spans="2:40" ht="15" customHeight="1">
      <c r="B62" s="149"/>
      <c r="C62" s="187" t="s">
        <v>282</v>
      </c>
      <c r="D62" s="228"/>
      <c r="E62" s="228"/>
      <c r="F62" s="228"/>
      <c r="G62" s="228"/>
      <c r="H62" s="232"/>
      <c r="I62" s="232"/>
      <c r="J62" s="232"/>
      <c r="K62" s="232"/>
      <c r="L62" s="232"/>
      <c r="M62" s="232"/>
      <c r="N62" s="232"/>
      <c r="O62" s="232"/>
      <c r="P62" s="232"/>
      <c r="Q62" s="2287"/>
      <c r="R62" s="625"/>
      <c r="S62" s="2157"/>
      <c r="T62" s="2157"/>
      <c r="U62" s="2157"/>
      <c r="V62" s="2157"/>
      <c r="W62" s="2157"/>
      <c r="X62" s="2157"/>
      <c r="Y62" s="2157"/>
      <c r="Z62" s="2157"/>
      <c r="AA62" s="2157"/>
      <c r="AB62" s="2157"/>
      <c r="AC62" s="333"/>
      <c r="AD62" s="625"/>
      <c r="AE62" s="2157"/>
      <c r="AF62" s="2157"/>
      <c r="AG62" s="2157"/>
      <c r="AH62" s="2157"/>
      <c r="AI62" s="2157"/>
      <c r="AJ62" s="2157"/>
      <c r="AK62" s="2157"/>
      <c r="AL62" s="2157"/>
      <c r="AM62" s="2157"/>
      <c r="AN62" s="333"/>
    </row>
    <row r="63" spans="2:40" ht="3" customHeight="1">
      <c r="B63" s="190"/>
      <c r="C63" s="151" t="s">
        <v>227</v>
      </c>
      <c r="D63" s="1444"/>
      <c r="E63" s="1444"/>
      <c r="F63" s="1444"/>
      <c r="G63" s="1444"/>
      <c r="H63" s="1444"/>
      <c r="I63" s="1444"/>
      <c r="J63" s="1444"/>
      <c r="K63" s="1444"/>
      <c r="L63" s="1444"/>
      <c r="M63" s="1444"/>
      <c r="N63" s="1444"/>
      <c r="O63" s="1444"/>
      <c r="P63" s="1444"/>
      <c r="Q63" s="2161"/>
      <c r="R63" s="835"/>
      <c r="S63" s="836"/>
      <c r="T63" s="836"/>
      <c r="U63" s="836"/>
      <c r="V63" s="836"/>
      <c r="W63" s="836"/>
      <c r="X63" s="836"/>
      <c r="Y63" s="836"/>
      <c r="Z63" s="836"/>
      <c r="AA63" s="836"/>
      <c r="AB63" s="151" t="s">
        <v>579</v>
      </c>
      <c r="AC63" s="2161"/>
      <c r="AD63" s="2155">
        <f>SUM(AD22:AN62)</f>
        <v>0</v>
      </c>
      <c r="AE63" s="2156"/>
      <c r="AF63" s="2156"/>
      <c r="AG63" s="2156"/>
      <c r="AH63" s="2156"/>
      <c r="AI63" s="2156"/>
      <c r="AJ63" s="2156"/>
      <c r="AK63" s="2156"/>
      <c r="AL63" s="2156"/>
      <c r="AM63" s="2156"/>
      <c r="AN63" s="334"/>
    </row>
    <row r="64" spans="2:40" ht="12" customHeight="1">
      <c r="B64" s="186"/>
      <c r="C64" s="149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395"/>
      <c r="R64" s="837"/>
      <c r="S64" s="838"/>
      <c r="T64" s="839"/>
      <c r="U64" s="839"/>
      <c r="V64" s="839"/>
      <c r="W64" s="839"/>
      <c r="X64" s="839"/>
      <c r="Y64" s="839"/>
      <c r="Z64" s="839"/>
      <c r="AA64" s="839"/>
      <c r="AB64" s="149"/>
      <c r="AC64" s="395"/>
      <c r="AD64" s="810"/>
      <c r="AE64" s="302"/>
      <c r="AF64" s="302"/>
      <c r="AG64" s="302"/>
      <c r="AH64" s="302"/>
      <c r="AI64" s="302"/>
      <c r="AJ64" s="302"/>
      <c r="AK64" s="302"/>
      <c r="AL64" s="302"/>
      <c r="AM64" s="302"/>
      <c r="AN64" s="327"/>
    </row>
    <row r="65" spans="2:40" ht="9" customHeight="1">
      <c r="B65" s="183"/>
      <c r="C65" s="1337"/>
      <c r="D65" s="2187"/>
      <c r="E65" s="2187"/>
      <c r="F65" s="2187"/>
      <c r="G65" s="2187"/>
      <c r="H65" s="2187"/>
      <c r="I65" s="2187"/>
      <c r="J65" s="2187"/>
      <c r="K65" s="2187"/>
      <c r="L65" s="2187"/>
      <c r="M65" s="2187"/>
      <c r="N65" s="2187"/>
      <c r="O65" s="2187"/>
      <c r="P65" s="2187"/>
      <c r="Q65" s="2180"/>
      <c r="R65" s="840"/>
      <c r="S65" s="840"/>
      <c r="T65" s="841"/>
      <c r="U65" s="841"/>
      <c r="V65" s="841"/>
      <c r="W65" s="841"/>
      <c r="X65" s="841"/>
      <c r="Y65" s="841"/>
      <c r="Z65" s="841"/>
      <c r="AA65" s="841"/>
      <c r="AB65" s="1337"/>
      <c r="AC65" s="2180"/>
      <c r="AD65" s="625"/>
      <c r="AE65" s="2157"/>
      <c r="AF65" s="2157"/>
      <c r="AG65" s="2157"/>
      <c r="AH65" s="2157"/>
      <c r="AI65" s="2157"/>
      <c r="AJ65" s="2157"/>
      <c r="AK65" s="2157"/>
      <c r="AL65" s="2157"/>
      <c r="AM65" s="2157"/>
      <c r="AN65" s="333"/>
    </row>
    <row r="66" spans="2:40" ht="8.15" customHeight="1">
      <c r="B66" s="175"/>
      <c r="C66" s="175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</row>
    <row r="67" spans="2:40" ht="8.15" customHeight="1">
      <c r="B67"/>
      <c r="C6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8.15" customHeight="1">
      <c r="B68"/>
      <c r="C6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5" customHeight="1">
      <c r="B69" s="75" t="s">
        <v>246</v>
      </c>
      <c r="C69" s="75"/>
      <c r="D69" s="75"/>
      <c r="E69" s="15"/>
      <c r="F69" s="75" t="s">
        <v>26</v>
      </c>
      <c r="G69" s="75" t="s">
        <v>693</v>
      </c>
      <c r="H69" s="75"/>
      <c r="I69" s="75"/>
      <c r="J69" s="75"/>
      <c r="K69" s="7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2:40" ht="6.75" customHeight="1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2:40" ht="15" customHeight="1">
      <c r="B71" s="2203" t="s">
        <v>76</v>
      </c>
      <c r="C71" s="2257" t="s">
        <v>830</v>
      </c>
      <c r="D71" s="2258"/>
      <c r="E71" s="2259"/>
      <c r="F71" s="151" t="s">
        <v>829</v>
      </c>
      <c r="G71" s="1444"/>
      <c r="H71" s="1444"/>
      <c r="I71" s="1444"/>
      <c r="J71" s="1444"/>
      <c r="K71" s="1444"/>
      <c r="L71" s="1444"/>
      <c r="M71" s="2161"/>
      <c r="N71" s="156" t="s">
        <v>247</v>
      </c>
      <c r="O71" s="159"/>
      <c r="P71" s="159"/>
      <c r="Q71" s="2162"/>
      <c r="R71" s="156" t="s">
        <v>249</v>
      </c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2162"/>
      <c r="AD71" s="151" t="s">
        <v>250</v>
      </c>
      <c r="AE71" s="1444"/>
      <c r="AF71" s="1444"/>
      <c r="AG71" s="1444"/>
      <c r="AH71" s="1444"/>
      <c r="AI71" s="1444"/>
      <c r="AJ71" s="1444"/>
      <c r="AK71" s="1444"/>
      <c r="AL71" s="1444"/>
      <c r="AM71" s="1444"/>
      <c r="AN71" s="2161"/>
    </row>
    <row r="72" spans="2:40" ht="12.75" customHeight="1">
      <c r="B72" s="2184"/>
      <c r="C72" s="2260"/>
      <c r="D72" s="2261"/>
      <c r="E72" s="2262"/>
      <c r="F72" s="149"/>
      <c r="G72" s="71"/>
      <c r="H72" s="71"/>
      <c r="I72" s="71"/>
      <c r="J72" s="71"/>
      <c r="K72" s="71"/>
      <c r="L72" s="71"/>
      <c r="M72" s="395"/>
      <c r="N72" s="164" t="s">
        <v>248</v>
      </c>
      <c r="O72" s="69"/>
      <c r="P72" s="69"/>
      <c r="Q72" s="2181"/>
      <c r="R72" s="164" t="s">
        <v>70</v>
      </c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2181"/>
      <c r="AD72" s="149"/>
      <c r="AE72" s="71"/>
      <c r="AF72" s="71"/>
      <c r="AG72" s="71"/>
      <c r="AH72" s="71"/>
      <c r="AI72" s="71"/>
      <c r="AJ72" s="71"/>
      <c r="AK72" s="71"/>
      <c r="AL72" s="71"/>
      <c r="AM72" s="71"/>
      <c r="AN72" s="395"/>
    </row>
    <row r="73" spans="2:40" ht="3" customHeight="1">
      <c r="B73" s="2184"/>
      <c r="C73" s="2312"/>
      <c r="D73" s="2313"/>
      <c r="E73" s="2314"/>
      <c r="F73" s="1337"/>
      <c r="G73" s="2187"/>
      <c r="H73" s="2187"/>
      <c r="I73" s="2187"/>
      <c r="J73" s="2187"/>
      <c r="K73" s="2187"/>
      <c r="L73" s="2187"/>
      <c r="M73" s="2180"/>
      <c r="N73" s="165"/>
      <c r="O73" s="630"/>
      <c r="P73" s="630"/>
      <c r="Q73" s="631"/>
      <c r="R73" s="165"/>
      <c r="S73" s="630"/>
      <c r="T73" s="630"/>
      <c r="U73" s="630"/>
      <c r="V73" s="630"/>
      <c r="W73" s="630"/>
      <c r="X73" s="630"/>
      <c r="Y73" s="630"/>
      <c r="Z73" s="630"/>
      <c r="AA73" s="630"/>
      <c r="AB73" s="630"/>
      <c r="AC73" s="630"/>
      <c r="AD73" s="165"/>
      <c r="AE73" s="630"/>
      <c r="AF73" s="630"/>
      <c r="AG73" s="70"/>
      <c r="AH73" s="70"/>
      <c r="AI73" s="70"/>
      <c r="AJ73" s="70"/>
      <c r="AK73" s="70"/>
      <c r="AL73" s="70"/>
      <c r="AM73" s="70"/>
      <c r="AN73" s="161"/>
    </row>
    <row r="74" spans="2:40" s="72" customFormat="1" ht="12.75" customHeight="1">
      <c r="B74" s="155" t="s">
        <v>65</v>
      </c>
      <c r="C74" s="155" t="s">
        <v>64</v>
      </c>
      <c r="D74" s="2182"/>
      <c r="E74" s="2183"/>
      <c r="F74" s="155" t="s">
        <v>66</v>
      </c>
      <c r="G74" s="2182"/>
      <c r="H74" s="2182"/>
      <c r="I74" s="2182"/>
      <c r="J74" s="2182"/>
      <c r="K74" s="2182"/>
      <c r="L74" s="2182"/>
      <c r="M74" s="2183"/>
      <c r="N74" s="155" t="s">
        <v>67</v>
      </c>
      <c r="O74" s="2182"/>
      <c r="P74" s="2182"/>
      <c r="Q74" s="2183"/>
      <c r="R74" s="155" t="s">
        <v>68</v>
      </c>
      <c r="S74" s="2182"/>
      <c r="T74" s="2182"/>
      <c r="U74" s="2182"/>
      <c r="V74" s="2182"/>
      <c r="W74" s="2182"/>
      <c r="X74" s="2182"/>
      <c r="Y74" s="2182"/>
      <c r="Z74" s="2182"/>
      <c r="AA74" s="2182"/>
      <c r="AB74" s="2182"/>
      <c r="AC74" s="2183"/>
      <c r="AD74" s="155" t="s">
        <v>99</v>
      </c>
      <c r="AE74" s="2182"/>
      <c r="AF74" s="2182"/>
      <c r="AG74" s="2182"/>
      <c r="AH74" s="2182"/>
      <c r="AI74" s="2182"/>
      <c r="AJ74" s="2182"/>
      <c r="AK74" s="2182"/>
      <c r="AL74" s="2182"/>
      <c r="AM74" s="2182"/>
      <c r="AN74" s="2183"/>
    </row>
    <row r="75" spans="2:40" ht="18" customHeight="1">
      <c r="B75" s="1341" t="s">
        <v>621</v>
      </c>
      <c r="C75" s="2376"/>
      <c r="D75" s="2377"/>
      <c r="E75" s="2378"/>
      <c r="F75" s="2372" t="s">
        <v>1089</v>
      </c>
      <c r="G75" s="2373"/>
      <c r="H75" s="2373"/>
      <c r="I75" s="2373"/>
      <c r="J75" s="2373"/>
      <c r="K75" s="2373"/>
      <c r="L75" s="2373"/>
      <c r="M75" s="2374"/>
      <c r="N75" s="2384"/>
      <c r="O75" s="2385"/>
      <c r="P75" s="2385"/>
      <c r="Q75" s="2386"/>
      <c r="R75" s="2381">
        <f ca="1">'FE-1770 S-II'!R90</f>
        <v>0</v>
      </c>
      <c r="S75" s="2382"/>
      <c r="T75" s="2382"/>
      <c r="U75" s="2382"/>
      <c r="V75" s="2382"/>
      <c r="W75" s="2382"/>
      <c r="X75" s="2382"/>
      <c r="Y75" s="2382"/>
      <c r="Z75" s="2382"/>
      <c r="AA75" s="2382"/>
      <c r="AB75" s="2382"/>
      <c r="AC75" s="2383"/>
      <c r="AD75" s="2290" t="str">
        <f>IF(dateofdeparture&gt;0,"I have left Indonesia","")</f>
        <v/>
      </c>
      <c r="AE75" s="2291"/>
      <c r="AF75" s="2291"/>
      <c r="AG75" s="2291"/>
      <c r="AH75" s="2291"/>
      <c r="AI75" s="2291"/>
      <c r="AJ75" s="2291"/>
      <c r="AK75" s="2291"/>
      <c r="AL75" s="2291"/>
      <c r="AM75" s="2291"/>
      <c r="AN75" s="2292"/>
    </row>
    <row r="76" spans="2:40" ht="18" customHeight="1">
      <c r="B76" s="398"/>
      <c r="C76" s="963"/>
      <c r="D76" s="2379"/>
      <c r="E76" s="2380"/>
      <c r="F76" s="2375"/>
      <c r="G76" s="961"/>
      <c r="H76" s="961"/>
      <c r="I76" s="961"/>
      <c r="J76" s="961"/>
      <c r="K76" s="961"/>
      <c r="L76" s="961"/>
      <c r="M76" s="962"/>
      <c r="N76" s="2387"/>
      <c r="O76" s="2388"/>
      <c r="P76" s="2388"/>
      <c r="Q76" s="2389"/>
      <c r="R76" s="1356"/>
      <c r="S76" s="1357"/>
      <c r="T76" s="1357"/>
      <c r="U76" s="1357"/>
      <c r="V76" s="1357"/>
      <c r="W76" s="1357"/>
      <c r="X76" s="1357"/>
      <c r="Y76" s="1357"/>
      <c r="Z76" s="1357"/>
      <c r="AA76" s="1357"/>
      <c r="AB76" s="1357"/>
      <c r="AC76" s="1358"/>
      <c r="AD76" s="2293"/>
      <c r="AE76" s="2294"/>
      <c r="AF76" s="2294"/>
      <c r="AG76" s="2294"/>
      <c r="AH76" s="2294"/>
      <c r="AI76" s="2294"/>
      <c r="AJ76" s="2294"/>
      <c r="AK76" s="2294"/>
      <c r="AL76" s="2294"/>
      <c r="AM76" s="2294"/>
      <c r="AN76" s="2295"/>
    </row>
    <row r="77" spans="2:40" ht="3" customHeight="1">
      <c r="B77" s="149"/>
      <c r="C77" s="963"/>
      <c r="D77" s="432"/>
      <c r="E77" s="964"/>
      <c r="F77" s="961"/>
      <c r="G77" s="961"/>
      <c r="H77" s="961"/>
      <c r="I77" s="961"/>
      <c r="J77" s="961"/>
      <c r="K77" s="961"/>
      <c r="L77" s="961"/>
      <c r="M77" s="962"/>
      <c r="N77" s="1319"/>
      <c r="O77" s="1320"/>
      <c r="P77" s="1320"/>
      <c r="Q77" s="1320"/>
      <c r="R77" s="1356"/>
      <c r="S77" s="1357"/>
      <c r="T77" s="1357"/>
      <c r="U77" s="1357"/>
      <c r="V77" s="1357"/>
      <c r="W77" s="1357"/>
      <c r="X77" s="1357"/>
      <c r="Y77" s="1357"/>
      <c r="Z77" s="1357"/>
      <c r="AA77" s="1357"/>
      <c r="AB77" s="1357"/>
      <c r="AC77" s="1358"/>
      <c r="AD77" s="965"/>
      <c r="AE77" s="432"/>
      <c r="AF77" s="432"/>
      <c r="AG77" s="966"/>
      <c r="AH77" s="263"/>
      <c r="AI77" s="263"/>
      <c r="AJ77" s="263"/>
      <c r="AK77" s="263"/>
      <c r="AL77" s="263"/>
      <c r="AM77" s="263"/>
      <c r="AN77" s="967"/>
    </row>
    <row r="78" spans="2:42" ht="18" customHeight="1">
      <c r="B78" s="1341" t="s">
        <v>622</v>
      </c>
      <c r="C78" s="2376" t="str">
        <f ca="1">'Attachment'!B187</f>
        <v/>
      </c>
      <c r="D78" s="2377"/>
      <c r="E78" s="2378"/>
      <c r="F78" s="2372" t="str">
        <f ca="1">'Attachment'!D187</f>
        <v/>
      </c>
      <c r="G78" s="2373"/>
      <c r="H78" s="2373"/>
      <c r="I78" s="2373"/>
      <c r="J78" s="2373"/>
      <c r="K78" s="2373"/>
      <c r="L78" s="2373"/>
      <c r="M78" s="2374"/>
      <c r="N78" s="2308" t="str">
        <f ca="1">'Attachment'!O187</f>
        <v/>
      </c>
      <c r="O78" s="2365"/>
      <c r="P78" s="2365"/>
      <c r="Q78" s="2366"/>
      <c r="R78" s="2381" t="str">
        <f ca="1">'Attachment'!S187</f>
        <v/>
      </c>
      <c r="S78" s="2382"/>
      <c r="T78" s="2382"/>
      <c r="U78" s="2382"/>
      <c r="V78" s="2382"/>
      <c r="W78" s="2382"/>
      <c r="X78" s="2382"/>
      <c r="Y78" s="2382"/>
      <c r="Z78" s="2382"/>
      <c r="AA78" s="2382"/>
      <c r="AB78" s="2382"/>
      <c r="AC78" s="2383"/>
      <c r="AD78" s="2290" t="str">
        <f>IF(dateofdeparture&gt;0,"My copy of EPO is attached","")</f>
        <v/>
      </c>
      <c r="AE78" s="2291"/>
      <c r="AF78" s="2291"/>
      <c r="AG78" s="2291"/>
      <c r="AH78" s="2291"/>
      <c r="AI78" s="2291"/>
      <c r="AJ78" s="2291"/>
      <c r="AK78" s="2291"/>
      <c r="AL78" s="2291"/>
      <c r="AM78" s="2291"/>
      <c r="AN78" s="2292"/>
      <c r="AP78" s="1321" t="s">
        <v>1333</v>
      </c>
    </row>
    <row r="79" spans="2:40" ht="18" customHeight="1">
      <c r="B79" s="398"/>
      <c r="C79" s="963"/>
      <c r="D79" s="2379"/>
      <c r="E79" s="2380"/>
      <c r="F79" s="2375"/>
      <c r="G79" s="961"/>
      <c r="H79" s="961"/>
      <c r="I79" s="961"/>
      <c r="J79" s="961"/>
      <c r="K79" s="961"/>
      <c r="L79" s="961"/>
      <c r="M79" s="962"/>
      <c r="N79" s="2367"/>
      <c r="O79" s="2368"/>
      <c r="P79" s="2368"/>
      <c r="Q79" s="2369"/>
      <c r="R79" s="1356"/>
      <c r="S79" s="1357"/>
      <c r="T79" s="1357"/>
      <c r="U79" s="1357"/>
      <c r="V79" s="1357"/>
      <c r="W79" s="1357"/>
      <c r="X79" s="1357"/>
      <c r="Y79" s="1357"/>
      <c r="Z79" s="1357"/>
      <c r="AA79" s="1357"/>
      <c r="AB79" s="1357"/>
      <c r="AC79" s="1358"/>
      <c r="AD79" s="2293"/>
      <c r="AE79" s="2294"/>
      <c r="AF79" s="2294"/>
      <c r="AG79" s="2294"/>
      <c r="AH79" s="2294"/>
      <c r="AI79" s="2294"/>
      <c r="AJ79" s="2294"/>
      <c r="AK79" s="2294"/>
      <c r="AL79" s="2294"/>
      <c r="AM79" s="2294"/>
      <c r="AN79" s="2295"/>
    </row>
    <row r="80" spans="2:40" ht="3" customHeight="1">
      <c r="B80" s="149"/>
      <c r="C80" s="963"/>
      <c r="D80" s="432"/>
      <c r="E80" s="964"/>
      <c r="F80" s="961"/>
      <c r="G80" s="961"/>
      <c r="H80" s="961"/>
      <c r="I80" s="961"/>
      <c r="J80" s="961"/>
      <c r="K80" s="961"/>
      <c r="L80" s="961"/>
      <c r="M80" s="962"/>
      <c r="N80" s="1319"/>
      <c r="O80" s="1319"/>
      <c r="P80" s="1319"/>
      <c r="Q80" s="1319"/>
      <c r="R80" s="1356"/>
      <c r="S80" s="1357"/>
      <c r="T80" s="1357"/>
      <c r="U80" s="1357"/>
      <c r="V80" s="1357"/>
      <c r="W80" s="1357"/>
      <c r="X80" s="1357"/>
      <c r="Y80" s="1357"/>
      <c r="Z80" s="1357"/>
      <c r="AA80" s="1357"/>
      <c r="AB80" s="1357"/>
      <c r="AC80" s="1357"/>
      <c r="AD80" s="1405"/>
      <c r="AE80" s="1406"/>
      <c r="AF80" s="1406"/>
      <c r="AG80" s="966"/>
      <c r="AH80" s="263"/>
      <c r="AI80" s="263"/>
      <c r="AJ80" s="263"/>
      <c r="AK80" s="263"/>
      <c r="AL80" s="263"/>
      <c r="AM80" s="263"/>
      <c r="AN80" s="967"/>
    </row>
    <row r="81" spans="2:40" ht="18" customHeight="1">
      <c r="B81" s="1341" t="s">
        <v>623</v>
      </c>
      <c r="C81" s="2376" t="str">
        <f ca="1">'Attachment'!B188</f>
        <v/>
      </c>
      <c r="D81" s="2377"/>
      <c r="E81" s="2378"/>
      <c r="F81" s="2372" t="str">
        <f ca="1">'Attachment'!D188</f>
        <v/>
      </c>
      <c r="G81" s="2373"/>
      <c r="H81" s="2373"/>
      <c r="I81" s="2373"/>
      <c r="J81" s="2373"/>
      <c r="K81" s="2373"/>
      <c r="L81" s="2373"/>
      <c r="M81" s="2374"/>
      <c r="N81" s="2308" t="str">
        <f ca="1">'Attachment'!O188</f>
        <v/>
      </c>
      <c r="O81" s="2365"/>
      <c r="P81" s="2365"/>
      <c r="Q81" s="2366"/>
      <c r="R81" s="2381" t="str">
        <f ca="1">'Attachment'!S188</f>
        <v/>
      </c>
      <c r="S81" s="2382"/>
      <c r="T81" s="2382"/>
      <c r="U81" s="2382"/>
      <c r="V81" s="2382"/>
      <c r="W81" s="2382"/>
      <c r="X81" s="2382"/>
      <c r="Y81" s="2382"/>
      <c r="Z81" s="2382"/>
      <c r="AA81" s="2382"/>
      <c r="AB81" s="2382"/>
      <c r="AC81" s="2383"/>
      <c r="AD81" s="2290"/>
      <c r="AE81" s="2291"/>
      <c r="AF81" s="2291"/>
      <c r="AG81" s="2291"/>
      <c r="AH81" s="2291"/>
      <c r="AI81" s="2291"/>
      <c r="AJ81" s="2291"/>
      <c r="AK81" s="2291"/>
      <c r="AL81" s="2291"/>
      <c r="AM81" s="2291"/>
      <c r="AN81" s="2292"/>
    </row>
    <row r="82" spans="2:40" ht="18" customHeight="1">
      <c r="B82" s="398"/>
      <c r="C82" s="963"/>
      <c r="D82" s="2379"/>
      <c r="E82" s="2380"/>
      <c r="F82" s="2375"/>
      <c r="G82" s="961"/>
      <c r="H82" s="961"/>
      <c r="I82" s="961"/>
      <c r="J82" s="961"/>
      <c r="K82" s="961"/>
      <c r="L82" s="961"/>
      <c r="M82" s="962"/>
      <c r="N82" s="2367"/>
      <c r="O82" s="2368"/>
      <c r="P82" s="2368"/>
      <c r="Q82" s="2369"/>
      <c r="R82" s="1356"/>
      <c r="S82" s="1357"/>
      <c r="T82" s="1357"/>
      <c r="U82" s="1357"/>
      <c r="V82" s="1357"/>
      <c r="W82" s="1357"/>
      <c r="X82" s="1357"/>
      <c r="Y82" s="1357"/>
      <c r="Z82" s="1357"/>
      <c r="AA82" s="1357"/>
      <c r="AB82" s="1357"/>
      <c r="AC82" s="1358"/>
      <c r="AD82" s="2293"/>
      <c r="AE82" s="2294"/>
      <c r="AF82" s="2294"/>
      <c r="AG82" s="2294"/>
      <c r="AH82" s="2294"/>
      <c r="AI82" s="2294"/>
      <c r="AJ82" s="2294"/>
      <c r="AK82" s="2294"/>
      <c r="AL82" s="2294"/>
      <c r="AM82" s="2294"/>
      <c r="AN82" s="2295"/>
    </row>
    <row r="83" spans="2:40" ht="3" customHeight="1">
      <c r="B83" s="149"/>
      <c r="C83" s="963"/>
      <c r="D83" s="432"/>
      <c r="E83" s="964"/>
      <c r="F83" s="961"/>
      <c r="G83" s="961"/>
      <c r="H83" s="961"/>
      <c r="I83" s="961"/>
      <c r="J83" s="961"/>
      <c r="K83" s="961"/>
      <c r="L83" s="961"/>
      <c r="M83" s="962"/>
      <c r="N83" s="1319"/>
      <c r="O83" s="1319"/>
      <c r="P83" s="1319"/>
      <c r="Q83" s="1319"/>
      <c r="R83" s="1356"/>
      <c r="S83" s="1357"/>
      <c r="T83" s="1357"/>
      <c r="U83" s="1357"/>
      <c r="V83" s="1357"/>
      <c r="W83" s="1357"/>
      <c r="X83" s="1357"/>
      <c r="Y83" s="1357"/>
      <c r="Z83" s="1357"/>
      <c r="AA83" s="1357"/>
      <c r="AB83" s="1357"/>
      <c r="AC83" s="1357"/>
      <c r="AD83" s="1405"/>
      <c r="AE83" s="1406"/>
      <c r="AF83" s="1406"/>
      <c r="AG83" s="966"/>
      <c r="AH83" s="263"/>
      <c r="AI83" s="263"/>
      <c r="AJ83" s="263"/>
      <c r="AK83" s="263"/>
      <c r="AL83" s="263"/>
      <c r="AM83" s="263"/>
      <c r="AN83" s="967"/>
    </row>
    <row r="84" spans="2:40" ht="18" customHeight="1">
      <c r="B84" s="1341" t="s">
        <v>624</v>
      </c>
      <c r="C84" s="2390" t="str">
        <f ca="1">'Attachment'!B189</f>
        <v/>
      </c>
      <c r="D84" s="2391"/>
      <c r="E84" s="2392"/>
      <c r="F84" s="2395" t="str">
        <f ca="1">'Attachment'!D189</f>
        <v/>
      </c>
      <c r="G84" s="2396"/>
      <c r="H84" s="2396"/>
      <c r="I84" s="2396"/>
      <c r="J84" s="2396"/>
      <c r="K84" s="2396"/>
      <c r="L84" s="2396"/>
      <c r="M84" s="2397"/>
      <c r="N84" s="2308" t="str">
        <f ca="1">'Attachment'!O189</f>
        <v/>
      </c>
      <c r="O84" s="2365"/>
      <c r="P84" s="2365"/>
      <c r="Q84" s="2366"/>
      <c r="R84" s="2399" t="str">
        <f ca="1">'Attachment'!S189</f>
        <v/>
      </c>
      <c r="S84" s="2400"/>
      <c r="T84" s="2400"/>
      <c r="U84" s="2400"/>
      <c r="V84" s="2400"/>
      <c r="W84" s="2400"/>
      <c r="X84" s="2400"/>
      <c r="Y84" s="2400"/>
      <c r="Z84" s="2400"/>
      <c r="AA84" s="2400"/>
      <c r="AB84" s="2400"/>
      <c r="AC84" s="2401"/>
      <c r="AD84" s="2290"/>
      <c r="AE84" s="2291"/>
      <c r="AF84" s="2291"/>
      <c r="AG84" s="2291"/>
      <c r="AH84" s="2291"/>
      <c r="AI84" s="2291"/>
      <c r="AJ84" s="2291"/>
      <c r="AK84" s="2291"/>
      <c r="AL84" s="2291"/>
      <c r="AM84" s="2291"/>
      <c r="AN84" s="2292"/>
    </row>
    <row r="85" spans="2:40" ht="18" customHeight="1">
      <c r="B85" s="398"/>
      <c r="C85" s="973"/>
      <c r="D85" s="2393"/>
      <c r="E85" s="2394"/>
      <c r="F85" s="2398"/>
      <c r="G85" s="1359"/>
      <c r="H85" s="1359"/>
      <c r="I85" s="1359"/>
      <c r="J85" s="1359"/>
      <c r="K85" s="1359"/>
      <c r="L85" s="1359"/>
      <c r="M85" s="1360"/>
      <c r="N85" s="2367"/>
      <c r="O85" s="2368"/>
      <c r="P85" s="2368"/>
      <c r="Q85" s="2369"/>
      <c r="R85" s="1361"/>
      <c r="S85" s="1362"/>
      <c r="T85" s="1362"/>
      <c r="U85" s="1362"/>
      <c r="V85" s="1362"/>
      <c r="W85" s="1362"/>
      <c r="X85" s="1362"/>
      <c r="Y85" s="1362"/>
      <c r="Z85" s="1362"/>
      <c r="AA85" s="1362"/>
      <c r="AB85" s="1362"/>
      <c r="AC85" s="2402"/>
      <c r="AD85" s="2293"/>
      <c r="AE85" s="2294"/>
      <c r="AF85" s="2294"/>
      <c r="AG85" s="2294"/>
      <c r="AH85" s="2294"/>
      <c r="AI85" s="2294"/>
      <c r="AJ85" s="2294"/>
      <c r="AK85" s="2294"/>
      <c r="AL85" s="2294"/>
      <c r="AM85" s="2294"/>
      <c r="AN85" s="2295"/>
    </row>
    <row r="86" spans="2:40" ht="3" customHeight="1">
      <c r="B86" s="149"/>
      <c r="C86" s="973"/>
      <c r="D86" s="1408"/>
      <c r="E86" s="974"/>
      <c r="F86" s="1359"/>
      <c r="G86" s="1359"/>
      <c r="H86" s="1359"/>
      <c r="I86" s="1359"/>
      <c r="J86" s="1359"/>
      <c r="K86" s="1359"/>
      <c r="L86" s="1359"/>
      <c r="M86" s="1360"/>
      <c r="N86" s="1319"/>
      <c r="O86" s="1319"/>
      <c r="P86" s="1319"/>
      <c r="Q86" s="1319"/>
      <c r="R86" s="1361"/>
      <c r="S86" s="1362"/>
      <c r="T86" s="1362"/>
      <c r="U86" s="1362"/>
      <c r="V86" s="1362"/>
      <c r="W86" s="1362"/>
      <c r="X86" s="1362"/>
      <c r="Y86" s="1362"/>
      <c r="Z86" s="1362"/>
      <c r="AA86" s="1362"/>
      <c r="AB86" s="1362"/>
      <c r="AC86" s="1362"/>
      <c r="AD86" s="1407"/>
      <c r="AE86" s="1408"/>
      <c r="AF86" s="1408"/>
      <c r="AG86" s="1068"/>
      <c r="AH86" s="1066"/>
      <c r="AI86" s="1066"/>
      <c r="AJ86" s="1066"/>
      <c r="AK86" s="1066"/>
      <c r="AL86" s="1066"/>
      <c r="AM86" s="1066"/>
      <c r="AN86" s="1069"/>
    </row>
    <row r="87" spans="2:40" ht="18" customHeight="1">
      <c r="B87" s="1341" t="s">
        <v>625</v>
      </c>
      <c r="C87" s="2390" t="str">
        <f ca="1">'Attachment'!B190</f>
        <v/>
      </c>
      <c r="D87" s="2391"/>
      <c r="E87" s="2392"/>
      <c r="F87" s="2395" t="str">
        <f ca="1">'Attachment'!D190</f>
        <v/>
      </c>
      <c r="G87" s="2396"/>
      <c r="H87" s="2396"/>
      <c r="I87" s="2396"/>
      <c r="J87" s="2396"/>
      <c r="K87" s="2396"/>
      <c r="L87" s="2396"/>
      <c r="M87" s="2397"/>
      <c r="N87" s="2308" t="str">
        <f ca="1">'Attachment'!O190</f>
        <v/>
      </c>
      <c r="O87" s="2365"/>
      <c r="P87" s="2365"/>
      <c r="Q87" s="2366"/>
      <c r="R87" s="2399" t="str">
        <f ca="1">'Attachment'!S190</f>
        <v/>
      </c>
      <c r="S87" s="2400"/>
      <c r="T87" s="2400"/>
      <c r="U87" s="2400"/>
      <c r="V87" s="2400"/>
      <c r="W87" s="2400"/>
      <c r="X87" s="2400"/>
      <c r="Y87" s="2400"/>
      <c r="Z87" s="2400"/>
      <c r="AA87" s="2400"/>
      <c r="AB87" s="2400"/>
      <c r="AC87" s="2401"/>
      <c r="AD87" s="2290"/>
      <c r="AE87" s="2291"/>
      <c r="AF87" s="2291"/>
      <c r="AG87" s="2291"/>
      <c r="AH87" s="2291"/>
      <c r="AI87" s="2291"/>
      <c r="AJ87" s="2291"/>
      <c r="AK87" s="2291"/>
      <c r="AL87" s="2291"/>
      <c r="AM87" s="2291"/>
      <c r="AN87" s="2292"/>
    </row>
    <row r="88" spans="2:40" ht="18" customHeight="1">
      <c r="B88" s="398" t="s">
        <v>700</v>
      </c>
      <c r="C88" s="973"/>
      <c r="D88" s="2393"/>
      <c r="E88" s="2394"/>
      <c r="F88" s="2398"/>
      <c r="G88" s="1359"/>
      <c r="H88" s="1359"/>
      <c r="I88" s="1359"/>
      <c r="J88" s="1359"/>
      <c r="K88" s="1359"/>
      <c r="L88" s="1359"/>
      <c r="M88" s="1360"/>
      <c r="N88" s="2367"/>
      <c r="O88" s="2368"/>
      <c r="P88" s="2368"/>
      <c r="Q88" s="2369"/>
      <c r="R88" s="1361"/>
      <c r="S88" s="1362"/>
      <c r="T88" s="1362"/>
      <c r="U88" s="1362"/>
      <c r="V88" s="1362"/>
      <c r="W88" s="1362"/>
      <c r="X88" s="1362"/>
      <c r="Y88" s="1362"/>
      <c r="Z88" s="1362"/>
      <c r="AA88" s="1362"/>
      <c r="AB88" s="1362"/>
      <c r="AC88" s="2402"/>
      <c r="AD88" s="2293"/>
      <c r="AE88" s="2294"/>
      <c r="AF88" s="2294"/>
      <c r="AG88" s="2294"/>
      <c r="AH88" s="2294"/>
      <c r="AI88" s="2294"/>
      <c r="AJ88" s="2294"/>
      <c r="AK88" s="2294"/>
      <c r="AL88" s="2294"/>
      <c r="AM88" s="2294"/>
      <c r="AN88" s="2295"/>
    </row>
    <row r="89" spans="2:40" ht="3" customHeight="1">
      <c r="B89" s="419"/>
      <c r="C89" s="625"/>
      <c r="D89" s="635"/>
      <c r="E89" s="333"/>
      <c r="F89" s="955"/>
      <c r="G89" s="955"/>
      <c r="H89" s="955"/>
      <c r="I89" s="955"/>
      <c r="J89" s="955"/>
      <c r="K89" s="955"/>
      <c r="L89" s="955"/>
      <c r="M89" s="956"/>
      <c r="N89" s="302"/>
      <c r="O89" s="326"/>
      <c r="P89" s="326"/>
      <c r="Q89" s="326"/>
      <c r="R89" s="328"/>
      <c r="S89" s="329"/>
      <c r="T89" s="329"/>
      <c r="U89" s="329"/>
      <c r="V89" s="329"/>
      <c r="W89" s="329"/>
      <c r="X89" s="329"/>
      <c r="Y89" s="329"/>
      <c r="Z89" s="329"/>
      <c r="AA89" s="329"/>
      <c r="AB89" s="329"/>
      <c r="AC89" s="329"/>
      <c r="AD89" s="328"/>
      <c r="AE89" s="329"/>
      <c r="AF89" s="329"/>
      <c r="AG89" s="267"/>
      <c r="AH89" s="299"/>
      <c r="AI89" s="299"/>
      <c r="AJ89" s="299"/>
      <c r="AK89" s="299"/>
      <c r="AL89" s="299"/>
      <c r="AM89" s="299"/>
      <c r="AN89" s="300"/>
    </row>
    <row r="90" spans="2:40" ht="15" customHeight="1">
      <c r="B90" s="151"/>
      <c r="C90" s="151" t="s">
        <v>231</v>
      </c>
      <c r="D90" s="1444"/>
      <c r="E90" s="1444"/>
      <c r="F90" s="1444"/>
      <c r="G90" s="1444"/>
      <c r="H90" s="1444"/>
      <c r="I90" s="1444"/>
      <c r="J90" s="1444"/>
      <c r="K90" s="1444"/>
      <c r="L90" s="1444"/>
      <c r="M90" s="2161"/>
      <c r="N90" s="181"/>
      <c r="O90" s="181"/>
      <c r="P90" s="151" t="s">
        <v>580</v>
      </c>
      <c r="Q90" s="2161"/>
      <c r="R90" s="2246">
        <f ca="1">SUM(R75:AC88)</f>
        <v>0</v>
      </c>
      <c r="S90" s="1348"/>
      <c r="T90" s="1348"/>
      <c r="U90" s="1348"/>
      <c r="V90" s="1348"/>
      <c r="W90" s="1348"/>
      <c r="X90" s="1348"/>
      <c r="Y90" s="1348"/>
      <c r="Z90" s="1348"/>
      <c r="AA90" s="1348"/>
      <c r="AB90" s="1348"/>
      <c r="AC90" s="323"/>
      <c r="AD90" s="195"/>
      <c r="AE90" s="195"/>
      <c r="AF90" s="195"/>
      <c r="AG90" s="195"/>
      <c r="AH90" s="195"/>
      <c r="AI90" s="195"/>
      <c r="AJ90" s="195"/>
      <c r="AK90" s="196"/>
      <c r="AL90" s="196"/>
      <c r="AM90" s="196"/>
      <c r="AN90" s="197"/>
    </row>
    <row r="91" spans="2:40" ht="6.75" customHeight="1">
      <c r="B91" s="149"/>
      <c r="C91" s="149"/>
      <c r="D91" s="71"/>
      <c r="E91" s="71"/>
      <c r="F91" s="71"/>
      <c r="G91" s="71"/>
      <c r="H91" s="71"/>
      <c r="I91" s="71"/>
      <c r="J91" s="71"/>
      <c r="K91" s="71"/>
      <c r="L91" s="71"/>
      <c r="M91" s="395"/>
      <c r="N91" s="105"/>
      <c r="O91" s="105"/>
      <c r="P91" s="149"/>
      <c r="Q91" s="395"/>
      <c r="R91" s="1347"/>
      <c r="S91" s="1194"/>
      <c r="T91" s="1194"/>
      <c r="U91" s="1194"/>
      <c r="V91" s="1194"/>
      <c r="W91" s="1194"/>
      <c r="X91" s="1194"/>
      <c r="Y91" s="1194"/>
      <c r="Z91" s="1194"/>
      <c r="AA91" s="1194"/>
      <c r="AB91" s="1194"/>
      <c r="AC91" s="324"/>
      <c r="AD91" s="102"/>
      <c r="AE91" s="102"/>
      <c r="AF91" s="102"/>
      <c r="AG91" s="102"/>
      <c r="AH91" s="102"/>
      <c r="AI91" s="102"/>
      <c r="AJ91" s="102"/>
      <c r="AK91" s="103"/>
      <c r="AL91" s="103"/>
      <c r="AM91" s="103"/>
      <c r="AN91" s="191"/>
    </row>
    <row r="92" spans="2:40" ht="3" customHeight="1">
      <c r="B92" s="361"/>
      <c r="C92" s="1337"/>
      <c r="D92" s="2187"/>
      <c r="E92" s="2187"/>
      <c r="F92" s="2187"/>
      <c r="G92" s="2187"/>
      <c r="H92" s="2187"/>
      <c r="I92" s="2187"/>
      <c r="J92" s="2187"/>
      <c r="K92" s="2187"/>
      <c r="L92" s="2187"/>
      <c r="M92" s="2180"/>
      <c r="N92" s="166"/>
      <c r="O92" s="166"/>
      <c r="P92" s="1337"/>
      <c r="Q92" s="2180"/>
      <c r="R92" s="2267"/>
      <c r="S92" s="2268"/>
      <c r="T92" s="2268"/>
      <c r="U92" s="2268"/>
      <c r="V92" s="2268"/>
      <c r="W92" s="2268"/>
      <c r="X92" s="2268"/>
      <c r="Y92" s="2268"/>
      <c r="Z92" s="2268"/>
      <c r="AA92" s="2268"/>
      <c r="AB92" s="2268"/>
      <c r="AC92" s="2269"/>
      <c r="AD92" s="192"/>
      <c r="AE92" s="192"/>
      <c r="AF92" s="192"/>
      <c r="AG92" s="192"/>
      <c r="AH92" s="192"/>
      <c r="AI92" s="192"/>
      <c r="AJ92" s="192"/>
      <c r="AK92" s="193"/>
      <c r="AL92" s="193"/>
      <c r="AM92" s="193"/>
      <c r="AN92" s="194"/>
    </row>
    <row r="93" spans="2:40" ht="3" customHeight="1"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47"/>
      <c r="AE93" s="47"/>
      <c r="AF93" s="47"/>
      <c r="AG93" s="47"/>
      <c r="AH93" s="47"/>
      <c r="AI93" s="47"/>
      <c r="AJ93" s="175"/>
      <c r="AK93" s="175"/>
      <c r="AL93" s="175"/>
      <c r="AM93" s="175"/>
      <c r="AN93" s="175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3" customHeight="1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4"/>
      <c r="AE96" s="4"/>
      <c r="AF96" s="4"/>
      <c r="AG96" s="4"/>
      <c r="AH96" s="4"/>
      <c r="AI96" s="4"/>
      <c r="AJ96"/>
      <c r="AK96"/>
      <c r="AL96"/>
      <c r="AM96"/>
      <c r="AN96"/>
    </row>
    <row r="97" spans="2:40" ht="15" customHeight="1">
      <c r="B97" s="75"/>
      <c r="C97" s="76" t="s">
        <v>251</v>
      </c>
      <c r="D97" s="76"/>
      <c r="E97" s="15"/>
      <c r="F97" s="76" t="s">
        <v>26</v>
      </c>
      <c r="G97" s="83" t="s">
        <v>694</v>
      </c>
      <c r="H97" s="15"/>
      <c r="I97" s="76"/>
      <c r="J97" s="76"/>
      <c r="K97" s="76"/>
      <c r="L97" s="69"/>
      <c r="M97" s="4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7"/>
      <c r="AC97" s="11"/>
      <c r="AD97" s="4"/>
      <c r="AE97" s="4"/>
      <c r="AF97" s="4"/>
      <c r="AG97" s="4"/>
      <c r="AH97" s="4"/>
      <c r="AI97" s="4"/>
      <c r="AJ97"/>
      <c r="AK97"/>
      <c r="AL97"/>
      <c r="AM97"/>
      <c r="AN97"/>
    </row>
    <row r="98" spans="2:40" ht="5.25" customHeight="1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4"/>
      <c r="AE98" s="4"/>
      <c r="AF98" s="4"/>
      <c r="AG98" s="4"/>
      <c r="AH98" s="4"/>
      <c r="AI98" s="4"/>
      <c r="AJ98"/>
      <c r="AK98"/>
      <c r="AL98"/>
      <c r="AM98"/>
      <c r="AN98"/>
    </row>
    <row r="99" spans="2:40" ht="3" customHeight="1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4"/>
      <c r="AE99" s="4"/>
      <c r="AF99" s="4"/>
      <c r="AG99" s="4"/>
      <c r="AH99" s="4"/>
      <c r="AI99" s="4"/>
      <c r="AJ99"/>
      <c r="AK99"/>
      <c r="AL99"/>
      <c r="AM99"/>
      <c r="AN99"/>
    </row>
    <row r="100" spans="2:40" ht="15" customHeight="1">
      <c r="B100" s="2203" t="s">
        <v>76</v>
      </c>
      <c r="C100" s="2257" t="s">
        <v>883</v>
      </c>
      <c r="D100" s="2258"/>
      <c r="E100" s="2259"/>
      <c r="F100" s="151" t="s">
        <v>882</v>
      </c>
      <c r="G100" s="1444"/>
      <c r="H100" s="1444"/>
      <c r="I100" s="1444"/>
      <c r="J100" s="1444"/>
      <c r="K100" s="1444"/>
      <c r="L100" s="1444"/>
      <c r="M100" s="2161"/>
      <c r="N100" s="156" t="s">
        <v>253</v>
      </c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6" t="s">
        <v>247</v>
      </c>
      <c r="AA100" s="159"/>
      <c r="AB100" s="159"/>
      <c r="AC100" s="2162"/>
      <c r="AD100" s="1444" t="s">
        <v>254</v>
      </c>
      <c r="AE100" s="1444"/>
      <c r="AF100" s="1444"/>
      <c r="AG100" s="1444"/>
      <c r="AH100" s="1444"/>
      <c r="AI100" s="1444"/>
      <c r="AJ100" s="1444"/>
      <c r="AK100" s="1444"/>
      <c r="AL100" s="1444"/>
      <c r="AM100" s="1444"/>
      <c r="AN100" s="2161"/>
    </row>
    <row r="101" spans="2:40" ht="15" customHeight="1">
      <c r="B101" s="2184"/>
      <c r="C101" s="2260"/>
      <c r="D101" s="2261"/>
      <c r="E101" s="2262"/>
      <c r="F101" s="149"/>
      <c r="G101" s="71"/>
      <c r="H101" s="71"/>
      <c r="I101" s="71"/>
      <c r="J101" s="71"/>
      <c r="K101" s="71"/>
      <c r="L101" s="71"/>
      <c r="M101" s="395"/>
      <c r="N101" s="164" t="s">
        <v>252</v>
      </c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164" t="s">
        <v>248</v>
      </c>
      <c r="AA101" s="69"/>
      <c r="AB101" s="69"/>
      <c r="AC101" s="218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395"/>
    </row>
    <row r="102" spans="2:40" ht="3" customHeight="1">
      <c r="B102" s="2184"/>
      <c r="C102" s="855"/>
      <c r="D102" s="856"/>
      <c r="E102" s="857"/>
      <c r="F102" s="628"/>
      <c r="G102" s="162"/>
      <c r="H102" s="162"/>
      <c r="I102" s="162"/>
      <c r="J102" s="162"/>
      <c r="K102" s="162"/>
      <c r="L102" s="162"/>
      <c r="M102" s="162"/>
      <c r="N102" s="165"/>
      <c r="O102" s="162"/>
      <c r="P102" s="184"/>
      <c r="Q102" s="630"/>
      <c r="R102" s="630"/>
      <c r="S102" s="630"/>
      <c r="T102" s="630"/>
      <c r="U102" s="630"/>
      <c r="V102" s="630"/>
      <c r="W102" s="630"/>
      <c r="X102" s="630"/>
      <c r="Y102" s="630"/>
      <c r="Z102" s="2298"/>
      <c r="AA102" s="2299"/>
      <c r="AB102" s="2299"/>
      <c r="AC102" s="2300"/>
      <c r="AD102" s="162"/>
      <c r="AE102" s="630"/>
      <c r="AF102" s="630"/>
      <c r="AG102" s="184"/>
      <c r="AH102" s="630"/>
      <c r="AI102" s="162"/>
      <c r="AJ102" s="162"/>
      <c r="AK102" s="162"/>
      <c r="AL102" s="162"/>
      <c r="AM102" s="162"/>
      <c r="AN102" s="629"/>
    </row>
    <row r="103" spans="2:40" s="16" customFormat="1" ht="12" customHeight="1">
      <c r="B103" s="155" t="s">
        <v>65</v>
      </c>
      <c r="C103" s="155" t="s">
        <v>64</v>
      </c>
      <c r="D103" s="2182"/>
      <c r="E103" s="2183"/>
      <c r="F103" s="155" t="s">
        <v>66</v>
      </c>
      <c r="G103" s="2182"/>
      <c r="H103" s="2182"/>
      <c r="I103" s="2182"/>
      <c r="J103" s="2182"/>
      <c r="K103" s="2182"/>
      <c r="L103" s="2182"/>
      <c r="M103" s="2183"/>
      <c r="N103" s="155" t="s">
        <v>67</v>
      </c>
      <c r="O103" s="2182"/>
      <c r="P103" s="2182"/>
      <c r="Q103" s="2182"/>
      <c r="R103" s="2182"/>
      <c r="S103" s="2182"/>
      <c r="T103" s="2182"/>
      <c r="U103" s="2182"/>
      <c r="V103" s="2182"/>
      <c r="W103" s="2182"/>
      <c r="X103" s="2182"/>
      <c r="Y103" s="2182"/>
      <c r="Z103" s="155" t="s">
        <v>68</v>
      </c>
      <c r="AA103" s="2182"/>
      <c r="AB103" s="2182"/>
      <c r="AC103" s="2183"/>
      <c r="AD103" s="2182" t="s">
        <v>99</v>
      </c>
      <c r="AE103" s="2182"/>
      <c r="AF103" s="2182"/>
      <c r="AG103" s="2182"/>
      <c r="AH103" s="2182"/>
      <c r="AI103" s="2182"/>
      <c r="AJ103" s="2182"/>
      <c r="AK103" s="2182"/>
      <c r="AL103" s="2182"/>
      <c r="AM103" s="2182"/>
      <c r="AN103" s="2183"/>
    </row>
    <row r="104" spans="2:48" ht="18" customHeight="1">
      <c r="B104" s="1341" t="s">
        <v>621</v>
      </c>
      <c r="C104" s="1334"/>
      <c r="D104" s="1335"/>
      <c r="E104" s="1336"/>
      <c r="F104" s="2372" t="s">
        <v>1089</v>
      </c>
      <c r="G104" s="2373"/>
      <c r="H104" s="2373"/>
      <c r="I104" s="2373"/>
      <c r="J104" s="2373"/>
      <c r="K104" s="2373"/>
      <c r="L104" s="2373"/>
      <c r="M104" s="2374"/>
      <c r="N104" s="343"/>
      <c r="O104" s="40"/>
      <c r="P104"/>
      <c r="Q104" s="40"/>
      <c r="R104" s="40"/>
      <c r="S104" s="40"/>
      <c r="T104" s="40"/>
      <c r="U104" s="40"/>
      <c r="V104" s="40"/>
      <c r="W104" s="40"/>
      <c r="X104" s="40"/>
      <c r="Y104" s="40"/>
      <c r="Z104" s="814"/>
      <c r="AA104" s="40"/>
      <c r="AB104"/>
      <c r="AC104" s="815"/>
      <c r="AD104" s="1194">
        <f ca="1">'FE-1770 S-II'!AD119</f>
        <v>0</v>
      </c>
      <c r="AE104" s="1194"/>
      <c r="AF104" s="1194"/>
      <c r="AG104" s="1194"/>
      <c r="AH104" s="1194"/>
      <c r="AI104" s="1194"/>
      <c r="AJ104" s="1194"/>
      <c r="AK104" s="1194"/>
      <c r="AL104" s="1194"/>
      <c r="AM104" s="1194"/>
      <c r="AN104" s="324"/>
      <c r="AP104" s="2409" t="s">
        <v>1334</v>
      </c>
      <c r="AQ104" s="2409"/>
      <c r="AR104" s="2409"/>
      <c r="AS104" s="2409"/>
      <c r="AT104" s="2409"/>
      <c r="AU104" s="2409"/>
      <c r="AV104" s="2409"/>
    </row>
    <row r="105" spans="2:48" ht="18" customHeight="1">
      <c r="B105" s="398"/>
      <c r="C105" s="340"/>
      <c r="D105" s="322"/>
      <c r="E105" s="341"/>
      <c r="F105" s="2375"/>
      <c r="G105" s="961"/>
      <c r="H105" s="961"/>
      <c r="I105" s="961"/>
      <c r="J105" s="961"/>
      <c r="K105" s="961"/>
      <c r="L105" s="961"/>
      <c r="M105" s="962"/>
      <c r="N105" s="343"/>
      <c r="O105" s="40"/>
      <c r="P105"/>
      <c r="Q105" s="40"/>
      <c r="R105" s="40"/>
      <c r="S105" s="40"/>
      <c r="T105" s="40"/>
      <c r="U105" s="40"/>
      <c r="V105" s="40"/>
      <c r="W105" s="40"/>
      <c r="X105" s="40"/>
      <c r="Y105" s="40"/>
      <c r="Z105" s="814"/>
      <c r="AA105" s="40"/>
      <c r="AB105" s="40"/>
      <c r="AC105" s="815"/>
      <c r="AD105" s="1194"/>
      <c r="AE105" s="1194"/>
      <c r="AF105" s="1194"/>
      <c r="AG105" s="1194"/>
      <c r="AH105" s="1194"/>
      <c r="AI105" s="1194"/>
      <c r="AJ105" s="1194"/>
      <c r="AK105" s="1194"/>
      <c r="AL105" s="1194"/>
      <c r="AM105" s="1194"/>
      <c r="AN105" s="324"/>
      <c r="AP105" s="2409"/>
      <c r="AQ105" s="2409"/>
      <c r="AR105" s="2409"/>
      <c r="AS105" s="2409"/>
      <c r="AT105" s="2409"/>
      <c r="AU105" s="2409"/>
      <c r="AV105" s="2409"/>
    </row>
    <row r="106" spans="2:40" ht="3" customHeight="1">
      <c r="B106" s="398"/>
      <c r="C106" s="343"/>
      <c r="D106" s="40"/>
      <c r="E106" s="344"/>
      <c r="F106" s="343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343"/>
      <c r="AA106" s="40"/>
      <c r="AB106" s="40"/>
      <c r="AC106" s="341"/>
      <c r="AD106" s="1194"/>
      <c r="AE106" s="1194"/>
      <c r="AF106" s="1194"/>
      <c r="AG106" s="1194"/>
      <c r="AH106" s="1194"/>
      <c r="AI106" s="1194"/>
      <c r="AJ106" s="1194"/>
      <c r="AK106" s="1194"/>
      <c r="AL106" s="1194"/>
      <c r="AM106" s="1194"/>
      <c r="AN106" s="324"/>
    </row>
    <row r="107" spans="2:40" ht="15" customHeight="1">
      <c r="B107" s="1341" t="s">
        <v>622</v>
      </c>
      <c r="C107" s="1334"/>
      <c r="D107" s="1335"/>
      <c r="E107" s="1336"/>
      <c r="F107" s="1334"/>
      <c r="G107" s="1335"/>
      <c r="H107" s="1335"/>
      <c r="I107" s="1335"/>
      <c r="J107" s="1335"/>
      <c r="K107" s="1335"/>
      <c r="L107" s="1335"/>
      <c r="M107" s="1336"/>
      <c r="N107" s="632"/>
      <c r="O107" s="337"/>
      <c r="P107" s="337"/>
      <c r="Q107" s="337"/>
      <c r="R107" s="337"/>
      <c r="S107" s="337"/>
      <c r="T107" s="337"/>
      <c r="U107" s="337"/>
      <c r="V107" s="337"/>
      <c r="W107" s="337"/>
      <c r="X107" s="337"/>
      <c r="Y107" s="337"/>
      <c r="Z107" s="1413"/>
      <c r="AA107" s="337"/>
      <c r="AB107" s="337"/>
      <c r="AC107" s="1414"/>
      <c r="AD107" s="2246"/>
      <c r="AE107" s="1348"/>
      <c r="AF107" s="1348"/>
      <c r="AG107" s="1348"/>
      <c r="AH107" s="1348"/>
      <c r="AI107" s="1348"/>
      <c r="AJ107" s="1348"/>
      <c r="AK107" s="1348"/>
      <c r="AL107" s="1348"/>
      <c r="AM107" s="1348"/>
      <c r="AN107" s="323"/>
    </row>
    <row r="108" spans="2:40" ht="12" customHeight="1">
      <c r="B108" s="398"/>
      <c r="C108" s="340"/>
      <c r="D108" s="322"/>
      <c r="E108" s="341"/>
      <c r="F108" s="340"/>
      <c r="G108" s="322"/>
      <c r="H108" s="322"/>
      <c r="I108" s="322"/>
      <c r="J108" s="322"/>
      <c r="K108" s="322"/>
      <c r="L108" s="322"/>
      <c r="M108" s="341"/>
      <c r="N108" s="343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814"/>
      <c r="AA108" s="40"/>
      <c r="AB108" s="40"/>
      <c r="AC108" s="815"/>
      <c r="AD108" s="1347"/>
      <c r="AE108" s="1194"/>
      <c r="AF108" s="1194"/>
      <c r="AG108" s="1194"/>
      <c r="AH108" s="1194"/>
      <c r="AI108" s="1194"/>
      <c r="AJ108" s="1194"/>
      <c r="AK108" s="1194"/>
      <c r="AL108" s="1194"/>
      <c r="AM108" s="1194"/>
      <c r="AN108" s="324"/>
    </row>
    <row r="109" spans="2:40" ht="3" customHeight="1">
      <c r="B109" s="149"/>
      <c r="C109" s="343"/>
      <c r="D109" s="40"/>
      <c r="E109" s="344"/>
      <c r="F109" s="40"/>
      <c r="G109" s="40"/>
      <c r="H109" s="40"/>
      <c r="I109" s="40"/>
      <c r="J109" s="40"/>
      <c r="K109" s="40"/>
      <c r="L109" s="40"/>
      <c r="M109" s="40"/>
      <c r="N109" s="343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343"/>
      <c r="AA109" s="40"/>
      <c r="AB109" s="40"/>
      <c r="AC109" s="341"/>
      <c r="AD109" s="362"/>
      <c r="AE109" s="362"/>
      <c r="AF109" s="362"/>
      <c r="AG109" s="362"/>
      <c r="AH109" s="362"/>
      <c r="AI109" s="362"/>
      <c r="AJ109" s="362"/>
      <c r="AK109" s="362"/>
      <c r="AL109" s="362"/>
      <c r="AM109" s="362"/>
      <c r="AN109" s="373"/>
    </row>
    <row r="110" spans="2:40" ht="15" customHeight="1">
      <c r="B110" s="1341" t="s">
        <v>623</v>
      </c>
      <c r="C110" s="2403"/>
      <c r="D110" s="142"/>
      <c r="E110" s="2404"/>
      <c r="F110" s="2403"/>
      <c r="G110" s="142"/>
      <c r="H110" s="142"/>
      <c r="I110" s="142"/>
      <c r="J110" s="142"/>
      <c r="K110" s="142"/>
      <c r="L110" s="142"/>
      <c r="M110" s="2404"/>
      <c r="N110" s="1415"/>
      <c r="O110" s="339"/>
      <c r="P110" s="1416"/>
      <c r="Q110" s="1416"/>
      <c r="R110" s="1416"/>
      <c r="S110" s="1416"/>
      <c r="T110" s="1416"/>
      <c r="U110" s="1416"/>
      <c r="V110" s="1416"/>
      <c r="W110" s="1416"/>
      <c r="X110" s="1416"/>
      <c r="Y110" s="1416"/>
      <c r="Z110" s="1417"/>
      <c r="AA110" s="1416"/>
      <c r="AB110" s="1416"/>
      <c r="AC110" s="1418"/>
      <c r="AD110" s="2407"/>
      <c r="AE110" s="1420"/>
      <c r="AF110" s="1420"/>
      <c r="AG110" s="1420"/>
      <c r="AH110" s="1420"/>
      <c r="AI110" s="1420"/>
      <c r="AJ110" s="1420"/>
      <c r="AK110" s="1420"/>
      <c r="AL110" s="1420"/>
      <c r="AM110" s="1420"/>
      <c r="AN110" s="1423"/>
    </row>
    <row r="111" spans="2:40" ht="12" customHeight="1">
      <c r="B111" s="398"/>
      <c r="C111" s="2405"/>
      <c r="D111" s="36"/>
      <c r="E111" s="2406"/>
      <c r="F111" s="2405"/>
      <c r="G111" s="36"/>
      <c r="H111" s="36"/>
      <c r="I111" s="36"/>
      <c r="J111" s="36"/>
      <c r="K111" s="36"/>
      <c r="L111" s="36"/>
      <c r="M111" s="2406"/>
      <c r="N111" s="134"/>
      <c r="O111" s="46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812"/>
      <c r="AA111" s="65"/>
      <c r="AB111" s="65"/>
      <c r="AC111" s="813"/>
      <c r="AD111" s="2408"/>
      <c r="AE111" s="1363"/>
      <c r="AF111" s="1363"/>
      <c r="AG111" s="1363"/>
      <c r="AH111" s="1363"/>
      <c r="AI111" s="1363"/>
      <c r="AJ111" s="1363"/>
      <c r="AK111" s="1363"/>
      <c r="AL111" s="1363"/>
      <c r="AM111" s="1363"/>
      <c r="AN111" s="1364"/>
    </row>
    <row r="112" spans="2:40" ht="3" customHeight="1">
      <c r="B112" s="149"/>
      <c r="C112" s="126"/>
      <c r="D112" s="46"/>
      <c r="E112" s="1419"/>
      <c r="F112" s="46"/>
      <c r="G112" s="46"/>
      <c r="H112" s="46"/>
      <c r="I112" s="46"/>
      <c r="J112" s="46"/>
      <c r="K112" s="46"/>
      <c r="L112" s="46"/>
      <c r="M112" s="46"/>
      <c r="N112" s="134"/>
      <c r="O112" s="46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134"/>
      <c r="AA112" s="65"/>
      <c r="AB112" s="65"/>
      <c r="AC112" s="816"/>
      <c r="AD112" s="957"/>
      <c r="AE112" s="957"/>
      <c r="AF112" s="957"/>
      <c r="AG112" s="957"/>
      <c r="AH112" s="957"/>
      <c r="AI112" s="957"/>
      <c r="AJ112" s="957"/>
      <c r="AK112" s="957"/>
      <c r="AL112" s="957"/>
      <c r="AM112" s="957"/>
      <c r="AN112" s="958"/>
    </row>
    <row r="113" spans="2:40" ht="15" customHeight="1">
      <c r="B113" s="1341" t="s">
        <v>624</v>
      </c>
      <c r="C113" s="2403"/>
      <c r="D113" s="142"/>
      <c r="E113" s="2404"/>
      <c r="F113" s="2403"/>
      <c r="G113" s="142"/>
      <c r="H113" s="142"/>
      <c r="I113" s="142"/>
      <c r="J113" s="142"/>
      <c r="K113" s="142"/>
      <c r="L113" s="142"/>
      <c r="M113" s="2404"/>
      <c r="N113" s="1415"/>
      <c r="O113" s="339"/>
      <c r="P113" s="1416"/>
      <c r="Q113" s="1416"/>
      <c r="R113" s="1416"/>
      <c r="S113" s="1416"/>
      <c r="T113" s="1416"/>
      <c r="U113" s="1416"/>
      <c r="V113" s="1416"/>
      <c r="W113" s="1416"/>
      <c r="X113" s="1416"/>
      <c r="Y113" s="1416"/>
      <c r="Z113" s="1417"/>
      <c r="AA113" s="1416"/>
      <c r="AB113" s="1416"/>
      <c r="AC113" s="1418"/>
      <c r="AD113" s="2407"/>
      <c r="AE113" s="1420"/>
      <c r="AF113" s="1420"/>
      <c r="AG113" s="1420"/>
      <c r="AH113" s="1420"/>
      <c r="AI113" s="1420"/>
      <c r="AJ113" s="1420"/>
      <c r="AK113" s="1420"/>
      <c r="AL113" s="1420"/>
      <c r="AM113" s="1420"/>
      <c r="AN113" s="1423"/>
    </row>
    <row r="114" spans="2:40" ht="11.25" customHeight="1">
      <c r="B114" s="398"/>
      <c r="C114" s="2405"/>
      <c r="D114" s="36"/>
      <c r="E114" s="2406"/>
      <c r="F114" s="2405"/>
      <c r="G114" s="36"/>
      <c r="H114" s="36"/>
      <c r="I114" s="36"/>
      <c r="J114" s="36"/>
      <c r="K114" s="36"/>
      <c r="L114" s="36"/>
      <c r="M114" s="2406"/>
      <c r="N114" s="134"/>
      <c r="O114" s="46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812"/>
      <c r="AA114" s="65"/>
      <c r="AB114" s="65"/>
      <c r="AC114" s="813"/>
      <c r="AD114" s="2408"/>
      <c r="AE114" s="1363"/>
      <c r="AF114" s="1363"/>
      <c r="AG114" s="1363"/>
      <c r="AH114" s="1363"/>
      <c r="AI114" s="1363"/>
      <c r="AJ114" s="1363"/>
      <c r="AK114" s="1363"/>
      <c r="AL114" s="1363"/>
      <c r="AM114" s="1363"/>
      <c r="AN114" s="1364"/>
    </row>
    <row r="115" spans="2:40" ht="3" customHeight="1">
      <c r="B115" s="149"/>
      <c r="C115" s="126"/>
      <c r="D115" s="46"/>
      <c r="E115" s="1419"/>
      <c r="F115" s="46"/>
      <c r="G115" s="46"/>
      <c r="H115" s="46"/>
      <c r="I115" s="46"/>
      <c r="J115" s="46"/>
      <c r="K115" s="46"/>
      <c r="L115" s="46"/>
      <c r="M115" s="46"/>
      <c r="N115" s="134"/>
      <c r="O115" s="46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134"/>
      <c r="AA115" s="65"/>
      <c r="AB115" s="65"/>
      <c r="AC115" s="816"/>
      <c r="AD115" s="957"/>
      <c r="AE115" s="957"/>
      <c r="AF115" s="957"/>
      <c r="AG115" s="960"/>
      <c r="AH115" s="957"/>
      <c r="AI115" s="957"/>
      <c r="AJ115" s="957"/>
      <c r="AK115" s="957"/>
      <c r="AL115" s="957"/>
      <c r="AM115" s="957"/>
      <c r="AN115" s="958"/>
    </row>
    <row r="116" spans="2:40" ht="15" customHeight="1">
      <c r="B116" s="1341" t="s">
        <v>625</v>
      </c>
      <c r="C116" s="2403"/>
      <c r="D116" s="142"/>
      <c r="E116" s="2404"/>
      <c r="F116" s="2403"/>
      <c r="G116" s="142"/>
      <c r="H116" s="142"/>
      <c r="I116" s="142"/>
      <c r="J116" s="142"/>
      <c r="K116" s="142"/>
      <c r="L116" s="142"/>
      <c r="M116" s="2404"/>
      <c r="N116" s="1415"/>
      <c r="O116" s="339"/>
      <c r="P116" s="1416"/>
      <c r="Q116" s="1416"/>
      <c r="R116" s="1416"/>
      <c r="S116" s="1416"/>
      <c r="T116" s="1416"/>
      <c r="U116" s="1416"/>
      <c r="V116" s="1416"/>
      <c r="W116" s="1416"/>
      <c r="X116" s="1416"/>
      <c r="Y116" s="1416"/>
      <c r="Z116" s="1417"/>
      <c r="AA116" s="1416"/>
      <c r="AB116" s="1416"/>
      <c r="AC116" s="1418"/>
      <c r="AD116" s="1420"/>
      <c r="AE116" s="1421"/>
      <c r="AF116" s="1421"/>
      <c r="AG116" s="1422"/>
      <c r="AH116" s="1420"/>
      <c r="AI116" s="1420"/>
      <c r="AJ116" s="1420"/>
      <c r="AK116" s="1420"/>
      <c r="AL116" s="1420"/>
      <c r="AM116" s="1420"/>
      <c r="AN116" s="1423"/>
    </row>
    <row r="117" spans="2:40" ht="15" customHeight="1">
      <c r="B117" s="398" t="s">
        <v>700</v>
      </c>
      <c r="C117" s="2405"/>
      <c r="D117" s="36"/>
      <c r="E117" s="2406"/>
      <c r="F117" s="2405"/>
      <c r="G117" s="36"/>
      <c r="H117" s="36"/>
      <c r="I117" s="36"/>
      <c r="J117" s="36"/>
      <c r="K117" s="36"/>
      <c r="L117" s="36"/>
      <c r="M117" s="2406"/>
      <c r="N117" s="134"/>
      <c r="O117" s="46"/>
      <c r="P117"/>
      <c r="Q117" s="65"/>
      <c r="R117" s="65"/>
      <c r="S117" s="65"/>
      <c r="T117" s="65"/>
      <c r="U117" s="65"/>
      <c r="V117" s="65"/>
      <c r="W117" s="65"/>
      <c r="X117" s="65"/>
      <c r="Y117" s="65"/>
      <c r="Z117" s="812"/>
      <c r="AA117" s="65"/>
      <c r="AB117"/>
      <c r="AC117" s="813"/>
      <c r="AD117" s="1363"/>
      <c r="AE117" s="959"/>
      <c r="AF117" s="959"/>
      <c r="AG117" s="960"/>
      <c r="AH117" s="1363"/>
      <c r="AI117" s="1363"/>
      <c r="AJ117" s="1363"/>
      <c r="AK117" s="1363"/>
      <c r="AL117" s="1363"/>
      <c r="AM117" s="1363"/>
      <c r="AN117" s="1364"/>
    </row>
    <row r="118" spans="2:40" ht="3" customHeight="1">
      <c r="B118" s="419"/>
      <c r="C118" s="830"/>
      <c r="D118" s="114"/>
      <c r="E118" s="370"/>
      <c r="F118" s="114"/>
      <c r="G118" s="114"/>
      <c r="H118" s="114"/>
      <c r="I118" s="114"/>
      <c r="J118" s="114"/>
      <c r="K118" s="114"/>
      <c r="L118" s="114"/>
      <c r="M118" s="114"/>
      <c r="N118" s="848"/>
      <c r="O118" s="114"/>
      <c r="P118" s="184"/>
      <c r="Q118" s="849"/>
      <c r="R118" s="849"/>
      <c r="S118" s="849"/>
      <c r="T118" s="849"/>
      <c r="U118" s="849"/>
      <c r="V118" s="849"/>
      <c r="W118" s="849"/>
      <c r="X118" s="849"/>
      <c r="Y118" s="849"/>
      <c r="Z118" s="830"/>
      <c r="AA118" s="849"/>
      <c r="AB118" s="184"/>
      <c r="AC118" s="370"/>
      <c r="AD118" s="114"/>
      <c r="AE118" s="114"/>
      <c r="AF118" s="114"/>
      <c r="AG118" s="184"/>
      <c r="AH118" s="114"/>
      <c r="AI118" s="114"/>
      <c r="AJ118" s="114"/>
      <c r="AK118" s="367"/>
      <c r="AL118" s="367"/>
      <c r="AM118" s="367"/>
      <c r="AN118" s="859"/>
    </row>
    <row r="119" spans="2:40" ht="15" customHeight="1">
      <c r="B119" s="151"/>
      <c r="C119" s="151" t="s">
        <v>239</v>
      </c>
      <c r="D119" s="1444"/>
      <c r="E119" s="1444"/>
      <c r="F119" s="1444"/>
      <c r="G119" s="1444"/>
      <c r="H119" s="1444"/>
      <c r="I119" s="1444"/>
      <c r="J119" s="1444"/>
      <c r="K119" s="1444"/>
      <c r="L119" s="1444"/>
      <c r="M119" s="1444"/>
      <c r="N119" s="1444"/>
      <c r="O119" s="1444"/>
      <c r="P119" s="1444"/>
      <c r="Q119" s="1444"/>
      <c r="R119" s="1444"/>
      <c r="S119" s="1444"/>
      <c r="T119" s="1444"/>
      <c r="U119" s="1444"/>
      <c r="V119" s="1444"/>
      <c r="W119" s="1444"/>
      <c r="X119" s="1444"/>
      <c r="Y119" s="2161"/>
      <c r="Z119" s="860"/>
      <c r="AA119" s="363"/>
      <c r="AB119" s="151" t="s">
        <v>581</v>
      </c>
      <c r="AC119" s="2161"/>
      <c r="AD119" s="1348">
        <f ca="1">SUM(AD104:AN117)</f>
        <v>0</v>
      </c>
      <c r="AE119" s="1348"/>
      <c r="AF119" s="1348"/>
      <c r="AG119" s="1348"/>
      <c r="AH119" s="1348"/>
      <c r="AI119" s="1348"/>
      <c r="AJ119" s="1348"/>
      <c r="AK119" s="1348"/>
      <c r="AL119" s="1348"/>
      <c r="AM119" s="1348"/>
      <c r="AN119" s="359"/>
    </row>
    <row r="120" spans="2:40" ht="6" customHeight="1">
      <c r="B120" s="153"/>
      <c r="C120" s="149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395"/>
      <c r="Z120" s="861"/>
      <c r="AA120" s="364"/>
      <c r="AB120" s="149"/>
      <c r="AC120" s="395"/>
      <c r="AD120" s="1194"/>
      <c r="AE120" s="1194"/>
      <c r="AF120" s="1194"/>
      <c r="AG120" s="1194"/>
      <c r="AH120" s="1194"/>
      <c r="AI120" s="1194"/>
      <c r="AJ120" s="1194"/>
      <c r="AK120" s="1194"/>
      <c r="AL120" s="1194"/>
      <c r="AM120" s="1194"/>
      <c r="AN120" s="360"/>
    </row>
    <row r="121" spans="2:40" ht="3" customHeight="1">
      <c r="B121" s="361"/>
      <c r="C121" s="1337"/>
      <c r="D121" s="2187"/>
      <c r="E121" s="2187"/>
      <c r="F121" s="2187"/>
      <c r="G121" s="2187"/>
      <c r="H121" s="2187"/>
      <c r="I121" s="2187"/>
      <c r="J121" s="2187"/>
      <c r="K121" s="2187"/>
      <c r="L121" s="2187"/>
      <c r="M121" s="2187"/>
      <c r="N121" s="2187"/>
      <c r="O121" s="2187"/>
      <c r="P121" s="2187"/>
      <c r="Q121" s="2187"/>
      <c r="R121" s="2187"/>
      <c r="S121" s="2187"/>
      <c r="T121" s="2187"/>
      <c r="U121" s="2187"/>
      <c r="V121" s="2187"/>
      <c r="W121" s="2187"/>
      <c r="X121" s="2187"/>
      <c r="Y121" s="2180"/>
      <c r="Z121" s="365"/>
      <c r="AA121" s="366"/>
      <c r="AB121" s="628"/>
      <c r="AC121" s="629"/>
      <c r="AD121" s="2268"/>
      <c r="AE121" s="2268"/>
      <c r="AF121" s="2268"/>
      <c r="AG121" s="2268"/>
      <c r="AH121" s="2268"/>
      <c r="AI121" s="2268"/>
      <c r="AJ121" s="2268"/>
      <c r="AK121" s="2268"/>
      <c r="AL121" s="2268"/>
      <c r="AM121" s="2268"/>
      <c r="AN121" s="858"/>
    </row>
    <row r="122" spans="2:40" ht="3" customHeight="1">
      <c r="B122" s="9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65"/>
      <c r="AC122" s="65"/>
      <c r="AD122" s="65"/>
      <c r="AE122" s="71"/>
      <c r="AF122" s="71"/>
      <c r="AG122" s="70"/>
      <c r="AH122" s="93"/>
      <c r="AI122" s="93"/>
      <c r="AJ122" s="46"/>
      <c r="AK122" s="93"/>
      <c r="AL122" s="93"/>
      <c r="AM122" s="93"/>
      <c r="AN122" s="93"/>
    </row>
    <row r="123" spans="2:40" ht="1.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4"/>
      <c r="AE123" s="4"/>
      <c r="AF123" s="4"/>
      <c r="AG123" s="4"/>
      <c r="AH123" s="4"/>
      <c r="AI123" s="4"/>
      <c r="AJ123"/>
      <c r="AK123"/>
      <c r="AL123"/>
      <c r="AM123"/>
      <c r="AN123"/>
    </row>
    <row r="124" spans="2:40" ht="3" customHeight="1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4"/>
      <c r="AE124" s="4"/>
      <c r="AF124" s="4"/>
      <c r="AG124" s="4"/>
      <c r="AH124" s="4"/>
      <c r="AI124" s="4"/>
      <c r="AJ124"/>
      <c r="AK124"/>
      <c r="AL124"/>
      <c r="AM124"/>
      <c r="AN124"/>
    </row>
    <row r="125" spans="2:40" ht="15" customHeight="1">
      <c r="B125" s="75"/>
      <c r="C125" s="76" t="s">
        <v>703</v>
      </c>
      <c r="D125" s="76"/>
      <c r="E125" s="15"/>
      <c r="F125" s="76" t="s">
        <v>26</v>
      </c>
      <c r="G125" s="83" t="s">
        <v>695</v>
      </c>
      <c r="H125" s="15"/>
      <c r="I125" s="76"/>
      <c r="J125" s="76"/>
      <c r="K125" s="76"/>
      <c r="L125" s="69"/>
      <c r="M125" s="4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7"/>
      <c r="AC125" s="11"/>
      <c r="AD125" s="4"/>
      <c r="AE125" s="4"/>
      <c r="AF125" s="4"/>
      <c r="AG125" s="4"/>
      <c r="AH125" s="4"/>
      <c r="AI125" s="4"/>
      <c r="AJ125"/>
      <c r="AK125"/>
      <c r="AL125"/>
      <c r="AM125"/>
      <c r="AN125"/>
    </row>
    <row r="126" spans="2:40" ht="4.5" customHeight="1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4"/>
      <c r="AE126" s="4"/>
      <c r="AF126" s="4"/>
      <c r="AG126" s="4"/>
      <c r="AH126" s="4"/>
      <c r="AI126" s="4"/>
      <c r="AJ126"/>
      <c r="AK126"/>
      <c r="AL126"/>
      <c r="AM126"/>
      <c r="AN126"/>
    </row>
    <row r="127" spans="2:40" ht="3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4"/>
      <c r="AE127" s="4"/>
      <c r="AF127" s="4"/>
      <c r="AG127" s="4"/>
      <c r="AH127" s="4"/>
      <c r="AI127" s="4"/>
      <c r="AJ127"/>
      <c r="AK127"/>
      <c r="AL127"/>
      <c r="AM127"/>
      <c r="AN127"/>
    </row>
    <row r="128" spans="2:40" ht="15" customHeight="1">
      <c r="B128" s="2203" t="s">
        <v>76</v>
      </c>
      <c r="C128" s="151" t="s">
        <v>607</v>
      </c>
      <c r="D128" s="1444"/>
      <c r="E128" s="1444"/>
      <c r="F128" s="1444"/>
      <c r="G128" s="1444"/>
      <c r="H128" s="1444"/>
      <c r="I128" s="1444"/>
      <c r="J128" s="1444"/>
      <c r="K128" s="1444"/>
      <c r="L128" s="1444"/>
      <c r="M128" s="1444"/>
      <c r="N128" s="1444"/>
      <c r="O128" s="2161"/>
      <c r="P128" s="151" t="s">
        <v>828</v>
      </c>
      <c r="Q128" s="2352"/>
      <c r="R128" s="2352"/>
      <c r="S128" s="2352"/>
      <c r="T128" s="2352"/>
      <c r="U128" s="2352"/>
      <c r="V128" s="2352"/>
      <c r="W128" s="2353"/>
      <c r="X128" s="151" t="s">
        <v>704</v>
      </c>
      <c r="Y128" s="1444"/>
      <c r="Z128" s="1444"/>
      <c r="AA128" s="1444"/>
      <c r="AB128" s="1444"/>
      <c r="AC128" s="1444"/>
      <c r="AD128" s="1444"/>
      <c r="AE128" s="1444"/>
      <c r="AF128" s="2161"/>
      <c r="AG128" s="151" t="s">
        <v>183</v>
      </c>
      <c r="AH128" s="1444"/>
      <c r="AI128" s="1444"/>
      <c r="AJ128" s="1444"/>
      <c r="AK128" s="1444"/>
      <c r="AL128" s="1444"/>
      <c r="AM128" s="1444"/>
      <c r="AN128" s="2161"/>
    </row>
    <row r="129" spans="2:40" ht="1.5" customHeight="1">
      <c r="B129" s="2184"/>
      <c r="C129" s="149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395"/>
      <c r="P129" s="411"/>
      <c r="Q129" s="119"/>
      <c r="R129" s="119"/>
      <c r="S129" s="119"/>
      <c r="T129" s="119"/>
      <c r="U129" s="119"/>
      <c r="V129" s="119"/>
      <c r="W129" s="2354"/>
      <c r="X129" s="149"/>
      <c r="Y129" s="71"/>
      <c r="Z129" s="71"/>
      <c r="AA129" s="71"/>
      <c r="AB129" s="71"/>
      <c r="AC129" s="71"/>
      <c r="AD129" s="71"/>
      <c r="AE129" s="71"/>
      <c r="AF129" s="395"/>
      <c r="AG129" s="149"/>
      <c r="AH129" s="71"/>
      <c r="AI129" s="71"/>
      <c r="AJ129" s="71"/>
      <c r="AK129" s="71"/>
      <c r="AL129" s="71"/>
      <c r="AM129" s="71"/>
      <c r="AN129" s="395"/>
    </row>
    <row r="130" spans="2:40" ht="3" customHeight="1">
      <c r="B130" s="2184"/>
      <c r="C130" s="1337"/>
      <c r="D130" s="2187"/>
      <c r="E130" s="2187"/>
      <c r="F130" s="2187"/>
      <c r="G130" s="2187"/>
      <c r="H130" s="2187"/>
      <c r="I130" s="2187"/>
      <c r="J130" s="2187"/>
      <c r="K130" s="2187"/>
      <c r="L130" s="2187"/>
      <c r="M130" s="2187"/>
      <c r="N130" s="2187"/>
      <c r="O130" s="2180"/>
      <c r="P130" s="2355"/>
      <c r="Q130" s="2356"/>
      <c r="R130" s="2356"/>
      <c r="S130" s="2356"/>
      <c r="T130" s="2356"/>
      <c r="U130" s="2356"/>
      <c r="V130" s="2356"/>
      <c r="W130" s="2357"/>
      <c r="X130" s="1337"/>
      <c r="Y130" s="2187"/>
      <c r="Z130" s="2187"/>
      <c r="AA130" s="2187"/>
      <c r="AB130" s="2187"/>
      <c r="AC130" s="2187"/>
      <c r="AD130" s="2187"/>
      <c r="AE130" s="2187"/>
      <c r="AF130" s="2180"/>
      <c r="AG130" s="1337"/>
      <c r="AH130" s="2187"/>
      <c r="AI130" s="2187"/>
      <c r="AJ130" s="2187"/>
      <c r="AK130" s="2187"/>
      <c r="AL130" s="2187"/>
      <c r="AM130" s="2187"/>
      <c r="AN130" s="2180"/>
    </row>
    <row r="131" spans="2:40" s="16" customFormat="1" ht="12.75" customHeight="1">
      <c r="B131" s="155" t="s">
        <v>65</v>
      </c>
      <c r="C131" s="155" t="s">
        <v>64</v>
      </c>
      <c r="D131" s="2182"/>
      <c r="E131" s="2182"/>
      <c r="F131" s="2182"/>
      <c r="G131" s="2182"/>
      <c r="H131" s="2182"/>
      <c r="I131" s="2182"/>
      <c r="J131" s="2182"/>
      <c r="K131" s="2182"/>
      <c r="L131" s="2182"/>
      <c r="M131" s="2182"/>
      <c r="N131" s="2182"/>
      <c r="O131" s="2183"/>
      <c r="P131" s="155" t="s">
        <v>66</v>
      </c>
      <c r="Q131" s="2182"/>
      <c r="R131" s="2182"/>
      <c r="S131" s="2182"/>
      <c r="T131" s="2182"/>
      <c r="U131" s="2182"/>
      <c r="V131" s="2182"/>
      <c r="W131" s="2183"/>
      <c r="X131" s="155" t="s">
        <v>67</v>
      </c>
      <c r="Y131" s="2182"/>
      <c r="Z131" s="2182"/>
      <c r="AA131" s="2182"/>
      <c r="AB131" s="2182"/>
      <c r="AC131" s="2182"/>
      <c r="AD131" s="2182"/>
      <c r="AE131" s="2182"/>
      <c r="AF131" s="2183"/>
      <c r="AG131" s="2182" t="s">
        <v>68</v>
      </c>
      <c r="AH131" s="2182"/>
      <c r="AI131" s="2182"/>
      <c r="AJ131" s="2182"/>
      <c r="AK131" s="2182"/>
      <c r="AL131" s="2182"/>
      <c r="AM131" s="2182"/>
      <c r="AN131" s="2183"/>
    </row>
    <row r="132" spans="2:40" ht="15" customHeight="1">
      <c r="B132" s="1341" t="s">
        <v>621</v>
      </c>
      <c r="C132" s="2321"/>
      <c r="D132" s="2322"/>
      <c r="E132" s="2322"/>
      <c r="F132" s="2322"/>
      <c r="G132" s="2322"/>
      <c r="H132" s="2322"/>
      <c r="I132" s="2322"/>
      <c r="J132" s="2322"/>
      <c r="K132" s="2322"/>
      <c r="L132" s="2322"/>
      <c r="M132" s="2322"/>
      <c r="N132" s="2322"/>
      <c r="O132" s="2323"/>
      <c r="P132" s="2328"/>
      <c r="Q132" s="2329"/>
      <c r="R132" s="2329"/>
      <c r="S132" s="2329"/>
      <c r="T132" s="2329"/>
      <c r="U132" s="2329"/>
      <c r="V132" s="2329"/>
      <c r="W132" s="2330"/>
      <c r="X132" s="2337"/>
      <c r="Y132" s="2338"/>
      <c r="Z132" s="2338"/>
      <c r="AA132" s="2338"/>
      <c r="AB132" s="2338"/>
      <c r="AC132" s="2338"/>
      <c r="AD132" s="2338"/>
      <c r="AE132" s="2338"/>
      <c r="AF132" s="2339"/>
      <c r="AG132" s="2361"/>
      <c r="AH132" s="2362"/>
      <c r="AI132" s="2362"/>
      <c r="AJ132" s="2362"/>
      <c r="AK132" s="2362"/>
      <c r="AL132" s="2362"/>
      <c r="AM132" s="2362"/>
      <c r="AN132" s="323"/>
    </row>
    <row r="133" spans="2:40" ht="8.25" customHeight="1">
      <c r="B133" s="398"/>
      <c r="C133" s="2324"/>
      <c r="D133" s="955"/>
      <c r="E133" s="955"/>
      <c r="F133" s="955"/>
      <c r="G133" s="955"/>
      <c r="H133" s="955"/>
      <c r="I133" s="955"/>
      <c r="J133" s="955"/>
      <c r="K133" s="955"/>
      <c r="L133" s="955"/>
      <c r="M133" s="955"/>
      <c r="N133" s="955"/>
      <c r="O133" s="956"/>
      <c r="P133" s="2331"/>
      <c r="Q133" s="2332"/>
      <c r="R133" s="2332"/>
      <c r="S133" s="2332"/>
      <c r="T133" s="2332"/>
      <c r="U133" s="2332"/>
      <c r="V133" s="2332"/>
      <c r="W133" s="2333"/>
      <c r="X133" s="2340"/>
      <c r="Y133" s="2341"/>
      <c r="Z133" s="2341"/>
      <c r="AA133" s="2341"/>
      <c r="AB133" s="2341"/>
      <c r="AC133" s="2341"/>
      <c r="AD133" s="2341"/>
      <c r="AE133" s="2341"/>
      <c r="AF133" s="2342"/>
      <c r="AG133" s="2363"/>
      <c r="AH133" s="2364"/>
      <c r="AI133" s="2364"/>
      <c r="AJ133" s="2364"/>
      <c r="AK133" s="2364"/>
      <c r="AL133" s="2364"/>
      <c r="AM133" s="2364"/>
      <c r="AN133" s="324"/>
    </row>
    <row r="134" spans="2:40" ht="3" customHeight="1">
      <c r="B134" s="149"/>
      <c r="C134" s="2324"/>
      <c r="D134" s="955"/>
      <c r="E134" s="955"/>
      <c r="F134" s="955"/>
      <c r="G134" s="955"/>
      <c r="H134" s="955"/>
      <c r="I134" s="955"/>
      <c r="J134" s="955"/>
      <c r="K134" s="955"/>
      <c r="L134" s="955"/>
      <c r="M134" s="955"/>
      <c r="N134" s="955"/>
      <c r="O134" s="956"/>
      <c r="P134" s="2331"/>
      <c r="Q134" s="2332"/>
      <c r="R134" s="2332"/>
      <c r="S134" s="2332"/>
      <c r="T134" s="2332"/>
      <c r="U134" s="2332"/>
      <c r="V134" s="2332"/>
      <c r="W134" s="2333"/>
      <c r="X134" s="2343"/>
      <c r="Y134" s="2344"/>
      <c r="Z134" s="2344"/>
      <c r="AA134" s="2344"/>
      <c r="AB134" s="2344"/>
      <c r="AC134" s="2344"/>
      <c r="AD134" s="2344"/>
      <c r="AE134" s="2344"/>
      <c r="AF134" s="2345"/>
      <c r="AG134" s="322"/>
      <c r="AH134" s="322"/>
      <c r="AI134" s="322"/>
      <c r="AJ134" s="322"/>
      <c r="AK134" s="322"/>
      <c r="AL134" s="322"/>
      <c r="AM134" s="322"/>
      <c r="AN134" s="373"/>
    </row>
    <row r="135" spans="2:40" ht="15" customHeight="1">
      <c r="B135" s="1341" t="s">
        <v>622</v>
      </c>
      <c r="C135" s="2321"/>
      <c r="D135" s="2322"/>
      <c r="E135" s="2322"/>
      <c r="F135" s="2322"/>
      <c r="G135" s="2322"/>
      <c r="H135" s="2322"/>
      <c r="I135" s="2322"/>
      <c r="J135" s="2322"/>
      <c r="K135" s="2322"/>
      <c r="L135" s="2322"/>
      <c r="M135" s="2322"/>
      <c r="N135" s="2322"/>
      <c r="O135" s="2323"/>
      <c r="P135" s="2328"/>
      <c r="Q135" s="2329"/>
      <c r="R135" s="2329"/>
      <c r="S135" s="2329"/>
      <c r="T135" s="2329"/>
      <c r="U135" s="2329"/>
      <c r="V135" s="2329"/>
      <c r="W135" s="2330"/>
      <c r="X135" s="2337"/>
      <c r="Y135" s="2338"/>
      <c r="Z135" s="2338"/>
      <c r="AA135" s="2338"/>
      <c r="AB135" s="2338"/>
      <c r="AC135" s="2338"/>
      <c r="AD135" s="2338"/>
      <c r="AE135" s="2338"/>
      <c r="AF135" s="2339"/>
      <c r="AG135" s="2155"/>
      <c r="AH135" s="2156"/>
      <c r="AI135" s="2156"/>
      <c r="AJ135" s="2156"/>
      <c r="AK135" s="2156"/>
      <c r="AL135" s="2156"/>
      <c r="AM135" s="2156"/>
      <c r="AN135" s="1411"/>
    </row>
    <row r="136" spans="2:40" ht="9.75" customHeight="1">
      <c r="B136" s="398"/>
      <c r="C136" s="2324"/>
      <c r="D136" s="955"/>
      <c r="E136" s="955"/>
      <c r="F136" s="955"/>
      <c r="G136" s="955"/>
      <c r="H136" s="955"/>
      <c r="I136" s="955"/>
      <c r="J136" s="955"/>
      <c r="K136" s="955"/>
      <c r="L136" s="955"/>
      <c r="M136" s="955"/>
      <c r="N136" s="955"/>
      <c r="O136" s="956"/>
      <c r="P136" s="2331"/>
      <c r="Q136" s="2332"/>
      <c r="R136" s="2332"/>
      <c r="S136" s="2332"/>
      <c r="T136" s="2332"/>
      <c r="U136" s="2332"/>
      <c r="V136" s="2332"/>
      <c r="W136" s="2333"/>
      <c r="X136" s="2340"/>
      <c r="Y136" s="2341"/>
      <c r="Z136" s="2341"/>
      <c r="AA136" s="2341"/>
      <c r="AB136" s="2341"/>
      <c r="AC136" s="2341"/>
      <c r="AD136" s="2341"/>
      <c r="AE136" s="2341"/>
      <c r="AF136" s="2342"/>
      <c r="AG136" s="810"/>
      <c r="AH136" s="302"/>
      <c r="AI136" s="302"/>
      <c r="AJ136" s="302"/>
      <c r="AK136" s="302"/>
      <c r="AL136" s="302"/>
      <c r="AM136" s="302"/>
      <c r="AN136" s="1353"/>
    </row>
    <row r="137" spans="2:40" ht="3" customHeight="1">
      <c r="B137" s="149"/>
      <c r="C137" s="2324"/>
      <c r="D137" s="955"/>
      <c r="E137" s="955"/>
      <c r="F137" s="955"/>
      <c r="G137" s="955"/>
      <c r="H137" s="955"/>
      <c r="I137" s="955"/>
      <c r="J137" s="955"/>
      <c r="K137" s="955"/>
      <c r="L137" s="955"/>
      <c r="M137" s="955"/>
      <c r="N137" s="955"/>
      <c r="O137" s="956"/>
      <c r="P137" s="2331"/>
      <c r="Q137" s="2332"/>
      <c r="R137" s="2332"/>
      <c r="S137" s="2332"/>
      <c r="T137" s="2332"/>
      <c r="U137" s="2332"/>
      <c r="V137" s="2332"/>
      <c r="W137" s="2333"/>
      <c r="X137" s="2343"/>
      <c r="Y137" s="2344"/>
      <c r="Z137" s="2344"/>
      <c r="AA137" s="2344"/>
      <c r="AB137" s="2344"/>
      <c r="AC137" s="2344"/>
      <c r="AD137" s="2344"/>
      <c r="AE137" s="2344"/>
      <c r="AF137" s="2345"/>
      <c r="AG137" s="302"/>
      <c r="AH137" s="302"/>
      <c r="AI137" s="302"/>
      <c r="AJ137" s="302"/>
      <c r="AK137" s="302"/>
      <c r="AL137" s="302"/>
      <c r="AM137" s="302"/>
      <c r="AN137" s="1353"/>
    </row>
    <row r="138" spans="2:40" ht="15" customHeight="1">
      <c r="B138" s="1341" t="s">
        <v>623</v>
      </c>
      <c r="C138" s="2315"/>
      <c r="D138" s="2316"/>
      <c r="E138" s="2316"/>
      <c r="F138" s="2316"/>
      <c r="G138" s="2316"/>
      <c r="H138" s="2316"/>
      <c r="I138" s="2316"/>
      <c r="J138" s="2316"/>
      <c r="K138" s="2316"/>
      <c r="L138" s="2316"/>
      <c r="M138" s="2316"/>
      <c r="N138" s="2316"/>
      <c r="O138" s="2317"/>
      <c r="P138" s="2328"/>
      <c r="Q138" s="2329"/>
      <c r="R138" s="2329"/>
      <c r="S138" s="2329"/>
      <c r="T138" s="2329"/>
      <c r="U138" s="2329"/>
      <c r="V138" s="2329"/>
      <c r="W138" s="2330"/>
      <c r="X138" s="2337"/>
      <c r="Y138" s="2338"/>
      <c r="Z138" s="2338"/>
      <c r="AA138" s="2338"/>
      <c r="AB138" s="2338"/>
      <c r="AC138" s="2338"/>
      <c r="AD138" s="2338"/>
      <c r="AE138" s="2338"/>
      <c r="AF138" s="2339"/>
      <c r="AG138" s="2155"/>
      <c r="AH138" s="2156"/>
      <c r="AI138" s="2156"/>
      <c r="AJ138" s="2156"/>
      <c r="AK138" s="2156"/>
      <c r="AL138" s="2156"/>
      <c r="AM138" s="2156"/>
      <c r="AN138" s="1412"/>
    </row>
    <row r="139" spans="2:40" ht="10.5" customHeight="1">
      <c r="B139" s="398"/>
      <c r="C139" s="2318"/>
      <c r="D139" s="2319"/>
      <c r="E139" s="2319"/>
      <c r="F139" s="2319"/>
      <c r="G139" s="2319"/>
      <c r="H139" s="2319"/>
      <c r="I139" s="2319"/>
      <c r="J139" s="2319"/>
      <c r="K139" s="2319"/>
      <c r="L139" s="2319"/>
      <c r="M139" s="2319"/>
      <c r="N139" s="2319"/>
      <c r="O139" s="2320"/>
      <c r="P139" s="2331"/>
      <c r="Q139" s="2332"/>
      <c r="R139" s="2332"/>
      <c r="S139" s="2332"/>
      <c r="T139" s="2332"/>
      <c r="U139" s="2332"/>
      <c r="V139" s="2332"/>
      <c r="W139" s="2333"/>
      <c r="X139" s="2340"/>
      <c r="Y139" s="2341"/>
      <c r="Z139" s="2341"/>
      <c r="AA139" s="2341"/>
      <c r="AB139" s="2341"/>
      <c r="AC139" s="2341"/>
      <c r="AD139" s="2341"/>
      <c r="AE139" s="2341"/>
      <c r="AF139" s="2342"/>
      <c r="AG139" s="810"/>
      <c r="AH139" s="302"/>
      <c r="AI139" s="302"/>
      <c r="AJ139" s="302"/>
      <c r="AK139" s="302"/>
      <c r="AL139" s="302"/>
      <c r="AM139" s="302"/>
      <c r="AN139" s="376"/>
    </row>
    <row r="140" spans="2:40" ht="3" customHeight="1">
      <c r="B140" s="149"/>
      <c r="C140" s="2318"/>
      <c r="D140" s="2319"/>
      <c r="E140" s="2319"/>
      <c r="F140" s="2319"/>
      <c r="G140" s="2319"/>
      <c r="H140" s="2319"/>
      <c r="I140" s="2319"/>
      <c r="J140" s="2319"/>
      <c r="K140" s="2319"/>
      <c r="L140" s="2319"/>
      <c r="M140" s="2319"/>
      <c r="N140" s="2319"/>
      <c r="O140" s="2320"/>
      <c r="P140" s="2331"/>
      <c r="Q140" s="2332"/>
      <c r="R140" s="2332"/>
      <c r="S140" s="2332"/>
      <c r="T140" s="2332"/>
      <c r="U140" s="2332"/>
      <c r="V140" s="2332"/>
      <c r="W140" s="2333"/>
      <c r="X140" s="2343"/>
      <c r="Y140" s="2344"/>
      <c r="Z140" s="2344"/>
      <c r="AA140" s="2344"/>
      <c r="AB140" s="2344"/>
      <c r="AC140" s="2344"/>
      <c r="AD140" s="2344"/>
      <c r="AE140" s="2344"/>
      <c r="AF140" s="2345"/>
      <c r="AG140" s="302"/>
      <c r="AH140" s="302"/>
      <c r="AI140" s="302"/>
      <c r="AJ140" s="302"/>
      <c r="AK140" s="302"/>
      <c r="AL140" s="302"/>
      <c r="AM140" s="302"/>
      <c r="AN140" s="820"/>
    </row>
    <row r="141" spans="2:40" ht="15" customHeight="1">
      <c r="B141" s="1341" t="s">
        <v>624</v>
      </c>
      <c r="C141" s="2321"/>
      <c r="D141" s="2322"/>
      <c r="E141" s="2322"/>
      <c r="F141" s="2322"/>
      <c r="G141" s="2322"/>
      <c r="H141" s="2322"/>
      <c r="I141" s="2322"/>
      <c r="J141" s="2322"/>
      <c r="K141" s="2322"/>
      <c r="L141" s="2322"/>
      <c r="M141" s="2322"/>
      <c r="N141" s="2322"/>
      <c r="O141" s="2323"/>
      <c r="P141" s="2328"/>
      <c r="Q141" s="2329"/>
      <c r="R141" s="2329"/>
      <c r="S141" s="2329"/>
      <c r="T141" s="2329"/>
      <c r="U141" s="2329"/>
      <c r="V141" s="2329"/>
      <c r="W141" s="2330"/>
      <c r="X141" s="2337"/>
      <c r="Y141" s="2338"/>
      <c r="Z141" s="2338"/>
      <c r="AA141" s="2338"/>
      <c r="AB141" s="2338"/>
      <c r="AC141" s="2338"/>
      <c r="AD141" s="2338"/>
      <c r="AE141" s="2338"/>
      <c r="AF141" s="2339"/>
      <c r="AG141" s="2155"/>
      <c r="AH141" s="2156"/>
      <c r="AI141" s="2156"/>
      <c r="AJ141" s="2156"/>
      <c r="AK141" s="2156"/>
      <c r="AL141" s="2156"/>
      <c r="AM141" s="2156"/>
      <c r="AN141" s="1412"/>
    </row>
    <row r="142" spans="2:40" ht="9" customHeight="1">
      <c r="B142" s="398"/>
      <c r="C142" s="2324"/>
      <c r="D142" s="955"/>
      <c r="E142" s="955"/>
      <c r="F142" s="955"/>
      <c r="G142" s="955"/>
      <c r="H142" s="955"/>
      <c r="I142" s="955"/>
      <c r="J142" s="955"/>
      <c r="K142" s="955"/>
      <c r="L142" s="955"/>
      <c r="M142" s="955"/>
      <c r="N142" s="955"/>
      <c r="O142" s="956"/>
      <c r="P142" s="2331"/>
      <c r="Q142" s="2332"/>
      <c r="R142" s="2332"/>
      <c r="S142" s="2332"/>
      <c r="T142" s="2332"/>
      <c r="U142" s="2332"/>
      <c r="V142" s="2332"/>
      <c r="W142" s="2333"/>
      <c r="X142" s="2340"/>
      <c r="Y142" s="2341"/>
      <c r="Z142" s="2341"/>
      <c r="AA142" s="2341"/>
      <c r="AB142" s="2341"/>
      <c r="AC142" s="2341"/>
      <c r="AD142" s="2341"/>
      <c r="AE142" s="2341"/>
      <c r="AF142" s="2342"/>
      <c r="AG142" s="810"/>
      <c r="AH142" s="302"/>
      <c r="AI142" s="302"/>
      <c r="AJ142" s="302"/>
      <c r="AK142" s="302"/>
      <c r="AL142" s="302"/>
      <c r="AM142" s="302"/>
      <c r="AN142" s="376"/>
    </row>
    <row r="143" spans="2:40" ht="3" customHeight="1">
      <c r="B143" s="149"/>
      <c r="C143" s="2324"/>
      <c r="D143" s="955"/>
      <c r="E143" s="955"/>
      <c r="F143" s="955"/>
      <c r="G143" s="955"/>
      <c r="H143" s="955"/>
      <c r="I143" s="955"/>
      <c r="J143" s="955"/>
      <c r="K143" s="955"/>
      <c r="L143" s="955"/>
      <c r="M143" s="955"/>
      <c r="N143" s="955"/>
      <c r="O143" s="956"/>
      <c r="P143" s="2331"/>
      <c r="Q143" s="2332"/>
      <c r="R143" s="2332"/>
      <c r="S143" s="2332"/>
      <c r="T143" s="2332"/>
      <c r="U143" s="2332"/>
      <c r="V143" s="2332"/>
      <c r="W143" s="2333"/>
      <c r="X143" s="2343"/>
      <c r="Y143" s="2344"/>
      <c r="Z143" s="2344"/>
      <c r="AA143" s="2344"/>
      <c r="AB143" s="2344"/>
      <c r="AC143" s="2344"/>
      <c r="AD143" s="2344"/>
      <c r="AE143" s="2344"/>
      <c r="AF143" s="2345"/>
      <c r="AG143" s="302"/>
      <c r="AH143" s="302"/>
      <c r="AI143" s="302"/>
      <c r="AJ143" s="302"/>
      <c r="AK143" s="302"/>
      <c r="AL143" s="302"/>
      <c r="AM143" s="302"/>
      <c r="AN143" s="820"/>
    </row>
    <row r="144" spans="2:40" ht="15" customHeight="1">
      <c r="B144" s="1341" t="s">
        <v>625</v>
      </c>
      <c r="C144" s="2321"/>
      <c r="D144" s="2322"/>
      <c r="E144" s="2322"/>
      <c r="F144" s="2322"/>
      <c r="G144" s="2322"/>
      <c r="H144" s="2322"/>
      <c r="I144" s="2322"/>
      <c r="J144" s="2322"/>
      <c r="K144" s="2322"/>
      <c r="L144" s="2322"/>
      <c r="M144" s="2322"/>
      <c r="N144" s="2322"/>
      <c r="O144" s="2323"/>
      <c r="P144" s="2328"/>
      <c r="Q144" s="2329"/>
      <c r="R144" s="2329"/>
      <c r="S144" s="2329"/>
      <c r="T144" s="2329"/>
      <c r="U144" s="2329"/>
      <c r="V144" s="2329"/>
      <c r="W144" s="2330"/>
      <c r="X144" s="2337"/>
      <c r="Y144" s="2338"/>
      <c r="Z144" s="2338"/>
      <c r="AA144" s="2338"/>
      <c r="AB144" s="2338"/>
      <c r="AC144" s="2338"/>
      <c r="AD144" s="2338"/>
      <c r="AE144" s="2338"/>
      <c r="AF144" s="2339"/>
      <c r="AG144" s="2155"/>
      <c r="AH144" s="2156"/>
      <c r="AI144" s="2156"/>
      <c r="AJ144" s="2156"/>
      <c r="AK144" s="2156"/>
      <c r="AL144" s="2156"/>
      <c r="AM144" s="2156"/>
      <c r="AN144" s="1412"/>
    </row>
    <row r="145" spans="2:40" ht="10.5" customHeight="1">
      <c r="B145" s="398"/>
      <c r="C145" s="2324"/>
      <c r="D145" s="955"/>
      <c r="E145" s="955"/>
      <c r="F145" s="955"/>
      <c r="G145" s="955"/>
      <c r="H145" s="955"/>
      <c r="I145" s="955"/>
      <c r="J145" s="955"/>
      <c r="K145" s="955"/>
      <c r="L145" s="955"/>
      <c r="M145" s="955"/>
      <c r="N145" s="955"/>
      <c r="O145" s="956"/>
      <c r="P145" s="2331"/>
      <c r="Q145" s="2332"/>
      <c r="R145" s="2332"/>
      <c r="S145" s="2332"/>
      <c r="T145" s="2332"/>
      <c r="U145" s="2332"/>
      <c r="V145" s="2332"/>
      <c r="W145" s="2333"/>
      <c r="X145" s="2340"/>
      <c r="Y145" s="2341"/>
      <c r="Z145" s="2341"/>
      <c r="AA145" s="2341"/>
      <c r="AB145" s="2341"/>
      <c r="AC145" s="2341"/>
      <c r="AD145" s="2341"/>
      <c r="AE145" s="2341"/>
      <c r="AF145" s="2342"/>
      <c r="AG145" s="810"/>
      <c r="AH145" s="302"/>
      <c r="AI145" s="302"/>
      <c r="AJ145" s="302"/>
      <c r="AK145" s="302"/>
      <c r="AL145" s="302"/>
      <c r="AM145" s="302"/>
      <c r="AN145" s="376"/>
    </row>
    <row r="146" spans="2:40" ht="3" customHeight="1">
      <c r="B146" s="1337"/>
      <c r="C146" s="2325"/>
      <c r="D146" s="2326"/>
      <c r="E146" s="2326"/>
      <c r="F146" s="2326"/>
      <c r="G146" s="2326"/>
      <c r="H146" s="2326"/>
      <c r="I146" s="2326"/>
      <c r="J146" s="2326"/>
      <c r="K146" s="2326"/>
      <c r="L146" s="2326"/>
      <c r="M146" s="2326"/>
      <c r="N146" s="2326"/>
      <c r="O146" s="2327"/>
      <c r="P146" s="2334"/>
      <c r="Q146" s="2335"/>
      <c r="R146" s="2335"/>
      <c r="S146" s="2335"/>
      <c r="T146" s="2335"/>
      <c r="U146" s="2335"/>
      <c r="V146" s="2335"/>
      <c r="W146" s="2336"/>
      <c r="X146" s="2358"/>
      <c r="Y146" s="2359"/>
      <c r="Z146" s="2359"/>
      <c r="AA146" s="2359"/>
      <c r="AB146" s="2359"/>
      <c r="AC146" s="2359"/>
      <c r="AD146" s="2359"/>
      <c r="AE146" s="2359"/>
      <c r="AF146" s="2360"/>
      <c r="AG146" s="420"/>
      <c r="AH146" s="420"/>
      <c r="AI146" s="420"/>
      <c r="AJ146" s="420"/>
      <c r="AK146" s="420"/>
      <c r="AL146" s="420"/>
      <c r="AM146" s="420"/>
      <c r="AN146" s="421"/>
    </row>
    <row r="147" spans="2:40" customHeight="1" thickBot="1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2:36" ht="15" customHeight="1" thickBot="1">
      <c r="B148" s="204" t="s">
        <v>600</v>
      </c>
      <c r="C148" s="225"/>
      <c r="D148" s="225"/>
      <c r="E148" s="225"/>
      <c r="F148" s="225"/>
      <c r="G148" s="225"/>
      <c r="H148" s="225"/>
      <c r="I148" s="225"/>
      <c r="J148" s="225"/>
      <c r="K148" s="225"/>
      <c r="L148" s="225"/>
      <c r="M148" s="225"/>
      <c r="N148" s="225"/>
      <c r="O148" s="225"/>
      <c r="P148" s="225"/>
      <c r="Q148" s="225"/>
      <c r="R148" s="225"/>
      <c r="S148" s="225"/>
      <c r="T148" s="226"/>
      <c r="U148" s="383"/>
      <c r="V148" s="430"/>
      <c r="W148" s="862"/>
      <c r="X148" s="383"/>
      <c r="Y148" s="382"/>
      <c r="Z148"/>
      <c r="AA148"/>
      <c r="AC148" s="65"/>
      <c r="AD148" s="65"/>
      <c r="AE148" s="207" t="s">
        <v>256</v>
      </c>
      <c r="AG148" s="1395">
        <v>1</v>
      </c>
      <c r="AH148" s="7" t="s">
        <v>257</v>
      </c>
      <c r="AI148" s="1395">
        <f ca="1">TOTAL_PAGES</f>
        <v>-2</v>
      </c>
      <c r="AJ148" s="65" t="s">
        <v>258</v>
      </c>
    </row>
    <row r="149" spans="1:41" customHeight="1">
      <c r="A149" s="1"/>
      <c r="B149" s="4"/>
      <c r="C149" s="4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O149" s="58"/>
    </row>
    <row r="152" spans="21:21" customHeight="1">
      <c r="U152" s="22"/>
    </row>
  </sheetData>
  <sheetProtection password="BDAF" sheet="1" objects="1" scenarios="1" selectLockedCells="1" selectUnlockedCells="1"/>
  <mergeCells count="196">
    <mergeCell ref="AP104:AV105"/>
    <mergeCell ref="B141:B142"/>
    <mergeCell ref="C141:O143"/>
    <mergeCell ref="P141:W143"/>
    <mergeCell ref="X141:AF143"/>
    <mergeCell ref="AG141:AM142"/>
    <mergeCell ref="B144:B145"/>
    <mergeCell ref="C144:O146"/>
    <mergeCell ref="P144:W146"/>
    <mergeCell ref="X144:AF146"/>
    <mergeCell ref="AG144:AM145"/>
    <mergeCell ref="B135:B136"/>
    <mergeCell ref="C135:O137"/>
    <mergeCell ref="P135:W137"/>
    <mergeCell ref="X135:AF137"/>
    <mergeCell ref="AG135:AM136"/>
    <mergeCell ref="B138:B139"/>
    <mergeCell ref="C138:O140"/>
    <mergeCell ref="P138:W140"/>
    <mergeCell ref="X138:AF140"/>
    <mergeCell ref="AG138:AM139"/>
    <mergeCell ref="C131:O131"/>
    <mergeCell ref="P131:W131"/>
    <mergeCell ref="X131:AF131"/>
    <mergeCell ref="AG131:AN131"/>
    <mergeCell ref="B132:B133"/>
    <mergeCell ref="C132:O134"/>
    <mergeCell ref="P132:W134"/>
    <mergeCell ref="X132:AF134"/>
    <mergeCell ref="AG132:AM133"/>
    <mergeCell ref="AD110:AN111"/>
    <mergeCell ref="B113:B114"/>
    <mergeCell ref="C119:Y121"/>
    <mergeCell ref="AB119:AC120"/>
    <mergeCell ref="AD119:AM121"/>
    <mergeCell ref="B128:B130"/>
    <mergeCell ref="C128:O130"/>
    <mergeCell ref="P128:W130"/>
    <mergeCell ref="X128:AF130"/>
    <mergeCell ref="AG128:AN130"/>
    <mergeCell ref="C113:E114"/>
    <mergeCell ref="F113:M114"/>
    <mergeCell ref="AD113:AN114"/>
    <mergeCell ref="C116:E117"/>
    <mergeCell ref="F116:M117"/>
    <mergeCell ref="B107:B108"/>
    <mergeCell ref="B110:B111"/>
    <mergeCell ref="N101:Y101"/>
    <mergeCell ref="Z101:AC101"/>
    <mergeCell ref="Z102:AC102"/>
    <mergeCell ref="C103:E103"/>
    <mergeCell ref="F103:M103"/>
    <mergeCell ref="N103:Y103"/>
    <mergeCell ref="Z103:AC103"/>
    <mergeCell ref="C110:E111"/>
    <mergeCell ref="F110:M111"/>
    <mergeCell ref="B100:B102"/>
    <mergeCell ref="C100:E101"/>
    <mergeCell ref="F100:M101"/>
    <mergeCell ref="N100:Y100"/>
    <mergeCell ref="Z100:AC100"/>
    <mergeCell ref="C107:E108"/>
    <mergeCell ref="F107:M108"/>
    <mergeCell ref="B104:B106"/>
    <mergeCell ref="F104:M105"/>
    <mergeCell ref="B75:B76"/>
    <mergeCell ref="F75:M76"/>
    <mergeCell ref="AD75:AN76"/>
    <mergeCell ref="C75:E76"/>
    <mergeCell ref="R75:AC76"/>
    <mergeCell ref="N75:Q76"/>
    <mergeCell ref="AD104:AN106"/>
    <mergeCell ref="B78:B79"/>
    <mergeCell ref="AD78:AN79"/>
    <mergeCell ref="B81:B82"/>
    <mergeCell ref="B84:B85"/>
    <mergeCell ref="C78:E79"/>
    <mergeCell ref="F78:M79"/>
    <mergeCell ref="R78:AC79"/>
    <mergeCell ref="C81:E82"/>
    <mergeCell ref="F81:M82"/>
    <mergeCell ref="R81:AC82"/>
    <mergeCell ref="C84:E85"/>
    <mergeCell ref="F84:M85"/>
    <mergeCell ref="R84:AC85"/>
    <mergeCell ref="C87:E88"/>
    <mergeCell ref="F87:M88"/>
    <mergeCell ref="R87:AC88"/>
    <mergeCell ref="C104:E105"/>
    <mergeCell ref="B71:B73"/>
    <mergeCell ref="C71:E73"/>
    <mergeCell ref="F71:M73"/>
    <mergeCell ref="N71:Q71"/>
    <mergeCell ref="R71:AC71"/>
    <mergeCell ref="AD71:AN72"/>
    <mergeCell ref="N72:Q72"/>
    <mergeCell ref="R72:AC72"/>
    <mergeCell ref="B61:B62"/>
    <mergeCell ref="R61:AB62"/>
    <mergeCell ref="AD61:AM62"/>
    <mergeCell ref="H62:Q62"/>
    <mergeCell ref="C63:Q65"/>
    <mergeCell ref="AB63:AC65"/>
    <mergeCell ref="AD63:AM65"/>
    <mergeCell ref="B46:B47"/>
    <mergeCell ref="C46:Q47"/>
    <mergeCell ref="R46:AB47"/>
    <mergeCell ref="AD46:AM47"/>
    <mergeCell ref="B55:B56"/>
    <mergeCell ref="C55:Q56"/>
    <mergeCell ref="R55:AB56"/>
    <mergeCell ref="AD55:AM56"/>
    <mergeCell ref="C57:Q59"/>
    <mergeCell ref="B58:B59"/>
    <mergeCell ref="R58:AB59"/>
    <mergeCell ref="AD58:AM59"/>
    <mergeCell ref="B49:B50"/>
    <mergeCell ref="C49:Q50"/>
    <mergeCell ref="R49:AB50"/>
    <mergeCell ref="AD49:AM50"/>
    <mergeCell ref="B52:B53"/>
    <mergeCell ref="C52:Q53"/>
    <mergeCell ref="R52:AB53"/>
    <mergeCell ref="AD52:AM53"/>
    <mergeCell ref="B25:B26"/>
    <mergeCell ref="C25:Q26"/>
    <mergeCell ref="R25:AB26"/>
    <mergeCell ref="AD25:AM26"/>
    <mergeCell ref="B28:B29"/>
    <mergeCell ref="R28:AB29"/>
    <mergeCell ref="B43:B44"/>
    <mergeCell ref="C43:M44"/>
    <mergeCell ref="N43:Q44"/>
    <mergeCell ref="R43:AB44"/>
    <mergeCell ref="AD43:AM44"/>
    <mergeCell ref="AD37:AM38"/>
    <mergeCell ref="B40:B41"/>
    <mergeCell ref="C40:P41"/>
    <mergeCell ref="R40:AB41"/>
    <mergeCell ref="AD40:AM41"/>
    <mergeCell ref="B31:B32"/>
    <mergeCell ref="C31:Q32"/>
    <mergeCell ref="R31:AB32"/>
    <mergeCell ref="AD31:AM32"/>
    <mergeCell ref="B34:B35"/>
    <mergeCell ref="R34:AB35"/>
    <mergeCell ref="AD34:AM35"/>
    <mergeCell ref="C35:P35"/>
    <mergeCell ref="R20:AC20"/>
    <mergeCell ref="AD20:AN20"/>
    <mergeCell ref="B22:B23"/>
    <mergeCell ref="C22:Q23"/>
    <mergeCell ref="R22:AB23"/>
    <mergeCell ref="AD22:AM23"/>
    <mergeCell ref="AD87:AN88"/>
    <mergeCell ref="AK2:AL3"/>
    <mergeCell ref="AM2:AN3"/>
    <mergeCell ref="K3:AD3"/>
    <mergeCell ref="C5:J5"/>
    <mergeCell ref="C6:J6"/>
    <mergeCell ref="C7:J7"/>
    <mergeCell ref="B2:B8"/>
    <mergeCell ref="C2:J4"/>
    <mergeCell ref="K2:AD2"/>
    <mergeCell ref="AE2:AF8"/>
    <mergeCell ref="AG2:AH3"/>
    <mergeCell ref="AI2:AJ3"/>
    <mergeCell ref="B17:B19"/>
    <mergeCell ref="C17:Q19"/>
    <mergeCell ref="B37:B38"/>
    <mergeCell ref="C37:Q38"/>
    <mergeCell ref="R37:AB38"/>
    <mergeCell ref="AD107:AN108"/>
    <mergeCell ref="C90:M92"/>
    <mergeCell ref="P90:Q92"/>
    <mergeCell ref="R90:AC92"/>
    <mergeCell ref="AD100:AN101"/>
    <mergeCell ref="AD103:AN103"/>
    <mergeCell ref="R17:AC17"/>
    <mergeCell ref="AD17:AN17"/>
    <mergeCell ref="R18:AC18"/>
    <mergeCell ref="R19:AC19"/>
    <mergeCell ref="AD19:AN19"/>
    <mergeCell ref="C74:E74"/>
    <mergeCell ref="F74:M74"/>
    <mergeCell ref="N74:Q74"/>
    <mergeCell ref="R74:AC74"/>
    <mergeCell ref="AD74:AN74"/>
    <mergeCell ref="N78:Q79"/>
    <mergeCell ref="N81:Q82"/>
    <mergeCell ref="N84:Q85"/>
    <mergeCell ref="N87:Q88"/>
    <mergeCell ref="AD81:AN82"/>
    <mergeCell ref="AD84:AN85"/>
    <mergeCell ref="AD28:AM29"/>
    <mergeCell ref="C20:Q20"/>
  </mergeCells>
  <printOptions horizontalCentered="1"/>
  <pageMargins left="0.23622047244094491" right="0.19685039370078741" top="0" bottom="0" header="0.17" footer="0.23622047244094491"/>
  <pageSetup paperSize="5" scale="66" orientation="portrait" r:id="rId1"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</sheetPr>
  <dimension ref="A1:AZ222"/>
  <sheetViews>
    <sheetView topLeftCell="A172" zoomScaleSheetLayoutView="100" view="pageBreakPreview" workbookViewId="0">
      <selection pane="topLeft" activeCell="O182" sqref="O182"/>
    </sheetView>
  </sheetViews>
  <sheetFormatPr defaultColWidth="4.56640625" defaultRowHeight="12.5" baseColWidth="0"/>
  <cols>
    <col min="1" max="1" width="3.56640625" style="636" customWidth="1"/>
    <col min="2" max="2" width="5.8515625" style="636" customWidth="1"/>
    <col min="3" max="3" width="5.28125" style="636" customWidth="1"/>
    <col min="4" max="4" width="9.7109375" style="636" customWidth="1"/>
    <col min="5" max="5" width="4.56640625" style="636" customWidth="1"/>
    <col min="6" max="6" width="3.8515625" style="636" customWidth="1"/>
    <col min="7" max="7" width="3.421875" style="636" customWidth="1"/>
    <col min="8" max="9" width="4.56640625" style="636" customWidth="1"/>
    <col min="10" max="10" width="3.99609375" style="636" customWidth="1"/>
    <col min="11" max="11" width="5.8515625" style="636" customWidth="1"/>
    <col min="12" max="12" width="5.56640625" style="636" customWidth="1"/>
    <col min="13" max="14" width="5.13671875" style="636" customWidth="1"/>
    <col min="15" max="16" width="4.56640625" style="636" customWidth="1"/>
    <col min="17" max="17" width="4.7109375" style="636" customWidth="1"/>
    <col min="18" max="18" width="6.421875" style="636" customWidth="1"/>
    <col min="19" max="19" width="4.56640625" style="636" customWidth="1"/>
    <col min="20" max="20" width="5.28125" style="636" customWidth="1"/>
    <col min="21" max="24" width="4.56640625" style="636" customWidth="1"/>
    <col min="25" max="25" width="7.13671875" style="636" customWidth="1"/>
    <col min="26" max="26" width="4.56640625" style="636" customWidth="1"/>
    <col min="27" max="27" width="5.7109375" style="636" customWidth="1"/>
    <col min="28" max="28" width="3.421875" style="636" customWidth="1"/>
    <col min="29" max="31" width="6.8515625" style="636" customWidth="1"/>
    <col min="32" max="32" width="16.56640625" style="636" customWidth="1"/>
    <col min="33" max="35" width="6.8515625" style="636" customWidth="1"/>
    <col min="36" max="37" width="4.56640625" style="636" customWidth="1"/>
    <col min="38" max="38" width="7.13671875" style="636" customWidth="1"/>
    <col min="39" max="16384" width="4.56640625" style="636" customWidth="1"/>
  </cols>
  <sheetData>
    <row r="1" spans="31:31" ht="11.25" customHeight="1">
      <c r="AE1" s="691"/>
    </row>
    <row r="2" spans="1:30" ht="3.75" customHeight="1">
      <c r="A2" s="648"/>
      <c r="AD2" s="648"/>
    </row>
    <row r="3" spans="1:30" ht="6" customHeight="1">
      <c r="A3" s="648"/>
      <c r="AD3" s="648"/>
    </row>
    <row r="4" spans="1:31" ht="33" customHeight="1">
      <c r="A4" s="2517" t="s">
        <v>457</v>
      </c>
      <c r="B4" s="2517"/>
      <c r="C4" s="2517"/>
      <c r="D4" s="2517"/>
      <c r="E4" s="2517"/>
      <c r="F4" s="2517"/>
      <c r="G4" s="2517"/>
      <c r="H4" s="2517"/>
      <c r="I4" s="2517"/>
      <c r="J4" s="2517"/>
      <c r="K4" s="2517"/>
      <c r="L4" s="2517"/>
      <c r="M4" s="2517"/>
      <c r="N4" s="2517"/>
      <c r="O4" s="2517"/>
      <c r="P4" s="2517"/>
      <c r="Q4" s="2517"/>
      <c r="R4" s="2517"/>
      <c r="S4" s="2517"/>
      <c r="T4" s="2517"/>
      <c r="U4" s="2517"/>
      <c r="V4" s="2517"/>
      <c r="W4" s="2517"/>
      <c r="X4" s="2517"/>
      <c r="Y4" s="2517"/>
      <c r="Z4" s="2517"/>
      <c r="AA4" s="2517"/>
      <c r="AB4" s="2517"/>
      <c r="AC4" s="2517"/>
      <c r="AD4" s="2517"/>
      <c r="AE4" s="2517"/>
    </row>
    <row r="5" spans="1:31" ht="34.15" customHeight="1">
      <c r="A5" s="638" t="s">
        <v>884</v>
      </c>
      <c r="B5" s="639"/>
      <c r="C5" s="639"/>
      <c r="D5" s="639"/>
      <c r="E5" s="648"/>
      <c r="F5" s="639"/>
      <c r="G5" s="638">
        <f>'GENERAL INFO'!AD15</f>
        <v>0</v>
      </c>
      <c r="H5" s="639"/>
      <c r="J5" s="639"/>
      <c r="K5" s="639"/>
      <c r="L5" s="639"/>
      <c r="M5" s="639"/>
      <c r="N5" s="639"/>
      <c r="O5" s="639"/>
      <c r="P5" s="639"/>
      <c r="Q5" s="639"/>
      <c r="R5" s="639"/>
      <c r="S5" s="639"/>
      <c r="T5" s="639"/>
      <c r="U5" s="639"/>
      <c r="V5" s="639"/>
      <c r="W5" s="639"/>
      <c r="X5" s="639"/>
      <c r="Y5" s="639"/>
      <c r="Z5" s="639"/>
      <c r="AA5" s="639"/>
      <c r="AB5" s="639"/>
      <c r="AC5" s="639"/>
      <c r="AD5" s="648"/>
      <c r="AE5" s="639"/>
    </row>
    <row r="6" spans="1:31" ht="23.5" customHeight="1">
      <c r="A6" s="842" t="s">
        <v>885</v>
      </c>
      <c r="B6" s="639"/>
      <c r="C6" s="639"/>
      <c r="D6" s="639"/>
      <c r="E6" s="648"/>
      <c r="F6" s="639"/>
      <c r="G6" s="842" t="str">
        <f>npwp</f>
        <v>...-.</v>
      </c>
      <c r="H6" s="639"/>
      <c r="J6" s="639"/>
      <c r="K6" s="639"/>
      <c r="L6" s="639"/>
      <c r="M6" s="639"/>
      <c r="N6" s="639"/>
      <c r="O6" s="639"/>
      <c r="P6" s="639"/>
      <c r="Q6" s="639"/>
      <c r="R6" s="639"/>
      <c r="S6" s="639"/>
      <c r="T6" s="639"/>
      <c r="U6" s="639"/>
      <c r="V6" s="639"/>
      <c r="W6" s="639"/>
      <c r="X6" s="639"/>
      <c r="Y6" s="639"/>
      <c r="Z6" s="639"/>
      <c r="AA6" s="639"/>
      <c r="AB6" s="639"/>
      <c r="AC6" s="639"/>
      <c r="AD6" s="648"/>
      <c r="AE6" s="639"/>
    </row>
    <row r="7" spans="1:29" s="636" customFormat="1" ht="6" customHeight="1">
      <c r="A7" s="638"/>
      <c r="B7" s="638"/>
      <c r="C7" s="638"/>
      <c r="D7" s="638"/>
      <c r="E7" s="638"/>
      <c r="F7" s="638"/>
      <c r="G7" s="638"/>
      <c r="H7" s="638"/>
      <c r="I7" s="638"/>
      <c r="J7" s="636"/>
      <c r="K7" s="636"/>
      <c r="L7" s="636"/>
      <c r="M7" s="636"/>
      <c r="N7" s="636"/>
      <c r="O7" s="636"/>
      <c r="P7" s="636"/>
      <c r="Q7" s="636"/>
      <c r="R7" s="636"/>
      <c r="S7" s="639"/>
      <c r="T7" s="637"/>
      <c r="U7" s="637"/>
      <c r="V7" s="637"/>
      <c r="W7" s="637"/>
      <c r="X7" s="637"/>
      <c r="Y7" s="640"/>
      <c r="Z7" s="641"/>
      <c r="AA7" s="642"/>
      <c r="AB7" s="637"/>
      <c r="AC7" s="637"/>
    </row>
    <row r="8" spans="1:30" ht="3" customHeight="1">
      <c r="A8" s="845"/>
      <c r="B8" s="845"/>
      <c r="C8" s="845"/>
      <c r="D8" s="845"/>
      <c r="E8" s="845"/>
      <c r="F8" s="845"/>
      <c r="G8" s="845"/>
      <c r="H8" s="845"/>
      <c r="I8" s="845"/>
      <c r="J8" s="845"/>
      <c r="K8" s="845"/>
      <c r="L8" s="845"/>
      <c r="M8" s="845"/>
      <c r="N8" s="845"/>
      <c r="O8" s="845"/>
      <c r="P8" s="845"/>
      <c r="Q8" s="845"/>
      <c r="R8" s="845"/>
      <c r="S8" s="845"/>
      <c r="T8" s="845"/>
      <c r="U8" s="845"/>
      <c r="V8" s="845"/>
      <c r="W8" s="845"/>
      <c r="X8" s="845"/>
      <c r="Y8" s="845"/>
      <c r="Z8" s="845"/>
      <c r="AA8" s="845"/>
      <c r="AB8" s="845"/>
      <c r="AC8" s="845"/>
      <c r="AD8" s="643"/>
    </row>
    <row r="9" spans="1:30" ht="3.75" customHeight="1">
      <c r="A9" s="845"/>
      <c r="B9" s="845"/>
      <c r="C9" s="845"/>
      <c r="D9" s="845"/>
      <c r="E9" s="845"/>
      <c r="F9" s="845"/>
      <c r="G9" s="845"/>
      <c r="H9" s="845"/>
      <c r="I9" s="845"/>
      <c r="J9" s="845"/>
      <c r="K9" s="845"/>
      <c r="L9" s="845"/>
      <c r="M9" s="845"/>
      <c r="N9" s="845"/>
      <c r="O9" s="845"/>
      <c r="P9" s="845"/>
      <c r="Q9" s="845"/>
      <c r="R9" s="845"/>
      <c r="S9" s="845"/>
      <c r="T9" s="845"/>
      <c r="U9" s="845"/>
      <c r="V9" s="845"/>
      <c r="W9" s="845"/>
      <c r="X9" s="845"/>
      <c r="Y9" s="845"/>
      <c r="Z9" s="845"/>
      <c r="AA9" s="845"/>
      <c r="AB9" s="845"/>
      <c r="AC9" s="845"/>
      <c r="AD9" s="643"/>
    </row>
    <row r="10" spans="3:27" s="644" customFormat="1" ht="12.65" customHeight="1">
      <c r="C10" s="645"/>
      <c r="D10" s="646"/>
      <c r="E10" s="646"/>
      <c r="F10" s="646"/>
      <c r="G10" s="646"/>
      <c r="H10" s="646"/>
      <c r="I10" s="646"/>
      <c r="J10" s="646"/>
      <c r="K10" s="646"/>
      <c r="L10" s="645"/>
      <c r="M10" s="645"/>
      <c r="N10" s="645"/>
      <c r="O10" s="645"/>
      <c r="P10" s="645"/>
      <c r="Q10" s="645"/>
      <c r="R10" s="645"/>
      <c r="S10" s="646"/>
      <c r="T10" s="646"/>
      <c r="U10" s="646"/>
      <c r="V10" s="646"/>
      <c r="W10" s="645"/>
      <c r="X10" s="647"/>
      <c r="Y10" s="647"/>
      <c r="Z10" s="647"/>
      <c r="AA10" s="647"/>
    </row>
    <row r="14" spans="3:27" ht="20">
      <c r="C14" s="648" t="s">
        <v>416</v>
      </c>
      <c r="X14" s="651"/>
      <c r="Y14" s="651"/>
      <c r="Z14" s="651"/>
      <c r="AA14" s="651"/>
    </row>
    <row r="15" spans="3:27" ht="20">
      <c r="C15" s="648" t="s">
        <v>178</v>
      </c>
      <c r="G15" s="648" t="str">
        <f>taxyear</f>
        <v/>
      </c>
      <c r="X15" s="651"/>
      <c r="Y15" s="651"/>
      <c r="Z15" s="651"/>
      <c r="AA15" s="651"/>
    </row>
    <row r="16" ht="37.5" customHeight="1"/>
    <row r="17" spans="3:5">
      <c r="C17" s="639" t="s">
        <v>417</v>
      </c>
      <c r="D17" s="636"/>
      <c r="E17" s="636"/>
    </row>
    <row r="18" spans="4:23" ht="16.5" customHeight="1">
      <c r="D18" s="706" t="s">
        <v>458</v>
      </c>
      <c r="E18" s="636"/>
      <c r="S18" s="669">
        <f>IF('GENERAL INFO'!$G$114="X",'CalculationSheet'!N15,'CalculationSheet'!N104)</f>
        <v>0</v>
      </c>
      <c r="T18" s="669"/>
      <c r="U18" s="669"/>
      <c r="V18" s="669"/>
      <c r="W18" s="678"/>
    </row>
    <row r="19" spans="4:23" ht="15.75" customHeight="1">
      <c r="D19" s="636" t="s">
        <v>421</v>
      </c>
      <c r="E19" s="636"/>
      <c r="S19" s="669">
        <f>IF('GENERAL INFO'!$G$114="X",'CalculationSheet'!N16,'CalculationSheet'!N105)</f>
        <v>0</v>
      </c>
      <c r="T19" s="669"/>
      <c r="U19" s="669"/>
      <c r="V19" s="669"/>
      <c r="W19" s="678"/>
    </row>
    <row r="20" spans="4:23" ht="15" customHeight="1">
      <c r="D20" s="636" t="s">
        <v>422</v>
      </c>
      <c r="E20" s="636"/>
      <c r="S20" s="2533">
        <f>IF('GENERAL INFO'!$G$114="X",'CalculationSheet'!N17,'CalculationSheet'!N106)</f>
        <v>0</v>
      </c>
      <c r="T20" s="2533"/>
      <c r="U20" s="2533"/>
      <c r="V20" s="2533"/>
      <c r="W20" s="678"/>
    </row>
    <row r="21" spans="4:27" ht="19.5" customHeight="1">
      <c r="D21" s="636" t="s">
        <v>423</v>
      </c>
      <c r="E21" s="636"/>
      <c r="X21" s="669">
        <f>SUM(S18:V20)</f>
        <v>0</v>
      </c>
      <c r="Y21" s="669"/>
      <c r="Z21" s="669"/>
      <c r="AA21" s="669"/>
    </row>
    <row r="22" spans="4:27" ht="8.25" customHeight="1">
      <c r="D22" s="636"/>
      <c r="E22" s="636"/>
      <c r="X22" s="707"/>
      <c r="Y22" s="708"/>
      <c r="Z22" s="708"/>
      <c r="AA22" s="708"/>
    </row>
    <row r="23" spans="4:27" ht="6.75" customHeight="1">
      <c r="D23" s="636"/>
      <c r="E23" s="636"/>
      <c r="X23" s="709"/>
      <c r="Y23" s="677"/>
      <c r="Z23" s="677"/>
      <c r="AA23" s="677"/>
    </row>
    <row r="24" spans="3:27">
      <c r="C24" s="639" t="s">
        <v>424</v>
      </c>
      <c r="D24" s="636"/>
      <c r="E24" s="636"/>
      <c r="X24" s="669" t="e">
        <f>IF('GENERAL INFO'!$G$114="X",'CalculationSheet'!R26,'CalculationSheet'!R115)</f>
        <v>#DIV/0!</v>
      </c>
      <c r="Y24" s="669"/>
      <c r="Z24" s="669"/>
      <c r="AA24" s="669"/>
    </row>
    <row r="25" spans="3:27">
      <c r="C25" s="636"/>
      <c r="D25" s="636"/>
      <c r="E25" s="636"/>
      <c r="X25" s="669"/>
      <c r="Y25" s="669"/>
      <c r="Z25" s="669"/>
      <c r="AA25" s="669"/>
    </row>
    <row r="26" spans="3:32">
      <c r="C26" s="639" t="s">
        <v>320</v>
      </c>
      <c r="D26" s="636"/>
      <c r="E26" s="636"/>
      <c r="X26" s="669">
        <f>'CalculationSheet'!R28</f>
        <v>0</v>
      </c>
      <c r="Y26" s="669"/>
      <c r="Z26" s="669"/>
      <c r="AA26" s="669"/>
      <c r="AF26" s="676">
        <v>-13200000</v>
      </c>
    </row>
    <row r="27" spans="3:27" ht="6" customHeight="1">
      <c r="C27" s="639"/>
      <c r="D27" s="636"/>
      <c r="E27" s="636"/>
      <c r="X27" s="710"/>
      <c r="Y27" s="710"/>
      <c r="Z27" s="710"/>
      <c r="AA27" s="710"/>
    </row>
    <row r="28" spans="3:5" ht="9" customHeight="1">
      <c r="C28" s="639"/>
      <c r="D28" s="636"/>
      <c r="E28" s="636"/>
    </row>
    <row r="29" spans="3:29">
      <c r="C29" s="639" t="s">
        <v>430</v>
      </c>
      <c r="D29" s="636"/>
      <c r="E29" s="636"/>
      <c r="X29" s="672" t="e">
        <f>IF('GENERAL INFO'!$G$114="X",'CalculationSheet'!R30,'CalculationSheet'!R119)</f>
        <v>#DIV/0!</v>
      </c>
      <c r="Y29" s="672"/>
      <c r="Z29" s="672"/>
      <c r="AA29" s="672"/>
      <c r="AC29" s="676"/>
    </row>
    <row r="30" spans="3:32">
      <c r="C30" s="639"/>
      <c r="D30" s="636"/>
      <c r="E30" s="636"/>
      <c r="AF30" s="711" t="e">
        <f>taxdue/AF26</f>
        <v>#DIV/0!</v>
      </c>
    </row>
    <row r="31" spans="3:5">
      <c r="C31" s="639" t="s">
        <v>431</v>
      </c>
      <c r="D31" s="636"/>
      <c r="E31" s="636"/>
    </row>
    <row r="32" spans="3:23">
      <c r="C32" s="636"/>
      <c r="D32" s="636" t="s">
        <v>459</v>
      </c>
      <c r="E32" s="636"/>
      <c r="S32" s="669" t="e">
        <f>IF('GENERAL INFO'!$G$114="X",'CalculationSheet'!N35,'CalculationSheet'!N124)</f>
        <v>#DIV/0!</v>
      </c>
      <c r="T32" s="669"/>
      <c r="U32" s="669"/>
      <c r="V32" s="669"/>
      <c r="W32" s="678"/>
    </row>
    <row r="33" spans="3:23">
      <c r="C33" s="639"/>
      <c r="D33" s="636" t="s">
        <v>433</v>
      </c>
      <c r="E33" s="636"/>
      <c r="S33" s="669" t="e">
        <f>IF('GENERAL INFO'!$G$114="X",'CalculationSheet'!N36,'CalculationSheet'!N125)</f>
        <v>#DIV/0!</v>
      </c>
      <c r="T33" s="669"/>
      <c r="U33" s="669"/>
      <c r="V33" s="669"/>
      <c r="W33" s="678"/>
    </row>
    <row r="34" spans="3:23" ht="6" customHeight="1">
      <c r="C34" s="639"/>
      <c r="E34" s="636"/>
      <c r="S34" s="710"/>
      <c r="T34" s="710"/>
      <c r="U34" s="710"/>
      <c r="V34" s="710"/>
      <c r="W34" s="678"/>
    </row>
    <row r="35" spans="3:35" ht="18.75" customHeight="1">
      <c r="C35" s="639"/>
      <c r="D35" s="636" t="s">
        <v>434</v>
      </c>
      <c r="E35" s="636"/>
      <c r="X35" s="669" t="e">
        <f>SUM(S32:V33)</f>
        <v>#DIV/0!</v>
      </c>
      <c r="Y35" s="669"/>
      <c r="Z35" s="669"/>
      <c r="AA35" s="669"/>
      <c r="AE35" s="2558"/>
      <c r="AF35" s="2558"/>
      <c r="AG35" s="2558"/>
      <c r="AH35" s="2558"/>
      <c r="AI35" s="2558"/>
    </row>
    <row r="36" spans="3:35">
      <c r="C36" s="639"/>
      <c r="E36" s="636"/>
      <c r="AE36" s="2558"/>
      <c r="AF36" s="2558"/>
      <c r="AG36" s="2558"/>
      <c r="AH36" s="2558"/>
      <c r="AI36" s="2558"/>
    </row>
    <row r="37" spans="3:5">
      <c r="C37" s="639" t="s">
        <v>436</v>
      </c>
      <c r="D37" s="636"/>
      <c r="E37" s="636"/>
    </row>
    <row r="38" spans="3:23">
      <c r="C38" s="636"/>
      <c r="D38" s="636" t="s">
        <v>459</v>
      </c>
      <c r="E38" s="636"/>
      <c r="S38" s="669" t="e">
        <f>IF('GENERAL INFO'!$G$114="X",'CalculationSheet'!N42,'CalculationSheet'!N131)</f>
        <v>#DIV/0!</v>
      </c>
      <c r="T38" s="669"/>
      <c r="U38" s="669"/>
      <c r="V38" s="669"/>
      <c r="W38" s="678"/>
    </row>
    <row r="39" spans="3:23">
      <c r="C39" s="636"/>
      <c r="D39" s="636" t="s">
        <v>433</v>
      </c>
      <c r="E39" s="636"/>
      <c r="S39" s="669" t="e">
        <f>IF('GENERAL INFO'!$G$114="X",'CalculationSheet'!N43,'CalculationSheet'!N132)</f>
        <v>#DIV/0!</v>
      </c>
      <c r="T39" s="669"/>
      <c r="U39" s="669"/>
      <c r="V39" s="669"/>
      <c r="W39" s="678"/>
    </row>
    <row r="40" spans="3:23" ht="6" customHeight="1">
      <c r="C40" s="636"/>
      <c r="E40" s="636"/>
      <c r="S40" s="710"/>
      <c r="T40" s="710"/>
      <c r="U40" s="710"/>
      <c r="V40" s="710"/>
      <c r="W40" s="678"/>
    </row>
    <row r="41" spans="3:27" s="644" customFormat="1" ht="16.15" customHeight="1">
      <c r="C41" s="645"/>
      <c r="D41" s="645" t="s">
        <v>437</v>
      </c>
      <c r="E41" s="645"/>
      <c r="F41" s="645"/>
      <c r="G41" s="645"/>
      <c r="H41" s="645"/>
      <c r="I41" s="645"/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  <c r="X41" s="2559" t="e">
        <f>SUM(S38:V39)</f>
        <v>#DIV/0!</v>
      </c>
      <c r="Y41" s="2559"/>
      <c r="Z41" s="2559"/>
      <c r="AA41" s="2559"/>
    </row>
    <row r="42" spans="3:5">
      <c r="C42" s="636"/>
      <c r="D42" s="636"/>
      <c r="E42" s="636"/>
    </row>
    <row r="43" spans="3:5">
      <c r="C43" s="639" t="s">
        <v>447</v>
      </c>
      <c r="D43" s="636"/>
      <c r="E43" s="636"/>
    </row>
    <row r="44" spans="3:22">
      <c r="C44" s="639"/>
      <c r="D44" s="636" t="s">
        <v>889</v>
      </c>
      <c r="E44" s="636"/>
      <c r="S44" s="669">
        <f>_art21</f>
        <v>0</v>
      </c>
      <c r="T44" s="669"/>
      <c r="U44" s="669"/>
      <c r="V44" s="669"/>
    </row>
    <row r="45" spans="3:22">
      <c r="C45" s="639"/>
      <c r="D45" s="636" t="s">
        <v>949</v>
      </c>
      <c r="E45" s="636"/>
      <c r="S45" s="669">
        <f>_art24</f>
        <v>0</v>
      </c>
      <c r="T45" s="669"/>
      <c r="U45" s="669"/>
      <c r="V45" s="669"/>
    </row>
    <row r="46" spans="3:22">
      <c r="C46" s="639"/>
      <c r="D46" s="636" t="s">
        <v>890</v>
      </c>
      <c r="E46" s="636"/>
      <c r="S46" s="669">
        <f>+'FE-1770S'!AH85</f>
        <v>0</v>
      </c>
      <c r="T46" s="669"/>
      <c r="U46" s="669"/>
      <c r="V46" s="669"/>
    </row>
    <row r="47" spans="3:23" ht="6" customHeight="1">
      <c r="C47" s="636"/>
      <c r="E47" s="636"/>
      <c r="S47" s="710"/>
      <c r="T47" s="710"/>
      <c r="U47" s="710"/>
      <c r="V47" s="710"/>
      <c r="W47" s="678"/>
    </row>
    <row r="48" spans="3:27" ht="19.15" customHeight="1">
      <c r="C48" s="639"/>
      <c r="D48" s="645" t="s">
        <v>451</v>
      </c>
      <c r="E48" s="636"/>
      <c r="X48" s="2559">
        <f>SUM(S44:V46)</f>
        <v>0</v>
      </c>
      <c r="Y48" s="2559"/>
      <c r="Z48" s="2559"/>
      <c r="AA48" s="2559"/>
    </row>
    <row r="49" spans="3:27" ht="5.5" customHeight="1">
      <c r="C49" s="639"/>
      <c r="D49" s="645"/>
      <c r="E49" s="636"/>
      <c r="X49" s="882"/>
      <c r="Y49" s="882"/>
      <c r="Z49" s="882"/>
      <c r="AA49" s="882"/>
    </row>
    <row r="50" spans="3:5" ht="5.5" customHeight="1" thickBot="1">
      <c r="C50" s="639"/>
      <c r="D50" s="636"/>
      <c r="E50" s="636"/>
    </row>
    <row r="51" spans="3:27" s="644" customFormat="1" ht="25.9" customHeight="1" thickBot="1">
      <c r="C51" s="645" t="s">
        <v>891</v>
      </c>
      <c r="D51" s="644"/>
      <c r="E51" s="644"/>
      <c r="X51" s="2566" t="e">
        <f>+X41-X48</f>
        <v>#DIV/0!</v>
      </c>
      <c r="Y51" s="2567"/>
      <c r="Z51" s="2567"/>
      <c r="AA51" s="2568"/>
    </row>
    <row r="55" spans="1:1" ht="20">
      <c r="A55" s="648" t="s">
        <v>540</v>
      </c>
    </row>
    <row r="56" spans="1:1" ht="18" customHeight="1" thickBot="1">
      <c r="A56" s="648"/>
    </row>
    <row r="57" spans="1:35" ht="18.75" customHeight="1">
      <c r="A57" s="2586" t="s">
        <v>535</v>
      </c>
      <c r="B57" s="2587"/>
      <c r="C57" s="2587"/>
      <c r="D57" s="2587"/>
      <c r="E57" s="2588"/>
      <c r="F57" s="2592" t="s">
        <v>548</v>
      </c>
      <c r="G57" s="2593"/>
      <c r="H57" s="2593"/>
      <c r="I57" s="2593"/>
      <c r="J57" s="2593"/>
      <c r="K57" s="2593"/>
      <c r="L57" s="2593"/>
      <c r="M57" s="2594"/>
      <c r="N57" s="2592" t="s">
        <v>549</v>
      </c>
      <c r="O57" s="2593"/>
      <c r="P57" s="2593"/>
      <c r="Q57" s="2593"/>
      <c r="R57" s="2593"/>
      <c r="S57" s="2593"/>
      <c r="T57" s="2593"/>
      <c r="U57" s="2594"/>
      <c r="V57" s="2560" t="s">
        <v>1311</v>
      </c>
      <c r="W57" s="2560"/>
      <c r="X57" s="2560"/>
      <c r="Y57" s="2560"/>
      <c r="Z57" s="2560"/>
      <c r="AA57" s="2560"/>
      <c r="AB57" s="2560"/>
      <c r="AC57" s="2561"/>
      <c r="AD57" s="712"/>
      <c r="AE57" s="712"/>
      <c r="AF57" s="712"/>
      <c r="AG57" s="712"/>
      <c r="AH57" s="712"/>
      <c r="AI57" s="712"/>
    </row>
    <row r="58" spans="1:35" ht="19.5" customHeight="1">
      <c r="A58" s="2589"/>
      <c r="B58" s="2590"/>
      <c r="C58" s="2590"/>
      <c r="D58" s="2590"/>
      <c r="E58" s="2591"/>
      <c r="F58" s="2598" t="s">
        <v>550</v>
      </c>
      <c r="G58" s="2599"/>
      <c r="H58" s="2599"/>
      <c r="I58" s="2600"/>
      <c r="J58" s="2598" t="s">
        <v>529</v>
      </c>
      <c r="K58" s="2599"/>
      <c r="L58" s="2599"/>
      <c r="M58" s="2600"/>
      <c r="N58" s="2598" t="s">
        <v>550</v>
      </c>
      <c r="O58" s="2599"/>
      <c r="P58" s="2599"/>
      <c r="Q58" s="2600"/>
      <c r="R58" s="2598" t="s">
        <v>529</v>
      </c>
      <c r="S58" s="2599"/>
      <c r="T58" s="2599"/>
      <c r="U58" s="2600"/>
      <c r="V58" s="2562" t="s">
        <v>1312</v>
      </c>
      <c r="W58" s="2562"/>
      <c r="X58" s="2562"/>
      <c r="Y58" s="2562"/>
      <c r="Z58" s="2562" t="s">
        <v>1313</v>
      </c>
      <c r="AA58" s="2562"/>
      <c r="AB58" s="2562"/>
      <c r="AC58" s="2563"/>
      <c r="AD58" s="712"/>
      <c r="AE58" s="712"/>
      <c r="AF58" s="712"/>
      <c r="AG58" s="712"/>
      <c r="AH58" s="712"/>
      <c r="AI58" s="712"/>
    </row>
    <row r="59" spans="1:52" ht="15.65" customHeight="1" thickBot="1">
      <c r="A59" s="2437" t="s">
        <v>65</v>
      </c>
      <c r="B59" s="2438"/>
      <c r="C59" s="2438"/>
      <c r="D59" s="2438"/>
      <c r="E59" s="2439"/>
      <c r="F59" s="2440" t="s">
        <v>64</v>
      </c>
      <c r="G59" s="2441"/>
      <c r="H59" s="2441"/>
      <c r="I59" s="2442"/>
      <c r="J59" s="2440" t="s">
        <v>66</v>
      </c>
      <c r="K59" s="2441"/>
      <c r="L59" s="2441"/>
      <c r="M59" s="2442"/>
      <c r="N59" s="2440" t="s">
        <v>67</v>
      </c>
      <c r="O59" s="2441"/>
      <c r="P59" s="2441"/>
      <c r="Q59" s="2442"/>
      <c r="R59" s="2440" t="s">
        <v>68</v>
      </c>
      <c r="S59" s="2441"/>
      <c r="T59" s="2441"/>
      <c r="U59" s="2442"/>
      <c r="V59" s="2443" t="s">
        <v>99</v>
      </c>
      <c r="W59" s="2443"/>
      <c r="X59" s="2443"/>
      <c r="Y59" s="2443"/>
      <c r="Z59" s="2564" t="s">
        <v>149</v>
      </c>
      <c r="AA59" s="2564"/>
      <c r="AB59" s="2564"/>
      <c r="AC59" s="2565"/>
      <c r="AZ59" s="651"/>
    </row>
    <row r="60" spans="1:29">
      <c r="A60" s="652"/>
      <c r="B60" s="653"/>
      <c r="C60" s="653"/>
      <c r="D60" s="653"/>
      <c r="E60" s="653"/>
      <c r="F60" s="654"/>
      <c r="G60" s="654"/>
      <c r="H60" s="654"/>
      <c r="I60" s="654"/>
      <c r="J60" s="654"/>
      <c r="K60" s="654"/>
      <c r="L60" s="654"/>
      <c r="M60" s="654"/>
      <c r="N60" s="654"/>
      <c r="O60" s="654"/>
      <c r="P60" s="654"/>
      <c r="Q60" s="654"/>
      <c r="R60" s="654"/>
      <c r="S60" s="654"/>
      <c r="T60" s="654"/>
      <c r="U60" s="654"/>
      <c r="V60" s="1279"/>
      <c r="W60" s="1279"/>
      <c r="X60" s="1279"/>
      <c r="Y60" s="1279"/>
      <c r="Z60" s="1279"/>
      <c r="AA60" s="1279"/>
      <c r="AB60" s="1279"/>
      <c r="AC60" s="1280"/>
    </row>
    <row r="61" spans="1:29">
      <c r="A61" s="656" t="s">
        <v>551</v>
      </c>
      <c r="B61" s="636"/>
      <c r="C61" s="636"/>
      <c r="D61" s="636"/>
      <c r="E61" s="636"/>
      <c r="F61" s="639">
        <f>'OVERSEAS INCOME'!K8</f>
        <v>0</v>
      </c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  <c r="U61" s="636"/>
      <c r="V61" s="636"/>
      <c r="W61" s="636"/>
      <c r="X61" s="636"/>
      <c r="Y61" s="636"/>
      <c r="Z61" s="636"/>
      <c r="AA61" s="636"/>
      <c r="AB61" s="636"/>
      <c r="AC61" s="655"/>
    </row>
    <row r="62" spans="1:29">
      <c r="A62" s="2601" t="s">
        <v>552</v>
      </c>
      <c r="B62" s="2602"/>
      <c r="C62" s="2602"/>
      <c r="D62" s="2602"/>
      <c r="E62" s="2603"/>
      <c r="F62" s="2541">
        <f>'OVERSEAS INCOME'!G33</f>
        <v>0</v>
      </c>
      <c r="G62" s="2542"/>
      <c r="H62" s="2542"/>
      <c r="I62" s="2543"/>
      <c r="J62" s="2529">
        <f>'OVERSEAS INCOME'!Q33</f>
        <v>0</v>
      </c>
      <c r="K62" s="2530"/>
      <c r="L62" s="2530"/>
      <c r="M62" s="2531"/>
      <c r="N62" s="2541">
        <f>'OVERSEAS INCOME'!K33</f>
        <v>0</v>
      </c>
      <c r="O62" s="2542"/>
      <c r="P62" s="2542"/>
      <c r="Q62" s="2543"/>
      <c r="R62" s="2529">
        <f>'OVERSEAS INCOME'!U33</f>
        <v>0</v>
      </c>
      <c r="S62" s="2530"/>
      <c r="T62" s="2530"/>
      <c r="U62" s="2531"/>
      <c r="V62" s="2410">
        <f>'OVERSEAS INCOME'!AA33</f>
        <v>0</v>
      </c>
      <c r="W62" s="2410"/>
      <c r="X62" s="2410"/>
      <c r="Y62" s="2410"/>
      <c r="Z62" s="2410">
        <f>'OVERSEAS INCOME'!AE33</f>
        <v>0</v>
      </c>
      <c r="AA62" s="2410"/>
      <c r="AB62" s="2410"/>
      <c r="AC62" s="2411"/>
    </row>
    <row r="63" spans="1:29">
      <c r="A63" s="1424" t="s">
        <v>553</v>
      </c>
      <c r="B63" s="675"/>
      <c r="C63" s="675"/>
      <c r="D63" s="675"/>
      <c r="E63" s="1425"/>
      <c r="F63" s="2541">
        <f>'OVERSEAS INCOME'!G58</f>
        <v>0</v>
      </c>
      <c r="G63" s="2542"/>
      <c r="H63" s="2542"/>
      <c r="I63" s="2543"/>
      <c r="J63" s="2529">
        <f>'OVERSEAS INCOME'!Q58</f>
        <v>0</v>
      </c>
      <c r="K63" s="2530"/>
      <c r="L63" s="2530"/>
      <c r="M63" s="2531"/>
      <c r="N63" s="2541">
        <f>'OVERSEAS INCOME'!K58</f>
        <v>0</v>
      </c>
      <c r="O63" s="2542"/>
      <c r="P63" s="2542"/>
      <c r="Q63" s="2543"/>
      <c r="R63" s="2529">
        <f>'OVERSEAS INCOME'!U58</f>
        <v>0</v>
      </c>
      <c r="S63" s="2530"/>
      <c r="T63" s="2530"/>
      <c r="U63" s="2531"/>
      <c r="V63" s="2410">
        <f>'OVERSEAS INCOME'!AA58</f>
        <v>0</v>
      </c>
      <c r="W63" s="2410"/>
      <c r="X63" s="2410"/>
      <c r="Y63" s="2410"/>
      <c r="Z63" s="2410">
        <f>'OVERSEAS INCOME'!AE58</f>
        <v>0</v>
      </c>
      <c r="AA63" s="2410"/>
      <c r="AB63" s="2410"/>
      <c r="AC63" s="2411"/>
    </row>
    <row r="64" spans="1:29">
      <c r="A64" s="664" t="s">
        <v>554</v>
      </c>
      <c r="B64" s="682"/>
      <c r="C64" s="682"/>
      <c r="D64" s="682"/>
      <c r="E64" s="1426"/>
      <c r="F64" s="2595">
        <f>'OVERSEAS INCOME'!G83</f>
        <v>0</v>
      </c>
      <c r="G64" s="2596"/>
      <c r="H64" s="2596"/>
      <c r="I64" s="2597"/>
      <c r="J64" s="2532">
        <f>'OVERSEAS INCOME'!Q83</f>
        <v>0</v>
      </c>
      <c r="K64" s="2533"/>
      <c r="L64" s="2533"/>
      <c r="M64" s="2534"/>
      <c r="N64" s="2595">
        <f>'OVERSEAS INCOME'!K83</f>
        <v>0</v>
      </c>
      <c r="O64" s="2596"/>
      <c r="P64" s="2596"/>
      <c r="Q64" s="2597"/>
      <c r="R64" s="2532">
        <f>'OVERSEAS INCOME'!U83</f>
        <v>0</v>
      </c>
      <c r="S64" s="2533"/>
      <c r="T64" s="2533"/>
      <c r="U64" s="2534"/>
      <c r="V64" s="2412">
        <f>'OVERSEAS INCOME'!AA83</f>
        <v>0</v>
      </c>
      <c r="W64" s="2412"/>
      <c r="X64" s="2412"/>
      <c r="Y64" s="2412"/>
      <c r="Z64" s="2412">
        <f>'OVERSEAS INCOME'!AE83</f>
        <v>0</v>
      </c>
      <c r="AA64" s="2412"/>
      <c r="AB64" s="2412"/>
      <c r="AC64" s="2413"/>
    </row>
    <row r="65" spans="1:29">
      <c r="A65" s="1428" t="s">
        <v>555</v>
      </c>
      <c r="B65" s="675"/>
      <c r="C65" s="675"/>
      <c r="D65" s="675"/>
      <c r="E65" s="1425"/>
      <c r="F65" s="2541">
        <f>IF('OVERSEAS INCOME'!R108&lt;0,0,'OVERSEAS INCOME'!R108)</f>
        <v>0</v>
      </c>
      <c r="G65" s="2542"/>
      <c r="H65" s="2542"/>
      <c r="I65" s="2543"/>
      <c r="J65" s="2529">
        <f>'OVERSEAS INCOME'!AB108</f>
        <v>0</v>
      </c>
      <c r="K65" s="2530"/>
      <c r="L65" s="2530"/>
      <c r="M65" s="2531"/>
      <c r="N65" s="2541">
        <f>IF(F65=0,0,'OVERSEAS INCOME'!V108)</f>
        <v>0</v>
      </c>
      <c r="O65" s="2542"/>
      <c r="P65" s="2542"/>
      <c r="Q65" s="2543"/>
      <c r="R65" s="2529">
        <f>'OVERSEAS INCOME'!AF108</f>
        <v>0</v>
      </c>
      <c r="S65" s="2530"/>
      <c r="T65" s="2530"/>
      <c r="U65" s="2531"/>
      <c r="V65" s="2410">
        <f>R65</f>
        <v>0</v>
      </c>
      <c r="W65" s="2410"/>
      <c r="X65" s="2410"/>
      <c r="Y65" s="2410"/>
      <c r="Z65" s="2410">
        <f>V65</f>
        <v>0</v>
      </c>
      <c r="AA65" s="2410"/>
      <c r="AB65" s="2410"/>
      <c r="AC65" s="2411"/>
    </row>
    <row r="66" spans="1:29">
      <c r="A66" s="1428" t="s">
        <v>556</v>
      </c>
      <c r="B66" s="675"/>
      <c r="C66" s="675"/>
      <c r="D66" s="675"/>
      <c r="E66" s="1425"/>
      <c r="F66" s="2541">
        <f>IF('OVERSEAS INCOME'!P154&lt;0,0,'OVERSEAS INCOME'!P154)</f>
        <v>0</v>
      </c>
      <c r="G66" s="2542"/>
      <c r="H66" s="2542"/>
      <c r="I66" s="2543"/>
      <c r="J66" s="2529">
        <f>'OVERSEAS INCOME'!X154</f>
        <v>0</v>
      </c>
      <c r="K66" s="2530"/>
      <c r="L66" s="2530"/>
      <c r="M66" s="2531"/>
      <c r="N66" s="2541">
        <f>IF(F66=0,0,'OVERSEAS INCOME'!P156)</f>
        <v>0</v>
      </c>
      <c r="O66" s="2542"/>
      <c r="P66" s="2542"/>
      <c r="Q66" s="2543"/>
      <c r="R66" s="2529">
        <f>'OVERSEAS INCOME'!X156</f>
        <v>0</v>
      </c>
      <c r="S66" s="2530"/>
      <c r="T66" s="2530"/>
      <c r="U66" s="2531"/>
      <c r="V66" s="2410">
        <f>R66</f>
        <v>0</v>
      </c>
      <c r="W66" s="2410"/>
      <c r="X66" s="2410"/>
      <c r="Y66" s="2410"/>
      <c r="Z66" s="2410">
        <f>V66</f>
        <v>0</v>
      </c>
      <c r="AA66" s="2410"/>
      <c r="AB66" s="2410"/>
      <c r="AC66" s="2411"/>
    </row>
    <row r="67" spans="1:35" ht="13">
      <c r="A67" s="665" t="s">
        <v>547</v>
      </c>
      <c r="B67" s="666"/>
      <c r="C67" s="666"/>
      <c r="D67" s="666"/>
      <c r="E67" s="667"/>
      <c r="F67" s="2604">
        <f>SUM(F62:I66)</f>
        <v>0</v>
      </c>
      <c r="G67" s="2605"/>
      <c r="H67" s="2605"/>
      <c r="I67" s="2606"/>
      <c r="J67" s="2538">
        <f>SUM(J62:M66)</f>
        <v>0</v>
      </c>
      <c r="K67" s="2539"/>
      <c r="L67" s="2539"/>
      <c r="M67" s="2540"/>
      <c r="N67" s="2604">
        <f>SUM(N62:Q66)</f>
        <v>0</v>
      </c>
      <c r="O67" s="2605"/>
      <c r="P67" s="2605"/>
      <c r="Q67" s="2606"/>
      <c r="R67" s="2538">
        <f>SUM(R62:U66)</f>
        <v>0</v>
      </c>
      <c r="S67" s="2539"/>
      <c r="T67" s="2539"/>
      <c r="U67" s="2540"/>
      <c r="V67" s="2538">
        <f>SUM(V62:Y66)</f>
        <v>0</v>
      </c>
      <c r="W67" s="2539"/>
      <c r="X67" s="2539"/>
      <c r="Y67" s="2540"/>
      <c r="Z67" s="2414">
        <f>SUM(Z62:AC66)</f>
        <v>0</v>
      </c>
      <c r="AA67" s="2414"/>
      <c r="AB67" s="2414"/>
      <c r="AC67" s="2415"/>
      <c r="AD67" s="316">
        <f>IF(F67&lt;0,0,F67)</f>
        <v>0</v>
      </c>
      <c r="AE67" s="316">
        <f>IF(J67&lt;0,0,J67)</f>
        <v>0</v>
      </c>
      <c r="AF67" s="316">
        <f>IF(N67&lt;0,0,N67)</f>
        <v>0</v>
      </c>
      <c r="AG67" s="316">
        <f>IF(R67&lt;0,0,R67)</f>
        <v>0</v>
      </c>
      <c r="AH67" s="316">
        <f>IF(V67&lt;0,0,V67)</f>
        <v>0</v>
      </c>
      <c r="AI67" s="316">
        <f>IF(Z67&lt;0,0,Z67)</f>
        <v>0</v>
      </c>
    </row>
    <row r="68" spans="1:35">
      <c r="A68" s="656" t="s">
        <v>551</v>
      </c>
      <c r="B68" s="636"/>
      <c r="C68" s="636"/>
      <c r="D68" s="636"/>
      <c r="E68" s="636"/>
      <c r="F68" s="639" t="str">
        <f>'OVERSEAS INCOME'!K159</f>
        <v> </v>
      </c>
      <c r="G68" s="636"/>
      <c r="H68" s="636"/>
      <c r="I68" s="636"/>
      <c r="J68" s="636"/>
      <c r="K68" s="636"/>
      <c r="L68" s="636"/>
      <c r="M68" s="636"/>
      <c r="N68" s="636"/>
      <c r="O68" s="636"/>
      <c r="P68" s="636"/>
      <c r="Q68" s="636"/>
      <c r="R68" s="636"/>
      <c r="S68" s="636"/>
      <c r="T68" s="636"/>
      <c r="U68" s="636"/>
      <c r="V68" s="654"/>
      <c r="W68" s="654"/>
      <c r="X68" s="654"/>
      <c r="Y68" s="654"/>
      <c r="Z68" s="654"/>
      <c r="AA68" s="654"/>
      <c r="AB68" s="654"/>
      <c r="AC68" s="655"/>
      <c r="AD68" s="292"/>
      <c r="AE68" s="292"/>
      <c r="AF68" s="292"/>
      <c r="AG68" s="292"/>
      <c r="AH68" s="292"/>
      <c r="AI68" s="292"/>
    </row>
    <row r="69" spans="1:35">
      <c r="A69" s="2601" t="s">
        <v>552</v>
      </c>
      <c r="B69" s="2602"/>
      <c r="C69" s="2602"/>
      <c r="D69" s="2602"/>
      <c r="E69" s="2603"/>
      <c r="F69" s="2541">
        <f>'OVERSEAS INCOME'!G184</f>
        <v>0</v>
      </c>
      <c r="G69" s="2542"/>
      <c r="H69" s="2542"/>
      <c r="I69" s="2543"/>
      <c r="J69" s="2529">
        <f>'OVERSEAS INCOME'!Q184</f>
        <v>0</v>
      </c>
      <c r="K69" s="2530"/>
      <c r="L69" s="2530"/>
      <c r="M69" s="2531"/>
      <c r="N69" s="2541">
        <f>'OVERSEAS INCOME'!K184</f>
        <v>0</v>
      </c>
      <c r="O69" s="2542"/>
      <c r="P69" s="2542"/>
      <c r="Q69" s="2543"/>
      <c r="R69" s="2529">
        <f>'OVERSEAS INCOME'!U184</f>
        <v>0</v>
      </c>
      <c r="S69" s="2530"/>
      <c r="T69" s="2530"/>
      <c r="U69" s="2531"/>
      <c r="V69" s="2410">
        <f>'OVERSEAS INCOME'!AA184</f>
        <v>0</v>
      </c>
      <c r="W69" s="2410"/>
      <c r="X69" s="2410"/>
      <c r="Y69" s="2410"/>
      <c r="Z69" s="2410">
        <f>'OVERSEAS INCOME'!AE184</f>
        <v>0</v>
      </c>
      <c r="AA69" s="2410"/>
      <c r="AB69" s="2410"/>
      <c r="AC69" s="2411"/>
      <c r="AD69" s="292"/>
      <c r="AE69" s="292"/>
      <c r="AF69" s="292"/>
      <c r="AG69" s="292"/>
      <c r="AH69" s="292"/>
      <c r="AI69" s="292"/>
    </row>
    <row r="70" spans="1:35">
      <c r="A70" s="1428" t="s">
        <v>553</v>
      </c>
      <c r="B70" s="675"/>
      <c r="C70" s="675"/>
      <c r="D70" s="675"/>
      <c r="E70" s="1425"/>
      <c r="F70" s="2541">
        <f>'OVERSEAS INCOME'!G209</f>
        <v>0</v>
      </c>
      <c r="G70" s="2542"/>
      <c r="H70" s="2542"/>
      <c r="I70" s="2543"/>
      <c r="J70" s="2529">
        <f>'OVERSEAS INCOME'!Q209</f>
        <v>0</v>
      </c>
      <c r="K70" s="2530"/>
      <c r="L70" s="2530"/>
      <c r="M70" s="2531"/>
      <c r="N70" s="2541">
        <f>'OVERSEAS INCOME'!K209</f>
        <v>0</v>
      </c>
      <c r="O70" s="2542"/>
      <c r="P70" s="2542"/>
      <c r="Q70" s="2543"/>
      <c r="R70" s="2529">
        <f>'OVERSEAS INCOME'!U209</f>
        <v>0</v>
      </c>
      <c r="S70" s="2530"/>
      <c r="T70" s="2530"/>
      <c r="U70" s="2531"/>
      <c r="V70" s="2410">
        <f>'OVERSEAS INCOME'!AA209</f>
        <v>0</v>
      </c>
      <c r="W70" s="2410"/>
      <c r="X70" s="2410"/>
      <c r="Y70" s="2410"/>
      <c r="Z70" s="2410">
        <f>'OVERSEAS INCOME'!AE209</f>
        <v>0</v>
      </c>
      <c r="AA70" s="2410"/>
      <c r="AB70" s="2410"/>
      <c r="AC70" s="2411"/>
      <c r="AD70" s="292"/>
      <c r="AE70" s="292"/>
      <c r="AF70" s="292"/>
      <c r="AG70" s="292"/>
      <c r="AH70" s="292"/>
      <c r="AI70" s="292"/>
    </row>
    <row r="71" spans="1:35">
      <c r="A71" s="1428" t="s">
        <v>554</v>
      </c>
      <c r="B71" s="675"/>
      <c r="C71" s="675"/>
      <c r="D71" s="675"/>
      <c r="E71" s="1425"/>
      <c r="F71" s="2541">
        <f>'OVERSEAS INCOME'!G234</f>
        <v>0</v>
      </c>
      <c r="G71" s="2542"/>
      <c r="H71" s="2542"/>
      <c r="I71" s="2543"/>
      <c r="J71" s="2529">
        <f>'OVERSEAS INCOME'!Q234</f>
        <v>0</v>
      </c>
      <c r="K71" s="2530"/>
      <c r="L71" s="2530"/>
      <c r="M71" s="2531"/>
      <c r="N71" s="2541">
        <f>'OVERSEAS INCOME'!K234</f>
        <v>0</v>
      </c>
      <c r="O71" s="2542"/>
      <c r="P71" s="2542"/>
      <c r="Q71" s="2543"/>
      <c r="R71" s="2529">
        <f>'OVERSEAS INCOME'!U234</f>
        <v>0</v>
      </c>
      <c r="S71" s="2530"/>
      <c r="T71" s="2530"/>
      <c r="U71" s="2531"/>
      <c r="V71" s="2410">
        <f>'OVERSEAS INCOME'!AA234</f>
        <v>0</v>
      </c>
      <c r="W71" s="2410"/>
      <c r="X71" s="2410"/>
      <c r="Y71" s="2410"/>
      <c r="Z71" s="2410">
        <f>'OVERSEAS INCOME'!AE234</f>
        <v>0</v>
      </c>
      <c r="AA71" s="2410"/>
      <c r="AB71" s="2410"/>
      <c r="AC71" s="2411"/>
      <c r="AD71" s="292"/>
      <c r="AE71" s="292"/>
      <c r="AF71" s="292"/>
      <c r="AG71" s="292"/>
      <c r="AH71" s="292"/>
      <c r="AI71" s="292"/>
    </row>
    <row r="72" spans="1:35">
      <c r="A72" s="1428" t="s">
        <v>555</v>
      </c>
      <c r="B72" s="675"/>
      <c r="C72" s="675"/>
      <c r="D72" s="675"/>
      <c r="E72" s="1425"/>
      <c r="F72" s="2541">
        <f>IF('OVERSEAS INCOME'!R259&lt;0,0,'OVERSEAS INCOME'!R259)</f>
        <v>0</v>
      </c>
      <c r="G72" s="2542"/>
      <c r="H72" s="2542"/>
      <c r="I72" s="2543"/>
      <c r="J72" s="2529">
        <f>'OVERSEAS INCOME'!AB259</f>
        <v>0</v>
      </c>
      <c r="K72" s="2530"/>
      <c r="L72" s="2530"/>
      <c r="M72" s="2531"/>
      <c r="N72" s="2541">
        <f>IF(F72=0,0,'OVERSEAS INCOME'!V259)</f>
        <v>0</v>
      </c>
      <c r="O72" s="2542"/>
      <c r="P72" s="2542"/>
      <c r="Q72" s="2543"/>
      <c r="R72" s="2529">
        <f>'OVERSEAS INCOME'!AF259</f>
        <v>0</v>
      </c>
      <c r="S72" s="2530"/>
      <c r="T72" s="2530"/>
      <c r="U72" s="2531"/>
      <c r="V72" s="2410">
        <f>R72</f>
        <v>0</v>
      </c>
      <c r="W72" s="2410"/>
      <c r="X72" s="2410"/>
      <c r="Y72" s="2410"/>
      <c r="Z72" s="2410">
        <f>V72</f>
        <v>0</v>
      </c>
      <c r="AA72" s="2410"/>
      <c r="AB72" s="2410"/>
      <c r="AC72" s="2411"/>
      <c r="AD72" s="292"/>
      <c r="AE72" s="292"/>
      <c r="AF72" s="292"/>
      <c r="AG72" s="292"/>
      <c r="AH72" s="292"/>
      <c r="AI72" s="292"/>
    </row>
    <row r="73" spans="1:35" ht="15.5">
      <c r="A73" s="1427" t="s">
        <v>556</v>
      </c>
      <c r="B73" s="682"/>
      <c r="C73" s="682"/>
      <c r="D73" s="682"/>
      <c r="E73" s="1426"/>
      <c r="F73" s="2595">
        <f>IF('OVERSEAS INCOME'!P305&lt;0,0,'OVERSEAS INCOME'!P305)</f>
        <v>0</v>
      </c>
      <c r="G73" s="2596"/>
      <c r="H73" s="2596"/>
      <c r="I73" s="2597"/>
      <c r="J73" s="2532">
        <f>'OVERSEAS INCOME'!X305</f>
        <v>0</v>
      </c>
      <c r="K73" s="2533"/>
      <c r="L73" s="2533"/>
      <c r="M73" s="2534"/>
      <c r="N73" s="2595">
        <f>IF(F73=0,0,'OVERSEAS INCOME'!P307)</f>
        <v>0</v>
      </c>
      <c r="O73" s="2596"/>
      <c r="P73" s="2596"/>
      <c r="Q73" s="2597"/>
      <c r="R73" s="2532">
        <f>'OVERSEAS INCOME'!X307</f>
        <v>0</v>
      </c>
      <c r="S73" s="2533"/>
      <c r="T73" s="2533"/>
      <c r="U73" s="2534"/>
      <c r="V73" s="2412">
        <f>R73</f>
        <v>0</v>
      </c>
      <c r="W73" s="2412"/>
      <c r="X73" s="2412"/>
      <c r="Y73" s="2412"/>
      <c r="Z73" s="2412">
        <f>V73</f>
        <v>0</v>
      </c>
      <c r="AA73" s="2412"/>
      <c r="AB73" s="2412"/>
      <c r="AC73" s="2413"/>
      <c r="AD73" s="317"/>
      <c r="AE73" s="317"/>
      <c r="AF73" s="317"/>
      <c r="AG73" s="317"/>
      <c r="AH73" s="317"/>
      <c r="AI73" s="317"/>
    </row>
    <row r="74" spans="1:35" ht="20.25" customHeight="1">
      <c r="A74" s="665" t="s">
        <v>547</v>
      </c>
      <c r="B74" s="666"/>
      <c r="C74" s="666"/>
      <c r="D74" s="666"/>
      <c r="E74" s="667"/>
      <c r="F74" s="2604">
        <f>SUM(F69:I73)</f>
        <v>0</v>
      </c>
      <c r="G74" s="2605"/>
      <c r="H74" s="2605"/>
      <c r="I74" s="2606"/>
      <c r="J74" s="2538">
        <f>SUM(J69:M73)</f>
        <v>0</v>
      </c>
      <c r="K74" s="2539"/>
      <c r="L74" s="2539"/>
      <c r="M74" s="2540"/>
      <c r="N74" s="2604">
        <f>SUM(N69:Q73)</f>
        <v>0</v>
      </c>
      <c r="O74" s="2605"/>
      <c r="P74" s="2605"/>
      <c r="Q74" s="2606"/>
      <c r="R74" s="2538">
        <f>SUM(R69:U73)</f>
        <v>0</v>
      </c>
      <c r="S74" s="2539"/>
      <c r="T74" s="2539"/>
      <c r="U74" s="2540"/>
      <c r="V74" s="2569">
        <f>SUM(V69:Y73)</f>
        <v>0</v>
      </c>
      <c r="W74" s="2570"/>
      <c r="X74" s="2570"/>
      <c r="Y74" s="2571"/>
      <c r="Z74" s="2414">
        <f>SUM(Z69:AC73)</f>
        <v>0</v>
      </c>
      <c r="AA74" s="2414"/>
      <c r="AB74" s="2414"/>
      <c r="AC74" s="2415"/>
      <c r="AD74" s="316">
        <f>IF(F74&lt;0,0,F74)</f>
        <v>0</v>
      </c>
      <c r="AE74" s="316">
        <f>IF(J74&lt;0,0,J74)</f>
        <v>0</v>
      </c>
      <c r="AF74" s="316">
        <f>IF(N74&lt;0,0,N74)</f>
        <v>0</v>
      </c>
      <c r="AG74" s="316">
        <f>IF(R74&lt;0,0,R74)</f>
        <v>0</v>
      </c>
      <c r="AH74" s="316">
        <f>IF(V74&lt;0,0,V74)</f>
        <v>0</v>
      </c>
      <c r="AI74" s="316">
        <f>IF(Z74&lt;0,0,Z74)</f>
        <v>0</v>
      </c>
    </row>
    <row r="75" spans="1:35">
      <c r="A75" s="656" t="s">
        <v>551</v>
      </c>
      <c r="B75" s="636"/>
      <c r="C75" s="636"/>
      <c r="D75" s="636"/>
      <c r="E75" s="636"/>
      <c r="F75" s="639" t="str">
        <f>'OVERSEAS INCOME'!K310</f>
        <v> </v>
      </c>
      <c r="G75" s="636"/>
      <c r="H75" s="636"/>
      <c r="I75" s="636"/>
      <c r="J75" s="636"/>
      <c r="K75" s="636"/>
      <c r="L75" s="636"/>
      <c r="M75" s="636"/>
      <c r="N75" s="636"/>
      <c r="O75" s="636"/>
      <c r="P75" s="636"/>
      <c r="Q75" s="636"/>
      <c r="R75" s="636"/>
      <c r="S75" s="636"/>
      <c r="T75" s="636"/>
      <c r="U75" s="636"/>
      <c r="V75" s="1281"/>
      <c r="W75" s="1281"/>
      <c r="X75" s="1281"/>
      <c r="Y75" s="1281"/>
      <c r="Z75" s="1281"/>
      <c r="AA75" s="1281"/>
      <c r="AB75" s="654"/>
      <c r="AC75" s="655"/>
      <c r="AD75" s="292"/>
      <c r="AE75" s="292"/>
      <c r="AF75" s="292"/>
      <c r="AG75" s="292"/>
      <c r="AH75" s="292"/>
      <c r="AI75" s="292"/>
    </row>
    <row r="76" spans="1:35">
      <c r="A76" s="2601" t="s">
        <v>552</v>
      </c>
      <c r="B76" s="2602"/>
      <c r="C76" s="2602"/>
      <c r="D76" s="2602"/>
      <c r="E76" s="2603"/>
      <c r="F76" s="2541">
        <f>'OVERSEAS INCOME'!G335</f>
        <v>0</v>
      </c>
      <c r="G76" s="2542"/>
      <c r="H76" s="2542"/>
      <c r="I76" s="2543"/>
      <c r="J76" s="2529">
        <f>'OVERSEAS INCOME'!Q335</f>
        <v>0</v>
      </c>
      <c r="K76" s="2530"/>
      <c r="L76" s="2530"/>
      <c r="M76" s="2531"/>
      <c r="N76" s="2541">
        <f>'OVERSEAS INCOME'!K335</f>
        <v>0</v>
      </c>
      <c r="O76" s="2542"/>
      <c r="P76" s="2542"/>
      <c r="Q76" s="2543"/>
      <c r="R76" s="2529">
        <f>'OVERSEAS INCOME'!U335</f>
        <v>0</v>
      </c>
      <c r="S76" s="2530"/>
      <c r="T76" s="2530"/>
      <c r="U76" s="2531"/>
      <c r="V76" s="2410">
        <f>'OVERSEAS INCOME'!AA335</f>
        <v>0</v>
      </c>
      <c r="W76" s="2410"/>
      <c r="X76" s="2410"/>
      <c r="Y76" s="2410"/>
      <c r="Z76" s="2410">
        <f>'OVERSEAS INCOME'!AE335</f>
        <v>0</v>
      </c>
      <c r="AA76" s="2410"/>
      <c r="AB76" s="2410"/>
      <c r="AC76" s="2411"/>
      <c r="AD76" s="292"/>
      <c r="AE76" s="292"/>
      <c r="AF76" s="292"/>
      <c r="AG76" s="292"/>
      <c r="AH76" s="292"/>
      <c r="AI76" s="292"/>
    </row>
    <row r="77" spans="1:35">
      <c r="A77" s="1428" t="s">
        <v>553</v>
      </c>
      <c r="B77" s="675"/>
      <c r="C77" s="675"/>
      <c r="D77" s="675"/>
      <c r="E77" s="1425"/>
      <c r="F77" s="2541">
        <f>'OVERSEAS INCOME'!G360</f>
        <v>0</v>
      </c>
      <c r="G77" s="2542"/>
      <c r="H77" s="2542"/>
      <c r="I77" s="2543"/>
      <c r="J77" s="2529">
        <f>'OVERSEAS INCOME'!Q360</f>
        <v>0</v>
      </c>
      <c r="K77" s="2530"/>
      <c r="L77" s="2530"/>
      <c r="M77" s="2531"/>
      <c r="N77" s="2541">
        <f>'OVERSEAS INCOME'!K360</f>
        <v>0</v>
      </c>
      <c r="O77" s="2542"/>
      <c r="P77" s="2542"/>
      <c r="Q77" s="2543"/>
      <c r="R77" s="2529">
        <f>'OVERSEAS INCOME'!U360</f>
        <v>0</v>
      </c>
      <c r="S77" s="2530"/>
      <c r="T77" s="2530"/>
      <c r="U77" s="2531"/>
      <c r="V77" s="2410">
        <f>'OVERSEAS INCOME'!AA360</f>
        <v>0</v>
      </c>
      <c r="W77" s="2410"/>
      <c r="X77" s="2410"/>
      <c r="Y77" s="2410"/>
      <c r="Z77" s="2410">
        <f>'OVERSEAS INCOME'!AE360</f>
        <v>0</v>
      </c>
      <c r="AA77" s="2410"/>
      <c r="AB77" s="2410"/>
      <c r="AC77" s="2411"/>
      <c r="AD77" s="292"/>
      <c r="AE77" s="292"/>
      <c r="AF77" s="292"/>
      <c r="AG77" s="292"/>
      <c r="AH77" s="292"/>
      <c r="AI77" s="292"/>
    </row>
    <row r="78" spans="1:35" ht="12.75" customHeight="1">
      <c r="A78" s="1428" t="s">
        <v>554</v>
      </c>
      <c r="B78" s="675"/>
      <c r="C78" s="675"/>
      <c r="D78" s="675"/>
      <c r="E78" s="1425"/>
      <c r="F78" s="2541">
        <f>'OVERSEAS INCOME'!G385</f>
        <v>0</v>
      </c>
      <c r="G78" s="2542"/>
      <c r="H78" s="2542"/>
      <c r="I78" s="2543"/>
      <c r="J78" s="2529">
        <f>'OVERSEAS INCOME'!Q385</f>
        <v>0</v>
      </c>
      <c r="K78" s="2530"/>
      <c r="L78" s="2530"/>
      <c r="M78" s="2531"/>
      <c r="N78" s="2541">
        <f>'OVERSEAS INCOME'!K385</f>
        <v>0</v>
      </c>
      <c r="O78" s="2542"/>
      <c r="P78" s="2542"/>
      <c r="Q78" s="2543"/>
      <c r="R78" s="2529">
        <f>'OVERSEAS INCOME'!U385</f>
        <v>0</v>
      </c>
      <c r="S78" s="2530"/>
      <c r="T78" s="2530"/>
      <c r="U78" s="2531"/>
      <c r="V78" s="2410">
        <f>'OVERSEAS INCOME'!AA385</f>
        <v>0</v>
      </c>
      <c r="W78" s="2410"/>
      <c r="X78" s="2410"/>
      <c r="Y78" s="2410"/>
      <c r="Z78" s="2410">
        <f>'OVERSEAS INCOME'!AE385</f>
        <v>0</v>
      </c>
      <c r="AA78" s="2410"/>
      <c r="AB78" s="2410"/>
      <c r="AC78" s="2411"/>
      <c r="AD78" s="292"/>
      <c r="AE78" s="292"/>
      <c r="AF78" s="292"/>
      <c r="AG78" s="292"/>
      <c r="AH78" s="292"/>
      <c r="AI78" s="292"/>
    </row>
    <row r="79" spans="1:35" s="644" customFormat="1">
      <c r="A79" s="1428" t="s">
        <v>555</v>
      </c>
      <c r="B79" s="675"/>
      <c r="C79" s="675"/>
      <c r="D79" s="675"/>
      <c r="E79" s="1425"/>
      <c r="F79" s="2541">
        <f>'OVERSEAS INCOME'!R410</f>
        <v>0</v>
      </c>
      <c r="G79" s="2542"/>
      <c r="H79" s="2542"/>
      <c r="I79" s="2543"/>
      <c r="J79" s="2529">
        <f>'OVERSEAS INCOME'!AB410</f>
        <v>0</v>
      </c>
      <c r="K79" s="2530"/>
      <c r="L79" s="2530"/>
      <c r="M79" s="2531"/>
      <c r="N79" s="2541">
        <f>'OVERSEAS INCOME'!V410</f>
        <v>0</v>
      </c>
      <c r="O79" s="2542"/>
      <c r="P79" s="2542"/>
      <c r="Q79" s="2543"/>
      <c r="R79" s="2529">
        <f>'OVERSEAS INCOME'!AF410</f>
        <v>0</v>
      </c>
      <c r="S79" s="2530"/>
      <c r="T79" s="2530"/>
      <c r="U79" s="2531"/>
      <c r="V79" s="2410">
        <f>R79</f>
        <v>0</v>
      </c>
      <c r="W79" s="2410"/>
      <c r="X79" s="2410"/>
      <c r="Y79" s="2410"/>
      <c r="Z79" s="2410">
        <f>V79</f>
        <v>0</v>
      </c>
      <c r="AA79" s="2410"/>
      <c r="AB79" s="2410"/>
      <c r="AC79" s="2411"/>
      <c r="AD79" s="292"/>
      <c r="AE79" s="292"/>
      <c r="AF79" s="292"/>
      <c r="AG79" s="292"/>
      <c r="AH79" s="292"/>
      <c r="AI79" s="292"/>
    </row>
    <row r="80" spans="1:35" s="644" customFormat="1" ht="24.75" customHeight="1">
      <c r="A80" s="1427" t="s">
        <v>556</v>
      </c>
      <c r="B80" s="682"/>
      <c r="C80" s="682"/>
      <c r="D80" s="682"/>
      <c r="E80" s="1426"/>
      <c r="F80" s="2595">
        <f>'OVERSEAS INCOME'!P456</f>
        <v>0</v>
      </c>
      <c r="G80" s="2596"/>
      <c r="H80" s="2596"/>
      <c r="I80" s="2597"/>
      <c r="J80" s="2532">
        <f>'OVERSEAS INCOME'!X456</f>
        <v>0</v>
      </c>
      <c r="K80" s="2533"/>
      <c r="L80" s="2533"/>
      <c r="M80" s="2534"/>
      <c r="N80" s="2595">
        <f>'OVERSEAS INCOME'!P458</f>
        <v>0</v>
      </c>
      <c r="O80" s="2596"/>
      <c r="P80" s="2596"/>
      <c r="Q80" s="2597"/>
      <c r="R80" s="2532">
        <f>'OVERSEAS INCOME'!X458</f>
        <v>0</v>
      </c>
      <c r="S80" s="2533"/>
      <c r="T80" s="2533"/>
      <c r="U80" s="2534"/>
      <c r="V80" s="2412">
        <f>R80</f>
        <v>0</v>
      </c>
      <c r="W80" s="2412"/>
      <c r="X80" s="2412"/>
      <c r="Y80" s="2412"/>
      <c r="Z80" s="2412">
        <f>V80</f>
        <v>0</v>
      </c>
      <c r="AA80" s="2412"/>
      <c r="AB80" s="2412"/>
      <c r="AC80" s="2413"/>
      <c r="AD80" s="292"/>
      <c r="AE80" s="292"/>
      <c r="AF80" s="292"/>
      <c r="AG80" s="292"/>
      <c r="AH80" s="292"/>
      <c r="AI80" s="292"/>
    </row>
    <row r="81" spans="1:35" s="644" customFormat="1" ht="24.75" customHeight="1">
      <c r="A81" s="665" t="s">
        <v>547</v>
      </c>
      <c r="B81" s="666"/>
      <c r="C81" s="666"/>
      <c r="D81" s="666"/>
      <c r="E81" s="667"/>
      <c r="F81" s="2604">
        <f>SUM(F76:I80)</f>
        <v>0</v>
      </c>
      <c r="G81" s="2605"/>
      <c r="H81" s="2605"/>
      <c r="I81" s="2606"/>
      <c r="J81" s="2538">
        <f>SUM(J76:M80)</f>
        <v>0</v>
      </c>
      <c r="K81" s="2539"/>
      <c r="L81" s="2539"/>
      <c r="M81" s="2540"/>
      <c r="N81" s="2604">
        <f>SUM(N76:Q80)</f>
        <v>0</v>
      </c>
      <c r="O81" s="2605"/>
      <c r="P81" s="2605"/>
      <c r="Q81" s="2606"/>
      <c r="R81" s="2538">
        <f>SUM(R76:U80)</f>
        <v>0</v>
      </c>
      <c r="S81" s="2539"/>
      <c r="T81" s="2539"/>
      <c r="U81" s="2540"/>
      <c r="V81" s="2538">
        <f>SUM(V76:Y80)</f>
        <v>0</v>
      </c>
      <c r="W81" s="2539"/>
      <c r="X81" s="2539"/>
      <c r="Y81" s="2540"/>
      <c r="Z81" s="2414">
        <f>SUM(Z76:AC80)</f>
        <v>0</v>
      </c>
      <c r="AA81" s="2414"/>
      <c r="AB81" s="2414"/>
      <c r="AC81" s="2415"/>
      <c r="AD81" s="316">
        <f>IF(F81&lt;0,0,F81)</f>
        <v>0</v>
      </c>
      <c r="AE81" s="316">
        <f>IF(J81&lt;0,0,J81)</f>
        <v>0</v>
      </c>
      <c r="AF81" s="316">
        <f>IF(N81&lt;0,0,N81)</f>
        <v>0</v>
      </c>
      <c r="AG81" s="316">
        <f>IF(R81&lt;0,0,R81)</f>
        <v>0</v>
      </c>
      <c r="AH81" s="316">
        <f>IF(V81&lt;0,0,V81)</f>
        <v>0</v>
      </c>
      <c r="AI81" s="316">
        <f>IF(Z81&lt;0,0,Z81)</f>
        <v>0</v>
      </c>
    </row>
    <row r="82" spans="1:35" s="644" customFormat="1" ht="16.5" customHeight="1">
      <c r="A82" s="656" t="s">
        <v>551</v>
      </c>
      <c r="B82" s="636"/>
      <c r="C82" s="675"/>
      <c r="D82" s="636"/>
      <c r="E82" s="636"/>
      <c r="F82" s="639" t="str">
        <f>'OVERSEAS INCOME'!K461</f>
        <v> </v>
      </c>
      <c r="G82" s="636"/>
      <c r="H82" s="636"/>
      <c r="I82" s="636"/>
      <c r="J82" s="676"/>
      <c r="K82" s="676"/>
      <c r="L82" s="676"/>
      <c r="M82" s="676"/>
      <c r="N82" s="636"/>
      <c r="O82" s="636"/>
      <c r="P82" s="636"/>
      <c r="Q82" s="636"/>
      <c r="R82" s="676"/>
      <c r="S82" s="676"/>
      <c r="T82" s="676"/>
      <c r="U82" s="676"/>
      <c r="V82" s="1281"/>
      <c r="W82" s="1281"/>
      <c r="X82" s="1281"/>
      <c r="Y82" s="1281"/>
      <c r="Z82" s="1281"/>
      <c r="AA82" s="1281"/>
      <c r="AB82" s="654"/>
      <c r="AC82" s="655"/>
      <c r="AD82" s="292"/>
      <c r="AE82" s="292"/>
      <c r="AF82" s="292"/>
      <c r="AG82" s="292"/>
      <c r="AH82" s="292"/>
      <c r="AI82" s="292"/>
    </row>
    <row r="83" spans="1:35" s="644" customFormat="1" ht="16.5" customHeight="1">
      <c r="A83" s="2601" t="s">
        <v>552</v>
      </c>
      <c r="B83" s="2602"/>
      <c r="C83" s="2602"/>
      <c r="D83" s="2602"/>
      <c r="E83" s="2603"/>
      <c r="F83" s="2541">
        <f>'OVERSEAS INCOME'!G486</f>
        <v>0</v>
      </c>
      <c r="G83" s="2542"/>
      <c r="H83" s="2542"/>
      <c r="I83" s="2543"/>
      <c r="J83" s="2529">
        <f>'OVERSEAS INCOME'!Q486</f>
        <v>0</v>
      </c>
      <c r="K83" s="2530"/>
      <c r="L83" s="2530"/>
      <c r="M83" s="2531"/>
      <c r="N83" s="2541">
        <f>'OVERSEAS INCOME'!K486</f>
        <v>0</v>
      </c>
      <c r="O83" s="2542"/>
      <c r="P83" s="2542"/>
      <c r="Q83" s="2543"/>
      <c r="R83" s="2529">
        <f>'OVERSEAS INCOME'!U486</f>
        <v>0</v>
      </c>
      <c r="S83" s="2530"/>
      <c r="T83" s="2530"/>
      <c r="U83" s="2531"/>
      <c r="V83" s="2410">
        <f>'OVERSEAS INCOME'!AA486</f>
        <v>0</v>
      </c>
      <c r="W83" s="2410"/>
      <c r="X83" s="2410"/>
      <c r="Y83" s="2410"/>
      <c r="Z83" s="2410">
        <f>'OVERSEAS INCOME'!AE486</f>
        <v>0</v>
      </c>
      <c r="AA83" s="2410"/>
      <c r="AB83" s="2410"/>
      <c r="AC83" s="2411"/>
      <c r="AD83" s="292"/>
      <c r="AE83" s="292"/>
      <c r="AF83" s="292"/>
      <c r="AG83" s="292"/>
      <c r="AH83" s="292"/>
      <c r="AI83" s="292"/>
    </row>
    <row r="84" spans="1:35">
      <c r="A84" s="1428" t="s">
        <v>553</v>
      </c>
      <c r="B84" s="675"/>
      <c r="C84" s="675"/>
      <c r="D84" s="675"/>
      <c r="E84" s="1425"/>
      <c r="F84" s="2541">
        <f>'OVERSEAS INCOME'!G511</f>
        <v>0</v>
      </c>
      <c r="G84" s="2542"/>
      <c r="H84" s="2542"/>
      <c r="I84" s="2543"/>
      <c r="J84" s="2529">
        <f>'OVERSEAS INCOME'!Q511</f>
        <v>0</v>
      </c>
      <c r="K84" s="2530"/>
      <c r="L84" s="2530"/>
      <c r="M84" s="2531"/>
      <c r="N84" s="2541">
        <f>'OVERSEAS INCOME'!K511</f>
        <v>0</v>
      </c>
      <c r="O84" s="2542"/>
      <c r="P84" s="2542"/>
      <c r="Q84" s="2543"/>
      <c r="R84" s="2529">
        <f>'OVERSEAS INCOME'!U511</f>
        <v>0</v>
      </c>
      <c r="S84" s="2530"/>
      <c r="T84" s="2530"/>
      <c r="U84" s="2531"/>
      <c r="V84" s="2410">
        <f>'OVERSEAS INCOME'!AA511</f>
        <v>0</v>
      </c>
      <c r="W84" s="2410"/>
      <c r="X84" s="2410"/>
      <c r="Y84" s="2410"/>
      <c r="Z84" s="2410">
        <f>'OVERSEAS INCOME'!AE511</f>
        <v>0</v>
      </c>
      <c r="AA84" s="2410"/>
      <c r="AB84" s="2410"/>
      <c r="AC84" s="2411"/>
      <c r="AD84" s="292"/>
      <c r="AE84" s="292"/>
      <c r="AF84" s="292"/>
      <c r="AG84" s="292"/>
      <c r="AH84" s="292"/>
      <c r="AI84" s="292"/>
    </row>
    <row r="85" spans="1:35">
      <c r="A85" s="1428" t="s">
        <v>554</v>
      </c>
      <c r="B85" s="675"/>
      <c r="C85" s="675"/>
      <c r="D85" s="675"/>
      <c r="E85" s="1425"/>
      <c r="F85" s="2541">
        <f>'OVERSEAS INCOME'!G536</f>
        <v>0</v>
      </c>
      <c r="G85" s="2542"/>
      <c r="H85" s="2542"/>
      <c r="I85" s="2543"/>
      <c r="J85" s="2529">
        <f>'OVERSEAS INCOME'!Q536</f>
        <v>0</v>
      </c>
      <c r="K85" s="2530"/>
      <c r="L85" s="2530"/>
      <c r="M85" s="2531"/>
      <c r="N85" s="2541">
        <f>'OVERSEAS INCOME'!K536</f>
        <v>0</v>
      </c>
      <c r="O85" s="2542"/>
      <c r="P85" s="2542"/>
      <c r="Q85" s="2543"/>
      <c r="R85" s="2529">
        <f>'OVERSEAS INCOME'!U536</f>
        <v>0</v>
      </c>
      <c r="S85" s="2530"/>
      <c r="T85" s="2530"/>
      <c r="U85" s="2531"/>
      <c r="V85" s="2410">
        <f>'OVERSEAS INCOME'!AA536</f>
        <v>0</v>
      </c>
      <c r="W85" s="2410"/>
      <c r="X85" s="2410"/>
      <c r="Y85" s="2410"/>
      <c r="Z85" s="2410">
        <f>'OVERSEAS INCOME'!AE536</f>
        <v>0</v>
      </c>
      <c r="AA85" s="2410"/>
      <c r="AB85" s="2410"/>
      <c r="AC85" s="2411"/>
      <c r="AD85" s="292"/>
      <c r="AE85" s="292"/>
      <c r="AF85" s="292"/>
      <c r="AG85" s="292"/>
      <c r="AH85" s="292"/>
      <c r="AI85" s="292"/>
    </row>
    <row r="86" spans="1:35">
      <c r="A86" s="1428" t="s">
        <v>555</v>
      </c>
      <c r="B86" s="675"/>
      <c r="C86" s="675"/>
      <c r="D86" s="675"/>
      <c r="E86" s="1425"/>
      <c r="F86" s="2541">
        <f>'OVERSEAS INCOME'!R560</f>
        <v>0</v>
      </c>
      <c r="G86" s="2542"/>
      <c r="H86" s="2542"/>
      <c r="I86" s="2543"/>
      <c r="J86" s="2529">
        <f>'OVERSEAS INCOME'!AB560</f>
        <v>0</v>
      </c>
      <c r="K86" s="2530"/>
      <c r="L86" s="2530"/>
      <c r="M86" s="2531"/>
      <c r="N86" s="2541">
        <f>'OVERSEAS INCOME'!V560</f>
        <v>0</v>
      </c>
      <c r="O86" s="2542"/>
      <c r="P86" s="2542"/>
      <c r="Q86" s="2543"/>
      <c r="R86" s="2529">
        <f>'OVERSEAS INCOME'!AF560</f>
        <v>0</v>
      </c>
      <c r="S86" s="2530"/>
      <c r="T86" s="2530"/>
      <c r="U86" s="2531"/>
      <c r="V86" s="2410">
        <f>R86</f>
        <v>0</v>
      </c>
      <c r="W86" s="2410"/>
      <c r="X86" s="2410"/>
      <c r="Y86" s="2410"/>
      <c r="Z86" s="2410">
        <f>V86</f>
        <v>0</v>
      </c>
      <c r="AA86" s="2410"/>
      <c r="AB86" s="2410"/>
      <c r="AC86" s="2411"/>
      <c r="AD86" s="292"/>
      <c r="AE86" s="292"/>
      <c r="AF86" s="292"/>
      <c r="AG86" s="292"/>
      <c r="AH86" s="292"/>
      <c r="AI86" s="292"/>
    </row>
    <row r="87" spans="1:35" ht="37.5" customHeight="1">
      <c r="A87" s="1427" t="s">
        <v>556</v>
      </c>
      <c r="B87" s="682"/>
      <c r="C87" s="682"/>
      <c r="D87" s="682"/>
      <c r="E87" s="1426"/>
      <c r="F87" s="2595">
        <f>'OVERSEAS INCOME'!P607</f>
        <v>0</v>
      </c>
      <c r="G87" s="2596"/>
      <c r="H87" s="2596"/>
      <c r="I87" s="2597"/>
      <c r="J87" s="2532">
        <f>'OVERSEAS INCOME'!X607</f>
        <v>0</v>
      </c>
      <c r="K87" s="2533"/>
      <c r="L87" s="2533"/>
      <c r="M87" s="2534"/>
      <c r="N87" s="2595">
        <f>'OVERSEAS INCOME'!P609</f>
        <v>0</v>
      </c>
      <c r="O87" s="2596"/>
      <c r="P87" s="2596"/>
      <c r="Q87" s="2597"/>
      <c r="R87" s="2532">
        <f>'OVERSEAS INCOME'!X609</f>
        <v>0</v>
      </c>
      <c r="S87" s="2533"/>
      <c r="T87" s="2533"/>
      <c r="U87" s="2534"/>
      <c r="V87" s="2412">
        <f>R87</f>
        <v>0</v>
      </c>
      <c r="W87" s="2412"/>
      <c r="X87" s="2412"/>
      <c r="Y87" s="2412"/>
      <c r="Z87" s="2412">
        <f>V87</f>
        <v>0</v>
      </c>
      <c r="AA87" s="2412"/>
      <c r="AB87" s="2412"/>
      <c r="AC87" s="2413"/>
      <c r="AD87" s="292"/>
      <c r="AE87" s="292"/>
      <c r="AF87" s="292"/>
      <c r="AG87" s="292"/>
      <c r="AH87" s="292"/>
      <c r="AI87" s="292"/>
    </row>
    <row r="88" spans="1:36" s="662" customFormat="1" ht="13">
      <c r="A88" s="665" t="s">
        <v>547</v>
      </c>
      <c r="B88" s="666"/>
      <c r="C88" s="666"/>
      <c r="D88" s="666"/>
      <c r="E88" s="667"/>
      <c r="F88" s="2604">
        <f>SUM(F83:I87)</f>
        <v>0</v>
      </c>
      <c r="G88" s="2605"/>
      <c r="H88" s="2605"/>
      <c r="I88" s="2606"/>
      <c r="J88" s="2538">
        <f>SUM(J83:M87)</f>
        <v>0</v>
      </c>
      <c r="K88" s="2539"/>
      <c r="L88" s="2539"/>
      <c r="M88" s="2540"/>
      <c r="N88" s="2604">
        <f>SUM(N83:Q87)</f>
        <v>0</v>
      </c>
      <c r="O88" s="2605"/>
      <c r="P88" s="2605"/>
      <c r="Q88" s="2606"/>
      <c r="R88" s="2538">
        <f>SUM(R83:U87)</f>
        <v>0</v>
      </c>
      <c r="S88" s="2539"/>
      <c r="T88" s="2539"/>
      <c r="U88" s="2540"/>
      <c r="V88" s="2538">
        <f>SUM(V83:Y87)</f>
        <v>0</v>
      </c>
      <c r="W88" s="2539"/>
      <c r="X88" s="2539"/>
      <c r="Y88" s="2540"/>
      <c r="Z88" s="2414">
        <f>SUM(Z83:AC87)</f>
        <v>0</v>
      </c>
      <c r="AA88" s="2414"/>
      <c r="AB88" s="2414"/>
      <c r="AC88" s="2415"/>
      <c r="AD88" s="316">
        <f>IF(F88&lt;0,0,F88)</f>
        <v>0</v>
      </c>
      <c r="AE88" s="316">
        <f>IF(J88&lt;0,0,J88)</f>
        <v>0</v>
      </c>
      <c r="AF88" s="316">
        <f>IF(N88&lt;0,0,N88)</f>
        <v>0</v>
      </c>
      <c r="AG88" s="316">
        <f>IF(R88&lt;0,0,R88)</f>
        <v>0</v>
      </c>
      <c r="AH88" s="316">
        <f>IF(V88&lt;0,0,V88)</f>
        <v>0</v>
      </c>
      <c r="AI88" s="316">
        <f>IF(Z88&lt;0,0,Z88)</f>
        <v>0</v>
      </c>
      <c r="AJ88" s="663"/>
    </row>
    <row r="89" spans="1:35" s="662" customFormat="1" ht="16.5" customHeight="1">
      <c r="A89" s="679"/>
      <c r="B89" s="680"/>
      <c r="C89" s="681"/>
      <c r="D89" s="680"/>
      <c r="E89" s="680"/>
      <c r="F89" s="682"/>
      <c r="G89" s="682"/>
      <c r="H89" s="682"/>
      <c r="I89" s="682"/>
      <c r="J89" s="683"/>
      <c r="K89" s="683"/>
      <c r="L89" s="683"/>
      <c r="M89" s="683"/>
      <c r="N89" s="682"/>
      <c r="O89" s="682"/>
      <c r="P89" s="682"/>
      <c r="Q89" s="682"/>
      <c r="R89" s="683"/>
      <c r="S89" s="683"/>
      <c r="T89" s="683"/>
      <c r="U89" s="683"/>
      <c r="V89" s="1281"/>
      <c r="W89" s="1281"/>
      <c r="X89" s="1281"/>
      <c r="Y89" s="1281"/>
      <c r="Z89" s="1281"/>
      <c r="AA89" s="1281"/>
      <c r="AB89" s="654"/>
      <c r="AC89" s="655"/>
      <c r="AD89" s="636"/>
      <c r="AE89" s="636"/>
      <c r="AF89" s="636"/>
      <c r="AG89" s="636"/>
      <c r="AH89" s="636"/>
      <c r="AI89" s="636"/>
    </row>
    <row r="90" spans="1:35" s="662" customFormat="1" ht="14.5" thickBot="1">
      <c r="A90" s="685" t="s">
        <v>557</v>
      </c>
      <c r="B90" s="686"/>
      <c r="C90" s="687"/>
      <c r="D90" s="686"/>
      <c r="E90" s="686"/>
      <c r="F90" s="2614">
        <f>+SUM(AD66:AD90)</f>
        <v>0</v>
      </c>
      <c r="G90" s="2615"/>
      <c r="H90" s="2615"/>
      <c r="I90" s="2616"/>
      <c r="J90" s="2617">
        <f>+SUM(AE67:AE90)</f>
        <v>0</v>
      </c>
      <c r="K90" s="2618"/>
      <c r="L90" s="2618"/>
      <c r="M90" s="2619"/>
      <c r="N90" s="2614">
        <f>+SUM(AF67:AF88)</f>
        <v>0</v>
      </c>
      <c r="O90" s="2615"/>
      <c r="P90" s="2615"/>
      <c r="Q90" s="2616"/>
      <c r="R90" s="2617">
        <f>+SUM(AG67:AG88)</f>
        <v>0</v>
      </c>
      <c r="S90" s="2618"/>
      <c r="T90" s="2618"/>
      <c r="U90" s="2619"/>
      <c r="V90" s="2416">
        <f>+SUM(AH67:AH88)</f>
        <v>0</v>
      </c>
      <c r="W90" s="2416"/>
      <c r="X90" s="2416"/>
      <c r="Y90" s="2416"/>
      <c r="Z90" s="2416">
        <f>+SUM(AI67:AI88)</f>
        <v>0</v>
      </c>
      <c r="AA90" s="2416"/>
      <c r="AB90" s="2416"/>
      <c r="AC90" s="2417"/>
      <c r="AD90" s="1322" t="s">
        <v>1335</v>
      </c>
      <c r="AE90" s="639"/>
      <c r="AF90" s="639"/>
      <c r="AG90" s="639"/>
      <c r="AH90" s="639"/>
      <c r="AI90" s="639"/>
    </row>
    <row r="91" spans="1:39" s="663" customFormat="1">
      <c r="A91" s="636"/>
      <c r="B91" s="636"/>
      <c r="C91" s="636"/>
      <c r="D91" s="636"/>
      <c r="E91" s="636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  <c r="U91" s="636"/>
      <c r="V91" s="636"/>
      <c r="W91" s="636"/>
      <c r="X91" s="636"/>
      <c r="Y91" s="636"/>
      <c r="Z91" s="636"/>
      <c r="AA91" s="636"/>
      <c r="AB91" s="636"/>
      <c r="AC91" s="636"/>
      <c r="AD91" s="636"/>
      <c r="AE91" s="636"/>
      <c r="AF91" s="636"/>
      <c r="AG91" s="636"/>
      <c r="AH91" s="636"/>
      <c r="AI91" s="636"/>
      <c r="AJ91" s="636"/>
      <c r="AK91" s="636"/>
      <c r="AL91" s="636"/>
      <c r="AM91" s="636"/>
    </row>
    <row r="92" spans="1:39" s="663" customFormat="1">
      <c r="A92" s="636" t="s">
        <v>558</v>
      </c>
      <c r="B92" s="636"/>
      <c r="C92" s="636"/>
      <c r="D92" s="636"/>
      <c r="E92" s="636"/>
      <c r="F92" s="636"/>
      <c r="G92" s="636"/>
      <c r="H92" s="636"/>
      <c r="I92" s="636"/>
      <c r="J92" s="636"/>
      <c r="K92" s="636"/>
      <c r="L92" s="636"/>
      <c r="M92" s="636"/>
      <c r="N92" s="636"/>
      <c r="O92" s="636"/>
      <c r="P92" s="636"/>
      <c r="Q92" s="636"/>
      <c r="R92" s="636"/>
      <c r="S92" s="636"/>
      <c r="T92" s="636"/>
      <c r="U92" s="636"/>
      <c r="V92" s="636"/>
      <c r="W92" s="636"/>
      <c r="X92" s="636"/>
      <c r="Y92" s="636"/>
      <c r="Z92" s="636"/>
      <c r="AA92" s="636"/>
      <c r="AB92" s="636"/>
      <c r="AC92" s="636"/>
      <c r="AD92" s="636"/>
      <c r="AE92" s="636"/>
      <c r="AF92" s="636"/>
      <c r="AG92" s="636"/>
      <c r="AH92" s="636"/>
      <c r="AI92" s="636"/>
      <c r="AJ92" s="636"/>
      <c r="AK92" s="636"/>
      <c r="AL92" s="636"/>
      <c r="AM92" s="636"/>
    </row>
    <row r="97" spans="3:27" ht="20">
      <c r="C97" s="648" t="s">
        <v>460</v>
      </c>
      <c r="D97" s="636"/>
      <c r="E97" s="636"/>
      <c r="X97" s="651"/>
      <c r="Y97" s="651"/>
      <c r="Z97" s="651"/>
      <c r="AA97" s="651"/>
    </row>
    <row r="98" spans="3:9" ht="20">
      <c r="C98" s="648" t="s">
        <v>461</v>
      </c>
      <c r="D98" s="636"/>
      <c r="E98" s="636"/>
      <c r="G98" s="2620" t="e">
        <f>G15+1</f>
        <v>#VALUE!</v>
      </c>
      <c r="H98" s="2620"/>
      <c r="I98" s="2620"/>
    </row>
    <row r="100" spans="3:3">
      <c r="C100" s="639" t="s">
        <v>714</v>
      </c>
    </row>
    <row r="102" spans="4:28">
      <c r="D102" s="636" t="s">
        <v>610</v>
      </c>
      <c r="T102" s="669" t="e">
        <f>IF('GENERAL INFO'!$W$55="X",0,IF((OR(ISBLANK(dateofdeparture)=True,(dateofdeparture-taxyearend)&gt;0)),IF('GENERAL INFO'!$G$114="X",'CalculationSheet'!N15,'CalculationSheet'!N104),0))</f>
        <v>#VALUE!</v>
      </c>
      <c r="U102" s="669"/>
      <c r="V102" s="669"/>
      <c r="W102" s="669"/>
      <c r="X102" s="2581"/>
      <c r="Y102" s="2581"/>
      <c r="Z102" s="2581"/>
      <c r="AA102" s="2581"/>
      <c r="AB102" s="713"/>
    </row>
    <row r="103" spans="4:28">
      <c r="D103" s="636" t="s">
        <v>611</v>
      </c>
      <c r="T103" s="2581" t="e">
        <f>IF('GENERAL INFO'!$W$55="X",0,IF((OR(ISBLANK(dateofdeparture)=True,(dateofdeparture-taxyearend)&gt;0)),IF('GENERAL INFO'!$G$114="X",'CalculationSheet'!N16,'CalculationSheet'!N105),0))</f>
        <v>#VALUE!</v>
      </c>
      <c r="U103" s="2581"/>
      <c r="V103" s="2581"/>
      <c r="W103" s="2581"/>
      <c r="X103" s="2581"/>
      <c r="Y103" s="2581"/>
      <c r="Z103" s="2581"/>
      <c r="AA103" s="2581"/>
      <c r="AB103" s="713"/>
    </row>
    <row r="104" spans="4:31">
      <c r="D104" s="636" t="s">
        <v>612</v>
      </c>
      <c r="T104" s="2632" t="e">
        <f>IF('GENERAL INFO'!$W$55="X",0,IF((OR(ISBLANK(dateofdeparture)=True,(dateofdeparture-taxyearend)&gt;0)),IF('GENERAL INFO'!$G$114="X",'CalculationSheet'!N17,'CalculationSheet'!N106),0))</f>
        <v>#VALUE!</v>
      </c>
      <c r="U104" s="2632"/>
      <c r="V104" s="2632"/>
      <c r="W104" s="2632"/>
      <c r="X104" s="2581"/>
      <c r="Y104" s="2581"/>
      <c r="Z104" s="2581"/>
      <c r="AA104" s="2581"/>
      <c r="AB104" s="713"/>
      <c r="AE104" s="714" t="str">
        <f>IF(totaloverseasincome='OVERSEAS INCOME'!irregularincome,"YES","NO")</f>
        <v>YES</v>
      </c>
    </row>
    <row r="105" spans="4:28">
      <c r="D105" s="636" t="s">
        <v>423</v>
      </c>
      <c r="T105" s="2581"/>
      <c r="U105" s="2581"/>
      <c r="V105" s="2581"/>
      <c r="W105" s="2581"/>
      <c r="X105" s="669" t="e">
        <f>SUM(T102:W104)</f>
        <v>#VALUE!</v>
      </c>
      <c r="Y105" s="669"/>
      <c r="Z105" s="669"/>
      <c r="AA105" s="669"/>
      <c r="AB105" s="713"/>
    </row>
    <row r="106" spans="3:27">
      <c r="C106" s="636"/>
      <c r="T106" s="714"/>
      <c r="U106" s="714"/>
      <c r="V106" s="714"/>
      <c r="W106" s="714"/>
      <c r="X106" s="714"/>
      <c r="Y106" s="714"/>
      <c r="Z106" s="714"/>
      <c r="AA106" s="714"/>
    </row>
    <row r="107" spans="3:27">
      <c r="C107" s="639" t="s">
        <v>462</v>
      </c>
      <c r="T107" s="714"/>
      <c r="U107" s="714"/>
      <c r="V107" s="714"/>
      <c r="W107" s="714"/>
      <c r="X107" s="2632" t="e">
        <f>IF('GENERAL INFO'!$W$55="X",0,IF('GENERAL INFO'!G114="X",(-'CalculationSheet'!J58-'CalculationSheet'!J62)/12*'GENERAL INFO'!V109,(-'CalculationSheet'!J146-'CalculationSheet'!J150/12*'GENERAL INFO'!V109)))</f>
        <v>#VALUE!</v>
      </c>
      <c r="Y107" s="2632"/>
      <c r="Z107" s="2632"/>
      <c r="AA107" s="2632"/>
    </row>
    <row r="108" spans="3:27">
      <c r="C108" s="636"/>
      <c r="T108" s="714"/>
      <c r="U108" s="714"/>
      <c r="V108" s="714"/>
      <c r="W108" s="714"/>
      <c r="X108" s="714"/>
      <c r="Y108" s="714"/>
      <c r="Z108" s="714"/>
      <c r="AA108" s="714"/>
    </row>
    <row r="109" spans="1:39" s="645" customFormat="1">
      <c r="A109" s="636"/>
      <c r="B109" s="636"/>
      <c r="C109" s="639" t="s">
        <v>715</v>
      </c>
      <c r="D109" s="694"/>
      <c r="E109" s="636"/>
      <c r="F109" s="636"/>
      <c r="G109" s="636"/>
      <c r="H109" s="636"/>
      <c r="I109" s="636"/>
      <c r="J109" s="636"/>
      <c r="K109" s="636"/>
      <c r="L109" s="636"/>
      <c r="M109" s="636"/>
      <c r="N109" s="636"/>
      <c r="O109" s="636" t="s">
        <v>295</v>
      </c>
      <c r="P109" s="636"/>
      <c r="Q109" s="636"/>
      <c r="R109" s="636"/>
      <c r="S109" s="636"/>
      <c r="T109" s="714"/>
      <c r="U109" s="714"/>
      <c r="V109" s="714"/>
      <c r="W109" s="714"/>
      <c r="X109" s="669" t="e">
        <f>X105-X107</f>
        <v>#VALUE!</v>
      </c>
      <c r="Y109" s="669"/>
      <c r="Z109" s="669"/>
      <c r="AA109" s="669"/>
      <c r="AB109" s="636"/>
      <c r="AC109" s="636"/>
      <c r="AD109" s="636"/>
      <c r="AE109" s="636"/>
      <c r="AF109" s="636"/>
      <c r="AG109" s="636"/>
      <c r="AH109" s="636"/>
      <c r="AI109" s="636"/>
      <c r="AJ109" s="636"/>
      <c r="AK109" s="636"/>
      <c r="AL109" s="636"/>
      <c r="AM109" s="636"/>
    </row>
    <row r="110" spans="3:27">
      <c r="C110" s="636"/>
      <c r="T110" s="714"/>
      <c r="U110" s="714"/>
      <c r="V110" s="714"/>
      <c r="W110" s="714"/>
      <c r="X110" s="714"/>
      <c r="Y110" s="714"/>
      <c r="Z110" s="714"/>
      <c r="AA110" s="714"/>
    </row>
    <row r="111" spans="1:39" s="645" customFormat="1">
      <c r="A111" s="636"/>
      <c r="B111" s="636"/>
      <c r="C111" s="639" t="s">
        <v>463</v>
      </c>
      <c r="D111" s="694"/>
      <c r="E111" s="636"/>
      <c r="F111" s="636"/>
      <c r="G111" s="636"/>
      <c r="H111" s="636"/>
      <c r="I111" s="636"/>
      <c r="J111" s="636"/>
      <c r="K111" s="636"/>
      <c r="L111" s="636"/>
      <c r="M111" s="636"/>
      <c r="N111" s="636"/>
      <c r="O111" s="636" t="s">
        <v>295</v>
      </c>
      <c r="P111" s="636"/>
      <c r="Q111" s="636"/>
      <c r="R111" s="636"/>
      <c r="S111" s="636"/>
      <c r="T111" s="714"/>
      <c r="U111" s="714"/>
      <c r="V111" s="714"/>
      <c r="W111" s="714"/>
      <c r="X111" s="669" t="e">
        <f>IF('GENERAL INFO'!$W$55="X",0,IF('GENERAL INFO'!$G$114="X",'CalculationSheet'!R65,'CalculationSheet'!R153))</f>
        <v>#VALUE!</v>
      </c>
      <c r="Y111" s="669"/>
      <c r="Z111" s="669"/>
      <c r="AA111" s="669"/>
      <c r="AB111" s="636"/>
      <c r="AC111" s="636"/>
      <c r="AD111" s="636"/>
      <c r="AE111" s="636"/>
      <c r="AF111" s="636"/>
      <c r="AG111" s="636"/>
      <c r="AH111" s="636"/>
      <c r="AI111" s="636"/>
      <c r="AJ111" s="636"/>
      <c r="AK111" s="636"/>
      <c r="AL111" s="636"/>
      <c r="AM111" s="636"/>
    </row>
    <row r="112" spans="1:39" s="645" customFormat="1">
      <c r="A112" s="636"/>
      <c r="B112" s="636"/>
      <c r="C112" s="639"/>
      <c r="D112" s="694"/>
      <c r="E112" s="636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636"/>
      <c r="R112" s="636"/>
      <c r="S112" s="636"/>
      <c r="T112" s="714"/>
      <c r="U112" s="714"/>
      <c r="V112" s="714"/>
      <c r="W112" s="714"/>
      <c r="X112" s="714"/>
      <c r="Y112" s="714"/>
      <c r="Z112" s="714"/>
      <c r="AA112" s="714"/>
      <c r="AB112" s="636"/>
      <c r="AC112" s="636"/>
      <c r="AD112" s="636"/>
      <c r="AE112" s="636"/>
      <c r="AF112" s="636"/>
      <c r="AG112" s="636"/>
      <c r="AH112" s="636"/>
      <c r="AI112" s="636"/>
      <c r="AJ112" s="636"/>
      <c r="AK112" s="636"/>
      <c r="AL112" s="636"/>
      <c r="AM112" s="636"/>
    </row>
    <row r="113" spans="3:34">
      <c r="C113" s="639" t="s">
        <v>320</v>
      </c>
      <c r="D113" s="694"/>
      <c r="T113" s="714"/>
      <c r="U113" s="714"/>
      <c r="V113" s="714"/>
      <c r="W113" s="714"/>
      <c r="X113" s="2581">
        <f>IF('GENERAL INFO'!$W$55="X",0,IF('GENERAL INFO'!$G$114="X",'CalculationSheet'!R67,'CalculationSheet'!R155))</f>
        <v>0</v>
      </c>
      <c r="Y113" s="2581"/>
      <c r="Z113" s="2581"/>
      <c r="AA113" s="2581"/>
      <c r="AE113" s="669" t="e">
        <f>IF('GENERAL INFO'!$W55="X",0,IF('GENERAL INFO'!$G114="X",'CalculationSheet'!$R89,'CalculationSheet'!$R177))</f>
        <v>#VALUE!</v>
      </c>
      <c r="AF113" s="669"/>
      <c r="AG113" s="669"/>
      <c r="AH113" s="669"/>
    </row>
    <row r="114" spans="3:27">
      <c r="C114" s="636"/>
      <c r="T114" s="714"/>
      <c r="U114" s="714"/>
      <c r="V114" s="714"/>
      <c r="W114" s="714"/>
      <c r="X114" s="715"/>
      <c r="Y114" s="715"/>
      <c r="Z114" s="715"/>
      <c r="AA114" s="715"/>
    </row>
    <row r="115" spans="3:27">
      <c r="C115" s="639" t="s">
        <v>464</v>
      </c>
      <c r="D115" s="694"/>
      <c r="T115" s="714"/>
      <c r="U115" s="714"/>
      <c r="V115" s="714"/>
      <c r="W115" s="714"/>
      <c r="X115" s="2631" t="e">
        <f>IF('GENERAL INFO'!$W$55="X",0,IF('CalculationSheet'!R69&lt;0,0,IF('GENERAL INFO'!$G$114="X",'CalculationSheet'!R69,'CalculationSheet'!R157)))</f>
        <v>#VALUE!</v>
      </c>
      <c r="Y115" s="2631"/>
      <c r="Z115" s="2631"/>
      <c r="AA115" s="2631"/>
    </row>
    <row r="116" spans="3:27">
      <c r="C116" s="639"/>
      <c r="D116" s="694"/>
      <c r="T116" s="714"/>
      <c r="U116" s="714"/>
      <c r="V116" s="714"/>
      <c r="W116" s="714"/>
      <c r="X116" s="714"/>
      <c r="Y116" s="714"/>
      <c r="Z116" s="714"/>
      <c r="AA116" s="714"/>
    </row>
    <row r="117" spans="3:27">
      <c r="C117" s="639" t="s">
        <v>465</v>
      </c>
      <c r="T117" s="714"/>
      <c r="U117" s="714"/>
      <c r="V117" s="714"/>
      <c r="W117" s="714"/>
      <c r="X117" s="2581" t="e">
        <f>IF('GENERAL INFO'!$W$55="X",0,IF('GENERAL INFO'!$G$114="X",'CalculationSheet'!R83,'CalculationSheet'!R171))</f>
        <v>#VALUE!</v>
      </c>
      <c r="Y117" s="2581"/>
      <c r="Z117" s="2581"/>
      <c r="AA117" s="2581"/>
    </row>
    <row r="118" spans="3:27">
      <c r="C118" s="636"/>
      <c r="T118" s="714"/>
      <c r="U118" s="714"/>
      <c r="V118" s="714"/>
      <c r="W118" s="714"/>
      <c r="X118" s="714"/>
      <c r="Y118" s="714"/>
      <c r="Z118" s="714"/>
      <c r="AA118" s="714"/>
    </row>
    <row r="119" spans="3:27">
      <c r="C119" s="639" t="s">
        <v>466</v>
      </c>
      <c r="T119" s="714"/>
      <c r="U119" s="714"/>
      <c r="V119" s="714"/>
      <c r="W119" s="714"/>
      <c r="X119" s="714"/>
      <c r="Y119" s="714"/>
      <c r="Z119" s="714"/>
      <c r="AA119" s="714"/>
    </row>
    <row r="120" spans="4:27">
      <c r="D120" s="639" t="s">
        <v>709</v>
      </c>
      <c r="T120" s="714"/>
      <c r="U120" s="714"/>
      <c r="V120" s="714"/>
      <c r="W120" s="714"/>
      <c r="X120" s="2581" t="e">
        <f>IF(AE113&gt;X117,X117,AE113)</f>
        <v>#VALUE!</v>
      </c>
      <c r="Y120" s="2581"/>
      <c r="Z120" s="2581"/>
      <c r="AA120" s="2581"/>
    </row>
    <row r="121" spans="3:39">
      <c r="C121" s="636"/>
      <c r="T121" s="714"/>
      <c r="U121" s="714"/>
      <c r="V121" s="714"/>
      <c r="W121" s="714"/>
      <c r="X121" s="715"/>
      <c r="Y121" s="715"/>
      <c r="Z121" s="715"/>
      <c r="AA121" s="715"/>
      <c r="AD121" s="644"/>
      <c r="AE121" s="644"/>
      <c r="AF121" s="644"/>
      <c r="AG121" s="644"/>
      <c r="AH121" s="644"/>
      <c r="AI121" s="644"/>
      <c r="AJ121" s="644"/>
      <c r="AK121" s="644"/>
      <c r="AL121" s="644"/>
      <c r="AM121" s="644"/>
    </row>
    <row r="122" spans="3:39">
      <c r="C122" s="639" t="s">
        <v>467</v>
      </c>
      <c r="T122" s="714"/>
      <c r="U122" s="714"/>
      <c r="V122" s="714"/>
      <c r="W122" s="714"/>
      <c r="X122" s="2580" t="e">
        <f>X117-X120</f>
        <v>#VALUE!</v>
      </c>
      <c r="Y122" s="2580"/>
      <c r="Z122" s="2580"/>
      <c r="AA122" s="2580"/>
      <c r="AD122" s="644"/>
      <c r="AE122" s="644"/>
      <c r="AF122" s="644"/>
      <c r="AG122" s="644"/>
      <c r="AH122" s="644"/>
      <c r="AI122" s="644"/>
      <c r="AJ122" s="644"/>
      <c r="AK122" s="644"/>
      <c r="AL122" s="644"/>
      <c r="AM122" s="644"/>
    </row>
    <row r="123" spans="3:39">
      <c r="C123" s="636"/>
      <c r="T123" s="714"/>
      <c r="U123" s="714"/>
      <c r="V123" s="714"/>
      <c r="W123" s="714"/>
      <c r="X123" s="714"/>
      <c r="Y123" s="714"/>
      <c r="Z123" s="714"/>
      <c r="AA123" s="714"/>
      <c r="AD123" s="644"/>
      <c r="AE123" s="644"/>
      <c r="AF123" s="644"/>
      <c r="AG123" s="644"/>
      <c r="AH123" s="644"/>
      <c r="AI123" s="644"/>
      <c r="AJ123" s="644"/>
      <c r="AK123" s="644"/>
      <c r="AL123" s="644"/>
      <c r="AM123" s="644"/>
    </row>
    <row r="124" spans="3:39">
      <c r="C124" s="639" t="s">
        <v>468</v>
      </c>
      <c r="T124" s="714"/>
      <c r="U124" s="714"/>
      <c r="V124" s="714"/>
      <c r="W124" s="714"/>
      <c r="X124" s="2579">
        <f>IF('GENERAL INFO'!$G$114="X",'CalculationSheet'!R93,'CalculationSheet'!R181)</f>
        <v>0</v>
      </c>
      <c r="Y124" s="2579"/>
      <c r="Z124" s="2579"/>
      <c r="AA124" s="2579"/>
      <c r="AD124" s="644"/>
      <c r="AE124" s="644"/>
      <c r="AF124" s="644"/>
      <c r="AG124" s="644"/>
      <c r="AH124" s="644"/>
      <c r="AI124" s="644"/>
      <c r="AJ124" s="644"/>
      <c r="AK124" s="644"/>
      <c r="AL124" s="644"/>
      <c r="AM124" s="644"/>
    </row>
    <row r="125" spans="3:27" ht="6.65" customHeight="1">
      <c r="C125" s="636"/>
      <c r="T125" s="714"/>
      <c r="U125" s="714"/>
      <c r="V125" s="714"/>
      <c r="W125" s="714"/>
      <c r="X125" s="715"/>
      <c r="Y125" s="715"/>
      <c r="Z125" s="715"/>
      <c r="AA125" s="715"/>
    </row>
    <row r="126" spans="3:27" ht="4.9" customHeight="1" thickBot="1">
      <c r="C126" s="636"/>
      <c r="T126" s="714"/>
      <c r="U126" s="714"/>
      <c r="V126" s="714"/>
      <c r="W126" s="714"/>
      <c r="X126" s="714"/>
      <c r="Y126" s="714"/>
      <c r="Z126" s="714"/>
      <c r="AA126" s="714"/>
    </row>
    <row r="127" spans="1:31" ht="19.15" customHeight="1" thickBot="1">
      <c r="A127" s="644"/>
      <c r="B127" s="644"/>
      <c r="C127" s="645" t="e">
        <f>IF(OR(AND(T104&gt;0,T104=X107),'GENERAL INFO'!W55="X"),"MONTHLY PPh 25 INSTALMENT **)", "MONTHLY PPh 25 INSTALMENT")</f>
        <v>#VALUE!</v>
      </c>
      <c r="D127" s="644"/>
      <c r="E127" s="644"/>
      <c r="F127" s="644"/>
      <c r="G127" s="644"/>
      <c r="H127" s="644"/>
      <c r="I127" s="644"/>
      <c r="J127" s="644"/>
      <c r="K127" s="644"/>
      <c r="L127" s="644"/>
      <c r="M127" s="644"/>
      <c r="N127" s="644"/>
      <c r="O127" s="644"/>
      <c r="P127" s="644"/>
      <c r="Q127" s="644"/>
      <c r="R127" s="644"/>
      <c r="S127" s="644"/>
      <c r="T127" s="716"/>
      <c r="U127" s="716"/>
      <c r="V127" s="716"/>
      <c r="W127" s="716"/>
      <c r="X127" s="2535" t="e">
        <f>X122/X124</f>
        <v>#VALUE!</v>
      </c>
      <c r="Y127" s="2536"/>
      <c r="Z127" s="2536"/>
      <c r="AA127" s="2537"/>
      <c r="AB127" s="644"/>
      <c r="AC127" s="644"/>
      <c r="AD127" s="659"/>
      <c r="AE127" s="659"/>
    </row>
    <row r="128" spans="1:31">
      <c r="A128" s="644"/>
      <c r="B128" s="717"/>
      <c r="C128" s="644"/>
      <c r="D128" s="644"/>
      <c r="E128" s="644"/>
      <c r="F128" s="644"/>
      <c r="G128" s="644"/>
      <c r="H128" s="644"/>
      <c r="I128" s="644"/>
      <c r="J128" s="644"/>
      <c r="K128" s="644"/>
      <c r="L128" s="644"/>
      <c r="M128" s="644"/>
      <c r="N128" s="644"/>
      <c r="O128" s="644"/>
      <c r="P128" s="644"/>
      <c r="Q128" s="644"/>
      <c r="R128" s="644"/>
      <c r="S128" s="644"/>
      <c r="T128" s="644"/>
      <c r="U128" s="644"/>
      <c r="V128" s="644"/>
      <c r="W128" s="644"/>
      <c r="X128" s="644"/>
      <c r="Y128" s="644"/>
      <c r="Z128" s="644"/>
      <c r="AA128" s="644"/>
      <c r="AB128" s="644"/>
      <c r="AC128" s="644"/>
      <c r="AD128" s="659"/>
      <c r="AE128" s="659"/>
    </row>
    <row r="129" spans="1:39">
      <c r="A129" s="717"/>
      <c r="B129" s="717"/>
      <c r="C129" s="659" t="str">
        <f>IF(ISBLANK(dateofdeparture)=True,"*)   Other than those subject to final income tax and non- assessable income","*)   As reflected in my EPO attached, I left Indonesia on "&amp;TEXT(dateofdeparture,"dd/mm/yy")&amp;" "&amp;" so that my PPh 25 should be NIL")</f>
        <v>*)   Other than those subject to final income tax and non- assessable income</v>
      </c>
      <c r="D129" s="659"/>
      <c r="E129" s="659"/>
      <c r="F129" s="659"/>
      <c r="G129" s="659"/>
      <c r="H129" s="659"/>
      <c r="I129" s="659"/>
      <c r="J129" s="659"/>
      <c r="K129" s="659"/>
      <c r="L129" s="659"/>
      <c r="M129" s="659"/>
      <c r="N129" s="659"/>
      <c r="O129" s="659"/>
      <c r="P129" s="659"/>
      <c r="Q129" s="659"/>
      <c r="R129" s="659"/>
      <c r="S129" s="659"/>
      <c r="T129" s="659"/>
      <c r="U129" s="659"/>
      <c r="V129" s="659"/>
      <c r="W129" s="659"/>
      <c r="X129" s="659"/>
      <c r="Y129" s="659"/>
      <c r="Z129" s="659"/>
      <c r="AA129" s="659"/>
      <c r="AB129" s="644"/>
      <c r="AC129" s="644"/>
      <c r="AD129" s="663"/>
      <c r="AE129" s="663" t="str">
        <f>IF('GENERAL INFO'!W55="X","**)  PPh 25 monthly instalments for the year "&amp;(taxyear+1)&amp;" "&amp;" is Nil.  The "&amp;(taxyear)&amp;" "&amp;" tax return has been submitted with the "&amp;(taxyear+1)&amp;" "&amp;" tax return (KEP-28/PJ.41/1993).","")</f>
        <v/>
      </c>
      <c r="AF129" s="663"/>
      <c r="AG129" s="663"/>
      <c r="AH129" s="663"/>
      <c r="AI129" s="663"/>
      <c r="AJ129" s="663"/>
      <c r="AK129" s="663"/>
      <c r="AL129" s="663"/>
      <c r="AM129" s="663"/>
    </row>
    <row r="130" spans="3:39" ht="43.5" customHeight="1">
      <c r="C130" s="2621" t="e">
        <f>IF('GENERAL INFO'!W55="X","**)  PPh 25 monthly instalments for the year "&amp;(taxyear+1)&amp;" "&amp;" is Nil.  The "&amp;(taxyear)&amp;" "&amp;" tax return has been submitted with the "&amp;(taxyear+1)&amp;" "&amp;" tax return (KEP-28/PJ.41/1993).",IF(X107&gt;0, AE130, " "))</f>
        <v>#VALUE!</v>
      </c>
      <c r="D130" s="2621"/>
      <c r="E130" s="2621"/>
      <c r="F130" s="2621"/>
      <c r="G130" s="2621"/>
      <c r="H130" s="2621"/>
      <c r="I130" s="2621"/>
      <c r="J130" s="2621"/>
      <c r="K130" s="2621"/>
      <c r="L130" s="2621"/>
      <c r="M130" s="2621"/>
      <c r="N130" s="2621"/>
      <c r="O130" s="2621"/>
      <c r="P130" s="2621"/>
      <c r="Q130" s="2621"/>
      <c r="R130" s="2621"/>
      <c r="S130" s="2621"/>
      <c r="T130" s="2621"/>
      <c r="U130" s="2621"/>
      <c r="V130" s="2621"/>
      <c r="W130" s="2621"/>
      <c r="X130" s="2621"/>
      <c r="Y130" s="2621"/>
      <c r="Z130" s="2621"/>
      <c r="AA130" s="2621"/>
      <c r="AD130" s="663"/>
      <c r="AE130" s="663" t="s">
        <v>1132</v>
      </c>
      <c r="AF130" s="663"/>
      <c r="AG130" s="663"/>
      <c r="AH130" s="663"/>
      <c r="AI130" s="663"/>
      <c r="AJ130" s="663"/>
      <c r="AK130" s="663"/>
      <c r="AL130" s="663"/>
      <c r="AM130" s="663"/>
    </row>
    <row r="131" spans="30:39" ht="15" customHeight="1">
      <c r="AD131" s="663"/>
      <c r="AE131" s="663"/>
      <c r="AF131" s="663"/>
      <c r="AG131" s="663"/>
      <c r="AH131" s="663"/>
      <c r="AI131" s="663"/>
      <c r="AJ131" s="663"/>
      <c r="AK131" s="663"/>
      <c r="AL131" s="663"/>
      <c r="AM131" s="663"/>
    </row>
    <row r="132" spans="30:39" ht="15" customHeight="1">
      <c r="AD132" s="663"/>
      <c r="AE132" s="663"/>
      <c r="AF132" s="663"/>
      <c r="AG132" s="663"/>
      <c r="AH132" s="663"/>
      <c r="AI132" s="663"/>
      <c r="AJ132" s="663"/>
      <c r="AK132" s="663"/>
      <c r="AL132" s="663"/>
      <c r="AM132" s="663"/>
    </row>
    <row r="133" spans="3:37" ht="20">
      <c r="C133" s="648" t="s">
        <v>574</v>
      </c>
      <c r="E133" s="659"/>
      <c r="F133" s="659"/>
      <c r="G133" s="659"/>
      <c r="H133" s="659"/>
      <c r="I133" s="659"/>
      <c r="J133" s="659"/>
      <c r="K133" s="659"/>
      <c r="L133" s="659"/>
      <c r="M133" s="659"/>
      <c r="N133" s="659"/>
      <c r="O133" s="659"/>
      <c r="P133" s="659"/>
      <c r="Q133" s="659"/>
      <c r="R133" s="659"/>
      <c r="S133" s="659"/>
      <c r="T133" s="659"/>
      <c r="U133" s="659"/>
      <c r="V133" s="659"/>
      <c r="W133" s="659"/>
      <c r="X133" s="659"/>
      <c r="Y133" s="659"/>
      <c r="Z133" s="659"/>
      <c r="AA133" s="659"/>
      <c r="AB133" s="663"/>
      <c r="AC133" s="663"/>
      <c r="AD133" s="663"/>
      <c r="AE133" s="663"/>
      <c r="AF133" s="663"/>
      <c r="AG133" s="663"/>
      <c r="AH133" s="663"/>
      <c r="AI133" s="663"/>
      <c r="AJ133" s="663"/>
      <c r="AK133" s="663"/>
    </row>
    <row r="134" spans="6:29" ht="13" thickBot="1">
      <c r="F134" s="659"/>
      <c r="G134" s="659"/>
      <c r="H134" s="659"/>
      <c r="I134" s="659"/>
      <c r="J134" s="659"/>
      <c r="K134" s="659"/>
      <c r="L134" s="659"/>
      <c r="M134" s="659"/>
      <c r="N134" s="659"/>
      <c r="O134" s="659"/>
      <c r="P134" s="659"/>
      <c r="Q134" s="659"/>
      <c r="R134" s="659"/>
      <c r="S134" s="659"/>
      <c r="T134" s="659"/>
      <c r="U134" s="659"/>
      <c r="V134" s="659"/>
      <c r="W134" s="659"/>
      <c r="X134" s="659"/>
      <c r="Y134" s="659"/>
      <c r="Z134" s="659"/>
      <c r="AA134" s="659"/>
      <c r="AB134" s="659"/>
      <c r="AC134" s="659"/>
    </row>
    <row r="135" spans="1:33">
      <c r="A135" s="662"/>
      <c r="B135" s="662"/>
      <c r="C135" s="2622" t="s">
        <v>534</v>
      </c>
      <c r="D135" s="2623"/>
      <c r="E135" s="2623"/>
      <c r="F135" s="2623"/>
      <c r="G135" s="2623"/>
      <c r="H135" s="2624"/>
      <c r="I135" s="2622" t="s">
        <v>535</v>
      </c>
      <c r="J135" s="2623"/>
      <c r="K135" s="2623"/>
      <c r="L135" s="2623"/>
      <c r="M135" s="2623"/>
      <c r="N135" s="2624"/>
      <c r="O135" s="2572" t="s">
        <v>499</v>
      </c>
      <c r="P135" s="2572"/>
      <c r="Q135" s="2572"/>
      <c r="R135" s="2572"/>
      <c r="S135" s="2572"/>
      <c r="T135" s="2572"/>
      <c r="U135" s="2572"/>
      <c r="V135" s="2572"/>
      <c r="W135" s="2572"/>
      <c r="X135" s="2572"/>
      <c r="Y135" s="2572"/>
      <c r="Z135" s="2573"/>
      <c r="AA135" s="663"/>
      <c r="AB135" s="663"/>
      <c r="AC135" s="663"/>
      <c r="AD135" s="663"/>
      <c r="AE135" s="663"/>
      <c r="AF135" s="663"/>
      <c r="AG135" s="663"/>
    </row>
    <row r="136" spans="1:33">
      <c r="A136" s="662"/>
      <c r="B136" s="662"/>
      <c r="C136" s="2625"/>
      <c r="D136" s="2626"/>
      <c r="E136" s="2626"/>
      <c r="F136" s="2626"/>
      <c r="G136" s="2626"/>
      <c r="H136" s="2627"/>
      <c r="I136" s="2625"/>
      <c r="J136" s="2626"/>
      <c r="K136" s="2626"/>
      <c r="L136" s="2626"/>
      <c r="M136" s="2626"/>
      <c r="N136" s="2627"/>
      <c r="O136" s="2574" t="s">
        <v>326</v>
      </c>
      <c r="P136" s="2574"/>
      <c r="Q136" s="2574"/>
      <c r="R136" s="2574"/>
      <c r="S136" s="2576" t="s">
        <v>536</v>
      </c>
      <c r="T136" s="2577"/>
      <c r="U136" s="2577"/>
      <c r="V136" s="2577"/>
      <c r="W136" s="2577"/>
      <c r="X136" s="2577"/>
      <c r="Y136" s="2577"/>
      <c r="Z136" s="2578"/>
      <c r="AA136" s="663"/>
      <c r="AB136" s="663"/>
      <c r="AC136" s="663"/>
      <c r="AD136" s="663"/>
      <c r="AE136" s="663"/>
      <c r="AF136" s="663"/>
      <c r="AG136" s="663"/>
    </row>
    <row r="137" spans="1:33" ht="13" thickBot="1">
      <c r="A137" s="662"/>
      <c r="B137" s="662"/>
      <c r="C137" s="2628"/>
      <c r="D137" s="2629"/>
      <c r="E137" s="2629"/>
      <c r="F137" s="2629"/>
      <c r="G137" s="2629"/>
      <c r="H137" s="2630"/>
      <c r="I137" s="2628"/>
      <c r="J137" s="2629"/>
      <c r="K137" s="2629"/>
      <c r="L137" s="2629"/>
      <c r="M137" s="2629"/>
      <c r="N137" s="2630"/>
      <c r="O137" s="2575"/>
      <c r="P137" s="2575"/>
      <c r="Q137" s="2575"/>
      <c r="R137" s="2575"/>
      <c r="S137" s="2582" t="s">
        <v>537</v>
      </c>
      <c r="T137" s="2583"/>
      <c r="U137" s="2583"/>
      <c r="V137" s="2584"/>
      <c r="W137" s="2575" t="s">
        <v>538</v>
      </c>
      <c r="X137" s="2575"/>
      <c r="Y137" s="2575"/>
      <c r="Z137" s="2585"/>
      <c r="AA137" s="663"/>
      <c r="AB137" s="663"/>
      <c r="AC137" s="663"/>
      <c r="AD137" s="663"/>
      <c r="AE137" s="663"/>
      <c r="AF137" s="663"/>
      <c r="AG137" s="663"/>
    </row>
    <row r="138" spans="1:33">
      <c r="A138" s="663"/>
      <c r="B138" s="663"/>
      <c r="C138" s="2607"/>
      <c r="D138" s="2608"/>
      <c r="E138" s="2608"/>
      <c r="F138" s="2608"/>
      <c r="G138" s="2608"/>
      <c r="H138" s="2609"/>
      <c r="I138" s="2607"/>
      <c r="J138" s="2608"/>
      <c r="K138" s="2608"/>
      <c r="L138" s="2608"/>
      <c r="M138" s="2608"/>
      <c r="N138" s="2609"/>
      <c r="O138" s="2610"/>
      <c r="P138" s="2610"/>
      <c r="Q138" s="2610"/>
      <c r="R138" s="2610"/>
      <c r="S138" s="2610"/>
      <c r="T138" s="2610"/>
      <c r="U138" s="2610"/>
      <c r="V138" s="2610"/>
      <c r="W138" s="2611"/>
      <c r="X138" s="2612"/>
      <c r="Y138" s="2612"/>
      <c r="Z138" s="2613"/>
      <c r="AA138" s="663"/>
      <c r="AB138" s="663"/>
      <c r="AC138" s="663"/>
      <c r="AD138" s="663"/>
      <c r="AE138" s="663"/>
      <c r="AF138" s="663"/>
      <c r="AG138" s="663"/>
    </row>
    <row r="139" spans="1:33">
      <c r="A139" s="663"/>
      <c r="B139" s="663"/>
      <c r="C139" s="2552" t="str">
        <f>IF('GENERAL INFO'!V166&gt;0,"Indonesia",'OVERSEAS INCOME'!B620)</f>
        <v> </v>
      </c>
      <c r="D139" s="2553"/>
      <c r="E139" s="2553"/>
      <c r="F139" s="2553"/>
      <c r="G139" s="2553"/>
      <c r="H139" s="2554"/>
      <c r="I139" s="2552" t="str">
        <f>IF('GENERAL INFO'!V166&gt;0,"Irregular Income",'OVERSEAS INCOME'!K620)</f>
        <v> </v>
      </c>
      <c r="J139" s="2553"/>
      <c r="K139" s="2553"/>
      <c r="L139" s="2553"/>
      <c r="M139" s="2553"/>
      <c r="N139" s="2554"/>
      <c r="O139" s="2549">
        <f>IF('GENERAL INFO'!V166&gt;0,'GENERAL INFO'!V166,'OVERSEAS INCOME'!T620)</f>
        <v>0</v>
      </c>
      <c r="P139" s="2549"/>
      <c r="Q139" s="2549"/>
      <c r="R139" s="2549"/>
      <c r="S139" s="2549" t="str">
        <f>IF('GENERAL INFO'!V166&gt;0,0,'OVERSEAS INCOME'!X620)</f>
        <v> </v>
      </c>
      <c r="T139" s="2549"/>
      <c r="U139" s="2549"/>
      <c r="V139" s="2549"/>
      <c r="W139" s="2549">
        <f>IF('GENERAL INFO'!V166&gt;0,S139,'OVERSEAS INCOME'!AB620)</f>
        <v>0</v>
      </c>
      <c r="X139" s="2549"/>
      <c r="Y139" s="2549"/>
      <c r="Z139" s="2550"/>
      <c r="AA139" s="663"/>
      <c r="AB139" s="663"/>
      <c r="AC139" s="663"/>
      <c r="AD139" s="663"/>
      <c r="AE139" s="663"/>
      <c r="AF139" s="663"/>
      <c r="AG139" s="663"/>
    </row>
    <row r="140" spans="1:33">
      <c r="A140" s="663"/>
      <c r="B140" s="663"/>
      <c r="C140" s="2552" t="str">
        <f>IF(C139="Indonesia",'OVERSEAS INCOME'!B620,'OVERSEAS INCOME'!B621)</f>
        <v> </v>
      </c>
      <c r="D140" s="2553"/>
      <c r="E140" s="2553"/>
      <c r="F140" s="2553"/>
      <c r="G140" s="2553"/>
      <c r="H140" s="2554"/>
      <c r="I140" s="2552" t="str">
        <f>IF(I139="irregular income",'OVERSEAS INCOME'!K620,'OVERSEAS INCOME'!K621)</f>
        <v> </v>
      </c>
      <c r="J140" s="2553"/>
      <c r="K140" s="2553"/>
      <c r="L140" s="2553"/>
      <c r="M140" s="2553"/>
      <c r="N140" s="2554"/>
      <c r="O140" s="2549">
        <f>IF(O139='GENERAL INFO'!V166,'OVERSEAS INCOME'!T620,'OVERSEAS INCOME'!T621)</f>
        <v>0</v>
      </c>
      <c r="P140" s="2549"/>
      <c r="Q140" s="2549"/>
      <c r="R140" s="2549"/>
      <c r="S140" s="2549" t="str">
        <f>IF(C139="Indonesia",'OVERSEAS INCOME'!X620,'OVERSEAS INCOME'!X621)</f>
        <v> </v>
      </c>
      <c r="T140" s="2549"/>
      <c r="U140" s="2549"/>
      <c r="V140" s="2549"/>
      <c r="W140" s="2549">
        <f>IF('GENERAL INFO'!V166&gt;0,'OVERSEAS INCOME'!AB620,'OVERSEAS INCOME'!AB621)</f>
        <v>0</v>
      </c>
      <c r="X140" s="2549"/>
      <c r="Y140" s="2549"/>
      <c r="Z140" s="2550"/>
      <c r="AA140" s="663"/>
      <c r="AB140" s="663"/>
      <c r="AC140" s="663"/>
      <c r="AD140" s="663"/>
      <c r="AE140" s="663"/>
      <c r="AF140" s="663"/>
      <c r="AG140" s="663"/>
    </row>
    <row r="141" spans="1:33">
      <c r="A141" s="663"/>
      <c r="B141" s="663"/>
      <c r="C141" s="2552" t="str">
        <f>IF(C140='OVERSEAS INCOME'!B621,'OVERSEAS INCOME'!B622,'OVERSEAS INCOME'!B623)</f>
        <v> </v>
      </c>
      <c r="D141" s="2553"/>
      <c r="E141" s="2553"/>
      <c r="F141" s="2553"/>
      <c r="G141" s="2553"/>
      <c r="H141" s="2554"/>
      <c r="I141" s="2552" t="str">
        <f>IF(I140='OVERSEAS INCOME'!K620,'OVERSEAS INCOME'!K621,'OVERSEAS INCOME'!K622)</f>
        <v> </v>
      </c>
      <c r="J141" s="2553"/>
      <c r="K141" s="2553"/>
      <c r="L141" s="2553"/>
      <c r="M141" s="2553"/>
      <c r="N141" s="2554"/>
      <c r="O141" s="2549" t="str">
        <f>IF(O140='OVERSEAS INCOME'!T620,'OVERSEAS INCOME'!T621,'OVERSEAS INCOME'!T622)</f>
        <v> </v>
      </c>
      <c r="P141" s="2549"/>
      <c r="Q141" s="2549"/>
      <c r="R141" s="2549"/>
      <c r="S141" s="2549" t="str">
        <f>IF(S140='OVERSEAS INCOME'!X620,'OVERSEAS INCOME'!X621,'OVERSEAS INCOME'!X622)</f>
        <v> </v>
      </c>
      <c r="T141" s="2549"/>
      <c r="U141" s="2549"/>
      <c r="V141" s="2549"/>
      <c r="W141" s="2549">
        <f>IF(W140='OVERSEAS INCOME'!AB620,'OVERSEAS INCOME'!AB621,'OVERSEAS INCOME'!AB622)</f>
        <v>0</v>
      </c>
      <c r="X141" s="2549"/>
      <c r="Y141" s="2549"/>
      <c r="Z141" s="2550"/>
      <c r="AA141" s="663"/>
      <c r="AB141" s="663"/>
      <c r="AC141" s="663"/>
      <c r="AD141" s="663"/>
      <c r="AE141" s="663"/>
      <c r="AF141" s="663"/>
      <c r="AG141" s="663"/>
    </row>
    <row r="142" spans="1:33">
      <c r="A142" s="663"/>
      <c r="B142" s="663"/>
      <c r="C142" s="2552" t="str">
        <f>IF(C141='OVERSEAS INCOME'!B622,'OVERSEAS INCOME'!B623,'OVERSEAS INCOME'!B624)</f>
        <v> </v>
      </c>
      <c r="D142" s="2553"/>
      <c r="E142" s="2553"/>
      <c r="F142" s="2553"/>
      <c r="G142" s="2553"/>
      <c r="H142" s="2554"/>
      <c r="I142" s="2552" t="str">
        <f>IF(I141='OVERSEAS INCOME'!K621,'OVERSEAS INCOME'!K622,'OVERSEAS INCOME'!K623)</f>
        <v> </v>
      </c>
      <c r="J142" s="2553"/>
      <c r="K142" s="2553"/>
      <c r="L142" s="2553"/>
      <c r="M142" s="2553"/>
      <c r="N142" s="2554"/>
      <c r="O142" s="2549" t="str">
        <f>IF(O141='OVERSEAS INCOME'!T621,'OVERSEAS INCOME'!T622,'OVERSEAS INCOME'!T623)</f>
        <v> </v>
      </c>
      <c r="P142" s="2549"/>
      <c r="Q142" s="2549"/>
      <c r="R142" s="2549"/>
      <c r="S142" s="2549" t="str">
        <f>IF(S141='OVERSEAS INCOME'!X621,'OVERSEAS INCOME'!X622,'OVERSEAS INCOME'!X623)</f>
        <v> </v>
      </c>
      <c r="T142" s="2549"/>
      <c r="U142" s="2549"/>
      <c r="V142" s="2549"/>
      <c r="W142" s="2549">
        <f>IF(W141='OVERSEAS INCOME'!AB621,'OVERSEAS INCOME'!AB622,'OVERSEAS INCOME'!AB623)</f>
        <v>0</v>
      </c>
      <c r="X142" s="2549"/>
      <c r="Y142" s="2549"/>
      <c r="Z142" s="2550"/>
      <c r="AA142" s="663"/>
      <c r="AB142" s="663"/>
      <c r="AC142" s="663"/>
      <c r="AD142" s="663"/>
      <c r="AE142" s="663"/>
      <c r="AF142" s="663"/>
      <c r="AG142" s="663"/>
    </row>
    <row r="143" spans="1:33">
      <c r="A143" s="662"/>
      <c r="B143" s="662"/>
      <c r="C143" s="2552" t="str">
        <f>IF(C142='OVERSEAS INCOME'!B623,'OVERSEAS INCOME'!B624,'OVERSEAS INCOME'!B625)</f>
        <v> </v>
      </c>
      <c r="D143" s="2553"/>
      <c r="E143" s="2553"/>
      <c r="F143" s="2553"/>
      <c r="G143" s="2553"/>
      <c r="H143" s="2554"/>
      <c r="I143" s="2552" t="str">
        <f>IF(I142='OVERSEAS INCOME'!K622,'OVERSEAS INCOME'!K623,'OVERSEAS INCOME'!K624)</f>
        <v> </v>
      </c>
      <c r="J143" s="2553"/>
      <c r="K143" s="2553"/>
      <c r="L143" s="2553"/>
      <c r="M143" s="2553"/>
      <c r="N143" s="2554"/>
      <c r="O143" s="2549" t="str">
        <f>IF(O142='OVERSEAS INCOME'!T622,'OVERSEAS INCOME'!T623,'OVERSEAS INCOME'!T624)</f>
        <v> </v>
      </c>
      <c r="P143" s="2549"/>
      <c r="Q143" s="2549"/>
      <c r="R143" s="2549"/>
      <c r="S143" s="2549" t="str">
        <f>IF(S142='OVERSEAS INCOME'!X622,'OVERSEAS INCOME'!X623,'OVERSEAS INCOME'!X624)</f>
        <v> </v>
      </c>
      <c r="T143" s="2549"/>
      <c r="U143" s="2549"/>
      <c r="V143" s="2549"/>
      <c r="W143" s="2549">
        <f>IF(W142='OVERSEAS INCOME'!AB622,'OVERSEAS INCOME'!AB623,'OVERSEAS INCOME'!AB624)</f>
        <v>0</v>
      </c>
      <c r="X143" s="2549"/>
      <c r="Y143" s="2549"/>
      <c r="Z143" s="2550"/>
      <c r="AA143" s="663"/>
      <c r="AB143" s="663"/>
      <c r="AC143" s="663"/>
      <c r="AD143" s="663"/>
      <c r="AE143" s="663"/>
      <c r="AF143" s="663"/>
      <c r="AG143" s="663"/>
    </row>
    <row r="144" spans="1:33">
      <c r="A144" s="663"/>
      <c r="B144" s="663"/>
      <c r="C144" s="2552" t="str">
        <f>IF(C143='OVERSEAS INCOME'!B624,'OVERSEAS INCOME'!B625,'OVERSEAS INCOME'!B626)</f>
        <v> </v>
      </c>
      <c r="D144" s="2553"/>
      <c r="E144" s="2553"/>
      <c r="F144" s="2553"/>
      <c r="G144" s="2553"/>
      <c r="H144" s="2554"/>
      <c r="I144" s="2552" t="str">
        <f>IF(I143='OVERSEAS INCOME'!K623,'OVERSEAS INCOME'!K624,'OVERSEAS INCOME'!K625)</f>
        <v> </v>
      </c>
      <c r="J144" s="2553"/>
      <c r="K144" s="2553"/>
      <c r="L144" s="2553"/>
      <c r="M144" s="2553"/>
      <c r="N144" s="2554"/>
      <c r="O144" s="2549" t="str">
        <f>IF(O143='OVERSEAS INCOME'!T623,'OVERSEAS INCOME'!T624,'OVERSEAS INCOME'!T625)</f>
        <v> </v>
      </c>
      <c r="P144" s="2549"/>
      <c r="Q144" s="2549"/>
      <c r="R144" s="2549"/>
      <c r="S144" s="2549" t="str">
        <f>IF(S143='OVERSEAS INCOME'!X623,'OVERSEAS INCOME'!X624,'OVERSEAS INCOME'!X625)</f>
        <v> </v>
      </c>
      <c r="T144" s="2549"/>
      <c r="U144" s="2549"/>
      <c r="V144" s="2549"/>
      <c r="W144" s="2549">
        <f>IF(W143='OVERSEAS INCOME'!AB623,'OVERSEAS INCOME'!AB624,'OVERSEAS INCOME'!AB625)</f>
        <v>0</v>
      </c>
      <c r="X144" s="2549"/>
      <c r="Y144" s="2549"/>
      <c r="Z144" s="2550"/>
      <c r="AA144" s="663"/>
      <c r="AB144" s="663"/>
      <c r="AC144" s="663"/>
      <c r="AD144" s="663"/>
      <c r="AE144" s="663"/>
      <c r="AF144" s="663"/>
      <c r="AG144" s="663"/>
    </row>
    <row r="145" spans="1:33">
      <c r="A145" s="663"/>
      <c r="B145" s="663"/>
      <c r="C145" s="2552" t="str">
        <f>IF(C144='OVERSEAS INCOME'!B625,'OVERSEAS INCOME'!B626,'OVERSEAS INCOME'!B627)</f>
        <v> </v>
      </c>
      <c r="D145" s="2553"/>
      <c r="E145" s="2553"/>
      <c r="F145" s="2553"/>
      <c r="G145" s="2553"/>
      <c r="H145" s="2554"/>
      <c r="I145" s="2552" t="str">
        <f>IF(I144='OVERSEAS INCOME'!K624,'OVERSEAS INCOME'!K625,'OVERSEAS INCOME'!K626)</f>
        <v> </v>
      </c>
      <c r="J145" s="2553"/>
      <c r="K145" s="2553"/>
      <c r="L145" s="2553"/>
      <c r="M145" s="2553"/>
      <c r="N145" s="2554"/>
      <c r="O145" s="2549" t="str">
        <f>IF(O144='OVERSEAS INCOME'!T624,'OVERSEAS INCOME'!T625,'OVERSEAS INCOME'!T626)</f>
        <v> </v>
      </c>
      <c r="P145" s="2549"/>
      <c r="Q145" s="2549"/>
      <c r="R145" s="2549"/>
      <c r="S145" s="2549" t="str">
        <f>IF(S144='OVERSEAS INCOME'!X624,'OVERSEAS INCOME'!X625,'OVERSEAS INCOME'!X626)</f>
        <v> </v>
      </c>
      <c r="T145" s="2549"/>
      <c r="U145" s="2549"/>
      <c r="V145" s="2549"/>
      <c r="W145" s="2549">
        <f>IF(W144='OVERSEAS INCOME'!AB624,'OVERSEAS INCOME'!AB625,'OVERSEAS INCOME'!AB626)</f>
        <v>0</v>
      </c>
      <c r="X145" s="2549"/>
      <c r="Y145" s="2549"/>
      <c r="Z145" s="2550"/>
      <c r="AA145" s="663"/>
      <c r="AB145" s="663"/>
      <c r="AC145" s="663"/>
      <c r="AD145" s="663"/>
      <c r="AE145" s="663"/>
      <c r="AF145" s="663"/>
      <c r="AG145" s="663"/>
    </row>
    <row r="146" spans="1:33">
      <c r="A146" s="663"/>
      <c r="B146" s="663"/>
      <c r="C146" s="2552" t="str">
        <f>IF(C145='OVERSEAS INCOME'!B626,'OVERSEAS INCOME'!B627,'OVERSEAS INCOME'!B628)</f>
        <v> </v>
      </c>
      <c r="D146" s="2553"/>
      <c r="E146" s="2553"/>
      <c r="F146" s="2553"/>
      <c r="G146" s="2553"/>
      <c r="H146" s="2554"/>
      <c r="I146" s="2552" t="str">
        <f>IF(I145='OVERSEAS INCOME'!K625,'OVERSEAS INCOME'!K626,'OVERSEAS INCOME'!K627)</f>
        <v> </v>
      </c>
      <c r="J146" s="2553"/>
      <c r="K146" s="2553"/>
      <c r="L146" s="2553"/>
      <c r="M146" s="2553"/>
      <c r="N146" s="2554"/>
      <c r="O146" s="2549" t="str">
        <f>IF(O145='OVERSEAS INCOME'!T625,'OVERSEAS INCOME'!T626,'OVERSEAS INCOME'!T627)</f>
        <v> </v>
      </c>
      <c r="P146" s="2549"/>
      <c r="Q146" s="2549"/>
      <c r="R146" s="2549"/>
      <c r="S146" s="2549" t="str">
        <f>IF(S145='OVERSEAS INCOME'!X625,'OVERSEAS INCOME'!X626,'OVERSEAS INCOME'!X627)</f>
        <v> </v>
      </c>
      <c r="T146" s="2549"/>
      <c r="U146" s="2549"/>
      <c r="V146" s="2549"/>
      <c r="W146" s="2549">
        <f>IF(W145='OVERSEAS INCOME'!AB625,'OVERSEAS INCOME'!AB626,'OVERSEAS INCOME'!AB627)</f>
        <v>0</v>
      </c>
      <c r="X146" s="2549"/>
      <c r="Y146" s="2549"/>
      <c r="Z146" s="2550"/>
      <c r="AA146" s="663"/>
      <c r="AB146" s="663"/>
      <c r="AC146" s="663"/>
      <c r="AD146" s="663"/>
      <c r="AE146" s="663"/>
      <c r="AF146" s="663"/>
      <c r="AG146" s="663"/>
    </row>
    <row r="147" spans="1:33">
      <c r="A147" s="663"/>
      <c r="B147" s="663"/>
      <c r="C147" s="2521"/>
      <c r="D147" s="2522"/>
      <c r="E147" s="2522"/>
      <c r="F147" s="2522"/>
      <c r="G147" s="2522"/>
      <c r="H147" s="2523"/>
      <c r="I147" s="2521"/>
      <c r="J147" s="2522"/>
      <c r="K147" s="2522"/>
      <c r="L147" s="2522"/>
      <c r="M147" s="2522"/>
      <c r="N147" s="2523"/>
      <c r="O147" s="2524"/>
      <c r="P147" s="2524"/>
      <c r="Q147" s="2524"/>
      <c r="R147" s="2524"/>
      <c r="S147" s="2524"/>
      <c r="T147" s="2524"/>
      <c r="U147" s="2524"/>
      <c r="V147" s="2524"/>
      <c r="W147" s="2524"/>
      <c r="X147" s="2524"/>
      <c r="Y147" s="2524"/>
      <c r="Z147" s="2551"/>
      <c r="AA147" s="663"/>
      <c r="AB147" s="663"/>
      <c r="AC147" s="663"/>
      <c r="AD147" s="663"/>
      <c r="AE147" s="663"/>
      <c r="AF147" s="663"/>
      <c r="AG147" s="663"/>
    </row>
    <row r="148" spans="1:43" s="639" customFormat="1" ht="13" thickBot="1">
      <c r="A148" s="670"/>
      <c r="B148" s="670"/>
      <c r="C148" s="2525"/>
      <c r="D148" s="2526"/>
      <c r="E148" s="2526"/>
      <c r="F148" s="2526"/>
      <c r="G148" s="2526"/>
      <c r="H148" s="2527"/>
      <c r="I148" s="2525" t="s">
        <v>368</v>
      </c>
      <c r="J148" s="2526"/>
      <c r="K148" s="2526"/>
      <c r="L148" s="2526"/>
      <c r="M148" s="2526"/>
      <c r="N148" s="2527"/>
      <c r="O148" s="2528">
        <f>+SUM(O138:R147)</f>
        <v>0</v>
      </c>
      <c r="P148" s="2528"/>
      <c r="Q148" s="2528"/>
      <c r="R148" s="2528"/>
      <c r="S148" s="2528">
        <f>+SUM(S138:V147)</f>
        <v>0</v>
      </c>
      <c r="T148" s="2528"/>
      <c r="U148" s="2528"/>
      <c r="V148" s="2528"/>
      <c r="W148" s="2555">
        <f>+SUM(W138:Z147)</f>
        <v>0</v>
      </c>
      <c r="X148" s="2556"/>
      <c r="Y148" s="2556"/>
      <c r="Z148" s="2557"/>
      <c r="AA148" s="670"/>
      <c r="AB148" s="670"/>
      <c r="AC148" s="670"/>
      <c r="AD148" s="670"/>
      <c r="AE148" s="670"/>
      <c r="AF148" s="670"/>
      <c r="AG148" s="670"/>
      <c r="AH148" s="645"/>
      <c r="AI148" s="645"/>
      <c r="AJ148" s="645"/>
      <c r="AK148" s="645"/>
      <c r="AL148" s="645"/>
      <c r="AM148" s="645"/>
      <c r="AN148" s="645"/>
      <c r="AO148" s="645"/>
      <c r="AP148" s="645"/>
      <c r="AQ148" s="645"/>
    </row>
    <row r="149" spans="1:39">
      <c r="A149" s="662"/>
      <c r="B149" s="663"/>
      <c r="C149" s="663"/>
      <c r="D149" s="663"/>
      <c r="E149" s="663"/>
      <c r="F149" s="663"/>
      <c r="G149" s="663"/>
      <c r="H149" s="663"/>
      <c r="I149" s="663"/>
      <c r="J149" s="663"/>
      <c r="K149" s="663"/>
      <c r="L149" s="697"/>
      <c r="M149" s="697"/>
      <c r="N149" s="697"/>
      <c r="O149" s="697"/>
      <c r="P149" s="697"/>
      <c r="Q149" s="697"/>
      <c r="R149" s="697"/>
      <c r="S149" s="697"/>
      <c r="T149" s="697"/>
      <c r="U149" s="673"/>
      <c r="V149" s="673"/>
      <c r="W149" s="673"/>
      <c r="X149" s="673"/>
      <c r="Y149" s="673"/>
      <c r="Z149" s="673"/>
      <c r="AA149" s="673"/>
      <c r="AB149" s="673"/>
      <c r="AC149" s="674"/>
      <c r="AD149" s="645"/>
      <c r="AE149" s="645"/>
      <c r="AF149" s="645"/>
      <c r="AG149" s="645"/>
      <c r="AH149" s="645"/>
      <c r="AI149" s="645"/>
      <c r="AJ149" s="645"/>
      <c r="AK149" s="645"/>
      <c r="AL149" s="645"/>
      <c r="AM149" s="645"/>
    </row>
    <row r="151" ht="11.25" customHeight="1"/>
    <row r="152" spans="1:29">
      <c r="A152" s="662"/>
      <c r="B152" s="663"/>
      <c r="C152" s="663"/>
      <c r="D152" s="663"/>
      <c r="E152" s="663"/>
      <c r="F152" s="663"/>
      <c r="G152" s="663"/>
      <c r="H152" s="663"/>
      <c r="I152" s="663"/>
      <c r="J152" s="663"/>
      <c r="K152" s="663"/>
      <c r="L152" s="697"/>
      <c r="M152" s="697"/>
      <c r="N152" s="697"/>
      <c r="O152" s="697"/>
      <c r="P152" s="697"/>
      <c r="Q152" s="697"/>
      <c r="R152" s="697"/>
      <c r="S152" s="697"/>
      <c r="T152" s="697"/>
      <c r="U152" s="673"/>
      <c r="V152" s="673"/>
      <c r="W152" s="673"/>
      <c r="X152" s="673"/>
      <c r="Y152" s="673"/>
      <c r="Z152" s="673"/>
      <c r="AA152" s="673"/>
      <c r="AB152" s="673"/>
      <c r="AC152" s="674"/>
    </row>
    <row r="153" spans="1:29">
      <c r="A153" s="663"/>
      <c r="B153" s="663"/>
      <c r="C153" s="663"/>
      <c r="D153" s="663"/>
      <c r="E153" s="663"/>
      <c r="F153" s="663"/>
      <c r="G153" s="663"/>
      <c r="H153" s="663"/>
      <c r="I153" s="663"/>
      <c r="J153" s="663"/>
      <c r="K153" s="697"/>
      <c r="L153" s="697"/>
      <c r="M153" s="697"/>
      <c r="N153" s="697"/>
      <c r="O153" s="697"/>
      <c r="P153" s="697"/>
      <c r="Q153" s="697"/>
      <c r="R153" s="697"/>
      <c r="S153" s="697"/>
      <c r="T153" s="673"/>
      <c r="U153" s="673" t="s">
        <v>295</v>
      </c>
      <c r="V153" s="673"/>
      <c r="W153" s="673"/>
      <c r="X153" s="673"/>
      <c r="Y153" s="673"/>
      <c r="Z153" s="673"/>
      <c r="AA153" s="673"/>
      <c r="AB153" s="674"/>
      <c r="AC153" s="674"/>
    </row>
    <row r="154" spans="7:27" ht="20">
      <c r="G154" s="648" t="s">
        <v>469</v>
      </c>
      <c r="H154" s="636"/>
      <c r="I154" s="636"/>
      <c r="X154" s="651"/>
      <c r="Y154" s="651"/>
      <c r="Z154" s="651"/>
      <c r="AA154" s="651"/>
    </row>
    <row r="155" spans="7:12" ht="20">
      <c r="G155" s="648" t="s">
        <v>470</v>
      </c>
      <c r="H155" s="636"/>
      <c r="I155" s="636"/>
      <c r="K155" s="648"/>
      <c r="L155" s="648" t="str">
        <f>G15</f>
        <v/>
      </c>
    </row>
    <row r="156" ht="13" thickBot="1"/>
    <row r="157" spans="1:29" ht="28.9" customHeight="1" thickBot="1">
      <c r="A157" s="644"/>
      <c r="B157" s="644"/>
      <c r="C157" s="644"/>
      <c r="D157" s="644"/>
      <c r="E157" s="644"/>
      <c r="F157" s="644"/>
      <c r="G157" s="2518" t="s">
        <v>396</v>
      </c>
      <c r="H157" s="2519"/>
      <c r="I157" s="2519"/>
      <c r="J157" s="2519"/>
      <c r="K157" s="2519"/>
      <c r="L157" s="2519"/>
      <c r="M157" s="2519" t="s">
        <v>471</v>
      </c>
      <c r="N157" s="2519"/>
      <c r="O157" s="2519"/>
      <c r="P157" s="2520"/>
      <c r="Q157" s="644"/>
      <c r="R157" s="644"/>
      <c r="S157" s="644"/>
      <c r="T157" s="644"/>
      <c r="U157" s="644"/>
      <c r="V157" s="644"/>
      <c r="W157" s="644"/>
      <c r="X157" s="644"/>
      <c r="Y157" s="644"/>
      <c r="Z157" s="644"/>
      <c r="AA157" s="644"/>
      <c r="AB157" s="644"/>
      <c r="AC157" s="644"/>
    </row>
    <row r="158" spans="7:16">
      <c r="G158" s="2544"/>
      <c r="H158" s="2545"/>
      <c r="I158" s="2545"/>
      <c r="J158" s="2545"/>
      <c r="K158" s="2545"/>
      <c r="L158" s="2546"/>
      <c r="M158" s="2547"/>
      <c r="N158" s="2545"/>
      <c r="O158" s="2545"/>
      <c r="P158" s="2548"/>
    </row>
    <row r="159" spans="7:16">
      <c r="G159" s="2513" t="s">
        <v>400</v>
      </c>
      <c r="H159" s="2514"/>
      <c r="I159" s="2514"/>
      <c r="J159" s="2514"/>
      <c r="K159" s="2514"/>
      <c r="L159" s="2514"/>
      <c r="M159" s="2515">
        <f>'GENERAL INFO'!D84</f>
        <v>0</v>
      </c>
      <c r="N159" s="2515"/>
      <c r="O159" s="2515"/>
      <c r="P159" s="2516"/>
    </row>
    <row r="160" spans="7:16">
      <c r="G160" s="2513" t="s">
        <v>401</v>
      </c>
      <c r="H160" s="2514"/>
      <c r="I160" s="2514"/>
      <c r="J160" s="2514"/>
      <c r="K160" s="2514"/>
      <c r="L160" s="2514"/>
      <c r="M160" s="2515">
        <f>'GENERAL INFO'!D85</f>
        <v>0</v>
      </c>
      <c r="N160" s="2515"/>
      <c r="O160" s="2515"/>
      <c r="P160" s="2516"/>
    </row>
    <row r="161" spans="7:16">
      <c r="G161" s="2513" t="s">
        <v>402</v>
      </c>
      <c r="H161" s="2514"/>
      <c r="I161" s="2514"/>
      <c r="J161" s="2514"/>
      <c r="K161" s="2514"/>
      <c r="L161" s="2514"/>
      <c r="M161" s="2515">
        <f>'GENERAL INFO'!D86</f>
        <v>0</v>
      </c>
      <c r="N161" s="2515"/>
      <c r="O161" s="2515"/>
      <c r="P161" s="2516"/>
    </row>
    <row r="162" spans="7:16">
      <c r="G162" s="2513" t="s">
        <v>403</v>
      </c>
      <c r="H162" s="2514"/>
      <c r="I162" s="2514"/>
      <c r="J162" s="2514"/>
      <c r="K162" s="2514"/>
      <c r="L162" s="2514"/>
      <c r="M162" s="2515">
        <f>'GENERAL INFO'!D87</f>
        <v>0</v>
      </c>
      <c r="N162" s="2515"/>
      <c r="O162" s="2515"/>
      <c r="P162" s="2516"/>
    </row>
    <row r="163" spans="7:16">
      <c r="G163" s="2513" t="s">
        <v>404</v>
      </c>
      <c r="H163" s="2514"/>
      <c r="I163" s="2514"/>
      <c r="J163" s="2514"/>
      <c r="K163" s="2514"/>
      <c r="L163" s="2514"/>
      <c r="M163" s="2515">
        <f>'GENERAL INFO'!D88</f>
        <v>0</v>
      </c>
      <c r="N163" s="2515"/>
      <c r="O163" s="2515"/>
      <c r="P163" s="2516"/>
    </row>
    <row r="164" spans="7:16">
      <c r="G164" s="2513" t="s">
        <v>405</v>
      </c>
      <c r="H164" s="2514"/>
      <c r="I164" s="2514"/>
      <c r="J164" s="2514"/>
      <c r="K164" s="2514"/>
      <c r="L164" s="2514"/>
      <c r="M164" s="2515">
        <f>'GENERAL INFO'!D89</f>
        <v>0</v>
      </c>
      <c r="N164" s="2515"/>
      <c r="O164" s="2515"/>
      <c r="P164" s="2516"/>
    </row>
    <row r="165" spans="7:16">
      <c r="G165" s="2513" t="s">
        <v>406</v>
      </c>
      <c r="H165" s="2514"/>
      <c r="I165" s="2514"/>
      <c r="J165" s="2514"/>
      <c r="K165" s="2514"/>
      <c r="L165" s="2514"/>
      <c r="M165" s="2515">
        <f>'GENERAL INFO'!D90</f>
        <v>0</v>
      </c>
      <c r="N165" s="2515"/>
      <c r="O165" s="2515"/>
      <c r="P165" s="2516"/>
    </row>
    <row r="166" spans="7:16">
      <c r="G166" s="2513" t="s">
        <v>407</v>
      </c>
      <c r="H166" s="2514"/>
      <c r="I166" s="2514"/>
      <c r="J166" s="2514"/>
      <c r="K166" s="2514"/>
      <c r="L166" s="2514"/>
      <c r="M166" s="2515">
        <f>'GENERAL INFO'!D91</f>
        <v>0</v>
      </c>
      <c r="N166" s="2515"/>
      <c r="O166" s="2515"/>
      <c r="P166" s="2516"/>
    </row>
    <row r="167" spans="7:16">
      <c r="G167" s="2513" t="s">
        <v>408</v>
      </c>
      <c r="H167" s="2514"/>
      <c r="I167" s="2514"/>
      <c r="J167" s="2514"/>
      <c r="K167" s="2514"/>
      <c r="L167" s="2514"/>
      <c r="M167" s="2515">
        <f>'GENERAL INFO'!D92</f>
        <v>0</v>
      </c>
      <c r="N167" s="2515"/>
      <c r="O167" s="2515"/>
      <c r="P167" s="2516"/>
    </row>
    <row r="168" spans="7:16">
      <c r="G168" s="2513" t="s">
        <v>409</v>
      </c>
      <c r="H168" s="2514"/>
      <c r="I168" s="2514"/>
      <c r="J168" s="2514"/>
      <c r="K168" s="2514"/>
      <c r="L168" s="2514"/>
      <c r="M168" s="2515">
        <f>'GENERAL INFO'!D93</f>
        <v>0</v>
      </c>
      <c r="N168" s="2515"/>
      <c r="O168" s="2515"/>
      <c r="P168" s="2516"/>
    </row>
    <row r="169" spans="7:16">
      <c r="G169" s="2513" t="s">
        <v>410</v>
      </c>
      <c r="H169" s="2514"/>
      <c r="I169" s="2514"/>
      <c r="J169" s="2514"/>
      <c r="K169" s="2514"/>
      <c r="L169" s="2514"/>
      <c r="M169" s="2515">
        <f>'GENERAL INFO'!D94</f>
        <v>0</v>
      </c>
      <c r="N169" s="2515"/>
      <c r="O169" s="2515"/>
      <c r="P169" s="2516"/>
    </row>
    <row r="170" spans="7:16">
      <c r="G170" s="2513" t="s">
        <v>411</v>
      </c>
      <c r="H170" s="2514"/>
      <c r="I170" s="2514"/>
      <c r="J170" s="2514"/>
      <c r="K170" s="2514"/>
      <c r="L170" s="2514"/>
      <c r="M170" s="2515">
        <f>'GENERAL INFO'!D95</f>
        <v>0</v>
      </c>
      <c r="N170" s="2515"/>
      <c r="O170" s="2515"/>
      <c r="P170" s="2516"/>
    </row>
    <row r="171" spans="7:16">
      <c r="G171" s="2505"/>
      <c r="H171" s="2506"/>
      <c r="I171" s="2506"/>
      <c r="J171" s="2506"/>
      <c r="K171" s="2506"/>
      <c r="L171" s="2506"/>
      <c r="M171" s="2507"/>
      <c r="N171" s="2507"/>
      <c r="O171" s="2507"/>
      <c r="P171" s="2508"/>
    </row>
    <row r="172" spans="1:29">
      <c r="A172" s="645"/>
      <c r="B172" s="645"/>
      <c r="C172" s="645"/>
      <c r="D172" s="645"/>
      <c r="E172" s="645"/>
      <c r="F172" s="645"/>
      <c r="G172" s="2509" t="s">
        <v>472</v>
      </c>
      <c r="H172" s="2510"/>
      <c r="I172" s="2510"/>
      <c r="J172" s="2510"/>
      <c r="K172" s="2510"/>
      <c r="L172" s="2510"/>
      <c r="M172" s="2511">
        <f>'GENERAL INFO'!D98</f>
        <v>0</v>
      </c>
      <c r="N172" s="2511"/>
      <c r="O172" s="2511"/>
      <c r="P172" s="2512"/>
      <c r="Q172" s="645"/>
      <c r="R172" s="645"/>
      <c r="S172" s="645"/>
      <c r="T172" s="645"/>
      <c r="U172" s="645"/>
      <c r="V172" s="645"/>
      <c r="W172" s="645"/>
      <c r="X172" s="645"/>
      <c r="Y172" s="645"/>
      <c r="Z172" s="645"/>
      <c r="AA172" s="645"/>
      <c r="AB172" s="645"/>
      <c r="AC172" s="645"/>
    </row>
    <row r="173" spans="1:29" ht="13" thickBot="1">
      <c r="A173" s="645"/>
      <c r="B173" s="645"/>
      <c r="C173" s="645"/>
      <c r="D173" s="645"/>
      <c r="E173" s="645"/>
      <c r="F173" s="645"/>
      <c r="G173" s="2499" t="s">
        <v>473</v>
      </c>
      <c r="H173" s="2500"/>
      <c r="I173" s="2500"/>
      <c r="J173" s="2500"/>
      <c r="K173" s="2500"/>
      <c r="L173" s="2501"/>
      <c r="M173" s="2502">
        <f>'GENERAL INFO'!D99</f>
        <v>0</v>
      </c>
      <c r="N173" s="2503"/>
      <c r="O173" s="2503"/>
      <c r="P173" s="2504"/>
      <c r="Q173" s="645"/>
      <c r="R173" s="645"/>
      <c r="S173" s="645"/>
      <c r="T173" s="645"/>
      <c r="U173" s="645"/>
      <c r="V173" s="645"/>
      <c r="W173" s="645"/>
      <c r="X173" s="645"/>
      <c r="Y173" s="645"/>
      <c r="Z173" s="645"/>
      <c r="AA173" s="645"/>
      <c r="AB173" s="645"/>
      <c r="AC173" s="645"/>
    </row>
    <row r="176" spans="1:30" ht="20">
      <c r="A176" s="648" t="s">
        <v>867</v>
      </c>
      <c r="AC176" s="691"/>
      <c r="AD176" s="691"/>
    </row>
    <row r="177" spans="29:30">
      <c r="AC177" s="691"/>
      <c r="AD177" s="691"/>
    </row>
    <row r="178" spans="1:1" ht="14">
      <c r="A178" s="698" t="s">
        <v>868</v>
      </c>
    </row>
    <row r="179" ht="13" thickBot="1"/>
    <row r="180" spans="1:29" s="644" customFormat="1" ht="34.15" customHeight="1">
      <c r="A180" s="846" t="s">
        <v>321</v>
      </c>
      <c r="B180" s="2468" t="s">
        <v>886</v>
      </c>
      <c r="C180" s="2469"/>
      <c r="D180" s="2470" t="s">
        <v>869</v>
      </c>
      <c r="E180" s="2471"/>
      <c r="F180" s="2471"/>
      <c r="G180" s="2471"/>
      <c r="H180" s="2471"/>
      <c r="I180" s="2471"/>
      <c r="J180" s="2471"/>
      <c r="K180" s="2471"/>
      <c r="L180" s="2471"/>
      <c r="M180" s="2471"/>
      <c r="N180" s="2472"/>
      <c r="O180" s="2470" t="s">
        <v>870</v>
      </c>
      <c r="P180" s="2471"/>
      <c r="Q180" s="2471"/>
      <c r="R180" s="2472"/>
      <c r="S180" s="2470" t="s">
        <v>871</v>
      </c>
      <c r="T180" s="2471"/>
      <c r="U180" s="2471"/>
      <c r="V180" s="2471"/>
      <c r="W180" s="2472"/>
      <c r="X180" s="2470" t="s">
        <v>872</v>
      </c>
      <c r="Y180" s="2471"/>
      <c r="Z180" s="2471"/>
      <c r="AA180" s="2471"/>
      <c r="AB180" s="2471"/>
      <c r="AC180" s="2473"/>
    </row>
    <row r="181" spans="1:29" s="699" customFormat="1" ht="15.65" customHeight="1" thickBot="1">
      <c r="A181" s="847" t="s">
        <v>65</v>
      </c>
      <c r="B181" s="1488" t="s">
        <v>64</v>
      </c>
      <c r="C181" s="2060"/>
      <c r="D181" s="1488" t="s">
        <v>66</v>
      </c>
      <c r="E181" s="2474"/>
      <c r="F181" s="2474"/>
      <c r="G181" s="2474"/>
      <c r="H181" s="2474"/>
      <c r="I181" s="2474"/>
      <c r="J181" s="2474"/>
      <c r="K181" s="2474"/>
      <c r="L181" s="2474"/>
      <c r="M181" s="2474"/>
      <c r="N181" s="2060"/>
      <c r="O181" s="1488" t="s">
        <v>67</v>
      </c>
      <c r="P181" s="2474"/>
      <c r="Q181" s="2474"/>
      <c r="R181" s="2060"/>
      <c r="S181" s="1488" t="s">
        <v>68</v>
      </c>
      <c r="T181" s="2474"/>
      <c r="U181" s="2474"/>
      <c r="V181" s="2474"/>
      <c r="W181" s="2060"/>
      <c r="X181" s="1488" t="s">
        <v>99</v>
      </c>
      <c r="Y181" s="2474"/>
      <c r="Z181" s="2474"/>
      <c r="AA181" s="2474"/>
      <c r="AB181" s="2474"/>
      <c r="AC181" s="2478"/>
    </row>
    <row r="182" spans="1:29">
      <c r="A182" s="1039">
        <v>1</v>
      </c>
      <c r="B182" s="2444" t="str">
        <f ca="1">'A &amp; L INFO'!W8</f>
        <v/>
      </c>
      <c r="C182" s="2445"/>
      <c r="D182" s="2446" t="str">
        <f ca="1">'A &amp; L INFO'!Y8</f>
        <v/>
      </c>
      <c r="E182" s="2447"/>
      <c r="F182" s="2447"/>
      <c r="G182" s="2447"/>
      <c r="H182" s="2447"/>
      <c r="I182" s="2447"/>
      <c r="J182" s="2447"/>
      <c r="K182" s="2447"/>
      <c r="L182" s="2447"/>
      <c r="M182" s="2447"/>
      <c r="N182" s="2448"/>
      <c r="O182" s="2496" t="str">
        <f ca="1">IF('A &amp; L INFO'!AB8&lt;&gt;"", 'A &amp; L INFO'!AB8,"")</f>
        <v/>
      </c>
      <c r="P182" s="2497"/>
      <c r="Q182" s="2497"/>
      <c r="R182" s="2498"/>
      <c r="S182" s="2493" t="str">
        <f ca="1">'A &amp; L INFO'!AA8</f>
        <v/>
      </c>
      <c r="T182" s="2494"/>
      <c r="U182" s="2494"/>
      <c r="V182" s="2494"/>
      <c r="W182" s="2495"/>
      <c r="X182" s="1040"/>
      <c r="Y182" s="1041"/>
      <c r="Z182" s="1041"/>
      <c r="AA182" s="1041"/>
      <c r="AB182" s="1041"/>
      <c r="AC182" s="1042"/>
    </row>
    <row r="183" spans="1:29">
      <c r="A183" s="869">
        <v>2</v>
      </c>
      <c r="B183" s="2451" t="str">
        <f ca="1">'A &amp; L INFO'!W9</f>
        <v/>
      </c>
      <c r="C183" s="2452"/>
      <c r="D183" s="2453" t="str">
        <f ca="1">'A &amp; L INFO'!Y9</f>
        <v/>
      </c>
      <c r="E183" s="2454"/>
      <c r="F183" s="2454"/>
      <c r="G183" s="2454"/>
      <c r="H183" s="2454"/>
      <c r="I183" s="2454"/>
      <c r="J183" s="2454"/>
      <c r="K183" s="2454"/>
      <c r="L183" s="2454"/>
      <c r="M183" s="2454"/>
      <c r="N183" s="2455"/>
      <c r="O183" s="2490" t="str">
        <f ca="1">IF('A &amp; L INFO'!AB9&lt;&gt;"", 'A &amp; L INFO'!AB9,"")</f>
        <v/>
      </c>
      <c r="P183" s="2491"/>
      <c r="Q183" s="2491"/>
      <c r="R183" s="2492"/>
      <c r="S183" s="2479" t="str">
        <f ca="1">'A &amp; L INFO'!AA9</f>
        <v/>
      </c>
      <c r="T183" s="2480"/>
      <c r="U183" s="2480"/>
      <c r="V183" s="2480"/>
      <c r="W183" s="2481"/>
      <c r="X183" s="870"/>
      <c r="Y183" s="663"/>
      <c r="Z183" s="663"/>
      <c r="AA183" s="663"/>
      <c r="AB183" s="663"/>
      <c r="AC183" s="871"/>
    </row>
    <row r="184" spans="1:29">
      <c r="A184" s="869">
        <v>3</v>
      </c>
      <c r="B184" s="2451" t="str">
        <f ca="1">'A &amp; L INFO'!W10</f>
        <v/>
      </c>
      <c r="C184" s="2452"/>
      <c r="D184" s="2453" t="str">
        <f ca="1">'A &amp; L INFO'!Y10</f>
        <v/>
      </c>
      <c r="E184" s="2454"/>
      <c r="F184" s="2454"/>
      <c r="G184" s="2454"/>
      <c r="H184" s="2454"/>
      <c r="I184" s="2454"/>
      <c r="J184" s="2454"/>
      <c r="K184" s="2454"/>
      <c r="L184" s="2454"/>
      <c r="M184" s="2454"/>
      <c r="N184" s="2455"/>
      <c r="O184" s="2490" t="str">
        <f ca="1">IF('A &amp; L INFO'!AB10&lt;&gt;"", 'A &amp; L INFO'!AB10,"")</f>
        <v/>
      </c>
      <c r="P184" s="2491"/>
      <c r="Q184" s="2491"/>
      <c r="R184" s="2492"/>
      <c r="S184" s="2479" t="str">
        <f ca="1">'A &amp; L INFO'!AA10</f>
        <v/>
      </c>
      <c r="T184" s="2480"/>
      <c r="U184" s="2480"/>
      <c r="V184" s="2480"/>
      <c r="W184" s="2481"/>
      <c r="X184" s="870"/>
      <c r="Y184" s="663"/>
      <c r="Z184" s="663"/>
      <c r="AA184" s="663"/>
      <c r="AB184" s="663"/>
      <c r="AC184" s="871"/>
    </row>
    <row r="185" spans="1:29">
      <c r="A185" s="869">
        <v>4</v>
      </c>
      <c r="B185" s="2451" t="str">
        <f ca="1">'A &amp; L INFO'!W11</f>
        <v/>
      </c>
      <c r="C185" s="2452"/>
      <c r="D185" s="2453" t="str">
        <f ca="1">'A &amp; L INFO'!Y11</f>
        <v/>
      </c>
      <c r="E185" s="2454"/>
      <c r="F185" s="2454"/>
      <c r="G185" s="2454"/>
      <c r="H185" s="2454"/>
      <c r="I185" s="2454"/>
      <c r="J185" s="2454"/>
      <c r="K185" s="2454"/>
      <c r="L185" s="2454"/>
      <c r="M185" s="2454"/>
      <c r="N185" s="2455"/>
      <c r="O185" s="2490" t="str">
        <f ca="1">IF('A &amp; L INFO'!AB11&lt;&gt;"", 'A &amp; L INFO'!AB11,"")</f>
        <v/>
      </c>
      <c r="P185" s="2491"/>
      <c r="Q185" s="2491"/>
      <c r="R185" s="2492"/>
      <c r="S185" s="2479" t="str">
        <f ca="1">'A &amp; L INFO'!AA11</f>
        <v/>
      </c>
      <c r="T185" s="2480"/>
      <c r="U185" s="2480"/>
      <c r="V185" s="2480"/>
      <c r="W185" s="2481"/>
      <c r="X185" s="870"/>
      <c r="Y185" s="663"/>
      <c r="Z185" s="663"/>
      <c r="AA185" s="663"/>
      <c r="AB185" s="663"/>
      <c r="AC185" s="871"/>
    </row>
    <row r="186" spans="1:29">
      <c r="A186" s="869">
        <v>5</v>
      </c>
      <c r="B186" s="2451" t="str">
        <f ca="1">'A &amp; L INFO'!W12</f>
        <v/>
      </c>
      <c r="C186" s="2452"/>
      <c r="D186" s="2453" t="str">
        <f ca="1">'A &amp; L INFO'!Y12</f>
        <v/>
      </c>
      <c r="E186" s="2454"/>
      <c r="F186" s="2454"/>
      <c r="G186" s="2454"/>
      <c r="H186" s="2454"/>
      <c r="I186" s="2454"/>
      <c r="J186" s="2454"/>
      <c r="K186" s="2454"/>
      <c r="L186" s="2454"/>
      <c r="M186" s="2454"/>
      <c r="N186" s="2455"/>
      <c r="O186" s="2490" t="str">
        <f ca="1">IF('A &amp; L INFO'!AB12&lt;&gt;"", 'A &amp; L INFO'!AB12,"")</f>
        <v/>
      </c>
      <c r="P186" s="2491"/>
      <c r="Q186" s="2491"/>
      <c r="R186" s="2492"/>
      <c r="S186" s="2479" t="str">
        <f ca="1">'A &amp; L INFO'!AA12</f>
        <v/>
      </c>
      <c r="T186" s="2480"/>
      <c r="U186" s="2480"/>
      <c r="V186" s="2480"/>
      <c r="W186" s="2481"/>
      <c r="X186" s="870"/>
      <c r="Y186" s="663"/>
      <c r="Z186" s="663"/>
      <c r="AA186" s="663"/>
      <c r="AB186" s="663"/>
      <c r="AC186" s="871"/>
    </row>
    <row r="187" spans="1:29">
      <c r="A187" s="869">
        <v>6</v>
      </c>
      <c r="B187" s="2451" t="str">
        <f ca="1">'A &amp; L INFO'!W13</f>
        <v/>
      </c>
      <c r="C187" s="2452"/>
      <c r="D187" s="2453" t="str">
        <f ca="1">'A &amp; L INFO'!Y13</f>
        <v/>
      </c>
      <c r="E187" s="2454"/>
      <c r="F187" s="2454"/>
      <c r="G187" s="2454"/>
      <c r="H187" s="2454"/>
      <c r="I187" s="2454"/>
      <c r="J187" s="2454"/>
      <c r="K187" s="2454"/>
      <c r="L187" s="2454"/>
      <c r="M187" s="2454"/>
      <c r="N187" s="2455"/>
      <c r="O187" s="2490" t="str">
        <f ca="1">IF('A &amp; L INFO'!AB13&lt;&gt;"", 'A &amp; L INFO'!AB13,"")</f>
        <v/>
      </c>
      <c r="P187" s="2491"/>
      <c r="Q187" s="2491"/>
      <c r="R187" s="2492"/>
      <c r="S187" s="2479" t="str">
        <f ca="1">'A &amp; L INFO'!AA13</f>
        <v/>
      </c>
      <c r="T187" s="2480"/>
      <c r="U187" s="2480"/>
      <c r="V187" s="2480"/>
      <c r="W187" s="2481"/>
      <c r="X187" s="870"/>
      <c r="Y187" s="663"/>
      <c r="Z187" s="663"/>
      <c r="AA187" s="663"/>
      <c r="AB187" s="663"/>
      <c r="AC187" s="871"/>
    </row>
    <row r="188" spans="1:29">
      <c r="A188" s="869">
        <v>7</v>
      </c>
      <c r="B188" s="2451" t="str">
        <f ca="1">'A &amp; L INFO'!W14</f>
        <v/>
      </c>
      <c r="C188" s="2452"/>
      <c r="D188" s="2453" t="str">
        <f ca="1">'A &amp; L INFO'!Y14</f>
        <v/>
      </c>
      <c r="E188" s="2454"/>
      <c r="F188" s="2454"/>
      <c r="G188" s="2454"/>
      <c r="H188" s="2454"/>
      <c r="I188" s="2454"/>
      <c r="J188" s="2454"/>
      <c r="K188" s="2454"/>
      <c r="L188" s="2454"/>
      <c r="M188" s="2454"/>
      <c r="N188" s="2455"/>
      <c r="O188" s="2490" t="str">
        <f ca="1">IF('A &amp; L INFO'!AB14&lt;&gt;"", 'A &amp; L INFO'!AB14,"")</f>
        <v/>
      </c>
      <c r="P188" s="2491"/>
      <c r="Q188" s="2491"/>
      <c r="R188" s="2492"/>
      <c r="S188" s="2479" t="str">
        <f ca="1">'A &amp; L INFO'!AA14</f>
        <v/>
      </c>
      <c r="T188" s="2480"/>
      <c r="U188" s="2480"/>
      <c r="V188" s="2480"/>
      <c r="W188" s="2481"/>
      <c r="X188" s="870"/>
      <c r="Y188" s="663"/>
      <c r="Z188" s="663"/>
      <c r="AA188" s="663"/>
      <c r="AB188" s="663"/>
      <c r="AC188" s="871"/>
    </row>
    <row r="189" spans="1:29">
      <c r="A189" s="869">
        <v>8</v>
      </c>
      <c r="B189" s="2451" t="str">
        <f ca="1">'A &amp; L INFO'!W15</f>
        <v/>
      </c>
      <c r="C189" s="2452"/>
      <c r="D189" s="2453" t="str">
        <f ca="1">'A &amp; L INFO'!Y15</f>
        <v/>
      </c>
      <c r="E189" s="2454"/>
      <c r="F189" s="2454"/>
      <c r="G189" s="2454"/>
      <c r="H189" s="2454"/>
      <c r="I189" s="2454"/>
      <c r="J189" s="2454"/>
      <c r="K189" s="2454"/>
      <c r="L189" s="2454"/>
      <c r="M189" s="2454"/>
      <c r="N189" s="2455"/>
      <c r="O189" s="2490" t="str">
        <f ca="1">IF('A &amp; L INFO'!AB15&lt;&gt;"", 'A &amp; L INFO'!AB15,"")</f>
        <v/>
      </c>
      <c r="P189" s="2491"/>
      <c r="Q189" s="2491"/>
      <c r="R189" s="2492"/>
      <c r="S189" s="2479" t="str">
        <f ca="1">'A &amp; L INFO'!AA15</f>
        <v/>
      </c>
      <c r="T189" s="2480"/>
      <c r="U189" s="2480"/>
      <c r="V189" s="2480"/>
      <c r="W189" s="2481"/>
      <c r="X189" s="870"/>
      <c r="Y189" s="663"/>
      <c r="Z189" s="663"/>
      <c r="AA189" s="663"/>
      <c r="AB189" s="663"/>
      <c r="AC189" s="871"/>
    </row>
    <row r="190" spans="1:29">
      <c r="A190" s="869">
        <v>9</v>
      </c>
      <c r="B190" s="2451" t="str">
        <f ca="1">'A &amp; L INFO'!W16</f>
        <v/>
      </c>
      <c r="C190" s="2452"/>
      <c r="D190" s="2453" t="str">
        <f ca="1">'A &amp; L INFO'!Y16</f>
        <v/>
      </c>
      <c r="E190" s="2454"/>
      <c r="F190" s="2454"/>
      <c r="G190" s="2454"/>
      <c r="H190" s="2454"/>
      <c r="I190" s="2454"/>
      <c r="J190" s="2454"/>
      <c r="K190" s="2454"/>
      <c r="L190" s="2454"/>
      <c r="M190" s="2454"/>
      <c r="N190" s="2455"/>
      <c r="O190" s="2490" t="str">
        <f ca="1">IF('A &amp; L INFO'!AB16&lt;&gt;"", 'A &amp; L INFO'!AB16,"")</f>
        <v/>
      </c>
      <c r="P190" s="2491"/>
      <c r="Q190" s="2491"/>
      <c r="R190" s="2492"/>
      <c r="S190" s="2479" t="str">
        <f ca="1">'A &amp; L INFO'!AA16</f>
        <v/>
      </c>
      <c r="T190" s="2480"/>
      <c r="U190" s="2480"/>
      <c r="V190" s="2480"/>
      <c r="W190" s="2481"/>
      <c r="X190" s="870"/>
      <c r="Y190" s="663"/>
      <c r="Z190" s="663"/>
      <c r="AA190" s="663"/>
      <c r="AB190" s="663"/>
      <c r="AC190" s="871"/>
    </row>
    <row r="191" spans="1:29">
      <c r="A191" s="869">
        <v>10</v>
      </c>
      <c r="B191" s="2451" t="str">
        <f ca="1">'A &amp; L INFO'!W17</f>
        <v/>
      </c>
      <c r="C191" s="2452"/>
      <c r="D191" s="2453" t="str">
        <f ca="1">'A &amp; L INFO'!Y17</f>
        <v/>
      </c>
      <c r="E191" s="2454"/>
      <c r="F191" s="2454"/>
      <c r="G191" s="2454"/>
      <c r="H191" s="2454"/>
      <c r="I191" s="2454"/>
      <c r="J191" s="2454"/>
      <c r="K191" s="2454"/>
      <c r="L191" s="2454"/>
      <c r="M191" s="2454"/>
      <c r="N191" s="2455"/>
      <c r="O191" s="2490" t="str">
        <f ca="1">IF('A &amp; L INFO'!AB17&lt;&gt;"", 'A &amp; L INFO'!AB17,"")</f>
        <v/>
      </c>
      <c r="P191" s="2491"/>
      <c r="Q191" s="2491"/>
      <c r="R191" s="2492"/>
      <c r="S191" s="2479" t="str">
        <f ca="1">'A &amp; L INFO'!AA17</f>
        <v/>
      </c>
      <c r="T191" s="2480"/>
      <c r="U191" s="2480"/>
      <c r="V191" s="2480"/>
      <c r="W191" s="2481"/>
      <c r="X191" s="870"/>
      <c r="Y191" s="663"/>
      <c r="Z191" s="663"/>
      <c r="AA191" s="663"/>
      <c r="AB191" s="663"/>
      <c r="AC191" s="871"/>
    </row>
    <row r="192" spans="1:29">
      <c r="A192" s="869">
        <v>11</v>
      </c>
      <c r="B192" s="2451" t="str">
        <f ca="1">'A &amp; L INFO'!W18</f>
        <v/>
      </c>
      <c r="C192" s="2452"/>
      <c r="D192" s="2453" t="str">
        <f ca="1">'A &amp; L INFO'!Y18</f>
        <v/>
      </c>
      <c r="E192" s="2454"/>
      <c r="F192" s="2454"/>
      <c r="G192" s="2454"/>
      <c r="H192" s="2454"/>
      <c r="I192" s="2454"/>
      <c r="J192" s="2454"/>
      <c r="K192" s="2454"/>
      <c r="L192" s="2454"/>
      <c r="M192" s="2454"/>
      <c r="N192" s="2455"/>
      <c r="O192" s="2490" t="str">
        <f ca="1">IF('A &amp; L INFO'!AB18&lt;&gt;"", 'A &amp; L INFO'!AB18,"")</f>
        <v/>
      </c>
      <c r="P192" s="2491"/>
      <c r="Q192" s="2491"/>
      <c r="R192" s="2492"/>
      <c r="S192" s="2479" t="str">
        <f ca="1">'A &amp; L INFO'!AA18</f>
        <v/>
      </c>
      <c r="T192" s="2480"/>
      <c r="U192" s="2480"/>
      <c r="V192" s="2480"/>
      <c r="W192" s="2481"/>
      <c r="X192" s="870"/>
      <c r="Y192" s="663"/>
      <c r="Z192" s="663"/>
      <c r="AA192" s="663"/>
      <c r="AB192" s="663"/>
      <c r="AC192" s="871"/>
    </row>
    <row r="193" spans="1:29">
      <c r="A193" s="869">
        <v>12</v>
      </c>
      <c r="B193" s="2451" t="str">
        <f ca="1">'A &amp; L INFO'!W19</f>
        <v/>
      </c>
      <c r="C193" s="2452"/>
      <c r="D193" s="2453" t="str">
        <f ca="1">'A &amp; L INFO'!Y19</f>
        <v/>
      </c>
      <c r="E193" s="2454"/>
      <c r="F193" s="2454"/>
      <c r="G193" s="2454"/>
      <c r="H193" s="2454"/>
      <c r="I193" s="2454"/>
      <c r="J193" s="2454"/>
      <c r="K193" s="2454"/>
      <c r="L193" s="2454"/>
      <c r="M193" s="2454"/>
      <c r="N193" s="2455"/>
      <c r="O193" s="2490" t="str">
        <f ca="1">IF('A &amp; L INFO'!AB19&lt;&gt;"", 'A &amp; L INFO'!AB19,"")</f>
        <v/>
      </c>
      <c r="P193" s="2491"/>
      <c r="Q193" s="2491"/>
      <c r="R193" s="2492"/>
      <c r="S193" s="2479" t="str">
        <f ca="1">'A &amp; L INFO'!AA19</f>
        <v/>
      </c>
      <c r="T193" s="2480"/>
      <c r="U193" s="2480"/>
      <c r="V193" s="2480"/>
      <c r="W193" s="2481"/>
      <c r="X193" s="870"/>
      <c r="Y193" s="663"/>
      <c r="Z193" s="663"/>
      <c r="AA193" s="663"/>
      <c r="AB193" s="663"/>
      <c r="AC193" s="871"/>
    </row>
    <row r="194" spans="1:29">
      <c r="A194" s="869">
        <v>13</v>
      </c>
      <c r="B194" s="2451" t="str">
        <f ca="1">'A &amp; L INFO'!W20</f>
        <v/>
      </c>
      <c r="C194" s="2452"/>
      <c r="D194" s="2453" t="str">
        <f ca="1">'A &amp; L INFO'!Y20</f>
        <v/>
      </c>
      <c r="E194" s="2454"/>
      <c r="F194" s="2454"/>
      <c r="G194" s="2454"/>
      <c r="H194" s="2454"/>
      <c r="I194" s="2454"/>
      <c r="J194" s="2454"/>
      <c r="K194" s="2454"/>
      <c r="L194" s="2454"/>
      <c r="M194" s="2454"/>
      <c r="N194" s="2455"/>
      <c r="O194" s="2490" t="str">
        <f ca="1">IF('A &amp; L INFO'!AB20&lt;&gt;"", 'A &amp; L INFO'!AB20,"")</f>
        <v/>
      </c>
      <c r="P194" s="2491"/>
      <c r="Q194" s="2491"/>
      <c r="R194" s="2492"/>
      <c r="S194" s="2479" t="str">
        <f ca="1">'A &amp; L INFO'!AA20</f>
        <v/>
      </c>
      <c r="T194" s="2480"/>
      <c r="U194" s="2480"/>
      <c r="V194" s="2480"/>
      <c r="W194" s="2481"/>
      <c r="X194" s="870"/>
      <c r="Y194" s="663"/>
      <c r="Z194" s="663"/>
      <c r="AA194" s="663"/>
      <c r="AB194" s="663"/>
      <c r="AC194" s="871"/>
    </row>
    <row r="195" spans="1:29">
      <c r="A195" s="869">
        <v>14</v>
      </c>
      <c r="B195" s="2451" t="str">
        <f ca="1">'A &amp; L INFO'!W21</f>
        <v/>
      </c>
      <c r="C195" s="2452"/>
      <c r="D195" s="2453" t="str">
        <f ca="1">'A &amp; L INFO'!Y21</f>
        <v/>
      </c>
      <c r="E195" s="2454"/>
      <c r="F195" s="2454"/>
      <c r="G195" s="2454"/>
      <c r="H195" s="2454"/>
      <c r="I195" s="2454"/>
      <c r="J195" s="2454"/>
      <c r="K195" s="2454"/>
      <c r="L195" s="2454"/>
      <c r="M195" s="2454"/>
      <c r="N195" s="2455"/>
      <c r="O195" s="2490" t="str">
        <f ca="1">IF('A &amp; L INFO'!AB21&lt;&gt;"", 'A &amp; L INFO'!AB21,"")</f>
        <v/>
      </c>
      <c r="P195" s="2491"/>
      <c r="Q195" s="2491"/>
      <c r="R195" s="2492"/>
      <c r="S195" s="2479" t="str">
        <f ca="1">'A &amp; L INFO'!AA21</f>
        <v/>
      </c>
      <c r="T195" s="2480"/>
      <c r="U195" s="2480"/>
      <c r="V195" s="2480"/>
      <c r="W195" s="2481"/>
      <c r="X195" s="870"/>
      <c r="Y195" s="663"/>
      <c r="Z195" s="663"/>
      <c r="AA195" s="663"/>
      <c r="AB195" s="663"/>
      <c r="AC195" s="871"/>
    </row>
    <row r="196" spans="1:29">
      <c r="A196" s="869">
        <v>15</v>
      </c>
      <c r="B196" s="2451" t="str">
        <f ca="1">'A &amp; L INFO'!W22</f>
        <v/>
      </c>
      <c r="C196" s="2452"/>
      <c r="D196" s="2453" t="str">
        <f ca="1">'A &amp; L INFO'!Y22</f>
        <v/>
      </c>
      <c r="E196" s="2454"/>
      <c r="F196" s="2454"/>
      <c r="G196" s="2454"/>
      <c r="H196" s="2454"/>
      <c r="I196" s="2454"/>
      <c r="J196" s="2454"/>
      <c r="K196" s="2454"/>
      <c r="L196" s="2454"/>
      <c r="M196" s="2454"/>
      <c r="N196" s="2455"/>
      <c r="O196" s="2490" t="str">
        <f ca="1">IF('A &amp; L INFO'!AB22&lt;&gt;"", 'A &amp; L INFO'!AB22,"")</f>
        <v/>
      </c>
      <c r="P196" s="2491"/>
      <c r="Q196" s="2491"/>
      <c r="R196" s="2492"/>
      <c r="S196" s="2479" t="str">
        <f ca="1">'A &amp; L INFO'!AA22</f>
        <v/>
      </c>
      <c r="T196" s="2480"/>
      <c r="U196" s="2480"/>
      <c r="V196" s="2480"/>
      <c r="W196" s="2481"/>
      <c r="X196" s="870"/>
      <c r="Y196" s="663"/>
      <c r="Z196" s="663"/>
      <c r="AA196" s="663"/>
      <c r="AB196" s="663"/>
      <c r="AC196" s="871"/>
    </row>
    <row r="197" spans="1:29">
      <c r="A197" s="869">
        <v>16</v>
      </c>
      <c r="B197" s="2451" t="str">
        <f ca="1">'A &amp; L INFO'!W23</f>
        <v/>
      </c>
      <c r="C197" s="2452"/>
      <c r="D197" s="2453" t="str">
        <f ca="1">'A &amp; L INFO'!Y23</f>
        <v/>
      </c>
      <c r="E197" s="2454"/>
      <c r="F197" s="2454"/>
      <c r="G197" s="2454"/>
      <c r="H197" s="2454"/>
      <c r="I197" s="2454"/>
      <c r="J197" s="2454"/>
      <c r="K197" s="2454"/>
      <c r="L197" s="2454"/>
      <c r="M197" s="2454"/>
      <c r="N197" s="2455"/>
      <c r="O197" s="2490" t="str">
        <f ca="1">IF('A &amp; L INFO'!AB23&lt;&gt;"", 'A &amp; L INFO'!AB23,"")</f>
        <v/>
      </c>
      <c r="P197" s="2491"/>
      <c r="Q197" s="2491"/>
      <c r="R197" s="2492"/>
      <c r="S197" s="2479" t="str">
        <f ca="1">'A &amp; L INFO'!AA23</f>
        <v/>
      </c>
      <c r="T197" s="2480"/>
      <c r="U197" s="2480"/>
      <c r="V197" s="2480"/>
      <c r="W197" s="2481"/>
      <c r="X197" s="870"/>
      <c r="Y197" s="663"/>
      <c r="Z197" s="663"/>
      <c r="AA197" s="663"/>
      <c r="AB197" s="663"/>
      <c r="AC197" s="871"/>
    </row>
    <row r="198" spans="1:29">
      <c r="A198" s="869">
        <v>17</v>
      </c>
      <c r="B198" s="2451" t="str">
        <f ca="1">'A &amp; L INFO'!W24</f>
        <v/>
      </c>
      <c r="C198" s="2452"/>
      <c r="D198" s="2453" t="str">
        <f ca="1">'A &amp; L INFO'!Y24</f>
        <v/>
      </c>
      <c r="E198" s="2454"/>
      <c r="F198" s="2454"/>
      <c r="G198" s="2454"/>
      <c r="H198" s="2454"/>
      <c r="I198" s="2454"/>
      <c r="J198" s="2454"/>
      <c r="K198" s="2454"/>
      <c r="L198" s="2454"/>
      <c r="M198" s="2454"/>
      <c r="N198" s="2455"/>
      <c r="O198" s="2490" t="str">
        <f ca="1">IF('A &amp; L INFO'!AB24&lt;&gt;"", 'A &amp; L INFO'!AB24,"")</f>
        <v/>
      </c>
      <c r="P198" s="2491"/>
      <c r="Q198" s="2491"/>
      <c r="R198" s="2492"/>
      <c r="S198" s="2479" t="str">
        <f ca="1">'A &amp; L INFO'!AA24</f>
        <v/>
      </c>
      <c r="T198" s="2480"/>
      <c r="U198" s="2480"/>
      <c r="V198" s="2480"/>
      <c r="W198" s="2481"/>
      <c r="X198" s="870"/>
      <c r="Y198" s="663"/>
      <c r="Z198" s="663"/>
      <c r="AA198" s="663"/>
      <c r="AB198" s="663"/>
      <c r="AC198" s="871"/>
    </row>
    <row r="199" spans="1:29">
      <c r="A199" s="869">
        <v>18</v>
      </c>
      <c r="B199" s="2451" t="str">
        <f ca="1">'A &amp; L INFO'!W25</f>
        <v/>
      </c>
      <c r="C199" s="2452"/>
      <c r="D199" s="2453" t="str">
        <f ca="1">'A &amp; L INFO'!Y25</f>
        <v/>
      </c>
      <c r="E199" s="2454"/>
      <c r="F199" s="2454"/>
      <c r="G199" s="2454"/>
      <c r="H199" s="2454"/>
      <c r="I199" s="2454"/>
      <c r="J199" s="2454"/>
      <c r="K199" s="2454"/>
      <c r="L199" s="2454"/>
      <c r="M199" s="2454"/>
      <c r="N199" s="2455"/>
      <c r="O199" s="2490" t="str">
        <f ca="1">IF('A &amp; L INFO'!AB25&lt;&gt;"", 'A &amp; L INFO'!AB25,"")</f>
        <v/>
      </c>
      <c r="P199" s="2491"/>
      <c r="Q199" s="2491"/>
      <c r="R199" s="2492"/>
      <c r="S199" s="2479" t="str">
        <f ca="1">'A &amp; L INFO'!AA25</f>
        <v/>
      </c>
      <c r="T199" s="2480"/>
      <c r="U199" s="2480"/>
      <c r="V199" s="2480"/>
      <c r="W199" s="2481"/>
      <c r="X199" s="870"/>
      <c r="Y199" s="663"/>
      <c r="Z199" s="663"/>
      <c r="AA199" s="663"/>
      <c r="AB199" s="663"/>
      <c r="AC199" s="871"/>
    </row>
    <row r="200" spans="1:29">
      <c r="A200" s="869">
        <v>19</v>
      </c>
      <c r="B200" s="2451" t="str">
        <f ca="1">'A &amp; L INFO'!W26</f>
        <v/>
      </c>
      <c r="C200" s="2452"/>
      <c r="D200" s="2453" t="str">
        <f ca="1">'A &amp; L INFO'!Y26</f>
        <v/>
      </c>
      <c r="E200" s="2454"/>
      <c r="F200" s="2454"/>
      <c r="G200" s="2454"/>
      <c r="H200" s="2454"/>
      <c r="I200" s="2454"/>
      <c r="J200" s="2454"/>
      <c r="K200" s="2454"/>
      <c r="L200" s="2454"/>
      <c r="M200" s="2454"/>
      <c r="N200" s="2455"/>
      <c r="O200" s="2490" t="str">
        <f ca="1">IF('A &amp; L INFO'!AB26&lt;&gt;"", 'A &amp; L INFO'!AB26,"")</f>
        <v/>
      </c>
      <c r="P200" s="2491"/>
      <c r="Q200" s="2491"/>
      <c r="R200" s="2492"/>
      <c r="S200" s="2479" t="str">
        <f ca="1">'A &amp; L INFO'!AA26</f>
        <v/>
      </c>
      <c r="T200" s="2480"/>
      <c r="U200" s="2480"/>
      <c r="V200" s="2480"/>
      <c r="W200" s="2481"/>
      <c r="X200" s="870"/>
      <c r="Y200" s="663"/>
      <c r="Z200" s="663"/>
      <c r="AA200" s="663"/>
      <c r="AB200" s="663"/>
      <c r="AC200" s="871"/>
    </row>
    <row r="201" spans="1:29">
      <c r="A201" s="869">
        <v>20</v>
      </c>
      <c r="B201" s="2451" t="str">
        <f ca="1">'A &amp; L INFO'!W27</f>
        <v/>
      </c>
      <c r="C201" s="2452"/>
      <c r="D201" s="2453" t="str">
        <f ca="1">'A &amp; L INFO'!Y27</f>
        <v/>
      </c>
      <c r="E201" s="2454"/>
      <c r="F201" s="2454"/>
      <c r="G201" s="2454"/>
      <c r="H201" s="2454"/>
      <c r="I201" s="2454"/>
      <c r="J201" s="2454"/>
      <c r="K201" s="2454"/>
      <c r="L201" s="2454"/>
      <c r="M201" s="2454"/>
      <c r="N201" s="2455"/>
      <c r="O201" s="2490" t="str">
        <f ca="1">IF('A &amp; L INFO'!AB27&lt;&gt;"", 'A &amp; L INFO'!AB27,"")</f>
        <v/>
      </c>
      <c r="P201" s="2491"/>
      <c r="Q201" s="2491"/>
      <c r="R201" s="2492"/>
      <c r="S201" s="2479" t="str">
        <f ca="1">'A &amp; L INFO'!AA27</f>
        <v/>
      </c>
      <c r="T201" s="2480"/>
      <c r="U201" s="2480"/>
      <c r="V201" s="2480"/>
      <c r="W201" s="2481"/>
      <c r="X201" s="870"/>
      <c r="Y201" s="663"/>
      <c r="Z201" s="663"/>
      <c r="AA201" s="663"/>
      <c r="AB201" s="663"/>
      <c r="AC201" s="871"/>
    </row>
    <row r="202" spans="1:29">
      <c r="A202" s="869">
        <v>21</v>
      </c>
      <c r="B202" s="2451" t="str">
        <f ca="1">'A &amp; L INFO'!W28</f>
        <v/>
      </c>
      <c r="C202" s="2452"/>
      <c r="D202" s="2453" t="str">
        <f ca="1">'A &amp; L INFO'!Y28</f>
        <v/>
      </c>
      <c r="E202" s="2454"/>
      <c r="F202" s="2454"/>
      <c r="G202" s="2454"/>
      <c r="H202" s="2454"/>
      <c r="I202" s="2454"/>
      <c r="J202" s="2454"/>
      <c r="K202" s="2454"/>
      <c r="L202" s="2454"/>
      <c r="M202" s="2454"/>
      <c r="N202" s="2455"/>
      <c r="O202" s="2490" t="str">
        <f ca="1">IF('A &amp; L INFO'!AB28&lt;&gt;"", 'A &amp; L INFO'!AB28,"")</f>
        <v/>
      </c>
      <c r="P202" s="2491"/>
      <c r="Q202" s="2491"/>
      <c r="R202" s="2492"/>
      <c r="S202" s="2479" t="str">
        <f ca="1">'A &amp; L INFO'!AA28</f>
        <v/>
      </c>
      <c r="T202" s="2480"/>
      <c r="U202" s="2480"/>
      <c r="V202" s="2480"/>
      <c r="W202" s="2481"/>
      <c r="X202" s="870"/>
      <c r="Y202" s="663"/>
      <c r="Z202" s="663"/>
      <c r="AA202" s="663"/>
      <c r="AB202" s="663"/>
      <c r="AC202" s="871"/>
    </row>
    <row r="203" spans="1:29">
      <c r="A203" s="869">
        <v>22</v>
      </c>
      <c r="B203" s="2451" t="str">
        <f ca="1">'A &amp; L INFO'!W29</f>
        <v/>
      </c>
      <c r="C203" s="2452"/>
      <c r="D203" s="2453" t="str">
        <f ca="1">'A &amp; L INFO'!Y29</f>
        <v/>
      </c>
      <c r="E203" s="2454"/>
      <c r="F203" s="2454"/>
      <c r="G203" s="2454"/>
      <c r="H203" s="2454"/>
      <c r="I203" s="2454"/>
      <c r="J203" s="2454"/>
      <c r="K203" s="2454"/>
      <c r="L203" s="2454"/>
      <c r="M203" s="2454"/>
      <c r="N203" s="2455"/>
      <c r="O203" s="2490" t="str">
        <f ca="1">IF('A &amp; L INFO'!AB29&lt;&gt;"", 'A &amp; L INFO'!AB29,"")</f>
        <v/>
      </c>
      <c r="P203" s="2491"/>
      <c r="Q203" s="2491"/>
      <c r="R203" s="2492"/>
      <c r="S203" s="2479" t="str">
        <f ca="1">'A &amp; L INFO'!AA29</f>
        <v/>
      </c>
      <c r="T203" s="2480"/>
      <c r="U203" s="2480"/>
      <c r="V203" s="2480"/>
      <c r="W203" s="2481"/>
      <c r="X203" s="870"/>
      <c r="Y203" s="663"/>
      <c r="Z203" s="663"/>
      <c r="AA203" s="663"/>
      <c r="AB203" s="663"/>
      <c r="AC203" s="871"/>
    </row>
    <row r="204" spans="1:29">
      <c r="A204" s="869">
        <v>23</v>
      </c>
      <c r="B204" s="2451" t="str">
        <f ca="1">'A &amp; L INFO'!W30</f>
        <v/>
      </c>
      <c r="C204" s="2452"/>
      <c r="D204" s="2453" t="str">
        <f ca="1">'A &amp; L INFO'!Y30</f>
        <v/>
      </c>
      <c r="E204" s="2454"/>
      <c r="F204" s="2454"/>
      <c r="G204" s="2454"/>
      <c r="H204" s="2454"/>
      <c r="I204" s="2454"/>
      <c r="J204" s="2454"/>
      <c r="K204" s="2454"/>
      <c r="L204" s="2454"/>
      <c r="M204" s="2454"/>
      <c r="N204" s="2455"/>
      <c r="O204" s="2490" t="str">
        <f ca="1">IF('A &amp; L INFO'!AB30&lt;&gt;"", 'A &amp; L INFO'!AB30,"")</f>
        <v/>
      </c>
      <c r="P204" s="2491"/>
      <c r="Q204" s="2491"/>
      <c r="R204" s="2492"/>
      <c r="S204" s="2479" t="str">
        <f ca="1">'A &amp; L INFO'!AA30</f>
        <v/>
      </c>
      <c r="T204" s="2480"/>
      <c r="U204" s="2480"/>
      <c r="V204" s="2480"/>
      <c r="W204" s="2481"/>
      <c r="X204" s="870"/>
      <c r="Y204" s="663"/>
      <c r="Z204" s="663"/>
      <c r="AA204" s="663"/>
      <c r="AB204" s="663"/>
      <c r="AC204" s="871"/>
    </row>
    <row r="205" spans="1:29">
      <c r="A205" s="869">
        <v>24</v>
      </c>
      <c r="B205" s="2451" t="str">
        <f ca="1">'A &amp; L INFO'!W31</f>
        <v/>
      </c>
      <c r="C205" s="2452"/>
      <c r="D205" s="2453" t="str">
        <f ca="1">'A &amp; L INFO'!Y31</f>
        <v/>
      </c>
      <c r="E205" s="2454"/>
      <c r="F205" s="2454"/>
      <c r="G205" s="2454"/>
      <c r="H205" s="2454"/>
      <c r="I205" s="2454"/>
      <c r="J205" s="2454"/>
      <c r="K205" s="2454"/>
      <c r="L205" s="2454"/>
      <c r="M205" s="2454"/>
      <c r="N205" s="2455"/>
      <c r="O205" s="2490" t="str">
        <f ca="1">IF('A &amp; L INFO'!AB31&lt;&gt;"", 'A &amp; L INFO'!AB31,"")</f>
        <v/>
      </c>
      <c r="P205" s="2491"/>
      <c r="Q205" s="2491"/>
      <c r="R205" s="2492"/>
      <c r="S205" s="2479" t="str">
        <f ca="1">'A &amp; L INFO'!AA31</f>
        <v/>
      </c>
      <c r="T205" s="2480"/>
      <c r="U205" s="2480"/>
      <c r="V205" s="2480"/>
      <c r="W205" s="2481"/>
      <c r="X205" s="870"/>
      <c r="Y205" s="663"/>
      <c r="Z205" s="663"/>
      <c r="AA205" s="663"/>
      <c r="AB205" s="663"/>
      <c r="AC205" s="871"/>
    </row>
    <row r="206" spans="1:29">
      <c r="A206" s="869">
        <v>25</v>
      </c>
      <c r="B206" s="2451" t="str">
        <f ca="1">'A &amp; L INFO'!W32</f>
        <v/>
      </c>
      <c r="C206" s="2452"/>
      <c r="D206" s="2453" t="str">
        <f ca="1">'A &amp; L INFO'!Y32</f>
        <v/>
      </c>
      <c r="E206" s="2454"/>
      <c r="F206" s="2454"/>
      <c r="G206" s="2454"/>
      <c r="H206" s="2454"/>
      <c r="I206" s="2454"/>
      <c r="J206" s="2454"/>
      <c r="K206" s="2454"/>
      <c r="L206" s="2454"/>
      <c r="M206" s="2454"/>
      <c r="N206" s="2455"/>
      <c r="O206" s="2490" t="str">
        <f ca="1">IF('A &amp; L INFO'!AB32&lt;&gt;"", 'A &amp; L INFO'!AB32,"")</f>
        <v/>
      </c>
      <c r="P206" s="2491"/>
      <c r="Q206" s="2491"/>
      <c r="R206" s="2492"/>
      <c r="S206" s="2479" t="str">
        <f ca="1">'A &amp; L INFO'!AA32</f>
        <v/>
      </c>
      <c r="T206" s="2480"/>
      <c r="U206" s="2480"/>
      <c r="V206" s="2480"/>
      <c r="W206" s="2481"/>
      <c r="X206" s="870"/>
      <c r="Y206" s="663"/>
      <c r="Z206" s="663"/>
      <c r="AA206" s="663"/>
      <c r="AB206" s="663"/>
      <c r="AC206" s="871"/>
    </row>
    <row r="207" spans="1:29">
      <c r="A207" s="869">
        <v>26</v>
      </c>
      <c r="B207" s="2451" t="str">
        <f ca="1">'A &amp; L INFO'!W38</f>
        <v/>
      </c>
      <c r="C207" s="2452"/>
      <c r="D207" s="2453" t="str">
        <f ca="1">'A &amp; L INFO'!Y38</f>
        <v/>
      </c>
      <c r="E207" s="2454"/>
      <c r="F207" s="2454"/>
      <c r="G207" s="2454"/>
      <c r="H207" s="2454"/>
      <c r="I207" s="2454"/>
      <c r="J207" s="2454"/>
      <c r="K207" s="2454"/>
      <c r="L207" s="2454"/>
      <c r="M207" s="2454"/>
      <c r="N207" s="2455"/>
      <c r="O207" s="2490" t="str">
        <f ca="1">IF('A &amp; L INFO'!AB38&lt;&gt;"", 'A &amp; L INFO'!AB38,"")</f>
        <v/>
      </c>
      <c r="P207" s="2491"/>
      <c r="Q207" s="2491"/>
      <c r="R207" s="2492"/>
      <c r="S207" s="2479" t="str">
        <f ca="1">'A &amp; L INFO'!AA38</f>
        <v/>
      </c>
      <c r="T207" s="2480"/>
      <c r="U207" s="2480"/>
      <c r="V207" s="2480"/>
      <c r="W207" s="2481"/>
      <c r="X207" s="870"/>
      <c r="Y207" s="663"/>
      <c r="Z207" s="663"/>
      <c r="AA207" s="663"/>
      <c r="AB207" s="663"/>
      <c r="AC207" s="871"/>
    </row>
    <row r="208" spans="1:29">
      <c r="A208" s="869">
        <v>27</v>
      </c>
      <c r="B208" s="2451" t="str">
        <f ca="1">'A &amp; L INFO'!W39</f>
        <v/>
      </c>
      <c r="C208" s="2452"/>
      <c r="D208" s="2453" t="str">
        <f ca="1">'A &amp; L INFO'!Y39</f>
        <v/>
      </c>
      <c r="E208" s="2454"/>
      <c r="F208" s="2454"/>
      <c r="G208" s="2454"/>
      <c r="H208" s="2454"/>
      <c r="I208" s="2454"/>
      <c r="J208" s="2454"/>
      <c r="K208" s="2454"/>
      <c r="L208" s="2454"/>
      <c r="M208" s="2454"/>
      <c r="N208" s="2455"/>
      <c r="O208" s="2490" t="str">
        <f ca="1">IF('A &amp; L INFO'!AB39&lt;&gt;"", 'A &amp; L INFO'!AB39,"")</f>
        <v/>
      </c>
      <c r="P208" s="2491"/>
      <c r="Q208" s="2491"/>
      <c r="R208" s="2492"/>
      <c r="S208" s="2479" t="str">
        <f ca="1">'A &amp; L INFO'!AA39</f>
        <v/>
      </c>
      <c r="T208" s="2480"/>
      <c r="U208" s="2480"/>
      <c r="V208" s="2480"/>
      <c r="W208" s="2481"/>
      <c r="X208" s="870"/>
      <c r="Y208" s="663"/>
      <c r="Z208" s="663"/>
      <c r="AA208" s="663"/>
      <c r="AB208" s="663"/>
      <c r="AC208" s="871"/>
    </row>
    <row r="209" spans="1:29">
      <c r="A209" s="869">
        <v>28</v>
      </c>
      <c r="B209" s="2451" t="str">
        <f ca="1">'A &amp; L INFO'!W40</f>
        <v/>
      </c>
      <c r="C209" s="2452"/>
      <c r="D209" s="2453" t="str">
        <f ca="1">'A &amp; L INFO'!Y40</f>
        <v/>
      </c>
      <c r="E209" s="2454"/>
      <c r="F209" s="2454"/>
      <c r="G209" s="2454"/>
      <c r="H209" s="2454"/>
      <c r="I209" s="2454"/>
      <c r="J209" s="2454"/>
      <c r="K209" s="2454"/>
      <c r="L209" s="2454"/>
      <c r="M209" s="2454"/>
      <c r="N209" s="2455"/>
      <c r="O209" s="2490" t="str">
        <f ca="1">IF('A &amp; L INFO'!AB40&lt;&gt;"", 'A &amp; L INFO'!AB40,"")</f>
        <v/>
      </c>
      <c r="P209" s="2491"/>
      <c r="Q209" s="2491"/>
      <c r="R209" s="2492"/>
      <c r="S209" s="2479" t="str">
        <f ca="1">'A &amp; L INFO'!AA40</f>
        <v/>
      </c>
      <c r="T209" s="2480"/>
      <c r="U209" s="2480"/>
      <c r="V209" s="2480"/>
      <c r="W209" s="2481"/>
      <c r="X209" s="870"/>
      <c r="Y209" s="663"/>
      <c r="Z209" s="663"/>
      <c r="AA209" s="663"/>
      <c r="AB209" s="663"/>
      <c r="AC209" s="871"/>
    </row>
    <row r="210" spans="1:29">
      <c r="A210" s="869">
        <v>29</v>
      </c>
      <c r="B210" s="2451" t="str">
        <f ca="1">'A &amp; L INFO'!W41</f>
        <v/>
      </c>
      <c r="C210" s="2452"/>
      <c r="D210" s="2453" t="str">
        <f ca="1">'A &amp; L INFO'!Y41</f>
        <v/>
      </c>
      <c r="E210" s="2454"/>
      <c r="F210" s="2454"/>
      <c r="G210" s="2454"/>
      <c r="H210" s="2454"/>
      <c r="I210" s="2454"/>
      <c r="J210" s="2454"/>
      <c r="K210" s="2454"/>
      <c r="L210" s="2454"/>
      <c r="M210" s="2454"/>
      <c r="N210" s="2455"/>
      <c r="O210" s="2490" t="str">
        <f ca="1">IF('A &amp; L INFO'!AB41&lt;&gt;"", 'A &amp; L INFO'!AB41,"")</f>
        <v/>
      </c>
      <c r="P210" s="2491"/>
      <c r="Q210" s="2491"/>
      <c r="R210" s="2492"/>
      <c r="S210" s="2479" t="str">
        <f ca="1">'A &amp; L INFO'!AA41</f>
        <v/>
      </c>
      <c r="T210" s="2480"/>
      <c r="U210" s="2480"/>
      <c r="V210" s="2480"/>
      <c r="W210" s="2481"/>
      <c r="X210" s="870"/>
      <c r="Y210" s="663"/>
      <c r="Z210" s="663"/>
      <c r="AA210" s="663"/>
      <c r="AB210" s="663"/>
      <c r="AC210" s="871"/>
    </row>
    <row r="211" spans="1:29">
      <c r="A211" s="1043">
        <v>30</v>
      </c>
      <c r="B211" s="2482" t="str">
        <f ca="1">'A &amp; L INFO'!W46</f>
        <v/>
      </c>
      <c r="C211" s="2483"/>
      <c r="D211" s="2484" t="str">
        <f ca="1">'A &amp; L INFO'!Y46</f>
        <v/>
      </c>
      <c r="E211" s="2485"/>
      <c r="F211" s="2485"/>
      <c r="G211" s="2485"/>
      <c r="H211" s="2485"/>
      <c r="I211" s="2485"/>
      <c r="J211" s="2485"/>
      <c r="K211" s="2485"/>
      <c r="L211" s="2485"/>
      <c r="M211" s="2485"/>
      <c r="N211" s="2486"/>
      <c r="O211" s="2490" t="str">
        <f ca="1">IF('A &amp; L INFO'!AB46&lt;&gt;"", 'A &amp; L INFO'!AB46,"")</f>
        <v/>
      </c>
      <c r="P211" s="2491"/>
      <c r="Q211" s="2491"/>
      <c r="R211" s="2492"/>
      <c r="S211" s="2487" t="str">
        <f ca="1">'A &amp; L INFO'!AA46</f>
        <v/>
      </c>
      <c r="T211" s="2488"/>
      <c r="U211" s="2488"/>
      <c r="V211" s="2488"/>
      <c r="W211" s="2489"/>
      <c r="X211" s="1044"/>
      <c r="Y211" s="1045"/>
      <c r="Z211" s="1045"/>
      <c r="AA211" s="1045"/>
      <c r="AB211" s="1045"/>
      <c r="AC211" s="1046"/>
    </row>
    <row r="212" spans="1:29" ht="13" thickBot="1">
      <c r="A212" s="701" t="s">
        <v>873</v>
      </c>
      <c r="B212" s="702"/>
      <c r="C212" s="702"/>
      <c r="D212" s="702"/>
      <c r="E212" s="702"/>
      <c r="F212" s="702"/>
      <c r="G212" s="702"/>
      <c r="H212" s="702"/>
      <c r="I212" s="702"/>
      <c r="J212" s="702"/>
      <c r="K212" s="702"/>
      <c r="L212" s="702"/>
      <c r="M212" s="702"/>
      <c r="N212" s="702"/>
      <c r="O212" s="702"/>
      <c r="P212" s="702"/>
      <c r="Q212" s="702"/>
      <c r="R212" s="702"/>
      <c r="S212" s="2465">
        <f ca="1">+SUM(S182:W211)</f>
        <v>0</v>
      </c>
      <c r="T212" s="2466"/>
      <c r="U212" s="2466"/>
      <c r="V212" s="2466"/>
      <c r="W212" s="2467"/>
      <c r="X212" s="702"/>
      <c r="Y212" s="702"/>
      <c r="Z212" s="702"/>
      <c r="AA212" s="702"/>
      <c r="AB212" s="702"/>
      <c r="AC212" s="703"/>
    </row>
    <row r="214" spans="1:1" ht="25.15" customHeight="1">
      <c r="A214" s="698" t="s">
        <v>874</v>
      </c>
    </row>
    <row r="215" ht="13" thickBot="1"/>
    <row r="216" spans="1:29" ht="31.9" customHeight="1">
      <c r="A216" s="846" t="s">
        <v>321</v>
      </c>
      <c r="B216" s="2468" t="s">
        <v>875</v>
      </c>
      <c r="C216" s="2469"/>
      <c r="D216" s="2470" t="s">
        <v>877</v>
      </c>
      <c r="E216" s="2471"/>
      <c r="F216" s="2471"/>
      <c r="G216" s="2471"/>
      <c r="H216" s="2471"/>
      <c r="I216" s="2471"/>
      <c r="J216" s="2472"/>
      <c r="K216" s="2470" t="s">
        <v>876</v>
      </c>
      <c r="L216" s="2471"/>
      <c r="M216" s="2471"/>
      <c r="N216" s="2471"/>
      <c r="O216" s="2471"/>
      <c r="P216" s="2471"/>
      <c r="Q216" s="2471"/>
      <c r="R216" s="2471"/>
      <c r="S216" s="2472"/>
      <c r="T216" s="2470" t="s">
        <v>870</v>
      </c>
      <c r="U216" s="2471"/>
      <c r="V216" s="2471"/>
      <c r="W216" s="2472"/>
      <c r="X216" s="2470" t="s">
        <v>471</v>
      </c>
      <c r="Y216" s="2471"/>
      <c r="Z216" s="2471"/>
      <c r="AA216" s="2471"/>
      <c r="AB216" s="2471"/>
      <c r="AC216" s="2473"/>
    </row>
    <row r="217" spans="1:29" ht="13" thickBot="1">
      <c r="A217" s="847" t="s">
        <v>65</v>
      </c>
      <c r="B217" s="1488" t="s">
        <v>64</v>
      </c>
      <c r="C217" s="2060"/>
      <c r="D217" s="1488" t="s">
        <v>66</v>
      </c>
      <c r="E217" s="2474"/>
      <c r="F217" s="2474"/>
      <c r="G217" s="2474"/>
      <c r="H217" s="2474"/>
      <c r="I217" s="2474"/>
      <c r="J217" s="2060"/>
      <c r="K217" s="1488" t="s">
        <v>67</v>
      </c>
      <c r="L217" s="2474"/>
      <c r="M217" s="2474"/>
      <c r="N217" s="2474"/>
      <c r="O217" s="2474"/>
      <c r="P217" s="2474"/>
      <c r="Q217" s="2474"/>
      <c r="R217" s="2474"/>
      <c r="S217" s="2060"/>
      <c r="T217" s="2475" t="s">
        <v>68</v>
      </c>
      <c r="U217" s="2476"/>
      <c r="V217" s="2476"/>
      <c r="W217" s="2477"/>
      <c r="X217" s="1488" t="s">
        <v>99</v>
      </c>
      <c r="Y217" s="2474"/>
      <c r="Z217" s="2474"/>
      <c r="AA217" s="2474"/>
      <c r="AB217" s="2474"/>
      <c r="AC217" s="2478"/>
    </row>
    <row r="218" spans="1:29">
      <c r="A218" s="872">
        <v>1</v>
      </c>
      <c r="B218" s="2444" t="str">
        <f ca="1">'A &amp; L INFO'!W49</f>
        <v/>
      </c>
      <c r="C218" s="2445"/>
      <c r="D218" s="2446" t="str">
        <f ca="1">'A &amp; L INFO'!Y49</f>
        <v/>
      </c>
      <c r="E218" s="2447"/>
      <c r="F218" s="2447"/>
      <c r="G218" s="2447"/>
      <c r="H218" s="2447"/>
      <c r="I218" s="2447"/>
      <c r="J218" s="2448"/>
      <c r="K218" s="873"/>
      <c r="L218" s="874"/>
      <c r="M218" s="874"/>
      <c r="N218" s="874"/>
      <c r="O218" s="1047"/>
      <c r="P218" s="1047"/>
      <c r="Q218" s="1047"/>
      <c r="R218" s="1047"/>
      <c r="S218" s="876"/>
      <c r="T218" s="2418" t="str">
        <f ca="1">IF('A &amp; L INFO'!AB49&lt;&gt;"", 'A &amp; L INFO'!AB49,"")</f>
        <v/>
      </c>
      <c r="U218" s="2419"/>
      <c r="V218" s="2419"/>
      <c r="W218" s="2420"/>
      <c r="X218" s="2449" t="str">
        <f ca="1">'A &amp; L INFO'!AA49</f>
        <v/>
      </c>
      <c r="Y218" s="2449"/>
      <c r="Z218" s="2449"/>
      <c r="AA218" s="2449"/>
      <c r="AB218" s="2449"/>
      <c r="AC218" s="2450"/>
    </row>
    <row r="219" spans="1:29">
      <c r="A219" s="872">
        <v>2</v>
      </c>
      <c r="B219" s="2451" t="str">
        <f ca="1">'A &amp; L INFO'!W50</f>
        <v/>
      </c>
      <c r="C219" s="2452"/>
      <c r="D219" s="2453" t="str">
        <f ca="1">'A &amp; L INFO'!Y50</f>
        <v/>
      </c>
      <c r="E219" s="2454"/>
      <c r="F219" s="2454"/>
      <c r="G219" s="2454"/>
      <c r="H219" s="2454"/>
      <c r="I219" s="2454"/>
      <c r="J219" s="2455"/>
      <c r="K219" s="877"/>
      <c r="L219" s="878"/>
      <c r="M219" s="878"/>
      <c r="N219" s="878"/>
      <c r="O219" s="875"/>
      <c r="P219" s="875"/>
      <c r="Q219" s="875"/>
      <c r="R219" s="875"/>
      <c r="S219" s="879"/>
      <c r="T219" s="2421" t="str">
        <f ca="1">IF('A &amp; L INFO'!AB50&lt;&gt;"", 'A &amp; L INFO'!AB50,"")</f>
        <v/>
      </c>
      <c r="U219" s="2422"/>
      <c r="V219" s="2422"/>
      <c r="W219" s="2423"/>
      <c r="X219" s="2456" t="str">
        <f ca="1">'A &amp; L INFO'!AA50</f>
        <v/>
      </c>
      <c r="Y219" s="2456"/>
      <c r="Z219" s="2456"/>
      <c r="AA219" s="2456"/>
      <c r="AB219" s="2456"/>
      <c r="AC219" s="2457"/>
    </row>
    <row r="220" spans="1:29">
      <c r="A220" s="872">
        <v>3</v>
      </c>
      <c r="B220" s="2458" t="str">
        <f ca="1">'A &amp; L INFO'!W51</f>
        <v/>
      </c>
      <c r="C220" s="2459"/>
      <c r="D220" s="2460" t="str">
        <f ca="1">'A &amp; L INFO'!Y51</f>
        <v/>
      </c>
      <c r="E220" s="2461"/>
      <c r="F220" s="2461"/>
      <c r="G220" s="2461"/>
      <c r="H220" s="2461"/>
      <c r="I220" s="2461"/>
      <c r="J220" s="2462"/>
      <c r="K220" s="1186"/>
      <c r="L220" s="1187"/>
      <c r="M220" s="1187"/>
      <c r="N220" s="1187"/>
      <c r="O220" s="1188"/>
      <c r="P220" s="1188"/>
      <c r="Q220" s="1188"/>
      <c r="R220" s="1188"/>
      <c r="S220" s="1189"/>
      <c r="T220" s="2421" t="str">
        <f ca="1">IF('A &amp; L INFO'!AB51&lt;&gt;"", 'A &amp; L INFO'!AB51,"")</f>
        <v/>
      </c>
      <c r="U220" s="2422"/>
      <c r="V220" s="2422"/>
      <c r="W220" s="2423"/>
      <c r="X220" s="2463" t="str">
        <f ca="1">'A &amp; L INFO'!AA51</f>
        <v/>
      </c>
      <c r="Y220" s="2463"/>
      <c r="Z220" s="2463"/>
      <c r="AA220" s="2463"/>
      <c r="AB220" s="2463"/>
      <c r="AC220" s="2464"/>
    </row>
    <row r="221" spans="1:29">
      <c r="A221" s="872">
        <v>4</v>
      </c>
      <c r="B221" s="2427" t="str">
        <f ca="1">'A &amp; L INFO'!W52</f>
        <v/>
      </c>
      <c r="C221" s="2428"/>
      <c r="D221" s="2429" t="str">
        <f ca="1">'A &amp; L INFO'!Y52</f>
        <v/>
      </c>
      <c r="E221" s="2430"/>
      <c r="F221" s="2430"/>
      <c r="G221" s="2430"/>
      <c r="H221" s="2430"/>
      <c r="I221" s="2430"/>
      <c r="J221" s="2431"/>
      <c r="K221" s="1190"/>
      <c r="L221" s="1191"/>
      <c r="M221" s="1191"/>
      <c r="N221" s="1191"/>
      <c r="O221" s="1192"/>
      <c r="P221" s="1192"/>
      <c r="Q221" s="1192"/>
      <c r="R221" s="1192"/>
      <c r="S221" s="1193"/>
      <c r="T221" s="2424" t="str">
        <f ca="1">IF('A &amp; L INFO'!AB52&lt;&gt;"", 'A &amp; L INFO'!AB52,"")</f>
        <v/>
      </c>
      <c r="U221" s="2425"/>
      <c r="V221" s="2425"/>
      <c r="W221" s="2426"/>
      <c r="X221" s="2432" t="str">
        <f ca="1">'A &amp; L INFO'!AA52</f>
        <v/>
      </c>
      <c r="Y221" s="2432"/>
      <c r="Z221" s="2432"/>
      <c r="AA221" s="2432"/>
      <c r="AB221" s="2432"/>
      <c r="AC221" s="2433"/>
    </row>
    <row r="222" spans="1:29" ht="13" thickBot="1">
      <c r="A222" s="701" t="s">
        <v>860</v>
      </c>
      <c r="B222" s="702"/>
      <c r="C222" s="702"/>
      <c r="D222" s="702"/>
      <c r="E222" s="702"/>
      <c r="F222" s="702"/>
      <c r="G222" s="702"/>
      <c r="H222" s="702"/>
      <c r="I222" s="702"/>
      <c r="J222" s="702"/>
      <c r="K222" s="704"/>
      <c r="L222" s="702"/>
      <c r="M222" s="702"/>
      <c r="N222" s="702"/>
      <c r="O222" s="702"/>
      <c r="P222" s="702"/>
      <c r="Q222" s="702"/>
      <c r="R222" s="702"/>
      <c r="S222" s="705"/>
      <c r="T222" s="1244"/>
      <c r="U222" s="1245"/>
      <c r="V222" s="1245"/>
      <c r="W222" s="1246"/>
      <c r="X222" s="2434">
        <f ca="1">+SUM(X218:AC221)</f>
        <v>0</v>
      </c>
      <c r="Y222" s="2435"/>
      <c r="Z222" s="2435"/>
      <c r="AA222" s="2435"/>
      <c r="AB222" s="2435"/>
      <c r="AC222" s="2436"/>
    </row>
  </sheetData>
  <sheetProtection password="BDAF" sheet="1" objects="1" scenarios="1" selectLockedCells="1" selectUnlockedCells="1"/>
  <mergeCells count="472">
    <mergeCell ref="V88:Y88"/>
    <mergeCell ref="X120:AA120"/>
    <mergeCell ref="X115:AA115"/>
    <mergeCell ref="T102:W102"/>
    <mergeCell ref="T103:W103"/>
    <mergeCell ref="T104:W104"/>
    <mergeCell ref="X102:AA102"/>
    <mergeCell ref="X103:AA103"/>
    <mergeCell ref="X104:AA104"/>
    <mergeCell ref="T105:W105"/>
    <mergeCell ref="X107:AA107"/>
    <mergeCell ref="V90:Y90"/>
    <mergeCell ref="X117:AA117"/>
    <mergeCell ref="X105:AA105"/>
    <mergeCell ref="R88:U88"/>
    <mergeCell ref="S148:V148"/>
    <mergeCell ref="I146:N146"/>
    <mergeCell ref="O146:R146"/>
    <mergeCell ref="S146:V146"/>
    <mergeCell ref="C145:H145"/>
    <mergeCell ref="S145:V145"/>
    <mergeCell ref="W146:Z146"/>
    <mergeCell ref="W145:Z145"/>
    <mergeCell ref="C146:H146"/>
    <mergeCell ref="C147:H147"/>
    <mergeCell ref="I145:N145"/>
    <mergeCell ref="C130:AA130"/>
    <mergeCell ref="C139:H139"/>
    <mergeCell ref="C140:H140"/>
    <mergeCell ref="C141:H141"/>
    <mergeCell ref="I135:N137"/>
    <mergeCell ref="C135:H137"/>
    <mergeCell ref="W139:Z139"/>
    <mergeCell ref="I141:N141"/>
    <mergeCell ref="O141:R141"/>
    <mergeCell ref="S141:V141"/>
    <mergeCell ref="C144:H144"/>
    <mergeCell ref="V84:Y84"/>
    <mergeCell ref="R83:U83"/>
    <mergeCell ref="I138:N138"/>
    <mergeCell ref="O138:R138"/>
    <mergeCell ref="S138:V138"/>
    <mergeCell ref="W138:Z138"/>
    <mergeCell ref="C138:H138"/>
    <mergeCell ref="F90:I90"/>
    <mergeCell ref="J90:M90"/>
    <mergeCell ref="N90:Q90"/>
    <mergeCell ref="R90:U90"/>
    <mergeCell ref="I140:N140"/>
    <mergeCell ref="O140:R140"/>
    <mergeCell ref="S140:V140"/>
    <mergeCell ref="W140:Z140"/>
    <mergeCell ref="G98:I98"/>
    <mergeCell ref="V87:Y87"/>
    <mergeCell ref="C142:H142"/>
    <mergeCell ref="C143:H143"/>
    <mergeCell ref="A83:E83"/>
    <mergeCell ref="F88:I88"/>
    <mergeCell ref="J88:M88"/>
    <mergeCell ref="N88:Q88"/>
    <mergeCell ref="F87:I87"/>
    <mergeCell ref="J87:M87"/>
    <mergeCell ref="J84:M84"/>
    <mergeCell ref="N84:Q84"/>
    <mergeCell ref="R84:U84"/>
    <mergeCell ref="F86:I86"/>
    <mergeCell ref="J86:M86"/>
    <mergeCell ref="N86:Q86"/>
    <mergeCell ref="R86:U86"/>
    <mergeCell ref="F85:I85"/>
    <mergeCell ref="N87:Q87"/>
    <mergeCell ref="F83:I83"/>
    <mergeCell ref="J83:M83"/>
    <mergeCell ref="N83:Q83"/>
    <mergeCell ref="N71:Q71"/>
    <mergeCell ref="A76:E76"/>
    <mergeCell ref="F81:I81"/>
    <mergeCell ref="J81:M81"/>
    <mergeCell ref="N81:Q81"/>
    <mergeCell ref="F80:I80"/>
    <mergeCell ref="J80:M80"/>
    <mergeCell ref="F78:I78"/>
    <mergeCell ref="J78:M78"/>
    <mergeCell ref="F76:I76"/>
    <mergeCell ref="J76:M76"/>
    <mergeCell ref="N76:Q76"/>
    <mergeCell ref="F79:I79"/>
    <mergeCell ref="N80:Q80"/>
    <mergeCell ref="N78:Q78"/>
    <mergeCell ref="N79:Q79"/>
    <mergeCell ref="F66:I66"/>
    <mergeCell ref="J66:M66"/>
    <mergeCell ref="N66:Q66"/>
    <mergeCell ref="R67:U67"/>
    <mergeCell ref="A69:E69"/>
    <mergeCell ref="N67:Q67"/>
    <mergeCell ref="F67:I67"/>
    <mergeCell ref="J67:M67"/>
    <mergeCell ref="F74:I74"/>
    <mergeCell ref="J74:M74"/>
    <mergeCell ref="N74:Q74"/>
    <mergeCell ref="F69:I69"/>
    <mergeCell ref="J69:M69"/>
    <mergeCell ref="N69:Q69"/>
    <mergeCell ref="F70:I70"/>
    <mergeCell ref="J70:M70"/>
    <mergeCell ref="N70:Q70"/>
    <mergeCell ref="F73:I73"/>
    <mergeCell ref="J73:M73"/>
    <mergeCell ref="N73:Q73"/>
    <mergeCell ref="J71:M71"/>
    <mergeCell ref="F72:I72"/>
    <mergeCell ref="J72:M72"/>
    <mergeCell ref="N72:Q72"/>
    <mergeCell ref="A57:E58"/>
    <mergeCell ref="F57:M57"/>
    <mergeCell ref="N57:U57"/>
    <mergeCell ref="R63:U63"/>
    <mergeCell ref="R65:U65"/>
    <mergeCell ref="F64:I64"/>
    <mergeCell ref="J65:M65"/>
    <mergeCell ref="N65:Q65"/>
    <mergeCell ref="R58:U58"/>
    <mergeCell ref="A62:E62"/>
    <mergeCell ref="N63:Q63"/>
    <mergeCell ref="F62:I62"/>
    <mergeCell ref="J62:M62"/>
    <mergeCell ref="N62:Q62"/>
    <mergeCell ref="F58:I58"/>
    <mergeCell ref="J58:M58"/>
    <mergeCell ref="N58:Q58"/>
    <mergeCell ref="R62:U62"/>
    <mergeCell ref="J64:M64"/>
    <mergeCell ref="N64:Q64"/>
    <mergeCell ref="F63:I63"/>
    <mergeCell ref="J63:M63"/>
    <mergeCell ref="F65:I65"/>
    <mergeCell ref="R74:U74"/>
    <mergeCell ref="V74:Y74"/>
    <mergeCell ref="R76:U76"/>
    <mergeCell ref="V76:Y76"/>
    <mergeCell ref="I139:N139"/>
    <mergeCell ref="O139:R139"/>
    <mergeCell ref="S139:V139"/>
    <mergeCell ref="O135:Z135"/>
    <mergeCell ref="O136:R137"/>
    <mergeCell ref="S136:Z136"/>
    <mergeCell ref="X124:AA124"/>
    <mergeCell ref="X122:AA122"/>
    <mergeCell ref="X113:AA113"/>
    <mergeCell ref="V80:Y80"/>
    <mergeCell ref="R81:U81"/>
    <mergeCell ref="R80:U80"/>
    <mergeCell ref="V81:Y81"/>
    <mergeCell ref="V78:Y78"/>
    <mergeCell ref="R78:U78"/>
    <mergeCell ref="V79:Y79"/>
    <mergeCell ref="N85:Q85"/>
    <mergeCell ref="R87:U87"/>
    <mergeCell ref="S137:V137"/>
    <mergeCell ref="W137:Z137"/>
    <mergeCell ref="V72:Y72"/>
    <mergeCell ref="V73:Y73"/>
    <mergeCell ref="R72:U72"/>
    <mergeCell ref="R71:U71"/>
    <mergeCell ref="V71:Y71"/>
    <mergeCell ref="X14:AA14"/>
    <mergeCell ref="S18:V18"/>
    <mergeCell ref="S19:V19"/>
    <mergeCell ref="X21:AA21"/>
    <mergeCell ref="S20:V20"/>
    <mergeCell ref="S32:V32"/>
    <mergeCell ref="S33:V33"/>
    <mergeCell ref="X35:AA35"/>
    <mergeCell ref="R66:U66"/>
    <mergeCell ref="V64:Y64"/>
    <mergeCell ref="V65:Y65"/>
    <mergeCell ref="R64:U64"/>
    <mergeCell ref="V66:Y66"/>
    <mergeCell ref="V63:Y63"/>
    <mergeCell ref="R70:U70"/>
    <mergeCell ref="V70:Y70"/>
    <mergeCell ref="X48:AA48"/>
    <mergeCell ref="X51:AA51"/>
    <mergeCell ref="S46:V46"/>
    <mergeCell ref="AE35:AI35"/>
    <mergeCell ref="X24:AA24"/>
    <mergeCell ref="X25:AA25"/>
    <mergeCell ref="X26:AA26"/>
    <mergeCell ref="AE36:AI36"/>
    <mergeCell ref="S38:V38"/>
    <mergeCell ref="S39:V39"/>
    <mergeCell ref="V62:Y62"/>
    <mergeCell ref="X41:AA41"/>
    <mergeCell ref="X29:AA29"/>
    <mergeCell ref="S44:V44"/>
    <mergeCell ref="S45:V45"/>
    <mergeCell ref="V57:AC57"/>
    <mergeCell ref="V58:Y58"/>
    <mergeCell ref="Z58:AC58"/>
    <mergeCell ref="Z59:AC59"/>
    <mergeCell ref="Z62:AC62"/>
    <mergeCell ref="G167:L167"/>
    <mergeCell ref="M167:P167"/>
    <mergeCell ref="G168:L168"/>
    <mergeCell ref="M168:P168"/>
    <mergeCell ref="X109:AA109"/>
    <mergeCell ref="AE113:AH113"/>
    <mergeCell ref="G166:L166"/>
    <mergeCell ref="M166:P166"/>
    <mergeCell ref="C129:AA129"/>
    <mergeCell ref="X154:AA154"/>
    <mergeCell ref="I143:N143"/>
    <mergeCell ref="O143:R143"/>
    <mergeCell ref="S143:V143"/>
    <mergeCell ref="W143:Z143"/>
    <mergeCell ref="I144:N144"/>
    <mergeCell ref="O144:R144"/>
    <mergeCell ref="W144:Z144"/>
    <mergeCell ref="W141:Z141"/>
    <mergeCell ref="W148:Z148"/>
    <mergeCell ref="I142:N142"/>
    <mergeCell ref="O142:R142"/>
    <mergeCell ref="O145:R145"/>
    <mergeCell ref="G161:L161"/>
    <mergeCell ref="M161:P161"/>
    <mergeCell ref="G158:L158"/>
    <mergeCell ref="M158:P158"/>
    <mergeCell ref="G159:L159"/>
    <mergeCell ref="M159:P159"/>
    <mergeCell ref="X97:AA97"/>
    <mergeCell ref="F77:I77"/>
    <mergeCell ref="J77:M77"/>
    <mergeCell ref="N77:Q77"/>
    <mergeCell ref="R77:U77"/>
    <mergeCell ref="V77:Y77"/>
    <mergeCell ref="S147:V147"/>
    <mergeCell ref="S142:V142"/>
    <mergeCell ref="S144:V144"/>
    <mergeCell ref="I148:N148"/>
    <mergeCell ref="W142:Z142"/>
    <mergeCell ref="W147:Z147"/>
    <mergeCell ref="V85:Y85"/>
    <mergeCell ref="V83:Y83"/>
    <mergeCell ref="R79:U79"/>
    <mergeCell ref="F84:I84"/>
    <mergeCell ref="J85:M85"/>
    <mergeCell ref="R85:U85"/>
    <mergeCell ref="X111:AA111"/>
    <mergeCell ref="V86:Y86"/>
    <mergeCell ref="A4:AE4"/>
    <mergeCell ref="G164:L164"/>
    <mergeCell ref="M164:P164"/>
    <mergeCell ref="G165:L165"/>
    <mergeCell ref="M165:P165"/>
    <mergeCell ref="G162:L162"/>
    <mergeCell ref="M162:P162"/>
    <mergeCell ref="G163:L163"/>
    <mergeCell ref="M163:P163"/>
    <mergeCell ref="G157:L157"/>
    <mergeCell ref="M157:P157"/>
    <mergeCell ref="I147:N147"/>
    <mergeCell ref="O147:R147"/>
    <mergeCell ref="C148:H148"/>
    <mergeCell ref="O148:R148"/>
    <mergeCell ref="G160:L160"/>
    <mergeCell ref="R69:U69"/>
    <mergeCell ref="V69:Y69"/>
    <mergeCell ref="R73:U73"/>
    <mergeCell ref="X127:AA127"/>
    <mergeCell ref="J79:M79"/>
    <mergeCell ref="V67:Y67"/>
    <mergeCell ref="F71:I71"/>
    <mergeCell ref="M160:P160"/>
    <mergeCell ref="G173:L173"/>
    <mergeCell ref="M173:P173"/>
    <mergeCell ref="G171:L171"/>
    <mergeCell ref="M171:P171"/>
    <mergeCell ref="G172:L172"/>
    <mergeCell ref="M172:P172"/>
    <mergeCell ref="G169:L169"/>
    <mergeCell ref="G170:L170"/>
    <mergeCell ref="M170:P170"/>
    <mergeCell ref="M169:P169"/>
    <mergeCell ref="B180:C180"/>
    <mergeCell ref="D180:N180"/>
    <mergeCell ref="O180:R180"/>
    <mergeCell ref="S180:W180"/>
    <mergeCell ref="X180:AC180"/>
    <mergeCell ref="B181:C181"/>
    <mergeCell ref="D181:N181"/>
    <mergeCell ref="O181:R181"/>
    <mergeCell ref="S181:W181"/>
    <mergeCell ref="X181:AC181"/>
    <mergeCell ref="B182:C182"/>
    <mergeCell ref="D182:N182"/>
    <mergeCell ref="S182:W182"/>
    <mergeCell ref="B183:C183"/>
    <mergeCell ref="D183:N183"/>
    <mergeCell ref="S183:W183"/>
    <mergeCell ref="B184:C184"/>
    <mergeCell ref="D184:N184"/>
    <mergeCell ref="S184:W184"/>
    <mergeCell ref="O182:R182"/>
    <mergeCell ref="O183:R183"/>
    <mergeCell ref="O184:R184"/>
    <mergeCell ref="B185:C185"/>
    <mergeCell ref="D185:N185"/>
    <mergeCell ref="S185:W185"/>
    <mergeCell ref="B186:C186"/>
    <mergeCell ref="D186:N186"/>
    <mergeCell ref="S186:W186"/>
    <mergeCell ref="B187:C187"/>
    <mergeCell ref="D187:N187"/>
    <mergeCell ref="S187:W187"/>
    <mergeCell ref="O185:R185"/>
    <mergeCell ref="O186:R186"/>
    <mergeCell ref="O187:R187"/>
    <mergeCell ref="B188:C188"/>
    <mergeCell ref="D188:N188"/>
    <mergeCell ref="S188:W188"/>
    <mergeCell ref="B189:C189"/>
    <mergeCell ref="D189:N189"/>
    <mergeCell ref="S189:W189"/>
    <mergeCell ref="B190:C190"/>
    <mergeCell ref="D190:N190"/>
    <mergeCell ref="S190:W190"/>
    <mergeCell ref="O188:R188"/>
    <mergeCell ref="O189:R189"/>
    <mergeCell ref="O190:R190"/>
    <mergeCell ref="B191:C191"/>
    <mergeCell ref="D191:N191"/>
    <mergeCell ref="S191:W191"/>
    <mergeCell ref="B192:C192"/>
    <mergeCell ref="D192:N192"/>
    <mergeCell ref="S192:W192"/>
    <mergeCell ref="B193:C193"/>
    <mergeCell ref="D193:N193"/>
    <mergeCell ref="S193:W193"/>
    <mergeCell ref="O191:R191"/>
    <mergeCell ref="O192:R192"/>
    <mergeCell ref="O193:R193"/>
    <mergeCell ref="B194:C194"/>
    <mergeCell ref="D194:N194"/>
    <mergeCell ref="S194:W194"/>
    <mergeCell ref="B195:C195"/>
    <mergeCell ref="D195:N195"/>
    <mergeCell ref="S195:W195"/>
    <mergeCell ref="B196:C196"/>
    <mergeCell ref="D196:N196"/>
    <mergeCell ref="S196:W196"/>
    <mergeCell ref="O194:R194"/>
    <mergeCell ref="O195:R195"/>
    <mergeCell ref="O196:R196"/>
    <mergeCell ref="B197:C197"/>
    <mergeCell ref="D197:N197"/>
    <mergeCell ref="S197:W197"/>
    <mergeCell ref="B198:C198"/>
    <mergeCell ref="D198:N198"/>
    <mergeCell ref="S198:W198"/>
    <mergeCell ref="B199:C199"/>
    <mergeCell ref="D199:N199"/>
    <mergeCell ref="S199:W199"/>
    <mergeCell ref="O197:R197"/>
    <mergeCell ref="O198:R198"/>
    <mergeCell ref="O199:R199"/>
    <mergeCell ref="B200:C200"/>
    <mergeCell ref="D200:N200"/>
    <mergeCell ref="S200:W200"/>
    <mergeCell ref="B201:C201"/>
    <mergeCell ref="D201:N201"/>
    <mergeCell ref="S201:W201"/>
    <mergeCell ref="B202:C202"/>
    <mergeCell ref="D202:N202"/>
    <mergeCell ref="S202:W202"/>
    <mergeCell ref="O200:R200"/>
    <mergeCell ref="O201:R201"/>
    <mergeCell ref="O202:R202"/>
    <mergeCell ref="B203:C203"/>
    <mergeCell ref="D203:N203"/>
    <mergeCell ref="S203:W203"/>
    <mergeCell ref="B204:C204"/>
    <mergeCell ref="D204:N204"/>
    <mergeCell ref="S204:W204"/>
    <mergeCell ref="B205:C205"/>
    <mergeCell ref="D205:N205"/>
    <mergeCell ref="S205:W205"/>
    <mergeCell ref="O203:R203"/>
    <mergeCell ref="O204:R204"/>
    <mergeCell ref="O205:R205"/>
    <mergeCell ref="B206:C206"/>
    <mergeCell ref="D206:N206"/>
    <mergeCell ref="S206:W206"/>
    <mergeCell ref="B207:C207"/>
    <mergeCell ref="D207:N207"/>
    <mergeCell ref="S207:W207"/>
    <mergeCell ref="B208:C208"/>
    <mergeCell ref="D208:N208"/>
    <mergeCell ref="S208:W208"/>
    <mergeCell ref="O206:R206"/>
    <mergeCell ref="O207:R207"/>
    <mergeCell ref="O208:R208"/>
    <mergeCell ref="B209:C209"/>
    <mergeCell ref="D209:N209"/>
    <mergeCell ref="S209:W209"/>
    <mergeCell ref="B210:C210"/>
    <mergeCell ref="D210:N210"/>
    <mergeCell ref="S210:W210"/>
    <mergeCell ref="B211:C211"/>
    <mergeCell ref="D211:N211"/>
    <mergeCell ref="S211:W211"/>
    <mergeCell ref="O209:R209"/>
    <mergeCell ref="O210:R210"/>
    <mergeCell ref="O211:R211"/>
    <mergeCell ref="B216:C216"/>
    <mergeCell ref="D216:J216"/>
    <mergeCell ref="K216:S216"/>
    <mergeCell ref="T216:W216"/>
    <mergeCell ref="X216:AC216"/>
    <mergeCell ref="B217:C217"/>
    <mergeCell ref="D217:J217"/>
    <mergeCell ref="K217:S217"/>
    <mergeCell ref="T217:W217"/>
    <mergeCell ref="X217:AC217"/>
    <mergeCell ref="T218:W218"/>
    <mergeCell ref="T219:W219"/>
    <mergeCell ref="T220:W220"/>
    <mergeCell ref="T221:W221"/>
    <mergeCell ref="B221:C221"/>
    <mergeCell ref="D221:J221"/>
    <mergeCell ref="X221:AC221"/>
    <mergeCell ref="X222:AC222"/>
    <mergeCell ref="A59:E59"/>
    <mergeCell ref="F59:I59"/>
    <mergeCell ref="J59:M59"/>
    <mergeCell ref="N59:Q59"/>
    <mergeCell ref="R59:U59"/>
    <mergeCell ref="V59:Y59"/>
    <mergeCell ref="B218:C218"/>
    <mergeCell ref="D218:J218"/>
    <mergeCell ref="X218:AC218"/>
    <mergeCell ref="B219:C219"/>
    <mergeCell ref="D219:J219"/>
    <mergeCell ref="X219:AC219"/>
    <mergeCell ref="B220:C220"/>
    <mergeCell ref="D220:J220"/>
    <mergeCell ref="X220:AC220"/>
    <mergeCell ref="S212:W212"/>
    <mergeCell ref="Z63:AC63"/>
    <mergeCell ref="Z64:AC64"/>
    <mergeCell ref="Z65:AC65"/>
    <mergeCell ref="Z66:AC66"/>
    <mergeCell ref="Z67:AC67"/>
    <mergeCell ref="Z69:AC69"/>
    <mergeCell ref="Z70:AC70"/>
    <mergeCell ref="Z71:AC71"/>
    <mergeCell ref="Z72:AC72"/>
    <mergeCell ref="Z84:AC84"/>
    <mergeCell ref="Z85:AC85"/>
    <mergeCell ref="Z86:AC86"/>
    <mergeCell ref="Z87:AC87"/>
    <mergeCell ref="Z88:AC88"/>
    <mergeCell ref="Z90:AC90"/>
    <mergeCell ref="Z73:AC73"/>
    <mergeCell ref="Z74:AC74"/>
    <mergeCell ref="Z76:AC76"/>
    <mergeCell ref="Z77:AC77"/>
    <mergeCell ref="Z78:AC78"/>
    <mergeCell ref="Z79:AC79"/>
    <mergeCell ref="Z80:AC80"/>
    <mergeCell ref="Z81:AC81"/>
    <mergeCell ref="Z83:AC83"/>
  </mergeCells>
  <printOptions horizontalCentered="1"/>
  <pageMargins left="0.17" right="0.17" top="1" bottom="1" header="0.5" footer="0.5"/>
  <pageSetup paperSize="5" scale="72" orientation="portrait" r:id="rId1"/>
  <rowBreaks count="5" manualBreakCount="5">
    <brk id="52" max="16383" man="1"/>
    <brk id="93" max="16383" man="1"/>
    <brk id="131" max="16383" man="1"/>
    <brk id="151" max="16383" man="1"/>
    <brk id="174" max="28" man="1"/>
  </rowBreaks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  <pageSetUpPr fitToPage="1"/>
  </sheetPr>
  <dimension ref="A1:CF77"/>
  <sheetViews>
    <sheetView showGridLines="0" zoomScaleSheetLayoutView="100" view="pageBreakPreview" workbookViewId="0">
      <selection pane="topLeft" activeCell="L69" sqref="L69"/>
    </sheetView>
  </sheetViews>
  <sheetFormatPr defaultColWidth="9.13671875" defaultRowHeight="14" baseColWidth="0"/>
  <cols>
    <col min="1" max="4" width="1.7109375" style="444" customWidth="1"/>
    <col min="5" max="5" width="0.85546875" style="444" customWidth="1"/>
    <col min="6" max="7" width="1.7109375" style="444" customWidth="1"/>
    <col min="8" max="8" width="3.28125" style="444" customWidth="1"/>
    <col min="9" max="12" width="1.7109375" style="444" customWidth="1"/>
    <col min="13" max="14" width="0.85546875" style="444" customWidth="1"/>
    <col min="15" max="15" width="1.7109375" style="444" customWidth="1"/>
    <col min="16" max="17" width="0.85546875" style="444" customWidth="1"/>
    <col min="18" max="18" width="1.7109375" style="444" customWidth="1"/>
    <col min="19" max="22" width="0.85546875" style="444" customWidth="1"/>
    <col min="23" max="23" width="1.7109375" style="444" customWidth="1"/>
    <col min="24" max="25" width="0.85546875" style="444" customWidth="1"/>
    <col min="26" max="26" width="1.7109375" style="444" customWidth="1"/>
    <col min="27" max="30" width="0.85546875" style="444" customWidth="1"/>
    <col min="31" max="31" width="1.7109375" style="444" customWidth="1"/>
    <col min="32" max="33" width="0.85546875" style="444" customWidth="1"/>
    <col min="34" max="34" width="1.7109375" style="444" customWidth="1"/>
    <col min="35" max="38" width="0.85546875" style="444" customWidth="1"/>
    <col min="39" max="39" width="1.7109375" style="444" customWidth="1"/>
    <col min="40" max="41" width="0.85546875" style="444" customWidth="1"/>
    <col min="42" max="42" width="1.7109375" style="444" customWidth="1"/>
    <col min="43" max="46" width="0.85546875" style="444" customWidth="1"/>
    <col min="47" max="47" width="1.7109375" style="444" customWidth="1"/>
    <col min="48" max="49" width="0.85546875" style="444" customWidth="1"/>
    <col min="50" max="50" width="1.7109375" style="444" customWidth="1"/>
    <col min="51" max="54" width="0.85546875" style="444" customWidth="1"/>
    <col min="55" max="55" width="1.7109375" style="444" customWidth="1"/>
    <col min="56" max="57" width="0.85546875" style="444" customWidth="1"/>
    <col min="58" max="75" width="1.7109375" style="444" customWidth="1"/>
    <col min="76" max="76" width="2.28125" style="444" customWidth="1"/>
    <col min="77" max="77" width="0.85546875" style="444" customWidth="1"/>
    <col min="78" max="78" width="2.28125" style="444" customWidth="1"/>
    <col min="79" max="79" width="0.85546875" style="444" customWidth="1"/>
    <col min="80" max="80" width="2.28125" style="444" customWidth="1"/>
    <col min="81" max="81" width="0.85546875" style="444" customWidth="1"/>
    <col min="82" max="82" width="2.28125" style="444" customWidth="1"/>
    <col min="83" max="83" width="0.56640625" style="444" customWidth="1"/>
    <col min="84" max="84" width="1.42578125" style="444" customWidth="1"/>
    <col min="85" max="16384" width="9.13671875" style="444" customWidth="1"/>
  </cols>
  <sheetData>
    <row r="1" spans="1:84" ht="21" customHeight="1">
      <c r="A1" s="609"/>
      <c r="B1" s="2715" t="s">
        <v>806</v>
      </c>
      <c r="C1" s="2715"/>
      <c r="D1" s="2715"/>
      <c r="E1" s="2715"/>
      <c r="F1" s="2715"/>
      <c r="G1" s="2715"/>
      <c r="H1" s="2715"/>
      <c r="I1" s="2715"/>
      <c r="J1" s="2715"/>
      <c r="K1" s="2715"/>
      <c r="L1" s="2715"/>
      <c r="M1" s="2715"/>
      <c r="N1" s="2715"/>
      <c r="O1" s="2715"/>
      <c r="P1" s="2715"/>
      <c r="Q1" s="609"/>
      <c r="R1" s="609"/>
      <c r="S1" s="609"/>
      <c r="T1" s="609"/>
      <c r="U1" s="609"/>
      <c r="V1" s="609"/>
      <c r="W1" s="609"/>
      <c r="X1" s="609"/>
      <c r="Y1" s="609"/>
      <c r="Z1" s="609"/>
      <c r="AA1" s="609"/>
      <c r="AB1" s="609"/>
      <c r="AC1" s="609"/>
      <c r="AD1" s="609"/>
      <c r="AE1" s="609"/>
      <c r="AF1" s="609"/>
      <c r="AG1" s="609"/>
      <c r="AH1" s="609"/>
      <c r="AI1" s="609"/>
      <c r="AJ1" s="609"/>
      <c r="AK1" s="609"/>
      <c r="AL1" s="609"/>
      <c r="AM1" s="609"/>
      <c r="AN1" s="609"/>
      <c r="AO1" s="609"/>
      <c r="AP1" s="609"/>
      <c r="AQ1" s="609"/>
      <c r="AR1" s="609"/>
      <c r="AS1" s="609"/>
      <c r="AT1" s="609"/>
      <c r="AU1" s="609"/>
      <c r="AV1" s="609"/>
      <c r="AW1" s="609"/>
      <c r="AX1" s="609"/>
      <c r="AY1" s="609"/>
      <c r="AZ1" s="609"/>
      <c r="BA1" s="609"/>
      <c r="BB1" s="609"/>
      <c r="BC1" s="609"/>
      <c r="BD1" s="609"/>
      <c r="BE1" s="609"/>
      <c r="BF1" s="609"/>
      <c r="BG1" s="609"/>
      <c r="BH1" s="609"/>
      <c r="BI1" s="609"/>
      <c r="BJ1" s="609"/>
      <c r="BK1" s="609"/>
      <c r="BL1" s="609"/>
      <c r="BM1" s="609"/>
      <c r="BN1" s="609"/>
      <c r="BO1" s="609"/>
      <c r="BP1" s="609"/>
      <c r="BQ1" s="609"/>
      <c r="BR1" s="609"/>
      <c r="BS1" s="609"/>
      <c r="BT1" s="609"/>
      <c r="BU1" s="609"/>
      <c r="BV1" s="609"/>
      <c r="BW1" s="609"/>
      <c r="BX1" s="609"/>
      <c r="BY1" s="609"/>
      <c r="BZ1" s="609"/>
      <c r="CA1" s="609"/>
      <c r="CB1" s="609"/>
      <c r="CC1" s="609"/>
      <c r="CE1" s="609"/>
      <c r="CF1" s="609"/>
    </row>
    <row r="2" spans="1:84" ht="9" customHeight="1">
      <c r="A2" s="445"/>
      <c r="B2" s="448"/>
      <c r="C2" s="448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444"/>
      <c r="O2" s="444"/>
      <c r="P2" s="444"/>
      <c r="Q2" s="444"/>
      <c r="R2" s="444"/>
      <c r="S2" s="444"/>
      <c r="T2" s="444"/>
      <c r="U2" s="444"/>
      <c r="V2" s="444"/>
      <c r="W2" s="444"/>
      <c r="X2" s="444"/>
      <c r="Y2" s="444"/>
      <c r="Z2" s="444"/>
      <c r="AA2" s="444"/>
      <c r="AB2" s="444"/>
      <c r="AC2" s="444"/>
      <c r="AD2" s="444"/>
      <c r="AE2" s="444"/>
      <c r="AF2" s="444"/>
      <c r="AG2" s="444"/>
      <c r="AH2" s="444"/>
      <c r="AI2" s="444"/>
      <c r="AJ2" s="444"/>
      <c r="AK2" s="444"/>
      <c r="AL2" s="444"/>
      <c r="AM2" s="444"/>
      <c r="AN2" s="444"/>
      <c r="AO2" s="444"/>
      <c r="AP2" s="444"/>
      <c r="AQ2" s="444"/>
      <c r="AR2" s="444"/>
      <c r="AS2" s="444"/>
      <c r="AT2" s="444"/>
      <c r="AU2" s="444"/>
      <c r="AV2" s="444"/>
      <c r="AW2" s="444"/>
      <c r="AX2" s="444"/>
      <c r="AY2" s="444"/>
      <c r="AZ2" s="444"/>
      <c r="BA2" s="444"/>
      <c r="BB2" s="444"/>
      <c r="BC2" s="444"/>
      <c r="BD2" s="444"/>
      <c r="BE2" s="444"/>
      <c r="BF2" s="444"/>
      <c r="BG2" s="444"/>
      <c r="BH2" s="444"/>
      <c r="BI2" s="444"/>
      <c r="BJ2" s="444"/>
      <c r="BK2" s="444"/>
      <c r="BL2" s="444"/>
      <c r="BM2" s="444"/>
      <c r="BN2" s="444"/>
      <c r="BO2" s="444"/>
      <c r="BP2" s="444"/>
      <c r="BQ2" s="444"/>
      <c r="BR2" s="444"/>
      <c r="BS2" s="444"/>
      <c r="BT2" s="444"/>
      <c r="BU2" s="444"/>
      <c r="BV2" s="444"/>
      <c r="BW2" s="444"/>
      <c r="BX2" s="444"/>
      <c r="BY2" s="444"/>
      <c r="BZ2" s="444"/>
      <c r="CA2" s="444"/>
      <c r="CB2" s="444"/>
      <c r="CC2" s="448"/>
      <c r="CD2" s="608"/>
      <c r="CE2" s="445"/>
      <c r="CF2" s="445"/>
    </row>
    <row r="3" spans="1:84" s="445" customFormat="1" ht="9" customHeight="1">
      <c r="A3" s="445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  <c r="P3" s="445"/>
      <c r="Q3" s="445"/>
      <c r="R3" s="445"/>
      <c r="S3" s="445"/>
      <c r="T3" s="445"/>
      <c r="U3" s="445"/>
      <c r="V3" s="445"/>
      <c r="W3" s="445"/>
      <c r="X3" s="445"/>
      <c r="Y3" s="445"/>
      <c r="Z3" s="2716" t="s">
        <v>805</v>
      </c>
      <c r="AA3" s="578"/>
      <c r="AB3" s="578"/>
      <c r="AC3" s="578"/>
      <c r="AD3" s="578"/>
      <c r="AE3" s="578"/>
      <c r="AF3" s="578"/>
      <c r="AG3" s="578"/>
      <c r="AH3" s="578"/>
      <c r="AI3" s="578"/>
      <c r="AJ3" s="578"/>
      <c r="AK3" s="578"/>
      <c r="AL3" s="578"/>
      <c r="AM3" s="578"/>
      <c r="AN3" s="578"/>
      <c r="AO3" s="578"/>
      <c r="AP3" s="578"/>
      <c r="AQ3" s="578"/>
      <c r="AR3" s="578"/>
      <c r="AS3" s="578"/>
      <c r="AT3" s="578"/>
      <c r="AU3" s="578"/>
      <c r="AV3" s="578"/>
      <c r="AW3" s="578"/>
      <c r="AX3" s="578"/>
      <c r="AY3" s="578"/>
      <c r="AZ3" s="578"/>
      <c r="BA3" s="578"/>
      <c r="BB3" s="578"/>
      <c r="BC3" s="578"/>
      <c r="BD3" s="578"/>
      <c r="BE3" s="578"/>
      <c r="BF3" s="578"/>
      <c r="BG3" s="578"/>
      <c r="BH3" s="578"/>
      <c r="BI3" s="578"/>
      <c r="BJ3" s="578"/>
      <c r="BK3" s="2717"/>
      <c r="BL3" s="598"/>
      <c r="BM3" s="604"/>
      <c r="BN3" s="445"/>
      <c r="BO3" s="445"/>
      <c r="BP3" s="445"/>
      <c r="BQ3" s="445"/>
      <c r="BR3" s="445"/>
      <c r="BS3" s="445"/>
      <c r="BT3" s="445"/>
      <c r="BU3" s="445"/>
      <c r="BV3" s="445"/>
      <c r="BW3" s="445"/>
      <c r="BX3" s="445"/>
      <c r="BY3" s="445"/>
      <c r="BZ3" s="445"/>
      <c r="CA3" s="445"/>
      <c r="CB3" s="445"/>
      <c r="CC3" s="445"/>
      <c r="CD3" s="445"/>
      <c r="CE3" s="605"/>
      <c r="CF3" s="605"/>
    </row>
    <row r="4" spans="1:84" s="445" customFormat="1" ht="9" customHeight="1">
      <c r="A4" s="445"/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  <c r="N4" s="445"/>
      <c r="O4" s="445"/>
      <c r="P4" s="445"/>
      <c r="Q4" s="445"/>
      <c r="R4" s="445"/>
      <c r="S4" s="445"/>
      <c r="T4" s="445"/>
      <c r="U4" s="445"/>
      <c r="V4" s="445"/>
      <c r="W4" s="445"/>
      <c r="X4" s="445"/>
      <c r="Y4" s="445"/>
      <c r="Z4" s="2716"/>
      <c r="AA4" s="578"/>
      <c r="AB4" s="578"/>
      <c r="AC4" s="578"/>
      <c r="AD4" s="578"/>
      <c r="AE4" s="578"/>
      <c r="AF4" s="578"/>
      <c r="AG4" s="578"/>
      <c r="AH4" s="578"/>
      <c r="AI4" s="578"/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W4" s="578"/>
      <c r="AX4" s="578"/>
      <c r="AY4" s="578"/>
      <c r="AZ4" s="578"/>
      <c r="BA4" s="578"/>
      <c r="BB4" s="578"/>
      <c r="BC4" s="578"/>
      <c r="BD4" s="578"/>
      <c r="BE4" s="578"/>
      <c r="BF4" s="578"/>
      <c r="BG4" s="578"/>
      <c r="BH4" s="578"/>
      <c r="BI4" s="578"/>
      <c r="BJ4" s="578"/>
      <c r="BK4" s="2717"/>
      <c r="BL4" s="598"/>
      <c r="BM4" s="604"/>
      <c r="BN4" s="445"/>
      <c r="BO4" s="445"/>
      <c r="BP4" s="445"/>
      <c r="BQ4" s="445"/>
      <c r="BR4" s="445"/>
      <c r="BS4" s="445"/>
      <c r="BT4" s="445"/>
      <c r="BU4" s="445"/>
      <c r="BV4" s="445"/>
      <c r="BW4" s="445"/>
      <c r="BX4" s="607"/>
      <c r="BY4" s="445"/>
      <c r="BZ4" s="606"/>
      <c r="CA4" s="445"/>
      <c r="CB4" s="607"/>
      <c r="CC4" s="445"/>
      <c r="CD4" s="606"/>
      <c r="CE4" s="605"/>
      <c r="CF4" s="605"/>
    </row>
    <row r="5" spans="2:84" ht="18.75" customHeight="1">
      <c r="B5" s="599"/>
      <c r="C5" s="599"/>
      <c r="D5" s="599"/>
      <c r="E5" s="599"/>
      <c r="F5" s="599"/>
      <c r="G5" s="599"/>
      <c r="H5" s="599"/>
      <c r="I5" s="599"/>
      <c r="J5" s="599"/>
      <c r="K5" s="599"/>
      <c r="L5" s="599"/>
      <c r="M5" s="599"/>
      <c r="N5" s="599"/>
      <c r="O5" s="599"/>
      <c r="P5" s="599"/>
      <c r="Q5" s="599"/>
      <c r="R5" s="599"/>
      <c r="S5" s="599"/>
      <c r="T5" s="599"/>
      <c r="U5" s="599"/>
      <c r="V5" s="599"/>
      <c r="W5" s="599"/>
      <c r="X5" s="599"/>
      <c r="Y5" s="599"/>
      <c r="Z5" s="2716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AW5" s="578"/>
      <c r="AX5" s="578"/>
      <c r="AY5" s="578"/>
      <c r="AZ5" s="578"/>
      <c r="BA5" s="578"/>
      <c r="BB5" s="578"/>
      <c r="BC5" s="578"/>
      <c r="BD5" s="578"/>
      <c r="BE5" s="578"/>
      <c r="BF5" s="578"/>
      <c r="BG5" s="578"/>
      <c r="BH5" s="578"/>
      <c r="BI5" s="578"/>
      <c r="BJ5" s="578"/>
      <c r="BK5" s="2717"/>
      <c r="BL5" s="598"/>
      <c r="BM5" s="604"/>
      <c r="BN5" s="2655" t="s">
        <v>804</v>
      </c>
      <c r="BO5" s="2655"/>
      <c r="BP5" s="2655"/>
      <c r="BQ5" s="2655"/>
      <c r="BR5" s="2655"/>
      <c r="BS5" s="2655"/>
      <c r="BT5" s="2655"/>
      <c r="BU5" s="2655"/>
      <c r="BV5" s="2655"/>
      <c r="BW5" s="2655"/>
      <c r="BX5" s="2655"/>
      <c r="BY5" s="2655"/>
      <c r="BZ5" s="2655"/>
      <c r="CA5" s="2655"/>
      <c r="CB5" s="2655"/>
      <c r="CC5" s="2655"/>
      <c r="CD5" s="2655"/>
      <c r="CE5" s="552"/>
      <c r="CF5" s="603"/>
    </row>
    <row r="6" spans="2:84" ht="6" customHeight="1">
      <c r="B6" s="599"/>
      <c r="C6" s="599"/>
      <c r="D6" s="599"/>
      <c r="E6" s="599"/>
      <c r="F6" s="599"/>
      <c r="G6" s="599"/>
      <c r="H6" s="599"/>
      <c r="I6" s="599"/>
      <c r="J6" s="599"/>
      <c r="K6" s="599"/>
      <c r="L6" s="599"/>
      <c r="M6" s="599"/>
      <c r="N6" s="599"/>
      <c r="O6" s="599"/>
      <c r="P6" s="599"/>
      <c r="Q6" s="599"/>
      <c r="R6" s="599"/>
      <c r="S6" s="599"/>
      <c r="T6" s="599"/>
      <c r="U6" s="599"/>
      <c r="V6" s="599"/>
      <c r="W6" s="599"/>
      <c r="X6" s="599"/>
      <c r="Y6" s="599"/>
      <c r="Z6" s="2716"/>
      <c r="AA6" s="578"/>
      <c r="AB6" s="578"/>
      <c r="AC6" s="578"/>
      <c r="AD6" s="578"/>
      <c r="AE6" s="578"/>
      <c r="AF6" s="578"/>
      <c r="AG6" s="578"/>
      <c r="AH6" s="578"/>
      <c r="AI6" s="578"/>
      <c r="AJ6" s="578"/>
      <c r="AK6" s="578"/>
      <c r="AL6" s="578"/>
      <c r="AM6" s="578"/>
      <c r="AN6" s="578"/>
      <c r="AO6" s="578"/>
      <c r="AP6" s="578"/>
      <c r="AQ6" s="578"/>
      <c r="AR6" s="578"/>
      <c r="AS6" s="578"/>
      <c r="AT6" s="578"/>
      <c r="AU6" s="578"/>
      <c r="AV6" s="578"/>
      <c r="AW6" s="578"/>
      <c r="AX6" s="578"/>
      <c r="AY6" s="578"/>
      <c r="AZ6" s="578"/>
      <c r="BA6" s="578"/>
      <c r="BB6" s="578"/>
      <c r="BC6" s="578"/>
      <c r="BD6" s="578"/>
      <c r="BE6" s="578"/>
      <c r="BF6" s="578"/>
      <c r="BG6" s="578"/>
      <c r="BH6" s="578"/>
      <c r="BI6" s="578"/>
      <c r="BJ6" s="578"/>
      <c r="BK6" s="2717"/>
      <c r="BL6" s="2673" t="s">
        <v>803</v>
      </c>
      <c r="BM6" s="2674"/>
      <c r="BN6" s="2674"/>
      <c r="BO6" s="2674"/>
      <c r="BP6" s="2674"/>
      <c r="BQ6" s="2674"/>
      <c r="BR6" s="2674"/>
      <c r="BS6" s="2674"/>
      <c r="BT6" s="2674"/>
      <c r="BU6" s="2674"/>
      <c r="BV6" s="2674"/>
      <c r="BW6" s="2674"/>
      <c r="BX6" s="2674"/>
      <c r="BY6" s="2674"/>
      <c r="BZ6" s="2674"/>
      <c r="CA6" s="2674"/>
      <c r="CB6" s="2674"/>
      <c r="CC6" s="2674"/>
      <c r="CD6" s="2674"/>
      <c r="CE6" s="444"/>
      <c r="CF6" s="444"/>
    </row>
    <row r="7" spans="2:84" ht="9" customHeight="1">
      <c r="B7" s="599"/>
      <c r="C7" s="599"/>
      <c r="D7" s="599"/>
      <c r="E7" s="599"/>
      <c r="F7" s="599"/>
      <c r="G7" s="599"/>
      <c r="H7" s="599"/>
      <c r="I7" s="599"/>
      <c r="J7" s="599"/>
      <c r="K7" s="599"/>
      <c r="L7" s="599"/>
      <c r="M7" s="599"/>
      <c r="N7" s="599"/>
      <c r="O7" s="599"/>
      <c r="P7" s="599"/>
      <c r="Q7" s="599"/>
      <c r="R7" s="599"/>
      <c r="S7" s="599"/>
      <c r="T7" s="599"/>
      <c r="U7" s="599"/>
      <c r="V7" s="599"/>
      <c r="W7" s="599"/>
      <c r="X7" s="599"/>
      <c r="Y7" s="599"/>
      <c r="Z7" s="2716"/>
      <c r="AA7" s="578"/>
      <c r="AB7" s="578"/>
      <c r="AC7" s="578"/>
      <c r="AD7" s="578"/>
      <c r="AE7" s="578"/>
      <c r="AF7" s="578"/>
      <c r="AG7" s="578"/>
      <c r="AH7" s="578"/>
      <c r="AI7" s="578"/>
      <c r="AJ7" s="578"/>
      <c r="AK7" s="578"/>
      <c r="AL7" s="578"/>
      <c r="AM7" s="578"/>
      <c r="AN7" s="578"/>
      <c r="AO7" s="578"/>
      <c r="AP7" s="578"/>
      <c r="AQ7" s="578"/>
      <c r="AR7" s="578"/>
      <c r="AS7" s="578"/>
      <c r="AT7" s="578"/>
      <c r="AU7" s="578"/>
      <c r="AV7" s="578"/>
      <c r="AW7" s="578"/>
      <c r="AX7" s="578"/>
      <c r="AY7" s="578"/>
      <c r="AZ7" s="578"/>
      <c r="BA7" s="578"/>
      <c r="BB7" s="578"/>
      <c r="BC7" s="578"/>
      <c r="BD7" s="578"/>
      <c r="BE7" s="578"/>
      <c r="BF7" s="578"/>
      <c r="BG7" s="578"/>
      <c r="BH7" s="578"/>
      <c r="BI7" s="578"/>
      <c r="BJ7" s="578"/>
      <c r="BK7" s="2717"/>
      <c r="BL7" s="2673"/>
      <c r="BM7" s="2674"/>
      <c r="BN7" s="2674"/>
      <c r="BO7" s="2674"/>
      <c r="BP7" s="2674"/>
      <c r="BQ7" s="2674"/>
      <c r="BR7" s="2674"/>
      <c r="BS7" s="2674"/>
      <c r="BT7" s="2674"/>
      <c r="BU7" s="2674"/>
      <c r="BV7" s="2674"/>
      <c r="BW7" s="2674"/>
      <c r="BX7" s="2674"/>
      <c r="BY7" s="2674"/>
      <c r="BZ7" s="2674"/>
      <c r="CA7" s="2674"/>
      <c r="CB7" s="2674"/>
      <c r="CC7" s="2674"/>
      <c r="CD7" s="2674"/>
      <c r="CE7" s="602"/>
      <c r="CF7" s="602"/>
    </row>
    <row r="8" spans="2:84" ht="9.75" customHeight="1">
      <c r="B8" s="599"/>
      <c r="C8" s="599"/>
      <c r="D8" s="599"/>
      <c r="E8" s="599"/>
      <c r="F8" s="599"/>
      <c r="G8" s="599"/>
      <c r="H8" s="599"/>
      <c r="I8" s="599"/>
      <c r="J8" s="599"/>
      <c r="K8" s="599"/>
      <c r="L8" s="599"/>
      <c r="M8" s="599"/>
      <c r="N8" s="599"/>
      <c r="O8" s="599"/>
      <c r="P8" s="599"/>
      <c r="Q8" s="599"/>
      <c r="R8" s="599"/>
      <c r="S8" s="599"/>
      <c r="T8" s="599"/>
      <c r="U8" s="599"/>
      <c r="V8" s="599"/>
      <c r="W8" s="599"/>
      <c r="X8" s="599"/>
      <c r="Y8" s="599"/>
      <c r="Z8" s="2716"/>
      <c r="AA8" s="578"/>
      <c r="AB8" s="578"/>
      <c r="AC8" s="578"/>
      <c r="AD8" s="578"/>
      <c r="AE8" s="578"/>
      <c r="AF8" s="578"/>
      <c r="AG8" s="578"/>
      <c r="AH8" s="578"/>
      <c r="AI8" s="578"/>
      <c r="AJ8" s="578"/>
      <c r="AK8" s="578"/>
      <c r="AL8" s="578"/>
      <c r="AM8" s="578"/>
      <c r="AN8" s="578"/>
      <c r="AO8" s="578"/>
      <c r="AP8" s="578"/>
      <c r="AQ8" s="578"/>
      <c r="AR8" s="578"/>
      <c r="AS8" s="578"/>
      <c r="AT8" s="578"/>
      <c r="AU8" s="578"/>
      <c r="AV8" s="578"/>
      <c r="AW8" s="578"/>
      <c r="AX8" s="578"/>
      <c r="AY8" s="578"/>
      <c r="AZ8" s="578"/>
      <c r="BA8" s="578"/>
      <c r="BB8" s="578"/>
      <c r="BC8" s="578"/>
      <c r="BD8" s="578"/>
      <c r="BE8" s="578"/>
      <c r="BF8" s="578"/>
      <c r="BG8" s="578"/>
      <c r="BH8" s="578"/>
      <c r="BI8" s="578"/>
      <c r="BJ8" s="578"/>
      <c r="BK8" s="2717"/>
      <c r="BL8" s="601" t="s">
        <v>802</v>
      </c>
      <c r="BM8" s="600"/>
      <c r="BN8" s="600"/>
      <c r="BO8" s="600"/>
      <c r="BP8" s="600"/>
      <c r="BQ8" s="600"/>
      <c r="BR8" s="600"/>
      <c r="BS8" s="600"/>
      <c r="BT8" s="600"/>
      <c r="BU8" s="600"/>
      <c r="BV8" s="600"/>
      <c r="BW8" s="600"/>
      <c r="BX8" s="600"/>
      <c r="BY8" s="600"/>
      <c r="BZ8" s="600"/>
      <c r="CA8" s="600"/>
      <c r="CB8" s="600"/>
      <c r="CC8" s="600"/>
      <c r="CD8" s="600"/>
      <c r="CE8" s="600"/>
      <c r="CF8" s="600"/>
    </row>
    <row r="9" spans="2:84" ht="6" customHeight="1">
      <c r="B9" s="599"/>
      <c r="C9" s="599"/>
      <c r="D9" s="599"/>
      <c r="E9" s="599"/>
      <c r="F9" s="599"/>
      <c r="G9" s="599"/>
      <c r="H9" s="599"/>
      <c r="I9" s="599"/>
      <c r="J9" s="599"/>
      <c r="K9" s="599"/>
      <c r="L9" s="599"/>
      <c r="M9" s="599"/>
      <c r="N9" s="599"/>
      <c r="O9" s="599"/>
      <c r="P9" s="599"/>
      <c r="Q9" s="599"/>
      <c r="R9" s="599"/>
      <c r="S9" s="599"/>
      <c r="T9" s="599"/>
      <c r="U9" s="599"/>
      <c r="V9" s="599"/>
      <c r="W9" s="599"/>
      <c r="X9" s="599"/>
      <c r="Y9" s="599"/>
      <c r="Z9" s="2716"/>
      <c r="AA9" s="578"/>
      <c r="AB9" s="578"/>
      <c r="AC9" s="578"/>
      <c r="AD9" s="578"/>
      <c r="AE9" s="578"/>
      <c r="AF9" s="578"/>
      <c r="AG9" s="578"/>
      <c r="AH9" s="578"/>
      <c r="AI9" s="578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8"/>
      <c r="AX9" s="578"/>
      <c r="AY9" s="578"/>
      <c r="AZ9" s="578"/>
      <c r="BA9" s="578"/>
      <c r="BB9" s="578"/>
      <c r="BC9" s="578"/>
      <c r="BD9" s="578"/>
      <c r="BE9" s="578"/>
      <c r="BF9" s="578"/>
      <c r="BG9" s="578"/>
      <c r="BH9" s="578"/>
      <c r="BI9" s="578"/>
      <c r="BJ9" s="578"/>
      <c r="BK9" s="2717"/>
      <c r="BL9" s="601"/>
      <c r="BM9" s="600"/>
      <c r="BN9" s="600"/>
      <c r="BO9" s="600"/>
      <c r="BP9" s="600"/>
      <c r="BQ9" s="600"/>
      <c r="BR9" s="600"/>
      <c r="BS9" s="600"/>
      <c r="BT9" s="600"/>
      <c r="BU9" s="600"/>
      <c r="BV9" s="600"/>
      <c r="BW9" s="600"/>
      <c r="BX9" s="600"/>
      <c r="BY9" s="600"/>
      <c r="BZ9" s="600"/>
      <c r="CA9" s="600"/>
      <c r="CB9" s="600"/>
      <c r="CC9" s="600"/>
      <c r="CD9" s="600"/>
      <c r="CE9" s="600"/>
      <c r="CF9" s="600"/>
    </row>
    <row r="10" spans="2:84" ht="14.25" customHeight="1" thickBot="1">
      <c r="B10" s="599"/>
      <c r="C10" s="599"/>
      <c r="D10" s="599"/>
      <c r="E10" s="599"/>
      <c r="F10" s="599"/>
      <c r="G10" s="599"/>
      <c r="H10" s="599"/>
      <c r="I10" s="599"/>
      <c r="J10" s="599"/>
      <c r="K10" s="599"/>
      <c r="L10" s="599"/>
      <c r="M10" s="599"/>
      <c r="N10" s="599"/>
      <c r="O10" s="599"/>
      <c r="P10" s="599"/>
      <c r="Q10" s="599"/>
      <c r="R10" s="599"/>
      <c r="S10" s="599"/>
      <c r="T10" s="599"/>
      <c r="U10" s="599"/>
      <c r="V10" s="599"/>
      <c r="W10" s="599"/>
      <c r="X10" s="599"/>
      <c r="Y10" s="599"/>
      <c r="Z10" s="2718"/>
      <c r="AA10" s="570"/>
      <c r="AB10" s="570"/>
      <c r="AC10" s="570"/>
      <c r="AD10" s="570"/>
      <c r="AE10" s="570"/>
      <c r="AF10" s="570"/>
      <c r="AG10" s="570"/>
      <c r="AH10" s="570"/>
      <c r="AI10" s="570"/>
      <c r="AJ10" s="570"/>
      <c r="AK10" s="570"/>
      <c r="AL10" s="570"/>
      <c r="AM10" s="570"/>
      <c r="AN10" s="570"/>
      <c r="AO10" s="570"/>
      <c r="AP10" s="570"/>
      <c r="AQ10" s="570"/>
      <c r="AR10" s="570"/>
      <c r="AS10" s="570"/>
      <c r="AT10" s="570"/>
      <c r="AU10" s="570"/>
      <c r="AV10" s="570"/>
      <c r="AW10" s="570"/>
      <c r="AX10" s="570"/>
      <c r="AY10" s="570"/>
      <c r="AZ10" s="570"/>
      <c r="BA10" s="570"/>
      <c r="BB10" s="570"/>
      <c r="BC10" s="570"/>
      <c r="BD10" s="570"/>
      <c r="BE10" s="570"/>
      <c r="BF10" s="570"/>
      <c r="BG10" s="570"/>
      <c r="BH10" s="570"/>
      <c r="BI10" s="570"/>
      <c r="BJ10" s="570"/>
      <c r="BK10" s="2719"/>
      <c r="BL10" s="598"/>
      <c r="BM10" s="597"/>
      <c r="BN10" s="596"/>
      <c r="BO10" s="596"/>
      <c r="BP10" s="596"/>
      <c r="BQ10" s="596"/>
      <c r="BR10" s="2652" t="s">
        <v>801</v>
      </c>
      <c r="BS10" s="2652"/>
      <c r="BT10" s="2652"/>
      <c r="BU10" s="2652"/>
      <c r="BV10" s="2652"/>
      <c r="BW10" s="2652"/>
      <c r="BX10" s="2652"/>
      <c r="BY10" s="2652"/>
      <c r="BZ10" s="2652"/>
      <c r="CA10" s="2652"/>
      <c r="CB10" s="2652"/>
      <c r="CC10" s="2652"/>
      <c r="CD10" s="2652"/>
      <c r="CE10" s="552"/>
      <c r="CF10" s="552"/>
    </row>
    <row r="11" spans="2:84" ht="15" customHeight="1">
      <c r="B11" s="2669" t="s">
        <v>289</v>
      </c>
      <c r="C11" s="2669"/>
      <c r="D11" s="2669"/>
      <c r="E11" s="2669"/>
      <c r="F11" s="2669"/>
      <c r="G11" s="2669"/>
      <c r="H11" s="2669"/>
      <c r="I11" s="2669"/>
      <c r="J11" s="2669"/>
      <c r="K11" s="2669"/>
      <c r="L11" s="2669"/>
      <c r="M11" s="2669"/>
      <c r="N11" s="2669"/>
      <c r="O11" s="2669"/>
      <c r="P11" s="2669"/>
      <c r="Q11" s="2669"/>
      <c r="R11" s="2669"/>
      <c r="S11" s="2669"/>
      <c r="T11" s="2669"/>
      <c r="U11" s="2669"/>
      <c r="V11" s="2669"/>
      <c r="W11" s="2669"/>
      <c r="X11" s="2669"/>
      <c r="Y11" s="2670"/>
      <c r="Z11" s="595"/>
      <c r="AA11" s="594"/>
      <c r="AB11" s="594"/>
      <c r="AC11" s="594"/>
      <c r="AD11" s="594"/>
      <c r="AE11" s="594"/>
      <c r="AF11" s="594"/>
      <c r="AG11" s="594"/>
      <c r="AH11" s="594"/>
      <c r="AI11" s="594"/>
      <c r="AJ11" s="593"/>
      <c r="AK11" s="593"/>
      <c r="AL11" s="593"/>
      <c r="AM11" s="2697">
        <f>slip01</f>
        <v>0</v>
      </c>
      <c r="AN11" s="2697"/>
      <c r="AO11" s="2697"/>
      <c r="AP11" s="2697"/>
      <c r="AQ11" s="2697"/>
      <c r="AR11" s="2697"/>
      <c r="AS11" s="2697"/>
      <c r="AT11" s="2697"/>
      <c r="AU11" s="2697"/>
      <c r="AV11" s="2697"/>
      <c r="AW11" s="2697"/>
      <c r="AX11" s="2697"/>
      <c r="AY11" s="2697"/>
      <c r="AZ11" s="2697"/>
      <c r="BA11" s="2697"/>
      <c r="BB11" s="2697"/>
      <c r="BC11" s="2697"/>
      <c r="BD11" s="2697"/>
      <c r="BE11" s="2697"/>
      <c r="BF11" s="2697"/>
      <c r="BG11" s="2697"/>
      <c r="BH11" s="2697"/>
      <c r="BI11" s="2697"/>
      <c r="BJ11" s="2697"/>
      <c r="BK11" s="2697"/>
      <c r="BL11" s="2697"/>
      <c r="BM11" s="2697"/>
      <c r="BN11" s="2697"/>
      <c r="BO11" s="2697"/>
      <c r="BP11" s="2697"/>
      <c r="BQ11" s="592"/>
      <c r="BR11" s="2653" t="s">
        <v>800</v>
      </c>
      <c r="BS11" s="2654"/>
      <c r="BT11" s="2654"/>
      <c r="BU11" s="2654"/>
      <c r="BV11" s="2654"/>
      <c r="BW11" s="2654"/>
      <c r="BX11" s="2654"/>
      <c r="BY11" s="2654"/>
      <c r="BZ11" s="2654"/>
      <c r="CA11" s="2654"/>
      <c r="CB11" s="2654"/>
      <c r="CC11" s="2654"/>
      <c r="CD11" s="2654"/>
      <c r="CE11" s="2654"/>
      <c r="CF11" s="552"/>
    </row>
    <row r="12" spans="2:84" ht="11.25" customHeight="1">
      <c r="B12" s="2723" t="s">
        <v>799</v>
      </c>
      <c r="C12" s="2723"/>
      <c r="D12" s="2723"/>
      <c r="E12" s="2723"/>
      <c r="F12" s="2723"/>
      <c r="G12" s="2723"/>
      <c r="H12" s="2723"/>
      <c r="I12" s="2723"/>
      <c r="J12" s="2723"/>
      <c r="K12" s="2723"/>
      <c r="L12" s="2723"/>
      <c r="M12" s="2723"/>
      <c r="N12" s="2723"/>
      <c r="O12" s="2723"/>
      <c r="P12" s="2723"/>
      <c r="Q12" s="2723"/>
      <c r="R12" s="2723"/>
      <c r="S12" s="2723"/>
      <c r="T12" s="2723"/>
      <c r="U12" s="2723"/>
      <c r="V12" s="2723"/>
      <c r="W12" s="2723"/>
      <c r="X12" s="2723"/>
      <c r="Y12" s="2724"/>
      <c r="Z12" s="588" t="s">
        <v>798</v>
      </c>
      <c r="AA12" s="587"/>
      <c r="AB12" s="587"/>
      <c r="AC12" s="587"/>
      <c r="AD12" s="587"/>
      <c r="AE12" s="587"/>
      <c r="AF12" s="587"/>
      <c r="AG12" s="587"/>
      <c r="AH12" s="2721" t="s">
        <v>797</v>
      </c>
      <c r="AI12" s="2721"/>
      <c r="AJ12" s="2721"/>
      <c r="AK12" s="2721"/>
      <c r="AL12" s="591"/>
      <c r="AM12" s="2698"/>
      <c r="AN12" s="2698"/>
      <c r="AO12" s="2698"/>
      <c r="AP12" s="2698"/>
      <c r="AQ12" s="2698"/>
      <c r="AR12" s="2698"/>
      <c r="AS12" s="2698"/>
      <c r="AT12" s="2698"/>
      <c r="AU12" s="2698"/>
      <c r="AV12" s="2698"/>
      <c r="AW12" s="2698"/>
      <c r="AX12" s="2698"/>
      <c r="AY12" s="2698"/>
      <c r="AZ12" s="2698"/>
      <c r="BA12" s="2698"/>
      <c r="BB12" s="2698"/>
      <c r="BC12" s="2698"/>
      <c r="BD12" s="2698"/>
      <c r="BE12" s="2698"/>
      <c r="BF12" s="2698"/>
      <c r="BG12" s="2698"/>
      <c r="BH12" s="2698"/>
      <c r="BI12" s="2698"/>
      <c r="BJ12" s="2698"/>
      <c r="BK12" s="2698"/>
      <c r="BL12" s="2698"/>
      <c r="BM12" s="2698"/>
      <c r="BN12" s="2698"/>
      <c r="BO12" s="2698"/>
      <c r="BP12" s="2698"/>
      <c r="BQ12" s="574"/>
      <c r="BR12" s="2694" t="s">
        <v>796</v>
      </c>
      <c r="BS12" s="2694"/>
      <c r="BT12" s="590"/>
      <c r="BU12" s="2722">
        <f>'GENERAL INFO'!G108</f>
        <v>0</v>
      </c>
      <c r="BV12" s="2722"/>
      <c r="BW12" s="2722"/>
      <c r="BX12" s="589" t="s">
        <v>30</v>
      </c>
      <c r="BY12" s="2722">
        <f>'GENERAL INFO'!J108</f>
        <v>0</v>
      </c>
      <c r="BZ12" s="2722"/>
      <c r="CA12" s="2722"/>
      <c r="CB12" s="2722"/>
      <c r="CC12" s="564"/>
      <c r="CD12" s="564"/>
      <c r="CE12" s="564"/>
      <c r="CF12" s="564"/>
    </row>
    <row r="13" spans="2:84" ht="3" customHeight="1">
      <c r="B13" s="2723"/>
      <c r="C13" s="2723"/>
      <c r="D13" s="2723"/>
      <c r="E13" s="2723"/>
      <c r="F13" s="2723"/>
      <c r="G13" s="2723"/>
      <c r="H13" s="2723"/>
      <c r="I13" s="2723"/>
      <c r="J13" s="2723"/>
      <c r="K13" s="2723"/>
      <c r="L13" s="2723"/>
      <c r="M13" s="2723"/>
      <c r="N13" s="2723"/>
      <c r="O13" s="2723"/>
      <c r="P13" s="2723"/>
      <c r="Q13" s="2723"/>
      <c r="R13" s="2723"/>
      <c r="S13" s="2723"/>
      <c r="T13" s="2723"/>
      <c r="U13" s="2723"/>
      <c r="V13" s="2723"/>
      <c r="W13" s="2723"/>
      <c r="X13" s="2723"/>
      <c r="Y13" s="2724"/>
      <c r="Z13" s="588"/>
      <c r="AA13" s="587"/>
      <c r="AB13" s="587"/>
      <c r="AC13" s="587"/>
      <c r="AD13" s="587"/>
      <c r="AE13" s="587"/>
      <c r="AF13" s="587"/>
      <c r="AG13" s="587"/>
      <c r="AH13" s="586"/>
      <c r="AI13" s="586"/>
      <c r="AJ13" s="586"/>
      <c r="AK13" s="586"/>
      <c r="AL13" s="586"/>
      <c r="AM13" s="585"/>
      <c r="AN13" s="584"/>
      <c r="AO13" s="584"/>
      <c r="AP13" s="584"/>
      <c r="AQ13" s="583"/>
      <c r="AR13" s="583"/>
      <c r="AS13" s="582"/>
      <c r="AT13" s="581"/>
      <c r="AU13" s="581"/>
      <c r="AV13" s="576"/>
      <c r="AW13" s="576"/>
      <c r="AX13" s="576"/>
      <c r="AY13" s="576"/>
      <c r="AZ13" s="576"/>
      <c r="BA13" s="576"/>
      <c r="BB13" s="580"/>
      <c r="BC13" s="579"/>
      <c r="BD13" s="578"/>
      <c r="BE13" s="578"/>
      <c r="BF13" s="576"/>
      <c r="BG13" s="576"/>
      <c r="BH13" s="576"/>
      <c r="BI13" s="577"/>
      <c r="BJ13" s="576"/>
      <c r="BK13" s="576"/>
      <c r="BL13" s="576"/>
      <c r="BM13" s="576"/>
      <c r="BN13" s="575"/>
      <c r="BO13" s="575"/>
      <c r="BP13" s="575"/>
      <c r="BQ13" s="574"/>
      <c r="BR13" s="573"/>
      <c r="BS13" s="2694"/>
      <c r="BT13" s="2694"/>
      <c r="BU13" s="2694"/>
      <c r="BV13" s="564"/>
      <c r="BW13" s="564"/>
      <c r="BX13" s="564"/>
      <c r="BY13" s="564"/>
      <c r="BZ13" s="564"/>
      <c r="CA13" s="564"/>
      <c r="CB13" s="564"/>
      <c r="CC13" s="564"/>
      <c r="CD13" s="564"/>
      <c r="CE13" s="564"/>
      <c r="CF13" s="564"/>
    </row>
    <row r="14" spans="2:84" ht="16.5" customHeight="1" thickBot="1">
      <c r="B14" s="2725"/>
      <c r="C14" s="2725"/>
      <c r="D14" s="2725"/>
      <c r="E14" s="2725"/>
      <c r="F14" s="2725"/>
      <c r="G14" s="2725"/>
      <c r="H14" s="2725"/>
      <c r="I14" s="2725"/>
      <c r="J14" s="2725"/>
      <c r="K14" s="2725"/>
      <c r="L14" s="2725"/>
      <c r="M14" s="2725"/>
      <c r="N14" s="2725"/>
      <c r="O14" s="2725"/>
      <c r="P14" s="2725"/>
      <c r="Q14" s="2725"/>
      <c r="R14" s="2725"/>
      <c r="S14" s="2725"/>
      <c r="T14" s="2725"/>
      <c r="U14" s="2725"/>
      <c r="V14" s="2725"/>
      <c r="W14" s="2725"/>
      <c r="X14" s="2725"/>
      <c r="Y14" s="2726"/>
      <c r="Z14" s="572"/>
      <c r="AA14" s="570"/>
      <c r="AB14" s="570"/>
      <c r="AC14" s="570"/>
      <c r="AD14" s="570"/>
      <c r="AE14" s="570"/>
      <c r="AF14" s="570"/>
      <c r="AG14" s="570"/>
      <c r="AH14" s="570"/>
      <c r="AI14" s="571"/>
      <c r="AJ14" s="571"/>
      <c r="AK14" s="571"/>
      <c r="AL14" s="571"/>
      <c r="AM14" s="571"/>
      <c r="AN14" s="570"/>
      <c r="AO14" s="570"/>
      <c r="AP14" s="570"/>
      <c r="AQ14" s="570"/>
      <c r="AR14" s="570"/>
      <c r="AS14" s="569"/>
      <c r="AT14" s="570"/>
      <c r="AU14" s="570"/>
      <c r="AV14" s="569"/>
      <c r="AW14" s="569"/>
      <c r="AX14" s="569"/>
      <c r="AY14" s="569"/>
      <c r="AZ14" s="569"/>
      <c r="BA14" s="569"/>
      <c r="BB14" s="569"/>
      <c r="BC14" s="569"/>
      <c r="BD14" s="569"/>
      <c r="BE14" s="569"/>
      <c r="BF14" s="569"/>
      <c r="BG14" s="569"/>
      <c r="BH14" s="569"/>
      <c r="BI14" s="569"/>
      <c r="BJ14" s="569"/>
      <c r="BK14" s="569"/>
      <c r="BL14" s="569"/>
      <c r="BM14" s="569"/>
      <c r="BN14" s="568"/>
      <c r="BO14" s="568"/>
      <c r="BP14" s="568"/>
      <c r="BQ14" s="567"/>
      <c r="BR14" s="566"/>
      <c r="BS14" s="566"/>
      <c r="BT14" s="566"/>
      <c r="BU14" s="565"/>
      <c r="BV14" s="565"/>
      <c r="BW14" s="565"/>
      <c r="BX14" s="565"/>
      <c r="BY14" s="565"/>
      <c r="BZ14" s="565"/>
      <c r="CA14" s="565"/>
      <c r="CB14" s="565"/>
      <c r="CC14" s="565"/>
      <c r="CD14" s="565"/>
      <c r="CE14" s="564"/>
      <c r="CF14" s="564"/>
    </row>
    <row r="15" spans="2:82" s="444" customFormat="1" ht="5.25" customHeight="1">
      <c r="B15" s="486"/>
      <c r="C15" s="485"/>
      <c r="D15" s="485"/>
      <c r="E15" s="485"/>
      <c r="F15" s="485"/>
      <c r="G15" s="485"/>
      <c r="H15" s="485"/>
      <c r="I15" s="485"/>
      <c r="J15" s="485"/>
      <c r="K15" s="485"/>
      <c r="L15" s="485"/>
      <c r="M15" s="485"/>
      <c r="N15" s="485"/>
      <c r="O15" s="484"/>
      <c r="P15" s="484"/>
      <c r="Q15" s="484"/>
      <c r="R15" s="484"/>
      <c r="S15" s="484"/>
      <c r="T15" s="484"/>
      <c r="U15" s="484"/>
      <c r="V15" s="484"/>
      <c r="W15" s="484"/>
      <c r="X15" s="484"/>
      <c r="Y15" s="484"/>
      <c r="Z15" s="484"/>
      <c r="AA15" s="484"/>
      <c r="AB15" s="484"/>
      <c r="AC15" s="484"/>
      <c r="AD15" s="484"/>
      <c r="AE15" s="484"/>
      <c r="AF15" s="484"/>
      <c r="AG15" s="484"/>
      <c r="AH15" s="484"/>
      <c r="AI15" s="484"/>
      <c r="AJ15" s="484"/>
      <c r="AK15" s="484"/>
      <c r="AL15" s="484"/>
      <c r="AM15" s="484"/>
      <c r="AN15" s="484"/>
      <c r="AO15" s="484"/>
      <c r="AP15" s="483"/>
      <c r="AQ15" s="483"/>
      <c r="AR15" s="483"/>
      <c r="AS15" s="483"/>
      <c r="AT15" s="483"/>
      <c r="AU15" s="483"/>
      <c r="AV15" s="483"/>
      <c r="AW15" s="483"/>
      <c r="AX15" s="483"/>
      <c r="AY15" s="483"/>
      <c r="AZ15" s="483"/>
      <c r="BA15" s="483"/>
      <c r="BB15" s="483"/>
      <c r="BC15" s="483"/>
      <c r="BD15" s="483"/>
      <c r="BE15" s="483"/>
      <c r="BF15" s="483"/>
      <c r="BG15" s="483"/>
      <c r="BH15" s="483"/>
      <c r="BI15" s="483"/>
      <c r="BJ15" s="483"/>
      <c r="BK15" s="483"/>
      <c r="BL15" s="483"/>
      <c r="BM15" s="483"/>
      <c r="BN15" s="483"/>
      <c r="BO15" s="483"/>
      <c r="BP15" s="483"/>
      <c r="BQ15" s="483"/>
      <c r="BR15" s="483"/>
      <c r="BS15" s="483"/>
      <c r="BT15" s="483"/>
      <c r="BU15" s="483"/>
      <c r="BV15" s="483"/>
      <c r="BW15" s="483"/>
      <c r="BX15" s="483"/>
      <c r="BY15" s="483"/>
      <c r="BZ15" s="483"/>
      <c r="CA15" s="483"/>
      <c r="CB15" s="483"/>
      <c r="CC15" s="483"/>
      <c r="CD15" s="482"/>
    </row>
    <row r="16" spans="2:82" s="444" customFormat="1" ht="23.15" customHeight="1">
      <c r="B16" s="561"/>
      <c r="C16" s="549" t="s">
        <v>795</v>
      </c>
      <c r="D16" s="523"/>
      <c r="E16" s="523"/>
      <c r="F16" s="523"/>
      <c r="G16" s="523"/>
      <c r="H16" s="523"/>
      <c r="I16" s="523"/>
      <c r="J16" s="523"/>
      <c r="K16" s="563" t="s">
        <v>26</v>
      </c>
      <c r="L16" s="2730" t="s">
        <v>794</v>
      </c>
      <c r="M16" s="2730"/>
      <c r="N16" s="2730"/>
      <c r="O16" s="2730"/>
      <c r="P16" s="2679">
        <f>emp_taxID1</f>
        <v>0</v>
      </c>
      <c r="Q16" s="2679"/>
      <c r="R16" s="2679"/>
      <c r="S16" s="2679"/>
      <c r="T16" s="2679"/>
      <c r="U16" s="2679"/>
      <c r="V16" s="2679"/>
      <c r="W16" s="2679"/>
      <c r="X16" s="2679"/>
      <c r="Y16" s="2679"/>
      <c r="Z16" s="2679"/>
      <c r="AA16" s="2679"/>
      <c r="AB16" s="2679"/>
      <c r="AC16" s="2679"/>
      <c r="AD16" s="2679"/>
      <c r="AE16" s="2679"/>
      <c r="AF16" s="2679"/>
      <c r="AG16" s="2679"/>
      <c r="AH16" s="2679"/>
      <c r="AI16" s="2679"/>
      <c r="AJ16" s="2679"/>
      <c r="AK16" s="2679"/>
      <c r="AL16" s="2679"/>
      <c r="AM16" s="2679"/>
      <c r="AN16" s="2679"/>
      <c r="AO16" s="2679"/>
      <c r="AP16" s="2679"/>
      <c r="AQ16" s="2679"/>
      <c r="AR16" s="2679"/>
      <c r="AS16" s="2679"/>
      <c r="AT16" s="2679"/>
      <c r="AU16" s="2679"/>
      <c r="AV16" s="2679"/>
      <c r="AW16" s="2679"/>
      <c r="AX16" s="2679"/>
      <c r="AY16" s="2679"/>
      <c r="AZ16" s="2679"/>
      <c r="BA16" s="2679"/>
      <c r="BB16" s="2679"/>
      <c r="BC16" s="2679"/>
      <c r="BD16" s="454"/>
      <c r="BE16" s="454"/>
      <c r="BF16" s="454"/>
      <c r="BG16" s="454"/>
      <c r="BH16" s="454"/>
      <c r="BI16" s="454"/>
      <c r="BJ16" s="454"/>
      <c r="BK16" s="454"/>
      <c r="BL16" s="454"/>
      <c r="BM16" s="454"/>
      <c r="BN16" s="454"/>
      <c r="BO16" s="2728"/>
      <c r="BP16" s="2728"/>
      <c r="BQ16" s="2728"/>
      <c r="BR16" s="473"/>
      <c r="BS16" s="473"/>
      <c r="BT16" s="562"/>
      <c r="BU16" s="562"/>
      <c r="BV16" s="562"/>
      <c r="BW16" s="562"/>
      <c r="BX16" s="562"/>
      <c r="BY16" s="473"/>
      <c r="BZ16" s="473"/>
      <c r="CA16" s="473"/>
      <c r="CB16" s="473"/>
      <c r="CC16" s="473"/>
      <c r="CD16" s="472"/>
    </row>
    <row r="17" spans="2:82" s="444" customFormat="1" ht="6" customHeight="1">
      <c r="B17" s="477"/>
      <c r="C17" s="468"/>
      <c r="D17" s="468"/>
      <c r="E17" s="468"/>
      <c r="F17" s="468"/>
      <c r="G17" s="468"/>
      <c r="H17" s="468"/>
      <c r="I17" s="468"/>
      <c r="J17" s="476"/>
      <c r="K17" s="476"/>
      <c r="L17" s="476"/>
      <c r="M17" s="468"/>
      <c r="N17" s="468"/>
      <c r="O17" s="475"/>
      <c r="P17" s="475"/>
      <c r="Q17" s="475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474"/>
      <c r="AI17" s="474"/>
      <c r="AJ17" s="474"/>
      <c r="AK17" s="474"/>
      <c r="AL17" s="474"/>
      <c r="AM17" s="474"/>
      <c r="AN17" s="474"/>
      <c r="AO17" s="474"/>
      <c r="AP17" s="473"/>
      <c r="AQ17" s="473"/>
      <c r="AR17" s="473"/>
      <c r="AS17" s="473"/>
      <c r="AT17" s="473"/>
      <c r="AU17" s="473"/>
      <c r="AV17" s="473"/>
      <c r="AW17" s="473"/>
      <c r="AX17" s="473"/>
      <c r="AY17" s="473"/>
      <c r="AZ17" s="473"/>
      <c r="BA17" s="473"/>
      <c r="BB17" s="473"/>
      <c r="BC17" s="473"/>
      <c r="BD17" s="473"/>
      <c r="BE17" s="473"/>
      <c r="BF17" s="473"/>
      <c r="BG17" s="473"/>
      <c r="BH17" s="473"/>
      <c r="BI17" s="473"/>
      <c r="BJ17" s="473"/>
      <c r="BK17" s="473"/>
      <c r="BL17" s="473"/>
      <c r="BM17" s="473"/>
      <c r="BN17" s="473"/>
      <c r="BO17" s="473"/>
      <c r="BP17" s="473"/>
      <c r="BQ17" s="473"/>
      <c r="BR17" s="473"/>
      <c r="BS17" s="473"/>
      <c r="BT17" s="473"/>
      <c r="BU17" s="473"/>
      <c r="BV17" s="473"/>
      <c r="BW17" s="473"/>
      <c r="BX17" s="473"/>
      <c r="BY17" s="473"/>
      <c r="BZ17" s="473"/>
      <c r="CA17" s="473"/>
      <c r="CB17" s="473"/>
      <c r="CC17" s="473"/>
      <c r="CD17" s="472"/>
    </row>
    <row r="18" spans="2:84" s="444" customFormat="1" ht="23.15" customHeight="1">
      <c r="B18" s="561"/>
      <c r="C18" s="536" t="s">
        <v>793</v>
      </c>
      <c r="D18" s="2699"/>
      <c r="E18" s="2699"/>
      <c r="F18" s="2699"/>
      <c r="G18" s="2699"/>
      <c r="H18" s="2699"/>
      <c r="I18" s="2699"/>
      <c r="J18" s="2699"/>
      <c r="K18" s="560" t="s">
        <v>26</v>
      </c>
      <c r="L18" s="467" t="s">
        <v>792</v>
      </c>
      <c r="M18" s="467"/>
      <c r="N18" s="467"/>
      <c r="O18" s="467"/>
      <c r="P18" s="2707">
        <f>employer1</f>
        <v>0</v>
      </c>
      <c r="Q18" s="2707"/>
      <c r="R18" s="2707"/>
      <c r="S18" s="2707"/>
      <c r="T18" s="2707"/>
      <c r="U18" s="2707"/>
      <c r="V18" s="2707"/>
      <c r="W18" s="2707"/>
      <c r="X18" s="2707"/>
      <c r="Y18" s="2707"/>
      <c r="Z18" s="2707"/>
      <c r="AA18" s="2707"/>
      <c r="AB18" s="2707"/>
      <c r="AC18" s="2707"/>
      <c r="AD18" s="2707"/>
      <c r="AE18" s="2707"/>
      <c r="AF18" s="2707"/>
      <c r="AG18" s="2707"/>
      <c r="AH18" s="2707"/>
      <c r="AI18" s="2707"/>
      <c r="AJ18" s="2707"/>
      <c r="AK18" s="2707"/>
      <c r="AL18" s="2707"/>
      <c r="AM18" s="2707"/>
      <c r="AN18" s="2707"/>
      <c r="AO18" s="2707"/>
      <c r="AP18" s="2707"/>
      <c r="AQ18" s="2707"/>
      <c r="AR18" s="2707"/>
      <c r="AS18" s="2707"/>
      <c r="AT18" s="2707"/>
      <c r="AU18" s="2707"/>
      <c r="AV18" s="2707"/>
      <c r="AW18" s="2707"/>
      <c r="AX18" s="2707"/>
      <c r="AY18" s="2707"/>
      <c r="AZ18" s="2707"/>
      <c r="BA18" s="2707"/>
      <c r="BB18" s="2707"/>
      <c r="BC18" s="2707"/>
      <c r="BD18" s="2707"/>
      <c r="BE18" s="2707"/>
      <c r="BF18" s="2707"/>
      <c r="BG18" s="2707"/>
      <c r="BH18" s="2707"/>
      <c r="BI18" s="2707"/>
      <c r="BJ18" s="2707"/>
      <c r="BK18" s="2707"/>
      <c r="BL18" s="2707"/>
      <c r="BM18" s="2707"/>
      <c r="BN18" s="2707"/>
      <c r="BO18" s="2707"/>
      <c r="BP18" s="2707"/>
      <c r="BQ18" s="2707"/>
      <c r="BR18" s="2707"/>
      <c r="BS18" s="2707"/>
      <c r="BT18" s="2707"/>
      <c r="BU18" s="2707"/>
      <c r="BV18" s="2707"/>
      <c r="BW18" s="2707"/>
      <c r="BX18" s="2707"/>
      <c r="BY18" s="2707"/>
      <c r="BZ18" s="2707"/>
      <c r="CA18" s="2707"/>
      <c r="CB18" s="2707"/>
      <c r="CC18" s="2707"/>
      <c r="CD18" s="463"/>
      <c r="CE18" s="518"/>
      <c r="CF18" s="518"/>
    </row>
    <row r="19" spans="2:84" s="444" customFormat="1" ht="9" customHeight="1" thickBot="1">
      <c r="B19" s="462"/>
      <c r="C19" s="461"/>
      <c r="D19" s="459"/>
      <c r="E19" s="459"/>
      <c r="F19" s="459"/>
      <c r="G19" s="459"/>
      <c r="H19" s="459"/>
      <c r="I19" s="459"/>
      <c r="J19" s="460"/>
      <c r="K19" s="460"/>
      <c r="L19" s="460"/>
      <c r="M19" s="459"/>
      <c r="N19" s="458"/>
      <c r="O19" s="458"/>
      <c r="P19" s="458"/>
      <c r="Q19" s="458"/>
      <c r="R19" s="457"/>
      <c r="S19" s="457"/>
      <c r="T19" s="457"/>
      <c r="U19" s="457"/>
      <c r="V19" s="457"/>
      <c r="W19" s="457"/>
      <c r="X19" s="457"/>
      <c r="Y19" s="457"/>
      <c r="Z19" s="457"/>
      <c r="AA19" s="457"/>
      <c r="AB19" s="457"/>
      <c r="AC19" s="457"/>
      <c r="AD19" s="457"/>
      <c r="AE19" s="457"/>
      <c r="AF19" s="457"/>
      <c r="AG19" s="457"/>
      <c r="AH19" s="457"/>
      <c r="AI19" s="457"/>
      <c r="AJ19" s="457"/>
      <c r="AK19" s="457"/>
      <c r="AL19" s="457"/>
      <c r="AM19" s="457"/>
      <c r="AN19" s="457"/>
      <c r="AO19" s="457"/>
      <c r="AP19" s="457"/>
      <c r="AQ19" s="457"/>
      <c r="AR19" s="457"/>
      <c r="AS19" s="457"/>
      <c r="AT19" s="457"/>
      <c r="AU19" s="457"/>
      <c r="AV19" s="457"/>
      <c r="AW19" s="457"/>
      <c r="AX19" s="457"/>
      <c r="AY19" s="457"/>
      <c r="AZ19" s="457"/>
      <c r="BA19" s="457"/>
      <c r="BB19" s="457"/>
      <c r="BC19" s="457"/>
      <c r="BD19" s="457"/>
      <c r="BE19" s="457"/>
      <c r="BF19" s="457"/>
      <c r="BG19" s="457"/>
      <c r="BH19" s="457"/>
      <c r="BI19" s="457"/>
      <c r="BJ19" s="457"/>
      <c r="BK19" s="457"/>
      <c r="BL19" s="457"/>
      <c r="BM19" s="457"/>
      <c r="BN19" s="457"/>
      <c r="BO19" s="457"/>
      <c r="BP19" s="457"/>
      <c r="BQ19" s="457"/>
      <c r="BR19" s="457"/>
      <c r="BS19" s="457"/>
      <c r="BT19" s="457"/>
      <c r="BU19" s="457"/>
      <c r="BV19" s="457"/>
      <c r="BW19" s="457"/>
      <c r="BX19" s="457"/>
      <c r="BY19" s="457"/>
      <c r="BZ19" s="457"/>
      <c r="CA19" s="457"/>
      <c r="CB19" s="457"/>
      <c r="CC19" s="457"/>
      <c r="CD19" s="456"/>
      <c r="CE19" s="518"/>
      <c r="CF19" s="518"/>
    </row>
    <row r="20" spans="2:84" s="444" customFormat="1" ht="9" customHeight="1">
      <c r="B20" s="558"/>
      <c r="C20" s="558"/>
      <c r="D20" s="559"/>
      <c r="E20" s="559"/>
      <c r="F20" s="559"/>
      <c r="G20" s="559"/>
      <c r="H20" s="559"/>
      <c r="I20" s="558"/>
      <c r="J20" s="557"/>
      <c r="K20" s="557"/>
      <c r="L20" s="556"/>
      <c r="M20" s="555"/>
      <c r="N20" s="466"/>
      <c r="O20" s="466"/>
      <c r="P20" s="466"/>
      <c r="Q20" s="466"/>
      <c r="R20" s="464"/>
      <c r="S20" s="464"/>
      <c r="T20" s="464"/>
      <c r="U20" s="464"/>
      <c r="V20" s="464"/>
      <c r="W20" s="464"/>
      <c r="X20" s="464"/>
      <c r="Y20" s="464"/>
      <c r="Z20" s="464"/>
      <c r="AA20" s="464"/>
      <c r="AB20" s="464"/>
      <c r="AC20" s="464"/>
      <c r="AD20" s="464"/>
      <c r="AE20" s="464"/>
      <c r="AF20" s="464"/>
      <c r="AG20" s="464"/>
      <c r="AH20" s="464"/>
      <c r="AI20" s="464"/>
      <c r="AJ20" s="464"/>
      <c r="AK20" s="464"/>
      <c r="AL20" s="464"/>
      <c r="AM20" s="464"/>
      <c r="AN20" s="464"/>
      <c r="AO20" s="464"/>
      <c r="AP20" s="464"/>
      <c r="AQ20" s="464"/>
      <c r="AR20" s="464"/>
      <c r="AS20" s="464"/>
      <c r="AT20" s="464"/>
      <c r="AU20" s="464"/>
      <c r="AV20" s="464"/>
      <c r="AW20" s="464"/>
      <c r="AX20" s="464"/>
      <c r="AY20" s="464"/>
      <c r="AZ20" s="464"/>
      <c r="BA20" s="464"/>
      <c r="BB20" s="464"/>
      <c r="BC20" s="464"/>
      <c r="BD20" s="464"/>
      <c r="BE20" s="464"/>
      <c r="BF20" s="464"/>
      <c r="BG20" s="464"/>
      <c r="BH20" s="464"/>
      <c r="BI20" s="464"/>
      <c r="BJ20" s="464"/>
      <c r="BK20" s="464"/>
      <c r="BL20" s="464"/>
      <c r="BM20" s="464"/>
      <c r="BN20" s="464"/>
      <c r="BO20" s="464"/>
      <c r="BP20" s="464"/>
      <c r="BQ20" s="464"/>
      <c r="BR20" s="464"/>
      <c r="BS20" s="464"/>
      <c r="BT20" s="464"/>
      <c r="BU20" s="464"/>
      <c r="BV20" s="464"/>
      <c r="BW20" s="464"/>
      <c r="BX20" s="464"/>
      <c r="BY20" s="464"/>
      <c r="BZ20" s="464"/>
      <c r="CA20" s="464"/>
      <c r="CB20" s="464"/>
      <c r="CC20" s="464"/>
      <c r="CD20" s="554"/>
      <c r="CE20" s="518"/>
      <c r="CF20" s="518"/>
    </row>
    <row r="21" spans="2:84">
      <c r="B21" s="2720" t="s">
        <v>791</v>
      </c>
      <c r="C21" s="2720"/>
      <c r="D21" s="2720"/>
      <c r="E21" s="2720"/>
      <c r="F21" s="2720"/>
      <c r="G21" s="2720"/>
      <c r="H21" s="2720"/>
      <c r="I21" s="2720"/>
      <c r="J21" s="2720"/>
      <c r="K21" s="2720"/>
      <c r="L21" s="2720"/>
      <c r="M21" s="2720"/>
      <c r="N21" s="2720"/>
      <c r="O21" s="2720"/>
      <c r="P21" s="2720"/>
      <c r="Q21" s="2720"/>
      <c r="R21" s="2720"/>
      <c r="S21" s="2720"/>
      <c r="T21" s="2720"/>
      <c r="U21" s="2720"/>
      <c r="V21" s="2720"/>
      <c r="W21" s="2720"/>
      <c r="X21" s="2720"/>
      <c r="Y21" s="2720"/>
      <c r="Z21" s="2720"/>
      <c r="AA21" s="2720"/>
      <c r="AB21" s="2720"/>
      <c r="AC21" s="2720"/>
      <c r="AD21" s="2720"/>
      <c r="AE21" s="2720"/>
      <c r="AF21" s="2720"/>
      <c r="AG21" s="2720"/>
      <c r="AH21" s="2720"/>
      <c r="AI21" s="2720"/>
      <c r="AJ21" s="2720"/>
      <c r="AK21" s="2720"/>
      <c r="AL21" s="2720"/>
      <c r="AM21" s="2720"/>
      <c r="AN21" s="2720"/>
      <c r="AO21" s="2720"/>
      <c r="AP21" s="2720"/>
      <c r="AQ21" s="2720"/>
      <c r="AR21" s="2720"/>
      <c r="AS21" s="2720"/>
      <c r="AT21" s="2720"/>
      <c r="AU21" s="2720"/>
      <c r="AV21" s="2720"/>
      <c r="AW21" s="2720"/>
      <c r="AX21" s="2720"/>
      <c r="AY21" s="2720"/>
      <c r="AZ21" s="2720"/>
      <c r="BA21" s="2720"/>
      <c r="BB21" s="2720"/>
      <c r="BC21" s="2720"/>
      <c r="BD21" s="2720"/>
      <c r="BE21" s="2720"/>
      <c r="BF21" s="2720"/>
      <c r="BG21" s="2720"/>
      <c r="BH21" s="2720"/>
      <c r="BI21" s="2720"/>
      <c r="BJ21" s="2720"/>
      <c r="BK21" s="2720"/>
      <c r="BL21" s="2720"/>
      <c r="BM21" s="2720"/>
      <c r="BN21" s="2720"/>
      <c r="BO21" s="2720"/>
      <c r="BP21" s="2720"/>
      <c r="BQ21" s="2720"/>
      <c r="BR21" s="2720"/>
      <c r="BS21" s="2720"/>
      <c r="BT21" s="2720"/>
      <c r="BU21" s="2720"/>
      <c r="BV21" s="2720"/>
      <c r="BW21" s="2720"/>
      <c r="BX21" s="2720"/>
      <c r="BY21" s="2720"/>
      <c r="BZ21" s="2720"/>
      <c r="CA21" s="2720"/>
      <c r="CB21" s="2720"/>
      <c r="CC21" s="2720"/>
      <c r="CD21" s="2720"/>
      <c r="CE21" s="552"/>
      <c r="CF21" s="552"/>
    </row>
    <row r="22" spans="2:84" ht="3.75" customHeight="1" thickBot="1">
      <c r="B22" s="553"/>
      <c r="C22" s="553"/>
      <c r="D22" s="553"/>
      <c r="E22" s="553"/>
      <c r="F22" s="553"/>
      <c r="G22" s="553"/>
      <c r="H22" s="553"/>
      <c r="I22" s="553"/>
      <c r="J22" s="553"/>
      <c r="K22" s="553"/>
      <c r="L22" s="553"/>
      <c r="M22" s="553"/>
      <c r="N22" s="553"/>
      <c r="O22" s="553"/>
      <c r="P22" s="553"/>
      <c r="Q22" s="553"/>
      <c r="R22" s="553"/>
      <c r="S22" s="553"/>
      <c r="T22" s="553"/>
      <c r="U22" s="553"/>
      <c r="V22" s="553"/>
      <c r="W22" s="553"/>
      <c r="X22" s="553"/>
      <c r="Y22" s="553"/>
      <c r="Z22" s="553"/>
      <c r="AA22" s="553"/>
      <c r="AB22" s="553"/>
      <c r="AC22" s="553"/>
      <c r="AD22" s="553"/>
      <c r="AE22" s="553"/>
      <c r="AF22" s="553"/>
      <c r="AG22" s="553"/>
      <c r="AH22" s="553"/>
      <c r="AI22" s="553"/>
      <c r="AJ22" s="553"/>
      <c r="AK22" s="553"/>
      <c r="AL22" s="553"/>
      <c r="AM22" s="553"/>
      <c r="AN22" s="553"/>
      <c r="AO22" s="553"/>
      <c r="AP22" s="553"/>
      <c r="AQ22" s="553"/>
      <c r="AR22" s="553"/>
      <c r="AS22" s="553"/>
      <c r="AT22" s="553"/>
      <c r="AU22" s="553"/>
      <c r="AV22" s="553"/>
      <c r="AW22" s="553"/>
      <c r="AX22" s="553"/>
      <c r="AY22" s="553"/>
      <c r="AZ22" s="553"/>
      <c r="BA22" s="553"/>
      <c r="BB22" s="553"/>
      <c r="BC22" s="553"/>
      <c r="BD22" s="553"/>
      <c r="BE22" s="553"/>
      <c r="BF22" s="553"/>
      <c r="BG22" s="553"/>
      <c r="BH22" s="553"/>
      <c r="BI22" s="553"/>
      <c r="BJ22" s="553"/>
      <c r="BK22" s="553"/>
      <c r="BL22" s="553"/>
      <c r="BM22" s="553"/>
      <c r="BN22" s="553"/>
      <c r="BO22" s="553"/>
      <c r="BP22" s="553"/>
      <c r="BQ22" s="553"/>
      <c r="BR22" s="553"/>
      <c r="BS22" s="553"/>
      <c r="BT22" s="553"/>
      <c r="BU22" s="553"/>
      <c r="BV22" s="553"/>
      <c r="BW22" s="553"/>
      <c r="BX22" s="553"/>
      <c r="BY22" s="553"/>
      <c r="BZ22" s="553"/>
      <c r="CA22" s="553"/>
      <c r="CB22" s="553"/>
      <c r="CC22" s="553"/>
      <c r="CD22" s="553"/>
      <c r="CE22" s="552"/>
      <c r="CF22" s="552"/>
    </row>
    <row r="23" spans="2:82" s="444" customFormat="1" ht="9" customHeight="1">
      <c r="B23" s="486"/>
      <c r="C23" s="485"/>
      <c r="D23" s="485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4"/>
      <c r="P23" s="484"/>
      <c r="Q23" s="484"/>
      <c r="R23" s="484"/>
      <c r="S23" s="484"/>
      <c r="T23" s="484"/>
      <c r="U23" s="484"/>
      <c r="V23" s="484"/>
      <c r="W23" s="484"/>
      <c r="X23" s="484"/>
      <c r="Y23" s="484"/>
      <c r="Z23" s="484"/>
      <c r="AA23" s="484"/>
      <c r="AB23" s="484"/>
      <c r="AC23" s="484"/>
      <c r="AD23" s="484"/>
      <c r="AE23" s="484"/>
      <c r="AF23" s="484"/>
      <c r="AG23" s="484"/>
      <c r="AH23" s="484"/>
      <c r="AI23" s="484"/>
      <c r="AJ23" s="484"/>
      <c r="AK23" s="484"/>
      <c r="AL23" s="484"/>
      <c r="AM23" s="484"/>
      <c r="AN23" s="484"/>
      <c r="AO23" s="484"/>
      <c r="AP23" s="483"/>
      <c r="AQ23" s="483"/>
      <c r="AR23" s="483"/>
      <c r="AS23" s="483"/>
      <c r="AT23" s="483"/>
      <c r="AU23" s="483"/>
      <c r="AV23" s="483"/>
      <c r="AW23" s="483"/>
      <c r="AX23" s="483"/>
      <c r="AY23" s="483"/>
      <c r="AZ23" s="483"/>
      <c r="BA23" s="483"/>
      <c r="BB23" s="483"/>
      <c r="BC23" s="483"/>
      <c r="BD23" s="483"/>
      <c r="BE23" s="483"/>
      <c r="BF23" s="483"/>
      <c r="BG23" s="483"/>
      <c r="BH23" s="483"/>
      <c r="BI23" s="483"/>
      <c r="BJ23" s="483"/>
      <c r="BK23" s="483"/>
      <c r="BL23" s="483"/>
      <c r="BM23" s="483"/>
      <c r="BN23" s="483"/>
      <c r="BO23" s="483"/>
      <c r="BP23" s="483"/>
      <c r="BQ23" s="483"/>
      <c r="BR23" s="483"/>
      <c r="BS23" s="483"/>
      <c r="BT23" s="483"/>
      <c r="BU23" s="483"/>
      <c r="BV23" s="483"/>
      <c r="BW23" s="483"/>
      <c r="BX23" s="483"/>
      <c r="BY23" s="483"/>
      <c r="BZ23" s="483"/>
      <c r="CA23" s="483"/>
      <c r="CB23" s="483"/>
      <c r="CC23" s="483"/>
      <c r="CD23" s="482"/>
    </row>
    <row r="24" spans="2:82" s="444" customFormat="1" ht="15.75" customHeight="1">
      <c r="B24" s="2695" t="s">
        <v>621</v>
      </c>
      <c r="C24" s="2696"/>
      <c r="D24" s="2701" t="s">
        <v>181</v>
      </c>
      <c r="E24" s="2701"/>
      <c r="F24" s="2701"/>
      <c r="G24" s="2701"/>
      <c r="H24" s="2701"/>
      <c r="I24" s="547" t="s">
        <v>26</v>
      </c>
      <c r="J24" s="2665" t="s">
        <v>790</v>
      </c>
      <c r="K24" s="2665"/>
      <c r="L24" s="2680" t="str">
        <f>npwp</f>
        <v>...-.</v>
      </c>
      <c r="M24" s="2680"/>
      <c r="N24" s="2680"/>
      <c r="O24" s="2680"/>
      <c r="P24" s="2680"/>
      <c r="Q24" s="2680"/>
      <c r="R24" s="2680"/>
      <c r="S24" s="2680"/>
      <c r="T24" s="2680"/>
      <c r="U24" s="2680"/>
      <c r="V24" s="2680"/>
      <c r="W24" s="2680"/>
      <c r="X24" s="2680"/>
      <c r="Y24" s="2680"/>
      <c r="Z24" s="2680"/>
      <c r="AA24" s="2680"/>
      <c r="AB24" s="2680"/>
      <c r="AC24" s="2680"/>
      <c r="AD24" s="2680"/>
      <c r="AE24" s="2680"/>
      <c r="AF24" s="2680"/>
      <c r="AG24" s="2680"/>
      <c r="AH24" s="2680"/>
      <c r="AI24" s="2680"/>
      <c r="AJ24" s="2680"/>
      <c r="AK24" s="2680"/>
      <c r="AL24" s="2680"/>
      <c r="AM24" s="2680"/>
      <c r="AN24" s="2680"/>
      <c r="AO24" s="2680"/>
      <c r="AP24" s="2680"/>
      <c r="AQ24" s="2680"/>
      <c r="AR24" s="2680"/>
      <c r="AS24" s="2680"/>
      <c r="AT24" s="2680"/>
      <c r="AU24" s="2680"/>
      <c r="AV24" s="2680"/>
      <c r="AW24" s="2680"/>
      <c r="AX24" s="478"/>
      <c r="AY24" s="480"/>
      <c r="AZ24" s="2706" t="s">
        <v>626</v>
      </c>
      <c r="BA24" s="2706"/>
      <c r="BB24" s="2706"/>
      <c r="BC24" s="2703" t="s">
        <v>789</v>
      </c>
      <c r="BD24" s="2703"/>
      <c r="BE24" s="2703"/>
      <c r="BF24" s="2703"/>
      <c r="BG24" s="2703"/>
      <c r="BH24" s="2703"/>
      <c r="BI24" s="2703"/>
      <c r="BJ24" s="2703"/>
      <c r="BK24" s="2703"/>
      <c r="BL24" s="2703"/>
      <c r="BM24" s="2703"/>
      <c r="BN24" s="2703"/>
      <c r="BO24" s="2703"/>
      <c r="BP24" s="2703"/>
      <c r="BQ24" s="2703"/>
      <c r="BR24" s="2703"/>
      <c r="BS24" s="2703"/>
      <c r="BT24" s="2703"/>
      <c r="BU24" s="2703"/>
      <c r="BV24" s="2703"/>
      <c r="BW24" s="2703"/>
      <c r="BX24" s="2703"/>
      <c r="BY24" s="2703"/>
      <c r="BZ24" s="2703"/>
      <c r="CA24" s="2703"/>
      <c r="CB24" s="2703"/>
      <c r="CC24" s="2703"/>
      <c r="CD24" s="2704"/>
    </row>
    <row r="25" spans="2:82" s="444" customFormat="1" ht="6" customHeight="1">
      <c r="B25" s="546"/>
      <c r="C25" s="537"/>
      <c r="D25" s="537"/>
      <c r="E25" s="537"/>
      <c r="F25" s="537"/>
      <c r="G25" s="537"/>
      <c r="H25" s="537"/>
      <c r="I25" s="537"/>
      <c r="J25" s="537"/>
      <c r="K25" s="537"/>
      <c r="L25" s="537"/>
      <c r="M25" s="537"/>
      <c r="N25" s="537"/>
      <c r="O25" s="545"/>
      <c r="P25" s="545"/>
      <c r="Q25" s="545"/>
      <c r="R25" s="544"/>
      <c r="S25" s="544"/>
      <c r="T25" s="544"/>
      <c r="U25" s="544"/>
      <c r="V25" s="544"/>
      <c r="W25" s="544"/>
      <c r="X25" s="544"/>
      <c r="Y25" s="544"/>
      <c r="Z25" s="544"/>
      <c r="AA25" s="544"/>
      <c r="AB25" s="544"/>
      <c r="AC25" s="544"/>
      <c r="AD25" s="544"/>
      <c r="AE25" s="544"/>
      <c r="AF25" s="544"/>
      <c r="AG25" s="544"/>
      <c r="AH25" s="544"/>
      <c r="AI25" s="544"/>
      <c r="AJ25" s="544"/>
      <c r="AK25" s="544"/>
      <c r="AL25" s="544"/>
      <c r="AM25" s="544"/>
      <c r="AN25" s="544"/>
      <c r="AO25" s="544"/>
      <c r="AP25" s="543"/>
      <c r="AQ25" s="543"/>
      <c r="AR25" s="543"/>
      <c r="AS25" s="543"/>
      <c r="AT25" s="543"/>
      <c r="AU25" s="543"/>
      <c r="AV25" s="543"/>
      <c r="AW25" s="543"/>
      <c r="AX25" s="473"/>
      <c r="AY25" s="47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2"/>
    </row>
    <row r="26" spans="2:84" s="444" customFormat="1" ht="15.75" customHeight="1">
      <c r="B26" s="551" t="s">
        <v>622</v>
      </c>
      <c r="C26" s="550"/>
      <c r="D26" s="549" t="s">
        <v>788</v>
      </c>
      <c r="E26" s="549"/>
      <c r="F26" s="549"/>
      <c r="G26" s="549"/>
      <c r="H26" s="549"/>
      <c r="I26" s="550" t="s">
        <v>26</v>
      </c>
      <c r="J26" s="2671" t="s">
        <v>787</v>
      </c>
      <c r="K26" s="2671"/>
      <c r="L26" s="2671"/>
      <c r="M26" s="2671"/>
      <c r="N26" s="2671"/>
      <c r="O26" s="2671"/>
      <c r="P26" s="2671"/>
      <c r="Q26" s="2671"/>
      <c r="R26" s="2671"/>
      <c r="S26" s="2671"/>
      <c r="T26" s="2671"/>
      <c r="U26" s="2671"/>
      <c r="V26" s="2671"/>
      <c r="W26" s="2671"/>
      <c r="X26" s="2671"/>
      <c r="Y26" s="2671"/>
      <c r="Z26" s="2671"/>
      <c r="AA26" s="2671"/>
      <c r="AB26" s="2671"/>
      <c r="AC26" s="2671"/>
      <c r="AD26" s="2671"/>
      <c r="AE26" s="2671"/>
      <c r="AF26" s="2671"/>
      <c r="AG26" s="2671"/>
      <c r="AH26" s="2671"/>
      <c r="AI26" s="2671"/>
      <c r="AJ26" s="2671"/>
      <c r="AK26" s="2671"/>
      <c r="AL26" s="2671"/>
      <c r="AM26" s="2671"/>
      <c r="AN26" s="2671"/>
      <c r="AO26" s="2671"/>
      <c r="AP26" s="2671"/>
      <c r="AQ26" s="2671"/>
      <c r="AR26" s="2671"/>
      <c r="AS26" s="2671"/>
      <c r="AT26" s="2671"/>
      <c r="AU26" s="2671"/>
      <c r="AV26" s="2671"/>
      <c r="AW26" s="2671"/>
      <c r="AX26" s="464"/>
      <c r="AY26" s="464"/>
      <c r="AZ26" s="531"/>
      <c r="BA26" s="531"/>
      <c r="BB26" s="531"/>
      <c r="BC26" s="531" t="s">
        <v>727</v>
      </c>
      <c r="BD26" s="531"/>
      <c r="BE26" s="2733" t="str">
        <f>'FE-1770S'!S50</f>
        <v/>
      </c>
      <c r="BF26" s="2733"/>
      <c r="BG26" s="2733"/>
      <c r="BH26" s="2733"/>
      <c r="BI26" s="531"/>
      <c r="BJ26" s="531"/>
      <c r="BK26" s="531"/>
      <c r="BL26" s="531" t="s">
        <v>728</v>
      </c>
      <c r="BM26" s="531"/>
      <c r="BN26" s="2733" t="str">
        <f>'FE-1770S'!P50</f>
        <v/>
      </c>
      <c r="BO26" s="2733"/>
      <c r="BP26" s="2733"/>
      <c r="BQ26" s="531"/>
      <c r="BR26" s="531"/>
      <c r="BS26" s="531"/>
      <c r="BT26" s="531" t="s">
        <v>807</v>
      </c>
      <c r="BU26" s="531"/>
      <c r="BV26" s="2731">
        <f>'FE-1770S'!Y50</f>
        <v>0</v>
      </c>
      <c r="BW26" s="2731"/>
      <c r="BX26" s="2731"/>
      <c r="BY26" s="531"/>
      <c r="BZ26" s="531"/>
      <c r="CA26" s="531"/>
      <c r="CB26" s="531"/>
      <c r="CC26" s="531"/>
      <c r="CD26" s="534"/>
      <c r="CE26" s="518"/>
      <c r="CF26" s="518"/>
    </row>
    <row r="27" spans="2:84" s="444" customFormat="1" ht="9" customHeight="1">
      <c r="B27" s="551"/>
      <c r="C27" s="550"/>
      <c r="D27" s="549"/>
      <c r="E27" s="549"/>
      <c r="F27" s="549"/>
      <c r="G27" s="549"/>
      <c r="H27" s="549"/>
      <c r="I27" s="550"/>
      <c r="J27" s="2671"/>
      <c r="K27" s="2671"/>
      <c r="L27" s="2729"/>
      <c r="M27" s="2729"/>
      <c r="N27" s="2729"/>
      <c r="O27" s="2729"/>
      <c r="P27" s="2729"/>
      <c r="Q27" s="2729"/>
      <c r="R27" s="2729"/>
      <c r="S27" s="2729"/>
      <c r="T27" s="2729"/>
      <c r="U27" s="2729"/>
      <c r="V27" s="2729"/>
      <c r="W27" s="2729"/>
      <c r="X27" s="2729"/>
      <c r="Y27" s="2729"/>
      <c r="Z27" s="2729"/>
      <c r="AA27" s="2729"/>
      <c r="AB27" s="2729"/>
      <c r="AC27" s="2729"/>
      <c r="AD27" s="2729"/>
      <c r="AE27" s="2729"/>
      <c r="AF27" s="2729"/>
      <c r="AG27" s="2729"/>
      <c r="AH27" s="2729"/>
      <c r="AI27" s="2729"/>
      <c r="AJ27" s="2729"/>
      <c r="AK27" s="2729"/>
      <c r="AL27" s="2729"/>
      <c r="AM27" s="2729"/>
      <c r="AN27" s="2729"/>
      <c r="AO27" s="2729"/>
      <c r="AP27" s="2729"/>
      <c r="AQ27" s="2729"/>
      <c r="AR27" s="2729"/>
      <c r="AS27" s="2729"/>
      <c r="AT27" s="2729"/>
      <c r="AU27" s="2729"/>
      <c r="AV27" s="2729"/>
      <c r="AW27" s="2729"/>
      <c r="AX27" s="464"/>
      <c r="AY27" s="464"/>
      <c r="AZ27" s="531"/>
      <c r="BA27" s="531"/>
      <c r="BB27" s="531"/>
      <c r="BC27" s="531"/>
      <c r="BD27" s="531"/>
      <c r="BE27" s="2734"/>
      <c r="BF27" s="2734"/>
      <c r="BG27" s="2734"/>
      <c r="BH27" s="2734"/>
      <c r="BI27" s="533" t="s">
        <v>786</v>
      </c>
      <c r="BJ27" s="531"/>
      <c r="BK27" s="531"/>
      <c r="BL27" s="531"/>
      <c r="BM27" s="531"/>
      <c r="BN27" s="2734"/>
      <c r="BO27" s="2734"/>
      <c r="BP27" s="2734"/>
      <c r="BQ27" s="533" t="s">
        <v>785</v>
      </c>
      <c r="BR27" s="531"/>
      <c r="BS27" s="531"/>
      <c r="BT27" s="531"/>
      <c r="BU27" s="531"/>
      <c r="BV27" s="2732"/>
      <c r="BW27" s="2732"/>
      <c r="BX27" s="2732"/>
      <c r="BY27" s="533" t="s">
        <v>784</v>
      </c>
      <c r="BZ27" s="531"/>
      <c r="CA27" s="531"/>
      <c r="CB27" s="531"/>
      <c r="CC27" s="531"/>
      <c r="CD27" s="534"/>
      <c r="CE27" s="518"/>
      <c r="CF27" s="518"/>
    </row>
    <row r="28" spans="2:84" s="444" customFormat="1" ht="6" customHeight="1">
      <c r="B28" s="539"/>
      <c r="C28" s="538"/>
      <c r="D28" s="538"/>
      <c r="E28" s="537"/>
      <c r="F28" s="536"/>
      <c r="G28" s="536"/>
      <c r="H28" s="536"/>
      <c r="I28" s="536"/>
      <c r="J28" s="537"/>
      <c r="K28" s="537"/>
      <c r="L28" s="537"/>
      <c r="M28" s="536"/>
      <c r="N28" s="536"/>
      <c r="O28" s="535"/>
      <c r="P28" s="535"/>
      <c r="Q28" s="535"/>
      <c r="R28" s="531"/>
      <c r="S28" s="531"/>
      <c r="T28" s="531"/>
      <c r="U28" s="531"/>
      <c r="V28" s="531"/>
      <c r="W28" s="531"/>
      <c r="X28" s="531"/>
      <c r="Y28" s="531"/>
      <c r="Z28" s="531"/>
      <c r="AA28" s="531"/>
      <c r="AB28" s="531"/>
      <c r="AC28" s="531"/>
      <c r="AD28" s="531"/>
      <c r="AE28" s="531"/>
      <c r="AF28" s="531"/>
      <c r="AG28" s="531"/>
      <c r="AH28" s="531"/>
      <c r="AI28" s="531"/>
      <c r="AJ28" s="531"/>
      <c r="AK28" s="531"/>
      <c r="AL28" s="531"/>
      <c r="AM28" s="531"/>
      <c r="AN28" s="531"/>
      <c r="AO28" s="531"/>
      <c r="AP28" s="531"/>
      <c r="AQ28" s="531"/>
      <c r="AR28" s="531"/>
      <c r="AS28" s="531"/>
      <c r="AT28" s="531"/>
      <c r="AU28" s="531"/>
      <c r="AV28" s="531"/>
      <c r="AW28" s="531"/>
      <c r="AX28" s="464"/>
      <c r="AY28" s="464"/>
      <c r="AZ28" s="531"/>
      <c r="BA28" s="531"/>
      <c r="BB28" s="531"/>
      <c r="BC28" s="531"/>
      <c r="BD28" s="531"/>
      <c r="BE28" s="531"/>
      <c r="BF28" s="531"/>
      <c r="BG28" s="531"/>
      <c r="BH28" s="531"/>
      <c r="BI28" s="531"/>
      <c r="BJ28" s="531"/>
      <c r="BK28" s="531"/>
      <c r="BL28" s="531"/>
      <c r="BM28" s="531"/>
      <c r="BN28" s="531"/>
      <c r="BO28" s="531"/>
      <c r="BP28" s="531"/>
      <c r="BQ28" s="531"/>
      <c r="BR28" s="531"/>
      <c r="BS28" s="531"/>
      <c r="BT28" s="531"/>
      <c r="BU28" s="531"/>
      <c r="BV28" s="531"/>
      <c r="BW28" s="531"/>
      <c r="BX28" s="531"/>
      <c r="BY28" s="531"/>
      <c r="BZ28" s="531"/>
      <c r="CA28" s="531"/>
      <c r="CB28" s="531"/>
      <c r="CC28" s="531"/>
      <c r="CD28" s="534"/>
      <c r="CE28" s="518"/>
      <c r="CF28" s="518"/>
    </row>
    <row r="29" spans="2:84" s="444" customFormat="1" ht="15.75" customHeight="1">
      <c r="B29" s="551" t="s">
        <v>623</v>
      </c>
      <c r="C29" s="550"/>
      <c r="D29" s="549" t="s">
        <v>783</v>
      </c>
      <c r="E29" s="549"/>
      <c r="F29" s="549"/>
      <c r="G29" s="549"/>
      <c r="H29" s="541"/>
      <c r="I29" s="541" t="s">
        <v>26</v>
      </c>
      <c r="J29" s="2702" t="s">
        <v>782</v>
      </c>
      <c r="K29" s="2702"/>
      <c r="L29" s="2707">
        <f>name</f>
        <v>0</v>
      </c>
      <c r="M29" s="2707"/>
      <c r="N29" s="2707"/>
      <c r="O29" s="2707"/>
      <c r="P29" s="2707"/>
      <c r="Q29" s="2707"/>
      <c r="R29" s="2707"/>
      <c r="S29" s="2707"/>
      <c r="T29" s="2707"/>
      <c r="U29" s="2707"/>
      <c r="V29" s="2707"/>
      <c r="W29" s="2707"/>
      <c r="X29" s="2707"/>
      <c r="Y29" s="2707"/>
      <c r="Z29" s="2707"/>
      <c r="AA29" s="2707"/>
      <c r="AB29" s="2707"/>
      <c r="AC29" s="2707"/>
      <c r="AD29" s="2707"/>
      <c r="AE29" s="2707"/>
      <c r="AF29" s="2707"/>
      <c r="AG29" s="2707"/>
      <c r="AH29" s="2707"/>
      <c r="AI29" s="2707"/>
      <c r="AJ29" s="2707"/>
      <c r="AK29" s="2707"/>
      <c r="AL29" s="2707"/>
      <c r="AM29" s="2707"/>
      <c r="AN29" s="2707"/>
      <c r="AO29" s="2707"/>
      <c r="AP29" s="2707"/>
      <c r="AQ29" s="2707"/>
      <c r="AR29" s="2707"/>
      <c r="AS29" s="2707"/>
      <c r="AT29" s="2707"/>
      <c r="AU29" s="2707"/>
      <c r="AV29" s="2707"/>
      <c r="AW29" s="2707"/>
      <c r="AX29" s="464"/>
      <c r="AY29" s="464"/>
      <c r="AZ29" s="2705" t="s">
        <v>629</v>
      </c>
      <c r="BA29" s="2705"/>
      <c r="BB29" s="2705"/>
      <c r="BC29" s="531" t="s">
        <v>781</v>
      </c>
      <c r="BD29" s="531"/>
      <c r="BE29" s="531"/>
      <c r="BF29" s="531"/>
      <c r="BG29" s="531"/>
      <c r="BH29" s="531"/>
      <c r="BI29" s="531"/>
      <c r="BJ29" s="531"/>
      <c r="BK29" s="531"/>
      <c r="BL29" s="533" t="s">
        <v>780</v>
      </c>
      <c r="BM29" s="531"/>
      <c r="BN29" s="2676"/>
      <c r="BO29" s="2676"/>
      <c r="BP29" s="2676"/>
      <c r="BQ29" s="2676"/>
      <c r="BR29" s="2676"/>
      <c r="BS29" s="2676"/>
      <c r="BT29" s="2676"/>
      <c r="BU29" s="2676"/>
      <c r="BV29" s="2676"/>
      <c r="BW29" s="2676"/>
      <c r="BX29" s="2676"/>
      <c r="BY29" s="2676"/>
      <c r="BZ29" s="2676"/>
      <c r="CA29" s="2676"/>
      <c r="CB29" s="2676"/>
      <c r="CC29" s="2676"/>
      <c r="CD29" s="534"/>
      <c r="CE29" s="518"/>
      <c r="CF29" s="518"/>
    </row>
    <row r="30" spans="2:84" s="444" customFormat="1" ht="6" customHeight="1">
      <c r="B30" s="551"/>
      <c r="C30" s="550"/>
      <c r="D30" s="549"/>
      <c r="E30" s="549"/>
      <c r="F30" s="549"/>
      <c r="G30" s="549"/>
      <c r="H30" s="549"/>
      <c r="I30" s="541"/>
      <c r="J30" s="548"/>
      <c r="K30" s="548"/>
      <c r="L30" s="548"/>
      <c r="M30" s="541"/>
      <c r="N30" s="543"/>
      <c r="O30" s="543"/>
      <c r="P30" s="543"/>
      <c r="Q30" s="535"/>
      <c r="R30" s="531"/>
      <c r="S30" s="531"/>
      <c r="T30" s="531"/>
      <c r="U30" s="531"/>
      <c r="V30" s="531"/>
      <c r="W30" s="531"/>
      <c r="X30" s="531"/>
      <c r="Y30" s="531"/>
      <c r="Z30" s="531"/>
      <c r="AA30" s="531"/>
      <c r="AB30" s="531"/>
      <c r="AC30" s="531"/>
      <c r="AD30" s="531"/>
      <c r="AE30" s="531"/>
      <c r="AF30" s="531"/>
      <c r="AG30" s="531"/>
      <c r="AH30" s="531"/>
      <c r="AI30" s="531"/>
      <c r="AJ30" s="531"/>
      <c r="AK30" s="531"/>
      <c r="AL30" s="531"/>
      <c r="AM30" s="531"/>
      <c r="AN30" s="531"/>
      <c r="AO30" s="531"/>
      <c r="AP30" s="531"/>
      <c r="AQ30" s="531"/>
      <c r="AR30" s="531"/>
      <c r="AS30" s="531"/>
      <c r="AT30" s="531"/>
      <c r="AU30" s="531"/>
      <c r="AV30" s="531"/>
      <c r="AW30" s="531"/>
      <c r="AX30" s="464"/>
      <c r="AY30" s="464"/>
      <c r="AZ30" s="531"/>
      <c r="BA30" s="531"/>
      <c r="BB30" s="531"/>
      <c r="BC30" s="531"/>
      <c r="BD30" s="531"/>
      <c r="BE30" s="531"/>
      <c r="BF30" s="531"/>
      <c r="BG30" s="531"/>
      <c r="BH30" s="531"/>
      <c r="BI30" s="531"/>
      <c r="BJ30" s="531"/>
      <c r="BK30" s="531"/>
      <c r="BL30" s="531"/>
      <c r="BM30" s="531"/>
      <c r="BN30" s="531"/>
      <c r="BO30" s="531"/>
      <c r="BP30" s="531"/>
      <c r="BQ30" s="531"/>
      <c r="BR30" s="531"/>
      <c r="BS30" s="531"/>
      <c r="BT30" s="531"/>
      <c r="BU30" s="531"/>
      <c r="BV30" s="531"/>
      <c r="BW30" s="531"/>
      <c r="BX30" s="531"/>
      <c r="BY30" s="531"/>
      <c r="BZ30" s="531"/>
      <c r="CA30" s="531"/>
      <c r="CB30" s="531"/>
      <c r="CC30" s="531"/>
      <c r="CD30" s="534"/>
      <c r="CE30" s="518"/>
      <c r="CF30" s="518"/>
    </row>
    <row r="31" spans="2:82" s="444" customFormat="1" ht="15.75" customHeight="1">
      <c r="B31" s="2695" t="s">
        <v>624</v>
      </c>
      <c r="C31" s="2696"/>
      <c r="D31" s="2701" t="s">
        <v>606</v>
      </c>
      <c r="E31" s="2701"/>
      <c r="F31" s="2701"/>
      <c r="G31" s="2701"/>
      <c r="H31" s="2701"/>
      <c r="I31" s="547" t="s">
        <v>26</v>
      </c>
      <c r="J31" s="2665" t="s">
        <v>779</v>
      </c>
      <c r="K31" s="2665"/>
      <c r="L31" s="2675"/>
      <c r="M31" s="2675"/>
      <c r="N31" s="2675"/>
      <c r="O31" s="2675"/>
      <c r="P31" s="2675"/>
      <c r="Q31" s="2675"/>
      <c r="R31" s="2675"/>
      <c r="S31" s="2675"/>
      <c r="T31" s="2675"/>
      <c r="U31" s="2675"/>
      <c r="V31" s="2675"/>
      <c r="W31" s="2675"/>
      <c r="X31" s="2675"/>
      <c r="Y31" s="2675"/>
      <c r="Z31" s="2675"/>
      <c r="AA31" s="2675"/>
      <c r="AB31" s="2675"/>
      <c r="AC31" s="2675"/>
      <c r="AD31" s="2675"/>
      <c r="AE31" s="2675"/>
      <c r="AF31" s="2675"/>
      <c r="AG31" s="2675"/>
      <c r="AH31" s="2675"/>
      <c r="AI31" s="2675"/>
      <c r="AJ31" s="2675"/>
      <c r="AK31" s="2675"/>
      <c r="AL31" s="2675"/>
      <c r="AM31" s="2675"/>
      <c r="AN31" s="2675"/>
      <c r="AO31" s="2675"/>
      <c r="AP31" s="2675"/>
      <c r="AQ31" s="2675"/>
      <c r="AR31" s="2675"/>
      <c r="AS31" s="2675"/>
      <c r="AT31" s="2675"/>
      <c r="AU31" s="2675"/>
      <c r="AV31" s="2675"/>
      <c r="AW31" s="2675"/>
      <c r="AX31" s="478"/>
      <c r="AY31" s="480"/>
      <c r="AZ31" s="2706" t="s">
        <v>630</v>
      </c>
      <c r="BA31" s="2706"/>
      <c r="BB31" s="2706"/>
      <c r="BC31" s="2703" t="s">
        <v>778</v>
      </c>
      <c r="BD31" s="2703"/>
      <c r="BE31" s="2703"/>
      <c r="BF31" s="2703"/>
      <c r="BG31" s="2703"/>
      <c r="BH31" s="2703"/>
      <c r="BI31" s="2703"/>
      <c r="BJ31" s="2703"/>
      <c r="BK31" s="2703"/>
      <c r="BL31" s="2703"/>
      <c r="BM31" s="2703"/>
      <c r="BN31" s="540"/>
      <c r="BO31" s="2665" t="s">
        <v>777</v>
      </c>
      <c r="BP31" s="2665"/>
      <c r="BQ31" s="2727"/>
      <c r="BR31" s="2677"/>
      <c r="BS31" s="2678"/>
      <c r="BT31" s="2746" t="s">
        <v>735</v>
      </c>
      <c r="BU31" s="2747"/>
      <c r="BV31" s="2747"/>
      <c r="BW31" s="511"/>
      <c r="BX31" s="511"/>
      <c r="BY31" s="543"/>
      <c r="BZ31" s="543"/>
      <c r="CA31" s="543"/>
      <c r="CB31" s="543"/>
      <c r="CC31" s="543"/>
      <c r="CD31" s="542"/>
    </row>
    <row r="32" spans="2:82" s="444" customFormat="1" ht="6" customHeight="1">
      <c r="B32" s="546"/>
      <c r="C32" s="537"/>
      <c r="D32" s="537"/>
      <c r="E32" s="537"/>
      <c r="F32" s="537"/>
      <c r="G32" s="537"/>
      <c r="H32" s="537"/>
      <c r="I32" s="537"/>
      <c r="J32" s="537"/>
      <c r="K32" s="537"/>
      <c r="L32" s="537"/>
      <c r="M32" s="537"/>
      <c r="N32" s="537"/>
      <c r="O32" s="545"/>
      <c r="P32" s="545"/>
      <c r="Q32" s="545"/>
      <c r="R32" s="544"/>
      <c r="S32" s="544"/>
      <c r="T32" s="544"/>
      <c r="U32" s="544"/>
      <c r="V32" s="544"/>
      <c r="W32" s="544"/>
      <c r="X32" s="544"/>
      <c r="Y32" s="544"/>
      <c r="Z32" s="544"/>
      <c r="AA32" s="544"/>
      <c r="AB32" s="544"/>
      <c r="AC32" s="544"/>
      <c r="AD32" s="544"/>
      <c r="AE32" s="544"/>
      <c r="AF32" s="544"/>
      <c r="AG32" s="544"/>
      <c r="AH32" s="544"/>
      <c r="AI32" s="544"/>
      <c r="AJ32" s="544"/>
      <c r="AK32" s="544"/>
      <c r="AL32" s="544"/>
      <c r="AM32" s="544"/>
      <c r="AN32" s="544"/>
      <c r="AO32" s="544"/>
      <c r="AP32" s="543"/>
      <c r="AQ32" s="543"/>
      <c r="AR32" s="543"/>
      <c r="AS32" s="543"/>
      <c r="AT32" s="543"/>
      <c r="AU32" s="543"/>
      <c r="AV32" s="543"/>
      <c r="AW32" s="543"/>
      <c r="AX32" s="473"/>
      <c r="AY32" s="47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2"/>
    </row>
    <row r="33" spans="2:84" s="444" customFormat="1" ht="15.75" customHeight="1">
      <c r="B33" s="551"/>
      <c r="C33" s="550"/>
      <c r="D33" s="549"/>
      <c r="E33" s="549"/>
      <c r="F33" s="549"/>
      <c r="G33" s="549"/>
      <c r="H33" s="549"/>
      <c r="I33" s="541"/>
      <c r="J33" s="540"/>
      <c r="K33" s="540"/>
      <c r="L33" s="2675"/>
      <c r="M33" s="2675"/>
      <c r="N33" s="2675"/>
      <c r="O33" s="2675"/>
      <c r="P33" s="2675"/>
      <c r="Q33" s="2675"/>
      <c r="R33" s="2675"/>
      <c r="S33" s="2675"/>
      <c r="T33" s="2675"/>
      <c r="U33" s="2675"/>
      <c r="V33" s="2675"/>
      <c r="W33" s="2675"/>
      <c r="X33" s="2675"/>
      <c r="Y33" s="2675"/>
      <c r="Z33" s="2675"/>
      <c r="AA33" s="2675"/>
      <c r="AB33" s="2675"/>
      <c r="AC33" s="2675"/>
      <c r="AD33" s="2675"/>
      <c r="AE33" s="2675"/>
      <c r="AF33" s="2675"/>
      <c r="AG33" s="2675"/>
      <c r="AH33" s="2675"/>
      <c r="AI33" s="2675"/>
      <c r="AJ33" s="2675"/>
      <c r="AK33" s="2675"/>
      <c r="AL33" s="2675"/>
      <c r="AM33" s="2675"/>
      <c r="AN33" s="2675"/>
      <c r="AO33" s="2675"/>
      <c r="AP33" s="2675"/>
      <c r="AQ33" s="2675"/>
      <c r="AR33" s="2675"/>
      <c r="AS33" s="2675"/>
      <c r="AT33" s="2675"/>
      <c r="AU33" s="2675"/>
      <c r="AV33" s="2675"/>
      <c r="AW33" s="2675"/>
      <c r="AX33" s="464"/>
      <c r="AY33" s="464"/>
      <c r="AZ33" s="2705" t="s">
        <v>631</v>
      </c>
      <c r="BA33" s="2705"/>
      <c r="BB33" s="2705"/>
      <c r="BC33" s="531" t="s">
        <v>776</v>
      </c>
      <c r="BD33" s="531"/>
      <c r="BE33" s="531"/>
      <c r="BF33" s="531"/>
      <c r="BG33" s="531"/>
      <c r="BH33" s="531"/>
      <c r="BI33" s="531"/>
      <c r="BJ33" s="531"/>
      <c r="BK33" s="531"/>
      <c r="BL33" s="531"/>
      <c r="BM33" s="531"/>
      <c r="BN33" s="531"/>
      <c r="BO33" s="533"/>
      <c r="BP33" s="533" t="s">
        <v>775</v>
      </c>
      <c r="BQ33" s="533"/>
      <c r="BR33" s="2676"/>
      <c r="BS33" s="2676"/>
      <c r="BT33" s="2676"/>
      <c r="BU33" s="531"/>
      <c r="BV33" s="531"/>
      <c r="BW33" s="531"/>
      <c r="BX33" s="531"/>
      <c r="BY33" s="531"/>
      <c r="BZ33" s="531"/>
      <c r="CA33" s="531"/>
      <c r="CB33" s="531"/>
      <c r="CC33" s="531"/>
      <c r="CD33" s="534"/>
      <c r="CE33" s="518"/>
      <c r="CF33" s="518"/>
    </row>
    <row r="34" spans="2:84" s="444" customFormat="1" ht="6" customHeight="1">
      <c r="B34" s="539"/>
      <c r="C34" s="538"/>
      <c r="D34" s="538"/>
      <c r="E34" s="537"/>
      <c r="F34" s="536"/>
      <c r="G34" s="536"/>
      <c r="H34" s="536"/>
      <c r="I34" s="536"/>
      <c r="J34" s="536"/>
      <c r="K34" s="536"/>
      <c r="L34" s="536"/>
      <c r="M34" s="536"/>
      <c r="N34" s="536"/>
      <c r="O34" s="535"/>
      <c r="P34" s="535"/>
      <c r="Q34" s="535"/>
      <c r="R34" s="531"/>
      <c r="S34" s="531"/>
      <c r="T34" s="531"/>
      <c r="U34" s="531"/>
      <c r="V34" s="531"/>
      <c r="W34" s="531"/>
      <c r="X34" s="531"/>
      <c r="Y34" s="531"/>
      <c r="Z34" s="531"/>
      <c r="AA34" s="531"/>
      <c r="AB34" s="531"/>
      <c r="AC34" s="531"/>
      <c r="AD34" s="531"/>
      <c r="AE34" s="531"/>
      <c r="AF34" s="531"/>
      <c r="AG34" s="531"/>
      <c r="AH34" s="531"/>
      <c r="AI34" s="531"/>
      <c r="AJ34" s="531"/>
      <c r="AK34" s="531"/>
      <c r="AL34" s="531"/>
      <c r="AM34" s="531"/>
      <c r="AN34" s="531"/>
      <c r="AO34" s="531"/>
      <c r="AP34" s="531"/>
      <c r="AQ34" s="531"/>
      <c r="AR34" s="531"/>
      <c r="AS34" s="531"/>
      <c r="AT34" s="531"/>
      <c r="AU34" s="531"/>
      <c r="AV34" s="531"/>
      <c r="AW34" s="531"/>
      <c r="AX34" s="464"/>
      <c r="AY34" s="464"/>
      <c r="AZ34" s="531"/>
      <c r="BA34" s="531"/>
      <c r="BB34" s="531"/>
      <c r="BC34" s="531"/>
      <c r="BD34" s="531"/>
      <c r="BE34" s="531"/>
      <c r="BF34" s="531"/>
      <c r="BG34" s="531"/>
      <c r="BH34" s="531"/>
      <c r="BI34" s="531"/>
      <c r="BJ34" s="531"/>
      <c r="BK34" s="531"/>
      <c r="BL34" s="531"/>
      <c r="BM34" s="531"/>
      <c r="BN34" s="531"/>
      <c r="BO34" s="531"/>
      <c r="BP34" s="531"/>
      <c r="BQ34" s="531"/>
      <c r="BR34" s="531"/>
      <c r="BS34" s="531"/>
      <c r="BT34" s="531"/>
      <c r="BU34" s="531"/>
      <c r="BV34" s="531"/>
      <c r="BW34" s="531"/>
      <c r="BX34" s="531"/>
      <c r="BY34" s="531"/>
      <c r="BZ34" s="531"/>
      <c r="CA34" s="531"/>
      <c r="CB34" s="531"/>
      <c r="CC34" s="531"/>
      <c r="CD34" s="534"/>
      <c r="CE34" s="518"/>
      <c r="CF34" s="518"/>
    </row>
    <row r="35" spans="2:84" s="444" customFormat="1" ht="15.75" customHeight="1">
      <c r="B35" s="551" t="s">
        <v>625</v>
      </c>
      <c r="C35" s="550"/>
      <c r="D35" s="549" t="s">
        <v>774</v>
      </c>
      <c r="E35" s="549"/>
      <c r="F35" s="549"/>
      <c r="G35" s="549"/>
      <c r="H35" s="549"/>
      <c r="I35" s="549"/>
      <c r="J35" s="549"/>
      <c r="K35" s="549"/>
      <c r="L35" s="549"/>
      <c r="M35" s="2671" t="s">
        <v>773</v>
      </c>
      <c r="N35" s="2671"/>
      <c r="O35" s="2671"/>
      <c r="P35" s="2672"/>
      <c r="Q35" s="2738"/>
      <c r="R35" s="2739"/>
      <c r="S35" s="2740"/>
      <c r="T35" s="531" t="s">
        <v>772</v>
      </c>
      <c r="U35" s="531"/>
      <c r="V35" s="531"/>
      <c r="W35" s="531"/>
      <c r="X35" s="531"/>
      <c r="Y35" s="531"/>
      <c r="Z35" s="531"/>
      <c r="AA35" s="531"/>
      <c r="AB35" s="531"/>
      <c r="AC35" s="531"/>
      <c r="AD35" s="533" t="s">
        <v>771</v>
      </c>
      <c r="AE35" s="531"/>
      <c r="AF35" s="531"/>
      <c r="AG35" s="532"/>
      <c r="AH35" s="2741"/>
      <c r="AI35" s="2742"/>
      <c r="AJ35" s="2743"/>
      <c r="AK35" s="531"/>
      <c r="AL35" s="531" t="s">
        <v>726</v>
      </c>
      <c r="AM35" s="531"/>
      <c r="AN35" s="531"/>
      <c r="AO35" s="531"/>
      <c r="AP35" s="531"/>
      <c r="AQ35" s="531"/>
      <c r="AR35" s="531"/>
      <c r="AS35" s="531"/>
      <c r="AT35" s="531"/>
      <c r="AU35" s="531"/>
      <c r="AV35" s="531"/>
      <c r="AW35" s="531"/>
      <c r="AX35" s="464"/>
      <c r="AY35" s="464"/>
      <c r="AZ35" s="464"/>
      <c r="BA35" s="464"/>
      <c r="BB35" s="464"/>
      <c r="BC35" s="464"/>
      <c r="BD35" s="464"/>
      <c r="BE35" s="464"/>
      <c r="BF35" s="464"/>
      <c r="BG35" s="464"/>
      <c r="BH35" s="464"/>
      <c r="BI35" s="464"/>
      <c r="BJ35" s="464"/>
      <c r="BK35" s="464"/>
      <c r="BL35" s="464"/>
      <c r="BM35" s="464"/>
      <c r="BN35" s="464"/>
      <c r="BO35" s="464"/>
      <c r="BP35" s="464"/>
      <c r="BQ35" s="464"/>
      <c r="BR35" s="464"/>
      <c r="BS35" s="464"/>
      <c r="BT35" s="464"/>
      <c r="BU35" s="464"/>
      <c r="BV35" s="464"/>
      <c r="BW35" s="464"/>
      <c r="BX35" s="464"/>
      <c r="BY35" s="464"/>
      <c r="BZ35" s="464"/>
      <c r="CA35" s="464"/>
      <c r="CB35" s="464"/>
      <c r="CC35" s="464"/>
      <c r="CD35" s="463"/>
      <c r="CE35" s="518"/>
      <c r="CF35" s="518"/>
    </row>
    <row r="36" spans="2:84" s="444" customFormat="1" ht="9.75" customHeight="1" thickBot="1">
      <c r="B36" s="462"/>
      <c r="C36" s="461"/>
      <c r="D36" s="530"/>
      <c r="E36" s="530"/>
      <c r="F36" s="530"/>
      <c r="G36" s="530"/>
      <c r="H36" s="530"/>
      <c r="I36" s="530"/>
      <c r="J36" s="530"/>
      <c r="K36" s="530"/>
      <c r="L36" s="529"/>
      <c r="M36" s="529"/>
      <c r="N36" s="529"/>
      <c r="O36" s="528"/>
      <c r="P36" s="528"/>
      <c r="Q36" s="527"/>
      <c r="R36" s="457"/>
      <c r="S36" s="457"/>
      <c r="T36" s="457"/>
      <c r="U36" s="457"/>
      <c r="V36" s="457"/>
      <c r="W36" s="457"/>
      <c r="X36" s="457"/>
      <c r="Y36" s="457"/>
      <c r="Z36" s="457"/>
      <c r="AA36" s="457"/>
      <c r="AB36" s="457"/>
      <c r="AC36" s="457"/>
      <c r="AD36" s="526"/>
      <c r="AE36" s="457"/>
      <c r="AF36" s="457"/>
      <c r="AG36" s="457"/>
      <c r="AH36" s="457"/>
      <c r="AI36" s="457"/>
      <c r="AJ36" s="457"/>
      <c r="AK36" s="457"/>
      <c r="AL36" s="457"/>
      <c r="AM36" s="457"/>
      <c r="AN36" s="457"/>
      <c r="AO36" s="457"/>
      <c r="AP36" s="457"/>
      <c r="AQ36" s="457"/>
      <c r="AR36" s="457"/>
      <c r="AS36" s="457"/>
      <c r="AT36" s="457"/>
      <c r="AU36" s="457"/>
      <c r="AV36" s="457"/>
      <c r="AW36" s="457"/>
      <c r="AX36" s="457"/>
      <c r="AY36" s="457"/>
      <c r="AZ36" s="457"/>
      <c r="BA36" s="457"/>
      <c r="BB36" s="457"/>
      <c r="BC36" s="457"/>
      <c r="BD36" s="457"/>
      <c r="BE36" s="457"/>
      <c r="BF36" s="457"/>
      <c r="BG36" s="457"/>
      <c r="BH36" s="457"/>
      <c r="BI36" s="457"/>
      <c r="BJ36" s="457"/>
      <c r="BK36" s="457"/>
      <c r="BL36" s="457"/>
      <c r="BM36" s="457"/>
      <c r="BN36" s="457"/>
      <c r="BO36" s="457"/>
      <c r="BP36" s="457"/>
      <c r="BQ36" s="457"/>
      <c r="BR36" s="457"/>
      <c r="BS36" s="457"/>
      <c r="BT36" s="457"/>
      <c r="BU36" s="457"/>
      <c r="BV36" s="457"/>
      <c r="BW36" s="457"/>
      <c r="BX36" s="457"/>
      <c r="BY36" s="457"/>
      <c r="BZ36" s="457"/>
      <c r="CA36" s="457"/>
      <c r="CB36" s="457"/>
      <c r="CC36" s="457"/>
      <c r="CD36" s="456"/>
      <c r="CE36" s="518"/>
      <c r="CF36" s="518"/>
    </row>
    <row r="37" spans="2:84" s="444" customFormat="1" ht="24" customHeight="1">
      <c r="B37" s="2668" t="s">
        <v>770</v>
      </c>
      <c r="C37" s="2668"/>
      <c r="D37" s="2668"/>
      <c r="E37" s="2668"/>
      <c r="F37" s="2668"/>
      <c r="G37" s="2668"/>
      <c r="H37" s="2668"/>
      <c r="I37" s="2668"/>
      <c r="J37" s="2668"/>
      <c r="K37" s="2668"/>
      <c r="L37" s="2668"/>
      <c r="M37" s="2668"/>
      <c r="N37" s="2668"/>
      <c r="O37" s="2668"/>
      <c r="P37" s="2668"/>
      <c r="Q37" s="2668"/>
      <c r="R37" s="2668"/>
      <c r="S37" s="2668"/>
      <c r="T37" s="2668"/>
      <c r="U37" s="2668"/>
      <c r="V37" s="2668"/>
      <c r="W37" s="2668"/>
      <c r="X37" s="2668"/>
      <c r="Y37" s="2668"/>
      <c r="Z37" s="2668"/>
      <c r="AA37" s="2668"/>
      <c r="AB37" s="2668"/>
      <c r="AC37" s="2668"/>
      <c r="AD37" s="2668"/>
      <c r="AE37" s="2668"/>
      <c r="AF37" s="2668"/>
      <c r="AG37" s="2668"/>
      <c r="AH37" s="2668"/>
      <c r="AI37" s="2668"/>
      <c r="AJ37" s="2668"/>
      <c r="AK37" s="2668"/>
      <c r="AL37" s="2668"/>
      <c r="AM37" s="2668"/>
      <c r="AN37" s="2668"/>
      <c r="AO37" s="2668"/>
      <c r="AP37" s="2668"/>
      <c r="AQ37" s="2668"/>
      <c r="AR37" s="2668"/>
      <c r="AS37" s="2668"/>
      <c r="AT37" s="2668"/>
      <c r="AU37" s="2668"/>
      <c r="AV37" s="2668"/>
      <c r="AW37" s="2668"/>
      <c r="AX37" s="2668"/>
      <c r="AY37" s="2668"/>
      <c r="AZ37" s="2668"/>
      <c r="BA37" s="2668"/>
      <c r="BB37" s="2668"/>
      <c r="BC37" s="2668"/>
      <c r="BD37" s="2668"/>
      <c r="BE37" s="2668"/>
      <c r="BF37" s="2668"/>
      <c r="BG37" s="2668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5"/>
      <c r="CB37" s="525"/>
      <c r="CC37" s="525"/>
      <c r="CD37" s="518"/>
      <c r="CE37" s="518"/>
      <c r="CF37" s="518"/>
    </row>
    <row r="38" spans="2:84" s="444" customFormat="1" ht="3" customHeight="1">
      <c r="B38" s="524"/>
      <c r="C38" s="524"/>
      <c r="D38" s="523"/>
      <c r="E38" s="523"/>
      <c r="F38" s="523"/>
      <c r="G38" s="523"/>
      <c r="H38" s="523"/>
      <c r="I38" s="521"/>
      <c r="J38" s="522"/>
      <c r="K38" s="522"/>
      <c r="L38" s="522"/>
      <c r="M38" s="521"/>
      <c r="Q38" s="520"/>
      <c r="R38" s="519"/>
      <c r="S38" s="519"/>
      <c r="T38" s="519"/>
      <c r="U38" s="519"/>
      <c r="V38" s="519"/>
      <c r="W38" s="519"/>
      <c r="X38" s="519"/>
      <c r="Y38" s="519"/>
      <c r="Z38" s="519"/>
      <c r="AA38" s="519"/>
      <c r="AB38" s="519"/>
      <c r="AC38" s="519"/>
      <c r="AD38" s="519"/>
      <c r="AE38" s="519"/>
      <c r="AF38" s="519"/>
      <c r="AG38" s="519"/>
      <c r="AH38" s="519"/>
      <c r="AI38" s="519"/>
      <c r="AJ38" s="519"/>
      <c r="AK38" s="519"/>
      <c r="AL38" s="519"/>
      <c r="AM38" s="519"/>
      <c r="AN38" s="519"/>
      <c r="AO38" s="519"/>
      <c r="AP38" s="519"/>
      <c r="AQ38" s="519"/>
      <c r="AR38" s="519"/>
      <c r="AS38" s="519"/>
      <c r="AT38" s="519"/>
      <c r="AU38" s="519"/>
      <c r="AV38" s="519"/>
      <c r="AW38" s="519"/>
      <c r="AX38" s="519"/>
      <c r="AY38" s="519"/>
      <c r="AZ38" s="519"/>
      <c r="BA38" s="519"/>
      <c r="BB38" s="519"/>
      <c r="BC38" s="519"/>
      <c r="BD38" s="519"/>
      <c r="BE38" s="519"/>
      <c r="BF38" s="519"/>
      <c r="BG38" s="519"/>
      <c r="BH38" s="519"/>
      <c r="BI38" s="519"/>
      <c r="BJ38" s="519"/>
      <c r="BK38" s="519"/>
      <c r="BL38" s="519"/>
      <c r="BM38" s="519"/>
      <c r="BN38" s="519"/>
      <c r="BO38" s="519"/>
      <c r="BP38" s="519"/>
      <c r="BQ38" s="519"/>
      <c r="BR38" s="519"/>
      <c r="BS38" s="519"/>
      <c r="BT38" s="519"/>
      <c r="BU38" s="519"/>
      <c r="BV38" s="519"/>
      <c r="BW38" s="519"/>
      <c r="BX38" s="519"/>
      <c r="BY38" s="519"/>
      <c r="BZ38" s="519"/>
      <c r="CA38" s="519"/>
      <c r="CB38" s="519"/>
      <c r="CC38" s="519"/>
      <c r="CD38" s="518"/>
      <c r="CE38" s="518"/>
      <c r="CF38" s="518"/>
    </row>
    <row r="39" spans="2:84" s="449" customFormat="1" ht="19" customHeight="1">
      <c r="B39" s="2709" t="s">
        <v>340</v>
      </c>
      <c r="C39" s="2710"/>
      <c r="D39" s="2710"/>
      <c r="E39" s="2710"/>
      <c r="F39" s="2710"/>
      <c r="G39" s="2710"/>
      <c r="H39" s="2710"/>
      <c r="I39" s="2710"/>
      <c r="J39" s="2710"/>
      <c r="K39" s="2710"/>
      <c r="L39" s="2710"/>
      <c r="M39" s="2710"/>
      <c r="N39" s="2710"/>
      <c r="O39" s="2710"/>
      <c r="P39" s="2710"/>
      <c r="Q39" s="2710"/>
      <c r="R39" s="2710"/>
      <c r="S39" s="2710"/>
      <c r="T39" s="2710"/>
      <c r="U39" s="2710"/>
      <c r="V39" s="2710"/>
      <c r="W39" s="2710"/>
      <c r="X39" s="2710"/>
      <c r="Y39" s="2710"/>
      <c r="Z39" s="2710"/>
      <c r="AA39" s="2710"/>
      <c r="AB39" s="2710"/>
      <c r="AC39" s="2710"/>
      <c r="AD39" s="2710"/>
      <c r="AE39" s="2710"/>
      <c r="AF39" s="2710"/>
      <c r="AG39" s="2710"/>
      <c r="AH39" s="2710"/>
      <c r="AI39" s="2710"/>
      <c r="AJ39" s="2710"/>
      <c r="AK39" s="2710"/>
      <c r="AL39" s="2710"/>
      <c r="AM39" s="2710"/>
      <c r="AN39" s="2710"/>
      <c r="AO39" s="2710"/>
      <c r="AP39" s="2710"/>
      <c r="AQ39" s="2710"/>
      <c r="AR39" s="2710"/>
      <c r="AS39" s="2710"/>
      <c r="AT39" s="2710"/>
      <c r="AU39" s="2710"/>
      <c r="AV39" s="2710"/>
      <c r="AW39" s="2710"/>
      <c r="AX39" s="2710"/>
      <c r="AY39" s="2710"/>
      <c r="AZ39" s="2710"/>
      <c r="BA39" s="2710"/>
      <c r="BB39" s="2710"/>
      <c r="BC39" s="2710"/>
      <c r="BD39" s="2710"/>
      <c r="BE39" s="2710"/>
      <c r="BF39" s="2710"/>
      <c r="BG39" s="2710"/>
      <c r="BH39" s="2710"/>
      <c r="BI39" s="2710"/>
      <c r="BJ39" s="2710"/>
      <c r="BK39" s="2710"/>
      <c r="BL39" s="2710"/>
      <c r="BM39" s="2711"/>
      <c r="BN39" s="2659" t="s">
        <v>769</v>
      </c>
      <c r="BO39" s="2660"/>
      <c r="BP39" s="2660"/>
      <c r="BQ39" s="2660"/>
      <c r="BR39" s="2660"/>
      <c r="BS39" s="2660"/>
      <c r="BT39" s="2660"/>
      <c r="BU39" s="2660"/>
      <c r="BV39" s="2660"/>
      <c r="BW39" s="2660"/>
      <c r="BX39" s="2660"/>
      <c r="BY39" s="2660"/>
      <c r="BZ39" s="2660"/>
      <c r="CA39" s="2660"/>
      <c r="CB39" s="2660"/>
      <c r="CC39" s="2660"/>
      <c r="CD39" s="2661"/>
      <c r="CE39" s="511"/>
      <c r="CF39" s="511"/>
    </row>
    <row r="40" spans="2:84" s="449" customFormat="1" ht="3" customHeight="1">
      <c r="B40" s="517"/>
      <c r="C40" s="516"/>
      <c r="D40" s="516"/>
      <c r="E40" s="516"/>
      <c r="F40" s="516"/>
      <c r="G40" s="516"/>
      <c r="H40" s="516"/>
      <c r="I40" s="516"/>
      <c r="J40" s="516"/>
      <c r="K40" s="516"/>
      <c r="L40" s="516"/>
      <c r="M40" s="516"/>
      <c r="N40" s="516"/>
      <c r="O40" s="516"/>
      <c r="P40" s="516"/>
      <c r="Q40" s="516"/>
      <c r="R40" s="516"/>
      <c r="S40" s="516"/>
      <c r="T40" s="516"/>
      <c r="U40" s="516"/>
      <c r="V40" s="516"/>
      <c r="W40" s="516"/>
      <c r="X40" s="516"/>
      <c r="Y40" s="516"/>
      <c r="Z40" s="516"/>
      <c r="AA40" s="516"/>
      <c r="AB40" s="516"/>
      <c r="AC40" s="516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4"/>
      <c r="BO40" s="513"/>
      <c r="BP40" s="513"/>
      <c r="BQ40" s="513"/>
      <c r="BR40" s="513"/>
      <c r="BS40" s="513"/>
      <c r="BT40" s="513"/>
      <c r="BU40" s="513"/>
      <c r="BV40" s="513"/>
      <c r="BW40" s="513"/>
      <c r="BX40" s="513"/>
      <c r="BY40" s="513"/>
      <c r="BZ40" s="513"/>
      <c r="CA40" s="513"/>
      <c r="CB40" s="513"/>
      <c r="CC40" s="513"/>
      <c r="CD40" s="512"/>
      <c r="CE40" s="511"/>
      <c r="CF40" s="511"/>
    </row>
    <row r="41" spans="2:84" s="500" customFormat="1" ht="17.25" customHeight="1">
      <c r="B41" s="2713" t="s">
        <v>768</v>
      </c>
      <c r="C41" s="2714"/>
      <c r="D41" s="2714"/>
      <c r="E41" s="2714"/>
      <c r="F41" s="2714"/>
      <c r="G41" s="2714"/>
      <c r="H41" s="2714"/>
      <c r="I41" s="2714"/>
      <c r="J41" s="2714"/>
      <c r="K41" s="2714"/>
      <c r="L41" s="2714"/>
      <c r="M41" s="510" t="s">
        <v>26</v>
      </c>
      <c r="N41" s="510"/>
      <c r="O41" s="2659"/>
      <c r="P41" s="2660"/>
      <c r="Q41" s="2661"/>
      <c r="R41" s="2712" t="s">
        <v>767</v>
      </c>
      <c r="S41" s="2708"/>
      <c r="T41" s="2708"/>
      <c r="U41" s="2708"/>
      <c r="V41" s="2708"/>
      <c r="W41" s="2708"/>
      <c r="X41" s="2708"/>
      <c r="Y41" s="2708"/>
      <c r="Z41" s="510"/>
      <c r="AA41" s="2659"/>
      <c r="AB41" s="2660"/>
      <c r="AC41" s="2660"/>
      <c r="AD41" s="2661"/>
      <c r="AE41" s="2713" t="s">
        <v>766</v>
      </c>
      <c r="AF41" s="2714"/>
      <c r="AG41" s="2714"/>
      <c r="AH41" s="2714"/>
      <c r="AI41" s="2714"/>
      <c r="AJ41" s="2714"/>
      <c r="AK41" s="2714"/>
      <c r="AL41" s="2714"/>
      <c r="AM41" s="2714"/>
      <c r="AN41" s="2714"/>
      <c r="AV41" s="510"/>
      <c r="AW41" s="510"/>
      <c r="AX41" s="510"/>
      <c r="AY41" s="510"/>
      <c r="AZ41" s="510"/>
      <c r="BA41" s="510"/>
      <c r="BB41" s="510"/>
      <c r="BC41" s="510"/>
      <c r="BD41" s="510"/>
      <c r="BE41" s="510"/>
      <c r="BF41" s="2708"/>
      <c r="BG41" s="2708"/>
      <c r="BH41" s="2708"/>
      <c r="BI41" s="2708"/>
      <c r="BJ41" s="2708"/>
      <c r="BK41" s="2708"/>
      <c r="BL41" s="2708"/>
      <c r="BM41" s="2708"/>
      <c r="BN41" s="2662"/>
      <c r="BO41" s="2663"/>
      <c r="BP41" s="2663"/>
      <c r="BQ41" s="2663"/>
      <c r="BR41" s="2663"/>
      <c r="BS41" s="2663"/>
      <c r="BT41" s="2663"/>
      <c r="BU41" s="2663"/>
      <c r="BV41" s="2663"/>
      <c r="BW41" s="2663"/>
      <c r="BX41" s="2663"/>
      <c r="BY41" s="2663"/>
      <c r="BZ41" s="2663"/>
      <c r="CA41" s="2663"/>
      <c r="CB41" s="2663"/>
      <c r="CC41" s="2663"/>
      <c r="CD41" s="2664"/>
      <c r="CE41" s="501"/>
      <c r="CF41" s="501"/>
    </row>
    <row r="42" spans="2:84" s="500" customFormat="1" ht="3" customHeight="1">
      <c r="B42" s="509"/>
      <c r="C42" s="508"/>
      <c r="D42" s="508"/>
      <c r="E42" s="508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8"/>
      <c r="AI42" s="508"/>
      <c r="AJ42" s="508"/>
      <c r="AK42" s="508"/>
      <c r="AL42" s="508"/>
      <c r="AM42" s="508"/>
      <c r="AN42" s="508"/>
      <c r="AO42" s="508"/>
      <c r="AP42" s="508"/>
      <c r="AQ42" s="508"/>
      <c r="AR42" s="508"/>
      <c r="AS42" s="508"/>
      <c r="AT42" s="508"/>
      <c r="AU42" s="508"/>
      <c r="AV42" s="508"/>
      <c r="AW42" s="508"/>
      <c r="AX42" s="508"/>
      <c r="AY42" s="508"/>
      <c r="AZ42" s="508"/>
      <c r="BA42" s="508"/>
      <c r="BB42" s="508"/>
      <c r="BC42" s="508"/>
      <c r="BD42" s="508"/>
      <c r="BE42" s="508"/>
      <c r="BF42" s="508"/>
      <c r="BG42" s="507"/>
      <c r="BH42" s="507"/>
      <c r="BI42" s="507"/>
      <c r="BJ42" s="507"/>
      <c r="BK42" s="507"/>
      <c r="BL42" s="507"/>
      <c r="BM42" s="507"/>
      <c r="BN42" s="506"/>
      <c r="BO42" s="505"/>
      <c r="BP42" s="505"/>
      <c r="BQ42" s="505"/>
      <c r="BR42" s="505"/>
      <c r="BS42" s="505"/>
      <c r="BT42" s="505"/>
      <c r="BU42" s="505"/>
      <c r="BV42" s="505"/>
      <c r="BW42" s="505"/>
      <c r="BX42" s="505"/>
      <c r="BY42" s="505"/>
      <c r="BZ42" s="505"/>
      <c r="CA42" s="505"/>
      <c r="CB42" s="505"/>
      <c r="CC42" s="505"/>
      <c r="CD42" s="504"/>
      <c r="CE42" s="501"/>
      <c r="CF42" s="501"/>
    </row>
    <row r="43" spans="2:84" s="500" customFormat="1" ht="20.15" customHeight="1">
      <c r="B43" s="2744" t="s">
        <v>765</v>
      </c>
      <c r="C43" s="2745"/>
      <c r="D43" s="2745"/>
      <c r="E43" s="2745"/>
      <c r="F43" s="2745"/>
      <c r="G43" s="2745"/>
      <c r="H43" s="2745"/>
      <c r="I43" s="2745"/>
      <c r="J43" s="2745"/>
      <c r="K43" s="2745"/>
      <c r="L43" s="2745"/>
      <c r="M43" s="2745"/>
      <c r="N43" s="2745"/>
      <c r="O43" s="2745"/>
      <c r="P43" s="2745"/>
      <c r="Q43" s="2745"/>
      <c r="R43" s="2745"/>
      <c r="S43" s="2745"/>
      <c r="T43" s="2745"/>
      <c r="U43" s="503"/>
      <c r="V43" s="503"/>
      <c r="W43" s="503"/>
      <c r="X43" s="503"/>
      <c r="Y43" s="503"/>
      <c r="Z43" s="503"/>
      <c r="AA43" s="503"/>
      <c r="AB43" s="503"/>
      <c r="AC43" s="503"/>
      <c r="AD43" s="503"/>
      <c r="AE43" s="503"/>
      <c r="AF43" s="503"/>
      <c r="AG43" s="503"/>
      <c r="AH43" s="503"/>
      <c r="AI43" s="503"/>
      <c r="AJ43" s="503"/>
      <c r="AK43" s="503"/>
      <c r="AL43" s="503"/>
      <c r="AM43" s="503"/>
      <c r="AN43" s="503"/>
      <c r="AO43" s="503"/>
      <c r="AP43" s="503"/>
      <c r="AQ43" s="503"/>
      <c r="AR43" s="503"/>
      <c r="AS43" s="503"/>
      <c r="AT43" s="503"/>
      <c r="AU43" s="503"/>
      <c r="AV43" s="503"/>
      <c r="AW43" s="503"/>
      <c r="AX43" s="503"/>
      <c r="AY43" s="503"/>
      <c r="AZ43" s="503"/>
      <c r="BA43" s="503"/>
      <c r="BB43" s="503"/>
      <c r="BC43" s="503"/>
      <c r="BD43" s="503"/>
      <c r="BE43" s="503"/>
      <c r="BF43" s="503"/>
      <c r="BG43" s="502"/>
      <c r="BH43" s="502"/>
      <c r="BI43" s="502"/>
      <c r="BJ43" s="502"/>
      <c r="BK43" s="502"/>
      <c r="BL43" s="502"/>
      <c r="BM43" s="502"/>
      <c r="BN43" s="2735"/>
      <c r="BO43" s="2736"/>
      <c r="BP43" s="2736"/>
      <c r="BQ43" s="2736"/>
      <c r="BR43" s="2736"/>
      <c r="BS43" s="2736"/>
      <c r="BT43" s="2736"/>
      <c r="BU43" s="2736"/>
      <c r="BV43" s="2736"/>
      <c r="BW43" s="2736"/>
      <c r="BX43" s="2736"/>
      <c r="BY43" s="2736"/>
      <c r="BZ43" s="2736"/>
      <c r="CA43" s="2736"/>
      <c r="CB43" s="2736"/>
      <c r="CC43" s="2736"/>
      <c r="CD43" s="2737"/>
      <c r="CE43" s="501"/>
      <c r="CF43" s="501"/>
    </row>
    <row r="44" spans="2:84" s="449" customFormat="1" ht="20.15" customHeight="1">
      <c r="B44" s="2681" t="s">
        <v>621</v>
      </c>
      <c r="C44" s="2682"/>
      <c r="D44" s="2666" t="s">
        <v>764</v>
      </c>
      <c r="E44" s="490"/>
      <c r="F44" s="490"/>
      <c r="G44" s="490"/>
      <c r="H44" s="490"/>
      <c r="I44" s="490"/>
      <c r="J44" s="490"/>
      <c r="K44" s="490"/>
      <c r="L44" s="490"/>
      <c r="M44" s="490"/>
      <c r="N44" s="490"/>
      <c r="O44" s="490"/>
      <c r="P44" s="490"/>
      <c r="Q44" s="490"/>
      <c r="R44" s="490"/>
      <c r="S44" s="490"/>
      <c r="T44" s="490"/>
      <c r="U44" s="490"/>
      <c r="V44" s="490"/>
      <c r="W44" s="490"/>
      <c r="X44" s="490"/>
      <c r="Y44" s="490"/>
      <c r="Z44" s="490"/>
      <c r="AA44" s="490"/>
      <c r="AB44" s="490"/>
      <c r="AC44" s="490"/>
      <c r="AD44" s="490"/>
      <c r="AE44" s="490"/>
      <c r="AF44" s="490"/>
      <c r="AG44" s="490"/>
      <c r="AH44" s="490"/>
      <c r="AI44" s="490"/>
      <c r="AJ44" s="490"/>
      <c r="AK44" s="490"/>
      <c r="AL44" s="490"/>
      <c r="AM44" s="490"/>
      <c r="AN44" s="490"/>
      <c r="AO44" s="490"/>
      <c r="AP44" s="490"/>
      <c r="AQ44" s="490"/>
      <c r="AR44" s="490"/>
      <c r="AS44" s="490"/>
      <c r="AT44" s="490"/>
      <c r="AU44" s="490"/>
      <c r="AV44" s="490"/>
      <c r="AW44" s="490"/>
      <c r="AX44" s="490"/>
      <c r="AY44" s="490"/>
      <c r="AZ44" s="490"/>
      <c r="BA44" s="490"/>
      <c r="BB44" s="490"/>
      <c r="BC44" s="490"/>
      <c r="BD44" s="490"/>
      <c r="BE44" s="490"/>
      <c r="BF44" s="490"/>
      <c r="BG44" s="490"/>
      <c r="BH44" s="490"/>
      <c r="BI44" s="490"/>
      <c r="BJ44" s="490"/>
      <c r="BK44" s="490"/>
      <c r="BL44" s="490"/>
      <c r="BM44" s="2667"/>
      <c r="BN44" s="2633">
        <f>'GENERAL INFO'!G118</f>
        <v>0</v>
      </c>
      <c r="BO44" s="2634"/>
      <c r="BP44" s="2634"/>
      <c r="BQ44" s="2634"/>
      <c r="BR44" s="2634"/>
      <c r="BS44" s="2634"/>
      <c r="BT44" s="2634"/>
      <c r="BU44" s="2634"/>
      <c r="BV44" s="2634"/>
      <c r="BW44" s="2634"/>
      <c r="BX44" s="2634"/>
      <c r="BY44" s="2634"/>
      <c r="BZ44" s="2634"/>
      <c r="CA44" s="2634"/>
      <c r="CB44" s="2634"/>
      <c r="CC44" s="2634"/>
      <c r="CD44" s="610"/>
      <c r="CE44" s="450"/>
      <c r="CF44" s="450"/>
    </row>
    <row r="45" spans="2:84" s="449" customFormat="1" ht="20.15" customHeight="1">
      <c r="B45" s="2681" t="s">
        <v>622</v>
      </c>
      <c r="C45" s="2682"/>
      <c r="D45" s="2684" t="s">
        <v>763</v>
      </c>
      <c r="E45" s="491"/>
      <c r="F45" s="491"/>
      <c r="G45" s="491"/>
      <c r="H45" s="491"/>
      <c r="I45" s="491"/>
      <c r="J45" s="491"/>
      <c r="K45" s="491"/>
      <c r="L45" s="491"/>
      <c r="M45" s="491"/>
      <c r="N45" s="491"/>
      <c r="O45" s="491"/>
      <c r="P45" s="491"/>
      <c r="Q45" s="491"/>
      <c r="R45" s="491"/>
      <c r="S45" s="491"/>
      <c r="T45" s="491"/>
      <c r="U45" s="491"/>
      <c r="V45" s="491"/>
      <c r="W45" s="491"/>
      <c r="X45" s="491"/>
      <c r="Y45" s="491"/>
      <c r="Z45" s="491"/>
      <c r="AA45" s="491"/>
      <c r="AB45" s="491"/>
      <c r="AC45" s="491"/>
      <c r="AD45" s="491"/>
      <c r="AE45" s="491"/>
      <c r="AF45" s="491"/>
      <c r="AG45" s="491"/>
      <c r="AH45" s="491"/>
      <c r="AI45" s="491"/>
      <c r="AJ45" s="491"/>
      <c r="AK45" s="491"/>
      <c r="AL45" s="491"/>
      <c r="AM45" s="491"/>
      <c r="AN45" s="495"/>
      <c r="AO45" s="495"/>
      <c r="AP45" s="495"/>
      <c r="AQ45" s="495"/>
      <c r="AR45" s="495"/>
      <c r="AS45" s="495"/>
      <c r="AT45" s="495"/>
      <c r="AU45" s="495"/>
      <c r="AV45" s="495"/>
      <c r="AW45" s="495"/>
      <c r="AX45" s="495"/>
      <c r="AY45" s="495"/>
      <c r="AZ45" s="495"/>
      <c r="BA45" s="495"/>
      <c r="BB45" s="495"/>
      <c r="BC45" s="495"/>
      <c r="BD45" s="495"/>
      <c r="BE45" s="495"/>
      <c r="BF45" s="495"/>
      <c r="BG45" s="495"/>
      <c r="BH45" s="495"/>
      <c r="BI45" s="495"/>
      <c r="BJ45" s="495"/>
      <c r="BK45" s="495"/>
      <c r="BL45" s="495"/>
      <c r="BM45" s="495"/>
      <c r="BN45" s="2633">
        <f>'GENERAL INFO'!G119</f>
        <v>0</v>
      </c>
      <c r="BO45" s="2634"/>
      <c r="BP45" s="2634"/>
      <c r="BQ45" s="2634"/>
      <c r="BR45" s="2634"/>
      <c r="BS45" s="2634"/>
      <c r="BT45" s="2634"/>
      <c r="BU45" s="2634"/>
      <c r="BV45" s="2634"/>
      <c r="BW45" s="2634"/>
      <c r="BX45" s="2634"/>
      <c r="BY45" s="2634"/>
      <c r="BZ45" s="2634"/>
      <c r="CA45" s="2634"/>
      <c r="CB45" s="2634"/>
      <c r="CC45" s="2634"/>
      <c r="CD45" s="611"/>
      <c r="CE45" s="450"/>
      <c r="CF45" s="450"/>
    </row>
    <row r="46" spans="2:84" s="449" customFormat="1" ht="20.15" customHeight="1">
      <c r="B46" s="2681" t="s">
        <v>623</v>
      </c>
      <c r="C46" s="2682"/>
      <c r="D46" s="2684" t="s">
        <v>762</v>
      </c>
      <c r="E46" s="491"/>
      <c r="F46" s="491"/>
      <c r="G46" s="491"/>
      <c r="H46" s="491"/>
      <c r="I46" s="491"/>
      <c r="J46" s="491"/>
      <c r="K46" s="491"/>
      <c r="L46" s="491"/>
      <c r="M46" s="491"/>
      <c r="N46" s="491"/>
      <c r="O46" s="491"/>
      <c r="P46" s="491"/>
      <c r="Q46" s="491"/>
      <c r="R46" s="491"/>
      <c r="S46" s="491"/>
      <c r="T46" s="491"/>
      <c r="U46" s="491"/>
      <c r="V46" s="491"/>
      <c r="W46" s="491"/>
      <c r="X46" s="491"/>
      <c r="Y46" s="491"/>
      <c r="Z46" s="491"/>
      <c r="AA46" s="491"/>
      <c r="AB46" s="491"/>
      <c r="AC46" s="491"/>
      <c r="AD46" s="491"/>
      <c r="AE46" s="491"/>
      <c r="AF46" s="491"/>
      <c r="AG46" s="491"/>
      <c r="AH46" s="491"/>
      <c r="AI46" s="491"/>
      <c r="AJ46" s="491"/>
      <c r="AK46" s="491"/>
      <c r="AL46" s="491"/>
      <c r="AM46" s="491"/>
      <c r="AN46" s="491"/>
      <c r="AO46" s="491"/>
      <c r="AP46" s="491"/>
      <c r="AQ46" s="491"/>
      <c r="AR46" s="491"/>
      <c r="AS46" s="491"/>
      <c r="AT46" s="491"/>
      <c r="AU46" s="491"/>
      <c r="AV46" s="491"/>
      <c r="AW46" s="499"/>
      <c r="AX46" s="495"/>
      <c r="AY46" s="495"/>
      <c r="AZ46" s="495"/>
      <c r="BA46" s="495"/>
      <c r="BB46" s="495"/>
      <c r="BC46" s="495"/>
      <c r="BD46" s="495"/>
      <c r="BE46" s="495"/>
      <c r="BF46" s="495"/>
      <c r="BG46" s="495"/>
      <c r="BH46" s="495"/>
      <c r="BI46" s="495"/>
      <c r="BJ46" s="495"/>
      <c r="BK46" s="495"/>
      <c r="BL46" s="495"/>
      <c r="BM46" s="495"/>
      <c r="BN46" s="2633">
        <f>'GENERAL INFO'!G120</f>
        <v>0</v>
      </c>
      <c r="BO46" s="2634"/>
      <c r="BP46" s="2634"/>
      <c r="BQ46" s="2634"/>
      <c r="BR46" s="2634"/>
      <c r="BS46" s="2634"/>
      <c r="BT46" s="2634"/>
      <c r="BU46" s="2634"/>
      <c r="BV46" s="2634"/>
      <c r="BW46" s="2634"/>
      <c r="BX46" s="2634"/>
      <c r="BY46" s="2634"/>
      <c r="BZ46" s="2634"/>
      <c r="CA46" s="2634"/>
      <c r="CB46" s="2634"/>
      <c r="CC46" s="2634"/>
      <c r="CD46" s="611"/>
      <c r="CE46" s="450"/>
      <c r="CF46" s="450"/>
    </row>
    <row r="47" spans="2:84" s="449" customFormat="1" ht="20.15" customHeight="1">
      <c r="B47" s="2681" t="s">
        <v>624</v>
      </c>
      <c r="C47" s="2682"/>
      <c r="D47" s="2684" t="s">
        <v>761</v>
      </c>
      <c r="E47" s="491"/>
      <c r="F47" s="491"/>
      <c r="G47" s="491"/>
      <c r="H47" s="491"/>
      <c r="I47" s="491"/>
      <c r="J47" s="491"/>
      <c r="K47" s="491"/>
      <c r="L47" s="491"/>
      <c r="M47" s="491"/>
      <c r="N47" s="491"/>
      <c r="O47" s="491"/>
      <c r="P47" s="491"/>
      <c r="Q47" s="491"/>
      <c r="R47" s="491"/>
      <c r="S47" s="491"/>
      <c r="T47" s="491"/>
      <c r="U47" s="491"/>
      <c r="V47" s="491"/>
      <c r="W47" s="491"/>
      <c r="X47" s="491"/>
      <c r="Y47" s="491"/>
      <c r="Z47" s="491"/>
      <c r="AA47" s="491"/>
      <c r="AB47" s="491"/>
      <c r="AC47" s="491"/>
      <c r="AD47" s="491"/>
      <c r="AE47" s="491"/>
      <c r="AF47" s="491"/>
      <c r="AG47" s="491"/>
      <c r="AH47" s="491"/>
      <c r="AI47" s="491"/>
      <c r="AJ47" s="491"/>
      <c r="AK47" s="491"/>
      <c r="AL47" s="491"/>
      <c r="AM47" s="491"/>
      <c r="AN47" s="491"/>
      <c r="AO47" s="491"/>
      <c r="AP47" s="491"/>
      <c r="AQ47" s="491"/>
      <c r="AR47" s="491"/>
      <c r="AS47" s="491"/>
      <c r="AT47" s="491"/>
      <c r="AU47" s="491"/>
      <c r="AV47" s="491"/>
      <c r="AW47" s="491"/>
      <c r="AX47" s="491"/>
      <c r="AY47" s="491"/>
      <c r="AZ47" s="491"/>
      <c r="BA47" s="491"/>
      <c r="BB47" s="491"/>
      <c r="BC47" s="491"/>
      <c r="BD47" s="491"/>
      <c r="BE47" s="491"/>
      <c r="BF47" s="491"/>
      <c r="BG47" s="491"/>
      <c r="BH47" s="491"/>
      <c r="BI47" s="491"/>
      <c r="BJ47" s="491"/>
      <c r="BK47" s="491"/>
      <c r="BL47" s="491"/>
      <c r="BM47" s="2687"/>
      <c r="BN47" s="2633">
        <f>'GENERAL INFO'!G121</f>
        <v>0</v>
      </c>
      <c r="BO47" s="2634"/>
      <c r="BP47" s="2634"/>
      <c r="BQ47" s="2634"/>
      <c r="BR47" s="2634"/>
      <c r="BS47" s="2634"/>
      <c r="BT47" s="2634"/>
      <c r="BU47" s="2634"/>
      <c r="BV47" s="2634"/>
      <c r="BW47" s="2634"/>
      <c r="BX47" s="2634"/>
      <c r="BY47" s="2634"/>
      <c r="BZ47" s="2634"/>
      <c r="CA47" s="2634"/>
      <c r="CB47" s="2634"/>
      <c r="CC47" s="2634"/>
      <c r="CD47" s="611"/>
      <c r="CE47" s="450"/>
      <c r="CF47" s="450"/>
    </row>
    <row r="48" spans="2:84" s="449" customFormat="1" ht="20.15" customHeight="1">
      <c r="B48" s="2681" t="s">
        <v>625</v>
      </c>
      <c r="C48" s="2682"/>
      <c r="D48" s="2684" t="s">
        <v>760</v>
      </c>
      <c r="E48" s="491"/>
      <c r="F48" s="491"/>
      <c r="G48" s="491"/>
      <c r="H48" s="491"/>
      <c r="I48" s="491"/>
      <c r="J48" s="491"/>
      <c r="K48" s="491"/>
      <c r="L48" s="491"/>
      <c r="M48" s="491"/>
      <c r="N48" s="491"/>
      <c r="O48" s="491"/>
      <c r="P48" s="491"/>
      <c r="Q48" s="491"/>
      <c r="R48" s="491"/>
      <c r="S48" s="491"/>
      <c r="T48" s="491"/>
      <c r="U48" s="491"/>
      <c r="V48" s="491"/>
      <c r="W48" s="491"/>
      <c r="X48" s="491"/>
      <c r="Y48" s="491"/>
      <c r="Z48" s="491"/>
      <c r="AA48" s="491"/>
      <c r="AB48" s="491"/>
      <c r="AC48" s="491"/>
      <c r="AD48" s="491"/>
      <c r="AE48" s="491"/>
      <c r="AF48" s="491"/>
      <c r="AG48" s="491"/>
      <c r="AH48" s="491"/>
      <c r="AI48" s="491"/>
      <c r="AJ48" s="491"/>
      <c r="AK48" s="491"/>
      <c r="AL48" s="491"/>
      <c r="AM48" s="491"/>
      <c r="AN48" s="491"/>
      <c r="AO48" s="491"/>
      <c r="AP48" s="491"/>
      <c r="AQ48" s="491"/>
      <c r="AR48" s="491"/>
      <c r="AS48" s="491"/>
      <c r="AT48" s="491"/>
      <c r="AU48" s="491"/>
      <c r="AV48" s="491"/>
      <c r="AW48" s="491"/>
      <c r="AX48" s="491"/>
      <c r="AY48" s="491"/>
      <c r="AZ48" s="491"/>
      <c r="BA48" s="491"/>
      <c r="BB48" s="491"/>
      <c r="BC48" s="491"/>
      <c r="BD48" s="491"/>
      <c r="BE48" s="491"/>
      <c r="BF48" s="491"/>
      <c r="BG48" s="491"/>
      <c r="BH48" s="491"/>
      <c r="BI48" s="491"/>
      <c r="BJ48" s="491"/>
      <c r="BK48" s="491"/>
      <c r="BL48" s="491"/>
      <c r="BM48" s="2687"/>
      <c r="BN48" s="2633">
        <f>'GENERAL INFO'!G122</f>
        <v>0</v>
      </c>
      <c r="BO48" s="2634"/>
      <c r="BP48" s="2634"/>
      <c r="BQ48" s="2634"/>
      <c r="BR48" s="2634"/>
      <c r="BS48" s="2634"/>
      <c r="BT48" s="2634"/>
      <c r="BU48" s="2634"/>
      <c r="BV48" s="2634"/>
      <c r="BW48" s="2634"/>
      <c r="BX48" s="2634"/>
      <c r="BY48" s="2634"/>
      <c r="BZ48" s="2634"/>
      <c r="CA48" s="2634"/>
      <c r="CB48" s="2634"/>
      <c r="CC48" s="2634"/>
      <c r="CD48" s="611"/>
      <c r="CE48" s="450"/>
      <c r="CF48" s="450"/>
    </row>
    <row r="49" spans="2:84" s="449" customFormat="1" ht="20.15" customHeight="1">
      <c r="B49" s="2681" t="s">
        <v>626</v>
      </c>
      <c r="C49" s="2682"/>
      <c r="D49" s="2684" t="s">
        <v>759</v>
      </c>
      <c r="E49" s="2685"/>
      <c r="F49" s="2685"/>
      <c r="G49" s="2685"/>
      <c r="H49" s="2685"/>
      <c r="I49" s="2685"/>
      <c r="J49" s="2685"/>
      <c r="K49" s="2685"/>
      <c r="L49" s="2685"/>
      <c r="M49" s="2685"/>
      <c r="N49" s="2685"/>
      <c r="O49" s="2685"/>
      <c r="P49" s="2685"/>
      <c r="Q49" s="2685"/>
      <c r="R49" s="2685"/>
      <c r="S49" s="2685"/>
      <c r="T49" s="2685"/>
      <c r="U49" s="2685"/>
      <c r="V49" s="2685"/>
      <c r="W49" s="2685"/>
      <c r="X49" s="2685"/>
      <c r="Y49" s="2685"/>
      <c r="Z49" s="2685"/>
      <c r="AA49" s="2685"/>
      <c r="AB49" s="2685"/>
      <c r="AC49" s="2685"/>
      <c r="AD49" s="2685"/>
      <c r="AE49" s="2685"/>
      <c r="AF49" s="2685"/>
      <c r="AG49" s="2685"/>
      <c r="AH49" s="2685"/>
      <c r="AI49" s="2685"/>
      <c r="AJ49" s="2685"/>
      <c r="AK49" s="2685"/>
      <c r="AL49" s="2685"/>
      <c r="AM49" s="2685"/>
      <c r="AN49" s="2685"/>
      <c r="AO49" s="2685"/>
      <c r="AP49" s="2685"/>
      <c r="AQ49" s="2685"/>
      <c r="AR49" s="2685"/>
      <c r="AS49" s="2685"/>
      <c r="AT49" s="2685"/>
      <c r="AU49" s="2685"/>
      <c r="AV49" s="2685"/>
      <c r="AW49" s="2685"/>
      <c r="AX49" s="2685"/>
      <c r="AY49" s="2685"/>
      <c r="AZ49" s="2685"/>
      <c r="BA49" s="2685"/>
      <c r="BB49" s="2685"/>
      <c r="BC49" s="2685"/>
      <c r="BD49" s="2685"/>
      <c r="BE49" s="2685"/>
      <c r="BF49" s="2685"/>
      <c r="BG49" s="2685"/>
      <c r="BH49" s="2685"/>
      <c r="BI49" s="2685"/>
      <c r="BJ49" s="2685"/>
      <c r="BK49" s="2685"/>
      <c r="BL49" s="2685"/>
      <c r="BM49" s="2686"/>
      <c r="BN49" s="2633">
        <f>'GENERAL INFO'!G123</f>
        <v>0</v>
      </c>
      <c r="BO49" s="2634"/>
      <c r="BP49" s="2634"/>
      <c r="BQ49" s="2634"/>
      <c r="BR49" s="2634"/>
      <c r="BS49" s="2634"/>
      <c r="BT49" s="2634"/>
      <c r="BU49" s="2634"/>
      <c r="BV49" s="2634"/>
      <c r="BW49" s="2634"/>
      <c r="BX49" s="2634"/>
      <c r="BY49" s="2634"/>
      <c r="BZ49" s="2634"/>
      <c r="CA49" s="2634"/>
      <c r="CB49" s="2634"/>
      <c r="CC49" s="2634"/>
      <c r="CD49" s="611"/>
      <c r="CE49" s="450"/>
      <c r="CF49" s="450"/>
    </row>
    <row r="50" spans="2:84" s="449" customFormat="1" ht="25.5" customHeight="1">
      <c r="B50" s="2681" t="s">
        <v>629</v>
      </c>
      <c r="C50" s="2682"/>
      <c r="D50" s="2666" t="s">
        <v>758</v>
      </c>
      <c r="E50" s="490"/>
      <c r="F50" s="490"/>
      <c r="G50" s="490"/>
      <c r="H50" s="490"/>
      <c r="I50" s="490"/>
      <c r="J50" s="490"/>
      <c r="K50" s="490"/>
      <c r="L50" s="490"/>
      <c r="M50" s="490"/>
      <c r="N50" s="490"/>
      <c r="O50" s="490"/>
      <c r="P50" s="490"/>
      <c r="Q50" s="490"/>
      <c r="R50" s="490"/>
      <c r="S50" s="490"/>
      <c r="T50" s="490"/>
      <c r="U50" s="490"/>
      <c r="V50" s="490"/>
      <c r="W50" s="490"/>
      <c r="X50" s="490"/>
      <c r="Y50" s="490"/>
      <c r="Z50" s="490"/>
      <c r="AA50" s="490"/>
      <c r="AB50" s="490"/>
      <c r="AC50" s="490"/>
      <c r="AD50" s="490"/>
      <c r="AE50" s="490"/>
      <c r="AF50" s="490"/>
      <c r="AG50" s="490"/>
      <c r="AH50" s="490"/>
      <c r="AI50" s="490"/>
      <c r="AJ50" s="490"/>
      <c r="AK50" s="490"/>
      <c r="AL50" s="490"/>
      <c r="AM50" s="490"/>
      <c r="AN50" s="490"/>
      <c r="AO50" s="490"/>
      <c r="AP50" s="490"/>
      <c r="AQ50" s="490"/>
      <c r="AR50" s="490"/>
      <c r="AS50" s="490"/>
      <c r="AT50" s="490"/>
      <c r="AU50" s="490"/>
      <c r="AV50" s="490"/>
      <c r="AW50" s="490"/>
      <c r="AX50" s="490"/>
      <c r="AY50" s="490"/>
      <c r="AZ50" s="495"/>
      <c r="BA50" s="495"/>
      <c r="BB50" s="495"/>
      <c r="BC50" s="495"/>
      <c r="BD50" s="495"/>
      <c r="BE50" s="495"/>
      <c r="BF50" s="498"/>
      <c r="BG50" s="495"/>
      <c r="BH50" s="495"/>
      <c r="BI50" s="495"/>
      <c r="BJ50" s="495"/>
      <c r="BK50" s="498"/>
      <c r="BL50" s="495"/>
      <c r="BM50" s="495"/>
      <c r="BN50" s="2633">
        <f>'GENERAL INFO'!G124</f>
        <v>0</v>
      </c>
      <c r="BO50" s="2634"/>
      <c r="BP50" s="2634"/>
      <c r="BQ50" s="2634"/>
      <c r="BR50" s="2634"/>
      <c r="BS50" s="2634"/>
      <c r="BT50" s="2634"/>
      <c r="BU50" s="2634"/>
      <c r="BV50" s="2634"/>
      <c r="BW50" s="2634"/>
      <c r="BX50" s="2634"/>
      <c r="BY50" s="2634"/>
      <c r="BZ50" s="2634"/>
      <c r="CA50" s="2634"/>
      <c r="CB50" s="2634"/>
      <c r="CC50" s="2634"/>
      <c r="CD50" s="611"/>
      <c r="CE50" s="450"/>
      <c r="CF50" s="450"/>
    </row>
    <row r="51" spans="2:84" s="449" customFormat="1" ht="20.15" customHeight="1">
      <c r="B51" s="2690" t="s">
        <v>630</v>
      </c>
      <c r="C51" s="2691"/>
      <c r="D51" s="2666" t="s">
        <v>757</v>
      </c>
      <c r="E51" s="490"/>
      <c r="F51" s="490"/>
      <c r="G51" s="490"/>
      <c r="H51" s="490"/>
      <c r="I51" s="490"/>
      <c r="J51" s="490"/>
      <c r="K51" s="490"/>
      <c r="L51" s="490"/>
      <c r="M51" s="490"/>
      <c r="N51" s="490"/>
      <c r="O51" s="490"/>
      <c r="P51" s="490"/>
      <c r="Q51" s="490"/>
      <c r="R51" s="490"/>
      <c r="S51" s="490"/>
      <c r="T51" s="490"/>
      <c r="U51" s="490"/>
      <c r="V51" s="490"/>
      <c r="W51" s="490"/>
      <c r="X51" s="490"/>
      <c r="Y51" s="490"/>
      <c r="Z51" s="490"/>
      <c r="AA51" s="490"/>
      <c r="AB51" s="490"/>
      <c r="AC51" s="490"/>
      <c r="AD51" s="490"/>
      <c r="AE51" s="490"/>
      <c r="AF51" s="490"/>
      <c r="AG51" s="490"/>
      <c r="AH51" s="490"/>
      <c r="AI51" s="490"/>
      <c r="AJ51" s="490"/>
      <c r="AK51" s="490"/>
      <c r="AL51" s="490"/>
      <c r="AM51" s="490"/>
      <c r="AN51" s="490"/>
      <c r="AO51" s="490"/>
      <c r="AP51" s="490"/>
      <c r="AQ51" s="490"/>
      <c r="AR51" s="490"/>
      <c r="AS51" s="492"/>
      <c r="AT51" s="492"/>
      <c r="AU51" s="492"/>
      <c r="AV51" s="492"/>
      <c r="AW51" s="495"/>
      <c r="AX51" s="495"/>
      <c r="AY51" s="496"/>
      <c r="AZ51" s="496"/>
      <c r="BA51" s="496"/>
      <c r="BB51" s="496"/>
      <c r="BC51" s="496"/>
      <c r="BD51" s="496"/>
      <c r="BE51" s="496"/>
      <c r="BF51" s="496"/>
      <c r="BG51" s="496"/>
      <c r="BH51" s="496"/>
      <c r="BI51" s="496"/>
      <c r="BJ51" s="496"/>
      <c r="BK51" s="495"/>
      <c r="BL51" s="495"/>
      <c r="BM51" s="495"/>
      <c r="BN51" s="2633">
        <f>'GENERAL INFO'!G125</f>
        <v>0</v>
      </c>
      <c r="BO51" s="2634"/>
      <c r="BP51" s="2634"/>
      <c r="BQ51" s="2634"/>
      <c r="BR51" s="2634"/>
      <c r="BS51" s="2634"/>
      <c r="BT51" s="2634"/>
      <c r="BU51" s="2634"/>
      <c r="BV51" s="2634"/>
      <c r="BW51" s="2634"/>
      <c r="BX51" s="2634"/>
      <c r="BY51" s="2634"/>
      <c r="BZ51" s="2634"/>
      <c r="CA51" s="2634"/>
      <c r="CB51" s="2634"/>
      <c r="CC51" s="2634"/>
      <c r="CD51" s="611"/>
      <c r="CE51" s="450"/>
      <c r="CF51" s="450"/>
    </row>
    <row r="52" spans="2:84" s="449" customFormat="1" ht="20.15" customHeight="1">
      <c r="B52" s="2688" t="s">
        <v>756</v>
      </c>
      <c r="C52" s="2689"/>
      <c r="D52" s="2689"/>
      <c r="E52" s="2689"/>
      <c r="F52" s="2689"/>
      <c r="G52" s="2689"/>
      <c r="H52" s="2689"/>
      <c r="I52" s="2689"/>
      <c r="J52" s="2689"/>
      <c r="K52" s="2689"/>
      <c r="L52" s="2689"/>
      <c r="M52" s="2689"/>
      <c r="N52" s="2689"/>
      <c r="O52" s="2689"/>
      <c r="P52" s="497"/>
      <c r="Q52" s="497"/>
      <c r="R52" s="497"/>
      <c r="S52" s="497"/>
      <c r="T52" s="497"/>
      <c r="U52" s="497"/>
      <c r="V52" s="497"/>
      <c r="W52" s="497"/>
      <c r="X52" s="497"/>
      <c r="Y52" s="497"/>
      <c r="Z52" s="497"/>
      <c r="AA52" s="497"/>
      <c r="AB52" s="497"/>
      <c r="AC52" s="497"/>
      <c r="AD52" s="497"/>
      <c r="AE52" s="497"/>
      <c r="AF52" s="497"/>
      <c r="AG52" s="497"/>
      <c r="AH52" s="497"/>
      <c r="AI52" s="497"/>
      <c r="AJ52" s="497"/>
      <c r="AK52" s="497"/>
      <c r="AL52" s="497"/>
      <c r="AM52" s="497"/>
      <c r="AN52" s="495"/>
      <c r="AO52" s="495"/>
      <c r="AP52" s="495"/>
      <c r="AQ52" s="495"/>
      <c r="AR52" s="495"/>
      <c r="AS52" s="495"/>
      <c r="AT52" s="495"/>
      <c r="AU52" s="495"/>
      <c r="AV52" s="495"/>
      <c r="AW52" s="495"/>
      <c r="AX52" s="495"/>
      <c r="AY52" s="496"/>
      <c r="AZ52" s="496"/>
      <c r="BA52" s="496"/>
      <c r="BB52" s="496"/>
      <c r="BC52" s="496"/>
      <c r="BD52" s="496"/>
      <c r="BE52" s="496"/>
      <c r="BF52" s="496"/>
      <c r="BG52" s="496"/>
      <c r="BH52" s="496"/>
      <c r="BI52" s="496"/>
      <c r="BJ52" s="496"/>
      <c r="BK52" s="495"/>
      <c r="BL52" s="495"/>
      <c r="BM52" s="495"/>
      <c r="BN52" s="2645"/>
      <c r="BO52" s="2646"/>
      <c r="BP52" s="2646"/>
      <c r="BQ52" s="2646"/>
      <c r="BR52" s="2646"/>
      <c r="BS52" s="2646"/>
      <c r="BT52" s="2646"/>
      <c r="BU52" s="2646"/>
      <c r="BV52" s="2646"/>
      <c r="BW52" s="2646"/>
      <c r="BX52" s="2646"/>
      <c r="BY52" s="2646"/>
      <c r="BZ52" s="2646"/>
      <c r="CA52" s="2646"/>
      <c r="CB52" s="2646"/>
      <c r="CC52" s="2646"/>
      <c r="CD52" s="2647"/>
      <c r="CE52" s="450"/>
      <c r="CF52" s="450"/>
    </row>
    <row r="53" spans="2:84" s="449" customFormat="1" ht="20.15" customHeight="1">
      <c r="B53" s="2681" t="s">
        <v>631</v>
      </c>
      <c r="C53" s="2682"/>
      <c r="D53" s="2666" t="s">
        <v>755</v>
      </c>
      <c r="E53" s="490"/>
      <c r="F53" s="490"/>
      <c r="G53" s="490"/>
      <c r="H53" s="490"/>
      <c r="I53" s="490"/>
      <c r="J53" s="490"/>
      <c r="K53" s="490"/>
      <c r="L53" s="490"/>
      <c r="M53" s="490"/>
      <c r="N53" s="490"/>
      <c r="O53" s="490"/>
      <c r="P53" s="490"/>
      <c r="Q53" s="490"/>
      <c r="R53" s="490"/>
      <c r="S53" s="490"/>
      <c r="T53" s="490"/>
      <c r="U53" s="490"/>
      <c r="V53" s="490"/>
      <c r="W53" s="490"/>
      <c r="X53" s="490"/>
      <c r="Y53" s="490"/>
      <c r="Z53" s="490"/>
      <c r="AA53" s="490"/>
      <c r="AB53" s="490"/>
      <c r="AC53" s="490"/>
      <c r="AD53" s="490"/>
      <c r="AE53" s="490"/>
      <c r="AF53" s="490"/>
      <c r="AG53" s="490"/>
      <c r="AH53" s="490"/>
      <c r="AI53" s="490"/>
      <c r="AJ53" s="490"/>
      <c r="AK53" s="490"/>
      <c r="AL53" s="490"/>
      <c r="AM53" s="490"/>
      <c r="AN53" s="490"/>
      <c r="AO53" s="490"/>
      <c r="AP53" s="490"/>
      <c r="AQ53" s="490"/>
      <c r="AR53" s="490"/>
      <c r="AS53" s="490"/>
      <c r="AT53" s="495"/>
      <c r="AU53" s="495"/>
      <c r="AV53" s="495"/>
      <c r="AW53" s="495"/>
      <c r="AX53" s="495"/>
      <c r="AY53" s="495"/>
      <c r="AZ53" s="495"/>
      <c r="BA53" s="495"/>
      <c r="BB53" s="495"/>
      <c r="BC53" s="495"/>
      <c r="BD53" s="495"/>
      <c r="BE53" s="495"/>
      <c r="BF53" s="495"/>
      <c r="BG53" s="495"/>
      <c r="BH53" s="495"/>
      <c r="BI53" s="495"/>
      <c r="BJ53" s="495"/>
      <c r="BK53" s="495"/>
      <c r="BL53" s="495"/>
      <c r="BM53" s="495"/>
      <c r="BN53" s="2633">
        <f>'GENERAL INFO'!G128</f>
        <v>0</v>
      </c>
      <c r="BO53" s="2634"/>
      <c r="BP53" s="2634"/>
      <c r="BQ53" s="2634"/>
      <c r="BR53" s="2634"/>
      <c r="BS53" s="2634"/>
      <c r="BT53" s="2634"/>
      <c r="BU53" s="2634"/>
      <c r="BV53" s="2634"/>
      <c r="BW53" s="2634"/>
      <c r="BX53" s="2634"/>
      <c r="BY53" s="2634"/>
      <c r="BZ53" s="2634"/>
      <c r="CA53" s="2634"/>
      <c r="CB53" s="2634"/>
      <c r="CC53" s="2634"/>
      <c r="CD53" s="612"/>
      <c r="CE53" s="450"/>
      <c r="CF53" s="450"/>
    </row>
    <row r="54" spans="2:84" s="449" customFormat="1" ht="20.15" customHeight="1">
      <c r="B54" s="2681" t="s">
        <v>632</v>
      </c>
      <c r="C54" s="2682"/>
      <c r="D54" s="2666" t="s">
        <v>754</v>
      </c>
      <c r="E54" s="490"/>
      <c r="F54" s="490"/>
      <c r="G54" s="490"/>
      <c r="H54" s="490"/>
      <c r="I54" s="490"/>
      <c r="J54" s="490"/>
      <c r="K54" s="490"/>
      <c r="L54" s="490"/>
      <c r="M54" s="490"/>
      <c r="N54" s="490"/>
      <c r="O54" s="490"/>
      <c r="P54" s="490"/>
      <c r="Q54" s="490"/>
      <c r="R54" s="490"/>
      <c r="S54" s="490"/>
      <c r="T54" s="490"/>
      <c r="U54" s="490"/>
      <c r="V54" s="490"/>
      <c r="W54" s="490"/>
      <c r="X54" s="490"/>
      <c r="Y54" s="490"/>
      <c r="Z54" s="490"/>
      <c r="AA54" s="490"/>
      <c r="AB54" s="490"/>
      <c r="AC54" s="490"/>
      <c r="AD54" s="490"/>
      <c r="AE54" s="490"/>
      <c r="AF54" s="490"/>
      <c r="AG54" s="490"/>
      <c r="AH54" s="490"/>
      <c r="AI54" s="490"/>
      <c r="AJ54" s="490"/>
      <c r="AK54" s="490"/>
      <c r="AL54" s="490"/>
      <c r="AM54" s="490"/>
      <c r="AN54" s="490"/>
      <c r="AO54" s="490"/>
      <c r="AP54" s="490"/>
      <c r="AQ54" s="491"/>
      <c r="AR54" s="491"/>
      <c r="AS54" s="491"/>
      <c r="AT54" s="491"/>
      <c r="AU54" s="491"/>
      <c r="AV54" s="491"/>
      <c r="AW54" s="491"/>
      <c r="AX54" s="491"/>
      <c r="AY54" s="491"/>
      <c r="AZ54" s="491"/>
      <c r="BA54" s="491"/>
      <c r="BB54" s="491"/>
      <c r="BC54" s="491"/>
      <c r="BD54" s="491"/>
      <c r="BE54" s="491"/>
      <c r="BF54" s="494"/>
      <c r="BG54" s="494"/>
      <c r="BH54" s="494"/>
      <c r="BI54" s="494"/>
      <c r="BJ54" s="494"/>
      <c r="BK54" s="494"/>
      <c r="BL54" s="494"/>
      <c r="BM54" s="494"/>
      <c r="BN54" s="2633">
        <f>'GENERAL INFO'!G130</f>
        <v>0</v>
      </c>
      <c r="BO54" s="2634"/>
      <c r="BP54" s="2634"/>
      <c r="BQ54" s="2634"/>
      <c r="BR54" s="2634"/>
      <c r="BS54" s="2634"/>
      <c r="BT54" s="2634"/>
      <c r="BU54" s="2634"/>
      <c r="BV54" s="2634"/>
      <c r="BW54" s="2634"/>
      <c r="BX54" s="2634"/>
      <c r="BY54" s="2634"/>
      <c r="BZ54" s="2634"/>
      <c r="CA54" s="2634"/>
      <c r="CB54" s="2634"/>
      <c r="CC54" s="2634"/>
      <c r="CD54" s="612"/>
      <c r="CE54" s="450"/>
      <c r="CF54" s="450"/>
    </row>
    <row r="55" spans="2:84" s="449" customFormat="1" ht="20.15" customHeight="1">
      <c r="B55" s="2681" t="s">
        <v>633</v>
      </c>
      <c r="C55" s="2682"/>
      <c r="D55" s="2666" t="s">
        <v>753</v>
      </c>
      <c r="E55" s="490"/>
      <c r="F55" s="490"/>
      <c r="G55" s="490"/>
      <c r="H55" s="490"/>
      <c r="I55" s="490"/>
      <c r="J55" s="490"/>
      <c r="K55" s="490"/>
      <c r="L55" s="490"/>
      <c r="M55" s="490"/>
      <c r="N55" s="490"/>
      <c r="O55" s="490"/>
      <c r="P55" s="490"/>
      <c r="Q55" s="490"/>
      <c r="R55" s="490"/>
      <c r="S55" s="490"/>
      <c r="T55" s="490"/>
      <c r="U55" s="490"/>
      <c r="V55" s="490"/>
      <c r="W55" s="490"/>
      <c r="X55" s="490"/>
      <c r="Y55" s="490"/>
      <c r="Z55" s="490"/>
      <c r="AA55" s="490"/>
      <c r="AB55" s="490"/>
      <c r="AC55" s="490"/>
      <c r="AD55" s="490"/>
      <c r="AE55" s="490"/>
      <c r="AF55" s="490"/>
      <c r="AG55" s="490"/>
      <c r="AH55" s="490"/>
      <c r="AI55" s="490"/>
      <c r="AJ55" s="490"/>
      <c r="AK55" s="490"/>
      <c r="AL55" s="490"/>
      <c r="AM55" s="490"/>
      <c r="AN55" s="490"/>
      <c r="AO55" s="490"/>
      <c r="AP55" s="490"/>
      <c r="AQ55" s="490"/>
      <c r="AR55" s="490"/>
      <c r="AS55" s="490"/>
      <c r="AT55" s="490"/>
      <c r="AU55" s="490"/>
      <c r="AV55" s="490"/>
      <c r="AW55" s="490"/>
      <c r="AX55" s="490"/>
      <c r="AY55" s="490"/>
      <c r="AZ55" s="490"/>
      <c r="BA55" s="490"/>
      <c r="BB55" s="490"/>
      <c r="BC55" s="490"/>
      <c r="BD55" s="490"/>
      <c r="BE55" s="490"/>
      <c r="BF55" s="493"/>
      <c r="BG55" s="493"/>
      <c r="BH55" s="493"/>
      <c r="BI55" s="493"/>
      <c r="BJ55" s="493"/>
      <c r="BK55" s="493"/>
      <c r="BL55" s="493"/>
      <c r="BM55" s="493"/>
      <c r="BN55" s="2633">
        <f>'GENERAL INFO'!G131</f>
        <v>0</v>
      </c>
      <c r="BO55" s="2634"/>
      <c r="BP55" s="2634"/>
      <c r="BQ55" s="2634"/>
      <c r="BR55" s="2634"/>
      <c r="BS55" s="2634"/>
      <c r="BT55" s="2634"/>
      <c r="BU55" s="2634"/>
      <c r="BV55" s="2634"/>
      <c r="BW55" s="2634"/>
      <c r="BX55" s="2634"/>
      <c r="BY55" s="2634"/>
      <c r="BZ55" s="2634"/>
      <c r="CA55" s="2634"/>
      <c r="CB55" s="2634"/>
      <c r="CC55" s="2634"/>
      <c r="CD55" s="612"/>
      <c r="CE55" s="450"/>
      <c r="CF55" s="450"/>
    </row>
    <row r="56" spans="2:84" s="449" customFormat="1" ht="20.15" customHeight="1">
      <c r="B56" s="2688" t="s">
        <v>752</v>
      </c>
      <c r="C56" s="2689"/>
      <c r="D56" s="2689"/>
      <c r="E56" s="2689"/>
      <c r="F56" s="2689"/>
      <c r="G56" s="2689"/>
      <c r="H56" s="2689"/>
      <c r="I56" s="2689"/>
      <c r="J56" s="2689"/>
      <c r="K56" s="2689"/>
      <c r="L56" s="2689"/>
      <c r="M56" s="2689"/>
      <c r="N56" s="2689"/>
      <c r="O56" s="2689"/>
      <c r="P56" s="2689"/>
      <c r="Q56" s="2689"/>
      <c r="R56" s="2689"/>
      <c r="S56" s="2689"/>
      <c r="T56" s="2689"/>
      <c r="U56" s="2689"/>
      <c r="V56" s="2689"/>
      <c r="W56" s="2689"/>
      <c r="X56" s="492"/>
      <c r="Y56" s="492"/>
      <c r="Z56" s="492"/>
      <c r="AA56" s="492"/>
      <c r="AB56" s="492"/>
      <c r="AC56" s="492"/>
      <c r="AD56" s="492"/>
      <c r="AE56" s="492"/>
      <c r="AF56" s="492"/>
      <c r="AG56" s="492"/>
      <c r="AH56" s="492"/>
      <c r="AI56" s="492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  <c r="BA56" s="492"/>
      <c r="BB56" s="492"/>
      <c r="BC56" s="492"/>
      <c r="BD56" s="492"/>
      <c r="BE56" s="492"/>
      <c r="BF56" s="492"/>
      <c r="BG56" s="492"/>
      <c r="BH56" s="492"/>
      <c r="BI56" s="492"/>
      <c r="BJ56" s="492"/>
      <c r="BK56" s="492"/>
      <c r="BL56" s="492"/>
      <c r="BM56" s="492"/>
      <c r="BN56" s="2645"/>
      <c r="BO56" s="2646"/>
      <c r="BP56" s="2646"/>
      <c r="BQ56" s="2646"/>
      <c r="BR56" s="2646"/>
      <c r="BS56" s="2646"/>
      <c r="BT56" s="2646"/>
      <c r="BU56" s="2646"/>
      <c r="BV56" s="2646"/>
      <c r="BW56" s="2646"/>
      <c r="BX56" s="2646"/>
      <c r="BY56" s="2646"/>
      <c r="BZ56" s="2646"/>
      <c r="CA56" s="2646"/>
      <c r="CB56" s="2646"/>
      <c r="CC56" s="2646"/>
      <c r="CD56" s="2647"/>
      <c r="CE56" s="450"/>
      <c r="CF56" s="450"/>
    </row>
    <row r="57" spans="2:84" s="449" customFormat="1" ht="20.15" customHeight="1">
      <c r="B57" s="2681" t="s">
        <v>634</v>
      </c>
      <c r="C57" s="2682"/>
      <c r="D57" s="2666" t="s">
        <v>751</v>
      </c>
      <c r="E57" s="490"/>
      <c r="F57" s="490"/>
      <c r="G57" s="490"/>
      <c r="H57" s="490"/>
      <c r="I57" s="490"/>
      <c r="J57" s="490"/>
      <c r="K57" s="490"/>
      <c r="L57" s="490"/>
      <c r="M57" s="490"/>
      <c r="N57" s="490"/>
      <c r="O57" s="490"/>
      <c r="P57" s="490"/>
      <c r="Q57" s="490"/>
      <c r="R57" s="490"/>
      <c r="S57" s="490"/>
      <c r="T57" s="490"/>
      <c r="U57" s="490"/>
      <c r="V57" s="490"/>
      <c r="W57" s="490"/>
      <c r="X57" s="490"/>
      <c r="Y57" s="490"/>
      <c r="Z57" s="490"/>
      <c r="AA57" s="490"/>
      <c r="AB57" s="490"/>
      <c r="AC57" s="490"/>
      <c r="AD57" s="490"/>
      <c r="AE57" s="490"/>
      <c r="AF57" s="490"/>
      <c r="AG57" s="490"/>
      <c r="AH57" s="490"/>
      <c r="AI57" s="490"/>
      <c r="AJ57" s="490"/>
      <c r="AK57" s="490"/>
      <c r="AL57" s="490"/>
      <c r="AM57" s="490"/>
      <c r="AN57" s="490"/>
      <c r="AO57" s="490"/>
      <c r="AP57" s="490"/>
      <c r="AQ57" s="490"/>
      <c r="AR57" s="490"/>
      <c r="AS57" s="490"/>
      <c r="AT57" s="490"/>
      <c r="AU57" s="490"/>
      <c r="AV57" s="490"/>
      <c r="AW57" s="490"/>
      <c r="AX57" s="490"/>
      <c r="AY57" s="490"/>
      <c r="AZ57" s="490"/>
      <c r="BA57" s="490"/>
      <c r="BB57" s="490"/>
      <c r="BC57" s="490"/>
      <c r="BD57" s="490"/>
      <c r="BE57" s="490"/>
      <c r="BF57" s="491"/>
      <c r="BG57" s="491"/>
      <c r="BH57" s="491"/>
      <c r="BI57" s="491"/>
      <c r="BJ57" s="491"/>
      <c r="BK57" s="491"/>
      <c r="BL57" s="491"/>
      <c r="BM57" s="491"/>
      <c r="BN57" s="2649">
        <f>'GENERAL INFO'!G133</f>
        <v>0</v>
      </c>
      <c r="BO57" s="2650"/>
      <c r="BP57" s="2650"/>
      <c r="BQ57" s="2650"/>
      <c r="BR57" s="2650"/>
      <c r="BS57" s="2650"/>
      <c r="BT57" s="2650"/>
      <c r="BU57" s="2650"/>
      <c r="BV57" s="2650"/>
      <c r="BW57" s="2650"/>
      <c r="BX57" s="2650"/>
      <c r="BY57" s="2650"/>
      <c r="BZ57" s="2650"/>
      <c r="CA57" s="2650"/>
      <c r="CB57" s="2650"/>
      <c r="CC57" s="2650"/>
      <c r="CD57" s="611"/>
      <c r="CE57" s="450"/>
      <c r="CF57" s="450"/>
    </row>
    <row r="58" spans="2:84" s="449" customFormat="1" ht="20.15" customHeight="1">
      <c r="B58" s="2681" t="s">
        <v>635</v>
      </c>
      <c r="C58" s="2682"/>
      <c r="D58" s="2666" t="s">
        <v>750</v>
      </c>
      <c r="E58" s="490"/>
      <c r="F58" s="490"/>
      <c r="G58" s="490"/>
      <c r="H58" s="490"/>
      <c r="I58" s="490"/>
      <c r="J58" s="490"/>
      <c r="K58" s="490"/>
      <c r="L58" s="490"/>
      <c r="M58" s="490"/>
      <c r="N58" s="490"/>
      <c r="O58" s="490"/>
      <c r="P58" s="490"/>
      <c r="Q58" s="490"/>
      <c r="R58" s="490"/>
      <c r="S58" s="490"/>
      <c r="T58" s="490"/>
      <c r="U58" s="490"/>
      <c r="V58" s="490"/>
      <c r="W58" s="490"/>
      <c r="X58" s="490"/>
      <c r="Y58" s="490"/>
      <c r="Z58" s="490"/>
      <c r="AA58" s="490"/>
      <c r="AB58" s="490"/>
      <c r="AC58" s="490"/>
      <c r="AD58" s="490"/>
      <c r="AE58" s="490"/>
      <c r="AF58" s="490"/>
      <c r="AG58" s="490"/>
      <c r="AH58" s="490"/>
      <c r="AI58" s="490"/>
      <c r="AJ58" s="490"/>
      <c r="AK58" s="490"/>
      <c r="AL58" s="490"/>
      <c r="AM58" s="490"/>
      <c r="AN58" s="490"/>
      <c r="AO58" s="490"/>
      <c r="AP58" s="490"/>
      <c r="AQ58" s="490"/>
      <c r="AR58" s="490"/>
      <c r="AS58" s="490"/>
      <c r="AT58" s="490"/>
      <c r="AU58" s="490"/>
      <c r="AV58" s="490"/>
      <c r="AW58" s="490"/>
      <c r="AX58" s="490"/>
      <c r="AY58" s="490"/>
      <c r="AZ58" s="490"/>
      <c r="BA58" s="490"/>
      <c r="BB58" s="490"/>
      <c r="BC58" s="490"/>
      <c r="BD58" s="490"/>
      <c r="BE58" s="490"/>
      <c r="BF58" s="490"/>
      <c r="BG58" s="491"/>
      <c r="BH58" s="491"/>
      <c r="BI58" s="491"/>
      <c r="BJ58" s="491"/>
      <c r="BK58" s="491"/>
      <c r="BL58" s="491"/>
      <c r="BM58" s="491"/>
      <c r="BN58" s="2649">
        <f>+'GENERAL INFO'!G136</f>
        <v>0</v>
      </c>
      <c r="BO58" s="2650"/>
      <c r="BP58" s="2650"/>
      <c r="BQ58" s="2650"/>
      <c r="BR58" s="2650"/>
      <c r="BS58" s="2650"/>
      <c r="BT58" s="2650"/>
      <c r="BU58" s="2650"/>
      <c r="BV58" s="2650"/>
      <c r="BW58" s="2650"/>
      <c r="BX58" s="2650"/>
      <c r="BY58" s="2650"/>
      <c r="BZ58" s="2650"/>
      <c r="CA58" s="2650"/>
      <c r="CB58" s="2650"/>
      <c r="CC58" s="2650"/>
      <c r="CD58" s="611"/>
      <c r="CE58" s="450"/>
      <c r="CF58" s="450"/>
    </row>
    <row r="59" spans="2:84" s="449" customFormat="1" ht="20.15" customHeight="1">
      <c r="B59" s="2681" t="s">
        <v>636</v>
      </c>
      <c r="C59" s="2682"/>
      <c r="D59" s="2666" t="s">
        <v>749</v>
      </c>
      <c r="E59" s="490"/>
      <c r="F59" s="490"/>
      <c r="G59" s="490"/>
      <c r="H59" s="490"/>
      <c r="I59" s="490"/>
      <c r="J59" s="490"/>
      <c r="K59" s="490"/>
      <c r="L59" s="490"/>
      <c r="M59" s="490"/>
      <c r="N59" s="490"/>
      <c r="O59" s="490"/>
      <c r="P59" s="490"/>
      <c r="Q59" s="490"/>
      <c r="R59" s="490"/>
      <c r="S59" s="490"/>
      <c r="T59" s="490"/>
      <c r="U59" s="490"/>
      <c r="V59" s="490"/>
      <c r="W59" s="490"/>
      <c r="X59" s="490"/>
      <c r="Y59" s="490"/>
      <c r="Z59" s="490"/>
      <c r="AA59" s="490"/>
      <c r="AB59" s="490"/>
      <c r="AC59" s="490"/>
      <c r="AD59" s="490"/>
      <c r="AE59" s="490"/>
      <c r="AF59" s="490"/>
      <c r="AG59" s="490"/>
      <c r="AH59" s="490"/>
      <c r="AI59" s="490"/>
      <c r="AJ59" s="490"/>
      <c r="AK59" s="490"/>
      <c r="AL59" s="490"/>
      <c r="AM59" s="490"/>
      <c r="AN59" s="490"/>
      <c r="AO59" s="490"/>
      <c r="AP59" s="490"/>
      <c r="AQ59" s="490"/>
      <c r="AR59" s="490"/>
      <c r="AS59" s="490"/>
      <c r="AT59" s="490"/>
      <c r="AU59" s="490"/>
      <c r="AV59" s="490"/>
      <c r="AW59" s="490"/>
      <c r="AX59" s="490"/>
      <c r="AY59" s="490"/>
      <c r="AZ59" s="490"/>
      <c r="BA59" s="490"/>
      <c r="BB59" s="490"/>
      <c r="BC59" s="490"/>
      <c r="BD59" s="490"/>
      <c r="BE59" s="490"/>
      <c r="BF59" s="490"/>
      <c r="BG59" s="490"/>
      <c r="BH59" s="490"/>
      <c r="BI59" s="490"/>
      <c r="BJ59" s="490"/>
      <c r="BK59" s="490"/>
      <c r="BL59" s="490"/>
      <c r="BM59" s="2667"/>
      <c r="BN59" s="2649">
        <f>+'GENERAL INFO'!G141</f>
        <v>0</v>
      </c>
      <c r="BO59" s="2650"/>
      <c r="BP59" s="2650"/>
      <c r="BQ59" s="2650"/>
      <c r="BR59" s="2650"/>
      <c r="BS59" s="2650"/>
      <c r="BT59" s="2650"/>
      <c r="BU59" s="2650"/>
      <c r="BV59" s="2650"/>
      <c r="BW59" s="2650"/>
      <c r="BX59" s="2650"/>
      <c r="BY59" s="2650"/>
      <c r="BZ59" s="2650"/>
      <c r="CA59" s="2650"/>
      <c r="CB59" s="2650"/>
      <c r="CC59" s="2650"/>
      <c r="CD59" s="611"/>
      <c r="CE59" s="450"/>
      <c r="CF59" s="450"/>
    </row>
    <row r="60" spans="2:84" s="449" customFormat="1" ht="20.15" customHeight="1">
      <c r="B60" s="2681" t="s">
        <v>637</v>
      </c>
      <c r="C60" s="2682"/>
      <c r="D60" s="2656" t="s">
        <v>748</v>
      </c>
      <c r="E60" s="2657"/>
      <c r="F60" s="2657"/>
      <c r="G60" s="2657"/>
      <c r="H60" s="2657"/>
      <c r="I60" s="2657"/>
      <c r="J60" s="2657"/>
      <c r="K60" s="2657"/>
      <c r="L60" s="2657"/>
      <c r="M60" s="2657"/>
      <c r="N60" s="2657"/>
      <c r="O60" s="2657"/>
      <c r="P60" s="2657"/>
      <c r="Q60" s="2657"/>
      <c r="R60" s="2657"/>
      <c r="S60" s="2657"/>
      <c r="T60" s="2657"/>
      <c r="U60" s="2657"/>
      <c r="V60" s="2657"/>
      <c r="W60" s="2657"/>
      <c r="X60" s="2657"/>
      <c r="Y60" s="2657"/>
      <c r="Z60" s="2657"/>
      <c r="AA60" s="2657"/>
      <c r="AB60" s="2657"/>
      <c r="AC60" s="2657"/>
      <c r="AD60" s="2657"/>
      <c r="AE60" s="2657"/>
      <c r="AF60" s="2657"/>
      <c r="AG60" s="2657"/>
      <c r="AH60" s="2657"/>
      <c r="AI60" s="2657"/>
      <c r="AJ60" s="2657"/>
      <c r="AK60" s="2657"/>
      <c r="AL60" s="2657"/>
      <c r="AM60" s="2657"/>
      <c r="AN60" s="2657"/>
      <c r="AO60" s="2657"/>
      <c r="AP60" s="2657"/>
      <c r="AQ60" s="2657"/>
      <c r="AR60" s="2657"/>
      <c r="AS60" s="2657"/>
      <c r="AT60" s="2657"/>
      <c r="AU60" s="2657"/>
      <c r="AV60" s="2657"/>
      <c r="AW60" s="2657"/>
      <c r="AX60" s="2657"/>
      <c r="AY60" s="2657"/>
      <c r="AZ60" s="2657"/>
      <c r="BA60" s="2657"/>
      <c r="BB60" s="2657"/>
      <c r="BC60" s="2657"/>
      <c r="BD60" s="2657"/>
      <c r="BE60" s="2657"/>
      <c r="BF60" s="2657"/>
      <c r="BG60" s="2657"/>
      <c r="BH60" s="2657"/>
      <c r="BI60" s="2657"/>
      <c r="BJ60" s="2657"/>
      <c r="BK60" s="2657"/>
      <c r="BL60" s="2657"/>
      <c r="BM60" s="2658"/>
      <c r="BN60" s="2649">
        <f>personalreliefs</f>
        <v>0</v>
      </c>
      <c r="BO60" s="2650"/>
      <c r="BP60" s="2650"/>
      <c r="BQ60" s="2650"/>
      <c r="BR60" s="2650"/>
      <c r="BS60" s="2650"/>
      <c r="BT60" s="2650"/>
      <c r="BU60" s="2650"/>
      <c r="BV60" s="2650"/>
      <c r="BW60" s="2650"/>
      <c r="BX60" s="2650"/>
      <c r="BY60" s="2650"/>
      <c r="BZ60" s="2650"/>
      <c r="CA60" s="2650"/>
      <c r="CB60" s="2650"/>
      <c r="CC60" s="2650"/>
      <c r="CD60" s="613"/>
      <c r="CE60" s="450"/>
      <c r="CF60" s="450"/>
    </row>
    <row r="61" spans="2:84" s="449" customFormat="1" ht="20.15" customHeight="1">
      <c r="B61" s="2681" t="s">
        <v>638</v>
      </c>
      <c r="C61" s="2682"/>
      <c r="D61" s="2666" t="s">
        <v>747</v>
      </c>
      <c r="E61" s="490"/>
      <c r="F61" s="490"/>
      <c r="G61" s="490"/>
      <c r="H61" s="490"/>
      <c r="I61" s="490"/>
      <c r="J61" s="490"/>
      <c r="K61" s="490"/>
      <c r="L61" s="490"/>
      <c r="M61" s="490"/>
      <c r="N61" s="490"/>
      <c r="O61" s="490"/>
      <c r="P61" s="490"/>
      <c r="Q61" s="490"/>
      <c r="R61" s="490"/>
      <c r="S61" s="490"/>
      <c r="T61" s="490"/>
      <c r="U61" s="490"/>
      <c r="V61" s="490"/>
      <c r="W61" s="490"/>
      <c r="X61" s="490"/>
      <c r="Y61" s="490"/>
      <c r="Z61" s="490"/>
      <c r="AA61" s="490"/>
      <c r="AB61" s="490"/>
      <c r="AC61" s="490"/>
      <c r="AD61" s="490"/>
      <c r="AE61" s="490"/>
      <c r="AF61" s="490"/>
      <c r="AG61" s="490"/>
      <c r="AH61" s="490"/>
      <c r="AI61" s="490"/>
      <c r="AJ61" s="490"/>
      <c r="AK61" s="490"/>
      <c r="AL61" s="490"/>
      <c r="AM61" s="490"/>
      <c r="AN61" s="490"/>
      <c r="AO61" s="490"/>
      <c r="AP61" s="490"/>
      <c r="AQ61" s="490"/>
      <c r="AR61" s="490"/>
      <c r="AS61" s="490"/>
      <c r="AT61" s="490"/>
      <c r="AU61" s="490"/>
      <c r="AV61" s="490"/>
      <c r="AW61" s="490"/>
      <c r="AX61" s="490"/>
      <c r="AY61" s="490"/>
      <c r="AZ61" s="490"/>
      <c r="BA61" s="490"/>
      <c r="BB61" s="490"/>
      <c r="BC61" s="490"/>
      <c r="BD61" s="490"/>
      <c r="BE61" s="490"/>
      <c r="BF61" s="490"/>
      <c r="BG61" s="490"/>
      <c r="BH61" s="490"/>
      <c r="BI61" s="490"/>
      <c r="BJ61" s="490"/>
      <c r="BK61" s="490"/>
      <c r="BL61" s="490"/>
      <c r="BM61" s="490"/>
      <c r="BN61" s="2649">
        <f>BN59-BN60</f>
        <v>0</v>
      </c>
      <c r="BO61" s="2650"/>
      <c r="BP61" s="2650"/>
      <c r="BQ61" s="2650"/>
      <c r="BR61" s="2650"/>
      <c r="BS61" s="2650"/>
      <c r="BT61" s="2650"/>
      <c r="BU61" s="2650"/>
      <c r="BV61" s="2650"/>
      <c r="BW61" s="2650"/>
      <c r="BX61" s="2650"/>
      <c r="BY61" s="2650"/>
      <c r="BZ61" s="2650"/>
      <c r="CA61" s="2650"/>
      <c r="CB61" s="2650"/>
      <c r="CC61" s="2650"/>
      <c r="CD61" s="613"/>
      <c r="CE61" s="450"/>
      <c r="CF61" s="450"/>
    </row>
    <row r="62" spans="2:84" s="449" customFormat="1" ht="20.15" customHeight="1">
      <c r="B62" s="2681" t="s">
        <v>639</v>
      </c>
      <c r="C62" s="2682"/>
      <c r="D62" s="2666" t="s">
        <v>746</v>
      </c>
      <c r="E62" s="490"/>
      <c r="F62" s="490"/>
      <c r="G62" s="490"/>
      <c r="H62" s="490"/>
      <c r="I62" s="490"/>
      <c r="J62" s="490"/>
      <c r="K62" s="490"/>
      <c r="L62" s="490"/>
      <c r="M62" s="490"/>
      <c r="N62" s="490"/>
      <c r="O62" s="490"/>
      <c r="P62" s="490"/>
      <c r="Q62" s="490"/>
      <c r="R62" s="490"/>
      <c r="S62" s="490"/>
      <c r="T62" s="490"/>
      <c r="U62" s="490"/>
      <c r="V62" s="490"/>
      <c r="W62" s="490"/>
      <c r="X62" s="490"/>
      <c r="Y62" s="490"/>
      <c r="Z62" s="490"/>
      <c r="AA62" s="490"/>
      <c r="AB62" s="490"/>
      <c r="AC62" s="490"/>
      <c r="AD62" s="490"/>
      <c r="AE62" s="490"/>
      <c r="AF62" s="490"/>
      <c r="AG62" s="490"/>
      <c r="AH62" s="490"/>
      <c r="AI62" s="490"/>
      <c r="AJ62" s="490"/>
      <c r="AK62" s="490"/>
      <c r="AL62" s="490"/>
      <c r="AM62" s="490"/>
      <c r="AN62" s="490"/>
      <c r="AO62" s="490"/>
      <c r="AP62" s="490"/>
      <c r="AQ62" s="490"/>
      <c r="AR62" s="490"/>
      <c r="AS62" s="490"/>
      <c r="AT62" s="490"/>
      <c r="AU62" s="490"/>
      <c r="AV62" s="490"/>
      <c r="AW62" s="490"/>
      <c r="AX62" s="490"/>
      <c r="AY62" s="490"/>
      <c r="AZ62" s="490"/>
      <c r="BA62" s="490"/>
      <c r="BB62" s="490"/>
      <c r="BC62" s="490"/>
      <c r="BD62" s="490"/>
      <c r="BE62" s="490"/>
      <c r="BF62" s="490"/>
      <c r="BG62" s="490"/>
      <c r="BH62" s="490"/>
      <c r="BI62" s="490"/>
      <c r="BJ62" s="490"/>
      <c r="BK62" s="490"/>
      <c r="BL62" s="489"/>
      <c r="BM62" s="489"/>
      <c r="BN62" s="2649">
        <f>+'GENERAL INFO'!G145</f>
        <v>0</v>
      </c>
      <c r="BO62" s="2650"/>
      <c r="BP62" s="2650"/>
      <c r="BQ62" s="2650"/>
      <c r="BR62" s="2650"/>
      <c r="BS62" s="2650"/>
      <c r="BT62" s="2650"/>
      <c r="BU62" s="2650"/>
      <c r="BV62" s="2650"/>
      <c r="BW62" s="2650"/>
      <c r="BX62" s="2650"/>
      <c r="BY62" s="2650"/>
      <c r="BZ62" s="2650"/>
      <c r="CA62" s="2650"/>
      <c r="CB62" s="2650"/>
      <c r="CC62" s="2650"/>
      <c r="CD62" s="613"/>
      <c r="CE62" s="450"/>
      <c r="CF62" s="450"/>
    </row>
    <row r="63" spans="2:84" s="449" customFormat="1" ht="20.15" customHeight="1">
      <c r="B63" s="2681" t="s">
        <v>640</v>
      </c>
      <c r="C63" s="2682"/>
      <c r="D63" s="2666" t="s">
        <v>745</v>
      </c>
      <c r="E63" s="490"/>
      <c r="F63" s="490"/>
      <c r="G63" s="490"/>
      <c r="H63" s="490"/>
      <c r="I63" s="490"/>
      <c r="J63" s="490"/>
      <c r="K63" s="490"/>
      <c r="L63" s="490"/>
      <c r="M63" s="490"/>
      <c r="N63" s="490"/>
      <c r="O63" s="490"/>
      <c r="P63" s="490"/>
      <c r="Q63" s="490"/>
      <c r="R63" s="490"/>
      <c r="S63" s="490"/>
      <c r="T63" s="490"/>
      <c r="U63" s="490"/>
      <c r="V63" s="490"/>
      <c r="W63" s="490"/>
      <c r="X63" s="490"/>
      <c r="Y63" s="490"/>
      <c r="Z63" s="490"/>
      <c r="AA63" s="490"/>
      <c r="AB63" s="490"/>
      <c r="AC63" s="490"/>
      <c r="AD63" s="490"/>
      <c r="AE63" s="490"/>
      <c r="AF63" s="490"/>
      <c r="AG63" s="490"/>
      <c r="AH63" s="490"/>
      <c r="AI63" s="490"/>
      <c r="AJ63" s="490"/>
      <c r="AK63" s="490"/>
      <c r="AL63" s="490"/>
      <c r="AM63" s="490"/>
      <c r="AN63" s="490"/>
      <c r="AO63" s="490"/>
      <c r="AP63" s="490"/>
      <c r="AQ63" s="490"/>
      <c r="AR63" s="490"/>
      <c r="AS63" s="490"/>
      <c r="AT63" s="490"/>
      <c r="AU63" s="490"/>
      <c r="AV63" s="490"/>
      <c r="AW63" s="490"/>
      <c r="AX63" s="490"/>
      <c r="AY63" s="490"/>
      <c r="AZ63" s="490"/>
      <c r="BA63" s="490"/>
      <c r="BB63" s="490"/>
      <c r="BC63" s="490"/>
      <c r="BD63" s="490"/>
      <c r="BE63" s="490"/>
      <c r="BF63" s="490"/>
      <c r="BG63" s="490"/>
      <c r="BH63" s="490"/>
      <c r="BI63" s="490"/>
      <c r="BJ63" s="490"/>
      <c r="BK63" s="490"/>
      <c r="BL63" s="489"/>
      <c r="BM63" s="489"/>
      <c r="BN63" s="2649">
        <f>+'GENERAL INFO'!G137</f>
        <v>0</v>
      </c>
      <c r="BO63" s="2650"/>
      <c r="BP63" s="2650"/>
      <c r="BQ63" s="2650"/>
      <c r="BR63" s="2650"/>
      <c r="BS63" s="2650"/>
      <c r="BT63" s="2650"/>
      <c r="BU63" s="2650"/>
      <c r="BV63" s="2650"/>
      <c r="BW63" s="2650"/>
      <c r="BX63" s="2650"/>
      <c r="BY63" s="2650"/>
      <c r="BZ63" s="2650"/>
      <c r="CA63" s="2650"/>
      <c r="CB63" s="2650"/>
      <c r="CC63" s="2650"/>
      <c r="CD63" s="613"/>
      <c r="CE63" s="450"/>
      <c r="CF63" s="450"/>
    </row>
    <row r="64" spans="2:84" s="449" customFormat="1" ht="20.15" customHeight="1">
      <c r="B64" s="2681" t="s">
        <v>729</v>
      </c>
      <c r="C64" s="2682"/>
      <c r="D64" s="2666" t="s">
        <v>744</v>
      </c>
      <c r="E64" s="490"/>
      <c r="F64" s="490"/>
      <c r="G64" s="490"/>
      <c r="H64" s="490"/>
      <c r="I64" s="490"/>
      <c r="J64" s="490"/>
      <c r="K64" s="490"/>
      <c r="L64" s="490"/>
      <c r="M64" s="490"/>
      <c r="N64" s="490"/>
      <c r="O64" s="490"/>
      <c r="P64" s="490"/>
      <c r="Q64" s="490"/>
      <c r="R64" s="490"/>
      <c r="S64" s="490"/>
      <c r="T64" s="490"/>
      <c r="U64" s="490"/>
      <c r="V64" s="490"/>
      <c r="W64" s="490"/>
      <c r="X64" s="490"/>
      <c r="Y64" s="490"/>
      <c r="Z64" s="490"/>
      <c r="AA64" s="490"/>
      <c r="AB64" s="490"/>
      <c r="AC64" s="490"/>
      <c r="AD64" s="490"/>
      <c r="AE64" s="490"/>
      <c r="AF64" s="490"/>
      <c r="AG64" s="490"/>
      <c r="AH64" s="490"/>
      <c r="AI64" s="490"/>
      <c r="AJ64" s="490"/>
      <c r="AK64" s="490"/>
      <c r="AL64" s="490"/>
      <c r="AM64" s="490"/>
      <c r="AN64" s="490"/>
      <c r="AO64" s="490"/>
      <c r="AP64" s="490"/>
      <c r="AQ64" s="490"/>
      <c r="AR64" s="490"/>
      <c r="AS64" s="490"/>
      <c r="AT64" s="490"/>
      <c r="AU64" s="490"/>
      <c r="AV64" s="490"/>
      <c r="AW64" s="490"/>
      <c r="AX64" s="490"/>
      <c r="AY64" s="490"/>
      <c r="AZ64" s="490"/>
      <c r="BA64" s="490"/>
      <c r="BB64" s="490"/>
      <c r="BC64" s="490"/>
      <c r="BD64" s="490"/>
      <c r="BE64" s="490"/>
      <c r="BF64" s="490"/>
      <c r="BG64" s="490"/>
      <c r="BH64" s="490"/>
      <c r="BI64" s="490"/>
      <c r="BJ64" s="490"/>
      <c r="BK64" s="490"/>
      <c r="BL64" s="489"/>
      <c r="BM64" s="489"/>
      <c r="BN64" s="2649">
        <f>+'GENERAL INFO'!G147</f>
        <v>0</v>
      </c>
      <c r="BO64" s="2650"/>
      <c r="BP64" s="2650"/>
      <c r="BQ64" s="2650"/>
      <c r="BR64" s="2650"/>
      <c r="BS64" s="2650"/>
      <c r="BT64" s="2650"/>
      <c r="BU64" s="2650"/>
      <c r="BV64" s="2650"/>
      <c r="BW64" s="2650"/>
      <c r="BX64" s="2650"/>
      <c r="BY64" s="2650"/>
      <c r="BZ64" s="2650"/>
      <c r="CA64" s="2650"/>
      <c r="CB64" s="2650"/>
      <c r="CC64" s="2650"/>
      <c r="CD64" s="613"/>
      <c r="CE64" s="450"/>
      <c r="CF64" s="450"/>
    </row>
    <row r="65" spans="2:84" s="449" customFormat="1" ht="20.15" customHeight="1">
      <c r="B65" s="2681" t="s">
        <v>730</v>
      </c>
      <c r="C65" s="2682"/>
      <c r="D65" s="2666" t="s">
        <v>743</v>
      </c>
      <c r="E65" s="490"/>
      <c r="F65" s="490"/>
      <c r="G65" s="490"/>
      <c r="H65" s="490"/>
      <c r="I65" s="490"/>
      <c r="J65" s="490"/>
      <c r="K65" s="490"/>
      <c r="L65" s="490"/>
      <c r="M65" s="490"/>
      <c r="N65" s="490"/>
      <c r="O65" s="490"/>
      <c r="P65" s="490"/>
      <c r="Q65" s="490"/>
      <c r="R65" s="490"/>
      <c r="S65" s="490"/>
      <c r="T65" s="490"/>
      <c r="U65" s="490"/>
      <c r="V65" s="490"/>
      <c r="W65" s="490"/>
      <c r="X65" s="490"/>
      <c r="Y65" s="490"/>
      <c r="Z65" s="490"/>
      <c r="AA65" s="490"/>
      <c r="AB65" s="490"/>
      <c r="AC65" s="490"/>
      <c r="AD65" s="490"/>
      <c r="AE65" s="490"/>
      <c r="AF65" s="490"/>
      <c r="AG65" s="490"/>
      <c r="AH65" s="490"/>
      <c r="AI65" s="490"/>
      <c r="AJ65" s="490"/>
      <c r="AK65" s="490"/>
      <c r="AL65" s="490"/>
      <c r="AM65" s="490"/>
      <c r="AN65" s="490"/>
      <c r="AO65" s="490"/>
      <c r="AP65" s="490"/>
      <c r="AQ65" s="490"/>
      <c r="AR65" s="490"/>
      <c r="AS65" s="490"/>
      <c r="AT65" s="490"/>
      <c r="AU65" s="490"/>
      <c r="AV65" s="490"/>
      <c r="AW65" s="490"/>
      <c r="AX65" s="490"/>
      <c r="AY65" s="490"/>
      <c r="AZ65" s="490"/>
      <c r="BA65" s="490"/>
      <c r="BB65" s="490"/>
      <c r="BC65" s="490"/>
      <c r="BD65" s="490"/>
      <c r="BE65" s="490"/>
      <c r="BF65" s="490"/>
      <c r="BG65" s="490"/>
      <c r="BH65" s="490"/>
      <c r="BI65" s="489"/>
      <c r="BJ65" s="489"/>
      <c r="BK65" s="489"/>
      <c r="BL65" s="489"/>
      <c r="BM65" s="488"/>
      <c r="BN65" s="2649">
        <f>+BN64</f>
        <v>0</v>
      </c>
      <c r="BO65" s="2650"/>
      <c r="BP65" s="2650"/>
      <c r="BQ65" s="2650"/>
      <c r="BR65" s="2650"/>
      <c r="BS65" s="2650"/>
      <c r="BT65" s="2650"/>
      <c r="BU65" s="2650"/>
      <c r="BV65" s="2650"/>
      <c r="BW65" s="2650"/>
      <c r="BX65" s="2650"/>
      <c r="BY65" s="2650"/>
      <c r="BZ65" s="2650"/>
      <c r="CA65" s="2650"/>
      <c r="CB65" s="2650"/>
      <c r="CC65" s="2650"/>
      <c r="CD65" s="613"/>
      <c r="CE65" s="450"/>
      <c r="CF65" s="450"/>
    </row>
    <row r="66" spans="2:84" s="449" customFormat="1" ht="24" customHeight="1">
      <c r="B66" s="2683" t="s">
        <v>742</v>
      </c>
      <c r="C66" s="2683"/>
      <c r="D66" s="2683"/>
      <c r="E66" s="2683"/>
      <c r="F66" s="2683"/>
      <c r="G66" s="2683"/>
      <c r="H66" s="2683"/>
      <c r="I66" s="2683"/>
      <c r="J66" s="2683"/>
      <c r="K66" s="2683"/>
      <c r="L66" s="2683"/>
      <c r="M66" s="2683"/>
      <c r="N66" s="2683"/>
      <c r="O66" s="2683"/>
      <c r="P66" s="2683"/>
      <c r="Q66" s="2683"/>
      <c r="R66" s="2683"/>
      <c r="S66" s="2683"/>
      <c r="T66" s="2683"/>
      <c r="U66" s="2683"/>
      <c r="V66" s="2683"/>
      <c r="W66" s="2683"/>
      <c r="X66" s="2683"/>
      <c r="Y66" s="2683"/>
      <c r="Z66" s="2683"/>
      <c r="AA66" s="2683"/>
      <c r="AB66" s="2683"/>
      <c r="AC66" s="2683"/>
      <c r="AD66" s="2683"/>
      <c r="AE66" s="2683"/>
      <c r="AF66" s="2683"/>
      <c r="AG66" s="2683"/>
      <c r="AH66" s="487"/>
      <c r="AI66" s="487"/>
      <c r="AJ66" s="487"/>
      <c r="AK66" s="487"/>
      <c r="AL66" s="487"/>
      <c r="AM66" s="487"/>
      <c r="AN66" s="487"/>
      <c r="AO66" s="487"/>
      <c r="AP66" s="487"/>
      <c r="AQ66" s="487"/>
      <c r="AR66" s="487"/>
      <c r="AS66" s="487"/>
      <c r="AT66" s="487"/>
      <c r="AU66" s="487"/>
      <c r="AV66" s="487"/>
      <c r="AW66" s="487"/>
      <c r="AX66" s="487"/>
      <c r="AY66" s="487"/>
      <c r="AZ66" s="487"/>
      <c r="BA66" s="487"/>
      <c r="BB66" s="487"/>
      <c r="BC66" s="487"/>
      <c r="BD66" s="487"/>
      <c r="BE66" s="487"/>
      <c r="BF66" s="487"/>
      <c r="BG66" s="487"/>
      <c r="BH66" s="487"/>
      <c r="BI66" s="487"/>
      <c r="BJ66" s="487"/>
      <c r="BK66" s="487"/>
      <c r="BL66" s="487"/>
      <c r="BM66" s="487"/>
      <c r="BN66" s="487"/>
      <c r="BO66" s="487"/>
      <c r="BP66" s="487"/>
      <c r="BQ66" s="487"/>
      <c r="BR66" s="487"/>
      <c r="BS66" s="487"/>
      <c r="BT66" s="487"/>
      <c r="BU66" s="487"/>
      <c r="BV66" s="487"/>
      <c r="BW66" s="487"/>
      <c r="BX66" s="487"/>
      <c r="BY66" s="487"/>
      <c r="BZ66" s="487"/>
      <c r="CA66" s="487"/>
      <c r="CB66" s="487"/>
      <c r="CC66" s="487"/>
      <c r="CD66" s="487"/>
      <c r="CE66" s="450"/>
      <c r="CF66" s="450"/>
    </row>
    <row r="67" spans="2:84" s="449" customFormat="1" ht="4.5" customHeight="1" thickBot="1">
      <c r="B67" s="455"/>
      <c r="C67" s="455"/>
      <c r="D67" s="455"/>
      <c r="E67" s="454"/>
      <c r="F67" s="453"/>
      <c r="G67" s="452"/>
      <c r="H67" s="452"/>
      <c r="I67" s="452"/>
      <c r="J67" s="452"/>
      <c r="K67" s="451"/>
      <c r="L67" s="451"/>
      <c r="M67" s="451"/>
      <c r="N67" s="451"/>
      <c r="O67" s="451"/>
      <c r="P67" s="451"/>
      <c r="Q67" s="451"/>
      <c r="R67" s="451"/>
      <c r="S67" s="451"/>
      <c r="T67" s="451"/>
      <c r="U67" s="451"/>
      <c r="V67" s="451"/>
      <c r="W67" s="451"/>
      <c r="X67" s="451"/>
      <c r="Y67" s="451"/>
      <c r="Z67" s="451"/>
      <c r="AA67" s="451"/>
      <c r="AB67" s="451"/>
      <c r="AC67" s="451"/>
      <c r="AD67" s="451"/>
      <c r="AE67" s="451"/>
      <c r="AF67" s="451"/>
      <c r="AG67" s="451"/>
      <c r="AH67" s="451"/>
      <c r="AI67" s="451"/>
      <c r="AJ67" s="451"/>
      <c r="AK67" s="451"/>
      <c r="AL67" s="451"/>
      <c r="AM67" s="451"/>
      <c r="AN67" s="451"/>
      <c r="AO67" s="451"/>
      <c r="AP67" s="451"/>
      <c r="AQ67" s="451"/>
      <c r="AR67" s="451"/>
      <c r="AS67" s="451"/>
      <c r="AT67" s="451"/>
      <c r="AU67" s="451"/>
      <c r="AV67" s="451"/>
      <c r="AW67" s="451"/>
      <c r="AX67" s="451"/>
      <c r="AY67" s="451"/>
      <c r="AZ67" s="451"/>
      <c r="BA67" s="451"/>
      <c r="BB67" s="451"/>
      <c r="BC67" s="451"/>
      <c r="BD67" s="451"/>
      <c r="BE67" s="451"/>
      <c r="BF67" s="451"/>
      <c r="BG67" s="451"/>
      <c r="BH67" s="451"/>
      <c r="BI67" s="451"/>
      <c r="BJ67" s="451"/>
      <c r="BK67" s="451"/>
      <c r="BL67" s="451"/>
      <c r="BM67" s="451"/>
      <c r="BN67" s="451"/>
      <c r="BO67" s="451"/>
      <c r="BP67" s="451"/>
      <c r="BQ67" s="451"/>
      <c r="BR67" s="451"/>
      <c r="BS67" s="451"/>
      <c r="BT67" s="451"/>
      <c r="BU67" s="451"/>
      <c r="BV67" s="451"/>
      <c r="BW67" s="451"/>
      <c r="BX67" s="451"/>
      <c r="BY67" s="451"/>
      <c r="BZ67" s="451"/>
      <c r="CA67" s="451"/>
      <c r="CB67" s="451"/>
      <c r="CC67" s="451"/>
      <c r="CD67" s="451"/>
      <c r="CE67" s="450"/>
      <c r="CF67" s="450"/>
    </row>
    <row r="68" spans="2:84" s="449" customFormat="1" ht="10" customHeight="1">
      <c r="B68" s="486"/>
      <c r="C68" s="485"/>
      <c r="D68" s="485"/>
      <c r="E68" s="485"/>
      <c r="F68" s="485"/>
      <c r="G68" s="485"/>
      <c r="H68" s="485"/>
      <c r="I68" s="485"/>
      <c r="J68" s="485"/>
      <c r="K68" s="485"/>
      <c r="L68" s="485"/>
      <c r="M68" s="485"/>
      <c r="N68" s="485"/>
      <c r="O68" s="484"/>
      <c r="P68" s="484"/>
      <c r="Q68" s="484"/>
      <c r="R68" s="484"/>
      <c r="S68" s="484"/>
      <c r="T68" s="484"/>
      <c r="U68" s="484"/>
      <c r="V68" s="484"/>
      <c r="W68" s="484"/>
      <c r="X68" s="484"/>
      <c r="Y68" s="484"/>
      <c r="Z68" s="484"/>
      <c r="AA68" s="484"/>
      <c r="AB68" s="484"/>
      <c r="AC68" s="484"/>
      <c r="AD68" s="484"/>
      <c r="AE68" s="484"/>
      <c r="AF68" s="484"/>
      <c r="AG68" s="484"/>
      <c r="AH68" s="484"/>
      <c r="AI68" s="484"/>
      <c r="AJ68" s="484"/>
      <c r="AK68" s="484"/>
      <c r="AL68" s="484"/>
      <c r="AM68" s="484"/>
      <c r="AN68" s="484"/>
      <c r="AO68" s="484"/>
      <c r="AP68" s="483"/>
      <c r="AQ68" s="483"/>
      <c r="AR68" s="483"/>
      <c r="AS68" s="483"/>
      <c r="AT68" s="483"/>
      <c r="AU68" s="483"/>
      <c r="AV68" s="483"/>
      <c r="AW68" s="483"/>
      <c r="AX68" s="483"/>
      <c r="AY68" s="483"/>
      <c r="AZ68" s="483"/>
      <c r="BA68" s="483"/>
      <c r="BB68" s="483"/>
      <c r="BC68" s="483"/>
      <c r="BD68" s="483"/>
      <c r="BE68" s="483"/>
      <c r="BF68" s="483"/>
      <c r="BG68" s="483"/>
      <c r="BH68" s="483"/>
      <c r="BI68" s="483"/>
      <c r="BJ68" s="483"/>
      <c r="BK68" s="483"/>
      <c r="BL68" s="483"/>
      <c r="BM68" s="483"/>
      <c r="BN68" s="483"/>
      <c r="BO68" s="483"/>
      <c r="BP68" s="483"/>
      <c r="BQ68" s="483"/>
      <c r="BR68" s="483"/>
      <c r="BS68" s="483"/>
      <c r="BT68" s="483"/>
      <c r="BU68" s="483"/>
      <c r="BV68" s="483"/>
      <c r="BW68" s="483"/>
      <c r="BX68" s="483"/>
      <c r="BY68" s="483"/>
      <c r="BZ68" s="483"/>
      <c r="CA68" s="483"/>
      <c r="CB68" s="483"/>
      <c r="CC68" s="483"/>
      <c r="CD68" s="482"/>
      <c r="CE68" s="450"/>
      <c r="CF68" s="450"/>
    </row>
    <row r="69" spans="2:84" s="449" customFormat="1" ht="13.5" customHeight="1">
      <c r="B69" s="471" t="s">
        <v>621</v>
      </c>
      <c r="C69" s="470"/>
      <c r="D69" s="2700" t="s">
        <v>741</v>
      </c>
      <c r="E69" s="2700"/>
      <c r="F69" s="2700"/>
      <c r="G69" s="2700"/>
      <c r="H69" s="481" t="s">
        <v>26</v>
      </c>
      <c r="I69" s="467" t="s">
        <v>740</v>
      </c>
      <c r="J69" s="467"/>
      <c r="K69" s="467"/>
      <c r="L69" s="2641" t="s">
        <v>30</v>
      </c>
      <c r="M69" s="2641"/>
      <c r="N69" s="2641"/>
      <c r="O69" s="2641"/>
      <c r="P69" s="2641"/>
      <c r="Q69" s="2641"/>
      <c r="R69" s="2641"/>
      <c r="S69" s="2641"/>
      <c r="T69" s="2641"/>
      <c r="U69" s="2641"/>
      <c r="V69" s="2641"/>
      <c r="W69" s="2641"/>
      <c r="X69" s="2641"/>
      <c r="Y69" s="2641"/>
      <c r="Z69" s="2641"/>
      <c r="AA69" s="2641"/>
      <c r="AB69" s="2641"/>
      <c r="AC69" s="2641"/>
      <c r="AD69" s="2641"/>
      <c r="AE69" s="2641"/>
      <c r="AF69" s="2641"/>
      <c r="AG69" s="2641"/>
      <c r="AH69" s="2641"/>
      <c r="AI69" s="2641"/>
      <c r="AJ69" s="2641"/>
      <c r="AK69" s="2641"/>
      <c r="AL69" s="2641"/>
      <c r="AM69" s="2641"/>
      <c r="AN69" s="2641"/>
      <c r="AO69" s="2641"/>
      <c r="AP69" s="2641"/>
      <c r="AQ69" s="2641"/>
      <c r="AR69" s="2641"/>
      <c r="AS69" s="479"/>
      <c r="AT69" s="479"/>
      <c r="AU69" s="478"/>
      <c r="AV69" s="2648" t="s">
        <v>739</v>
      </c>
      <c r="AW69" s="2648"/>
      <c r="AX69" s="2648"/>
      <c r="AY69" s="2648"/>
      <c r="AZ69" s="2648"/>
      <c r="BA69" s="2648"/>
      <c r="BB69" s="2648"/>
      <c r="BC69" s="2648"/>
      <c r="BD69" s="2648"/>
      <c r="BE69" s="2648"/>
      <c r="BF69" s="2648"/>
      <c r="BG69" s="2648"/>
      <c r="BH69" s="2648"/>
      <c r="BI69" s="2648"/>
      <c r="BJ69" s="2648"/>
      <c r="BK69" s="2648"/>
      <c r="BL69" s="2648"/>
      <c r="BM69" s="2648"/>
      <c r="BN69" s="2648"/>
      <c r="BO69" s="478"/>
      <c r="BP69" s="478"/>
      <c r="BQ69" s="2635"/>
      <c r="BR69" s="2636"/>
      <c r="BS69" s="2636"/>
      <c r="BT69" s="2636"/>
      <c r="BU69" s="2636"/>
      <c r="BV69" s="2636"/>
      <c r="BW69" s="2636"/>
      <c r="BX69" s="2636"/>
      <c r="BY69" s="2636"/>
      <c r="BZ69" s="2636"/>
      <c r="CA69" s="2636"/>
      <c r="CB69" s="2636"/>
      <c r="CC69" s="2637"/>
      <c r="CD69" s="472"/>
      <c r="CE69" s="450"/>
      <c r="CF69" s="450"/>
    </row>
    <row r="70" spans="2:84" s="449" customFormat="1" ht="10" customHeight="1">
      <c r="B70" s="477"/>
      <c r="C70" s="468"/>
      <c r="D70" s="468"/>
      <c r="E70" s="468"/>
      <c r="F70" s="468"/>
      <c r="G70" s="468"/>
      <c r="H70" s="468"/>
      <c r="I70" s="468"/>
      <c r="J70" s="476"/>
      <c r="K70" s="476"/>
      <c r="L70" s="476"/>
      <c r="M70" s="468"/>
      <c r="N70" s="468"/>
      <c r="O70" s="475"/>
      <c r="P70" s="475"/>
      <c r="Q70" s="475"/>
      <c r="R70" s="474"/>
      <c r="S70" s="474"/>
      <c r="T70" s="474"/>
      <c r="U70" s="474"/>
      <c r="V70" s="474"/>
      <c r="W70" s="474"/>
      <c r="X70" s="474"/>
      <c r="Y70" s="474"/>
      <c r="Z70" s="474"/>
      <c r="AA70" s="474"/>
      <c r="AB70" s="474"/>
      <c r="AC70" s="474"/>
      <c r="AD70" s="474"/>
      <c r="AE70" s="474"/>
      <c r="AF70" s="474"/>
      <c r="AG70" s="474"/>
      <c r="AH70" s="474"/>
      <c r="AI70" s="474"/>
      <c r="AJ70" s="474"/>
      <c r="AK70" s="474"/>
      <c r="AL70" s="474"/>
      <c r="AM70" s="474"/>
      <c r="AN70" s="474"/>
      <c r="AO70" s="474"/>
      <c r="AP70" s="473"/>
      <c r="AQ70" s="473"/>
      <c r="AR70" s="473"/>
      <c r="AS70" s="473"/>
      <c r="AT70" s="473"/>
      <c r="AU70" s="473"/>
      <c r="AV70" s="473"/>
      <c r="AW70" s="473"/>
      <c r="AX70" s="473"/>
      <c r="AY70" s="473"/>
      <c r="AZ70" s="473"/>
      <c r="BA70" s="473"/>
      <c r="BB70" s="473"/>
      <c r="BC70" s="473"/>
      <c r="BD70" s="473"/>
      <c r="BE70" s="473"/>
      <c r="BF70" s="473"/>
      <c r="BG70" s="473"/>
      <c r="BH70" s="473"/>
      <c r="BI70" s="473"/>
      <c r="BJ70" s="473"/>
      <c r="BK70" s="473"/>
      <c r="BL70" s="473"/>
      <c r="BM70" s="473"/>
      <c r="BN70" s="473"/>
      <c r="BO70" s="473"/>
      <c r="BP70" s="473"/>
      <c r="BQ70" s="2638"/>
      <c r="BR70" s="480"/>
      <c r="BS70" s="480"/>
      <c r="BT70" s="480"/>
      <c r="BU70" s="480"/>
      <c r="BV70" s="480"/>
      <c r="BW70" s="480"/>
      <c r="BX70" s="480"/>
      <c r="BY70" s="480"/>
      <c r="BZ70" s="480"/>
      <c r="CA70" s="480"/>
      <c r="CB70" s="480"/>
      <c r="CC70" s="2639"/>
      <c r="CD70" s="472"/>
      <c r="CE70" s="450"/>
      <c r="CF70" s="450"/>
    </row>
    <row r="71" spans="2:84" s="449" customFormat="1" ht="13.5" customHeight="1">
      <c r="B71" s="471" t="s">
        <v>622</v>
      </c>
      <c r="C71" s="470"/>
      <c r="D71" s="469" t="s">
        <v>607</v>
      </c>
      <c r="E71" s="469"/>
      <c r="F71" s="469"/>
      <c r="G71" s="469"/>
      <c r="H71" s="468" t="s">
        <v>26</v>
      </c>
      <c r="I71" s="467" t="s">
        <v>738</v>
      </c>
      <c r="J71" s="467"/>
      <c r="K71" s="467"/>
      <c r="L71" s="2643"/>
      <c r="M71" s="2643"/>
      <c r="N71" s="2643"/>
      <c r="O71" s="2643"/>
      <c r="P71" s="2643"/>
      <c r="Q71" s="2643"/>
      <c r="R71" s="2643"/>
      <c r="S71" s="2643"/>
      <c r="T71" s="2643"/>
      <c r="U71" s="2643"/>
      <c r="V71" s="2643"/>
      <c r="W71" s="2643"/>
      <c r="X71" s="2643"/>
      <c r="Y71" s="2643"/>
      <c r="Z71" s="2643"/>
      <c r="AA71" s="2643"/>
      <c r="AB71" s="2643"/>
      <c r="AC71" s="2643"/>
      <c r="AD71" s="2643"/>
      <c r="AE71" s="2643"/>
      <c r="AF71" s="2643"/>
      <c r="AG71" s="2643"/>
      <c r="AH71" s="2643"/>
      <c r="AI71" s="2643"/>
      <c r="AJ71" s="2643"/>
      <c r="AK71" s="2643"/>
      <c r="AL71" s="2643"/>
      <c r="AM71" s="2643"/>
      <c r="AN71" s="2643"/>
      <c r="AO71" s="2643"/>
      <c r="AP71" s="2643"/>
      <c r="AQ71" s="2643"/>
      <c r="AR71" s="2643"/>
      <c r="AS71" s="2644" t="s">
        <v>737</v>
      </c>
      <c r="AT71" s="2644"/>
      <c r="AU71" s="2644"/>
      <c r="AV71" s="2651">
        <f>'GENERAL INFO'!G113</f>
        <v>0</v>
      </c>
      <c r="AW71" s="2651"/>
      <c r="AX71" s="2651"/>
      <c r="AY71" s="2651"/>
      <c r="AZ71" s="2651"/>
      <c r="BA71" s="2651"/>
      <c r="BB71" s="2651"/>
      <c r="BC71" s="2651"/>
      <c r="BD71" s="2651"/>
      <c r="BE71" s="2651"/>
      <c r="BF71" s="2651"/>
      <c r="BG71" s="2651"/>
      <c r="BH71" s="2651"/>
      <c r="BI71" s="2651"/>
      <c r="BJ71" s="2651"/>
      <c r="BK71" s="2651"/>
      <c r="BL71" s="2651"/>
      <c r="BM71" s="2651"/>
      <c r="BN71" s="2651"/>
      <c r="BO71" s="2651"/>
      <c r="BP71" s="464"/>
      <c r="BQ71" s="2638"/>
      <c r="BR71" s="480"/>
      <c r="BS71" s="480"/>
      <c r="BT71" s="480"/>
      <c r="BU71" s="480"/>
      <c r="BV71" s="480"/>
      <c r="BW71" s="480"/>
      <c r="BX71" s="480"/>
      <c r="BY71" s="480"/>
      <c r="BZ71" s="480"/>
      <c r="CA71" s="480"/>
      <c r="CB71" s="480"/>
      <c r="CC71" s="2639"/>
      <c r="CD71" s="463"/>
      <c r="CE71" s="450"/>
      <c r="CF71" s="450"/>
    </row>
    <row r="72" spans="2:84" s="449" customFormat="1" ht="13.5" customHeight="1">
      <c r="B72" s="471"/>
      <c r="C72" s="470"/>
      <c r="D72" s="469"/>
      <c r="E72" s="469"/>
      <c r="F72" s="469"/>
      <c r="G72" s="469"/>
      <c r="H72" s="468"/>
      <c r="I72" s="467"/>
      <c r="J72" s="467"/>
      <c r="K72" s="467"/>
      <c r="L72" s="467"/>
      <c r="M72" s="449"/>
      <c r="N72" s="449"/>
      <c r="O72" s="449"/>
      <c r="P72" s="466"/>
      <c r="Q72" s="466"/>
      <c r="R72" s="464"/>
      <c r="S72" s="464"/>
      <c r="T72" s="464"/>
      <c r="U72" s="464"/>
      <c r="V72" s="464"/>
      <c r="W72" s="464"/>
      <c r="X72" s="464"/>
      <c r="Y72" s="464"/>
      <c r="Z72" s="464"/>
      <c r="AA72" s="464"/>
      <c r="AB72" s="464"/>
      <c r="AC72" s="464"/>
      <c r="AD72" s="464"/>
      <c r="AE72" s="464"/>
      <c r="AF72" s="464"/>
      <c r="AG72" s="464"/>
      <c r="AH72" s="464"/>
      <c r="AI72" s="464"/>
      <c r="AJ72" s="464"/>
      <c r="AK72" s="464"/>
      <c r="AL72" s="464"/>
      <c r="AM72" s="464"/>
      <c r="AN72" s="464"/>
      <c r="AO72" s="464"/>
      <c r="AP72" s="464"/>
      <c r="AQ72" s="464"/>
      <c r="AR72" s="464"/>
      <c r="AS72" s="464"/>
      <c r="AT72" s="465"/>
      <c r="AU72" s="465"/>
      <c r="AV72" s="2693" t="s">
        <v>736</v>
      </c>
      <c r="AW72" s="2693"/>
      <c r="AX72" s="2693"/>
      <c r="AY72" s="2693"/>
      <c r="AZ72" s="2693"/>
      <c r="BA72" s="2693"/>
      <c r="BB72" s="2693"/>
      <c r="BC72" s="2693"/>
      <c r="BD72" s="2693"/>
      <c r="BE72" s="2693"/>
      <c r="BF72" s="2693"/>
      <c r="BG72" s="2693"/>
      <c r="BH72" s="2693"/>
      <c r="BI72" s="464"/>
      <c r="BJ72" s="464"/>
      <c r="BK72" s="464"/>
      <c r="BL72" s="464"/>
      <c r="BM72" s="464"/>
      <c r="BN72" s="464"/>
      <c r="BO72" s="464"/>
      <c r="BP72" s="464"/>
      <c r="BQ72" s="2640"/>
      <c r="BR72" s="2641"/>
      <c r="BS72" s="2641"/>
      <c r="BT72" s="2641"/>
      <c r="BU72" s="2641"/>
      <c r="BV72" s="2641"/>
      <c r="BW72" s="2641"/>
      <c r="BX72" s="2641"/>
      <c r="BY72" s="2641"/>
      <c r="BZ72" s="2641"/>
      <c r="CA72" s="2641"/>
      <c r="CB72" s="2641"/>
      <c r="CC72" s="2642"/>
      <c r="CD72" s="463"/>
      <c r="CE72" s="450"/>
      <c r="CF72" s="450"/>
    </row>
    <row r="73" spans="2:84" s="449" customFormat="1" ht="10" customHeight="1" thickBot="1">
      <c r="B73" s="462"/>
      <c r="C73" s="461"/>
      <c r="D73" s="459"/>
      <c r="E73" s="459"/>
      <c r="F73" s="459"/>
      <c r="G73" s="459"/>
      <c r="H73" s="459"/>
      <c r="I73" s="459"/>
      <c r="J73" s="460"/>
      <c r="K73" s="460"/>
      <c r="L73" s="460"/>
      <c r="M73" s="459"/>
      <c r="N73" s="458"/>
      <c r="O73" s="458"/>
      <c r="P73" s="458"/>
      <c r="Q73" s="458"/>
      <c r="R73" s="457"/>
      <c r="S73" s="457"/>
      <c r="T73" s="457"/>
      <c r="U73" s="457"/>
      <c r="V73" s="457"/>
      <c r="W73" s="457"/>
      <c r="X73" s="457"/>
      <c r="Y73" s="457"/>
      <c r="Z73" s="457"/>
      <c r="AA73" s="457"/>
      <c r="AB73" s="457"/>
      <c r="AC73" s="457"/>
      <c r="AD73" s="457"/>
      <c r="AE73" s="457"/>
      <c r="AF73" s="457"/>
      <c r="AG73" s="457"/>
      <c r="AH73" s="457"/>
      <c r="AI73" s="457"/>
      <c r="AJ73" s="457"/>
      <c r="AK73" s="457"/>
      <c r="AL73" s="457"/>
      <c r="AM73" s="457"/>
      <c r="AN73" s="457"/>
      <c r="AO73" s="457"/>
      <c r="AP73" s="457"/>
      <c r="AQ73" s="457"/>
      <c r="AR73" s="457"/>
      <c r="AS73" s="457"/>
      <c r="AT73" s="457"/>
      <c r="AU73" s="457"/>
      <c r="AV73" s="457"/>
      <c r="AW73" s="457"/>
      <c r="AX73" s="457"/>
      <c r="AY73" s="457"/>
      <c r="AZ73" s="457"/>
      <c r="BA73" s="457"/>
      <c r="BB73" s="457"/>
      <c r="BC73" s="457"/>
      <c r="BD73" s="457"/>
      <c r="BE73" s="457"/>
      <c r="BF73" s="457"/>
      <c r="BG73" s="457"/>
      <c r="BH73" s="457"/>
      <c r="BI73" s="457"/>
      <c r="BJ73" s="457"/>
      <c r="BK73" s="457"/>
      <c r="BL73" s="457"/>
      <c r="BM73" s="457"/>
      <c r="BN73" s="457"/>
      <c r="BO73" s="457"/>
      <c r="BP73" s="457"/>
      <c r="BQ73" s="457"/>
      <c r="BR73" s="457"/>
      <c r="BS73" s="457"/>
      <c r="BT73" s="457"/>
      <c r="BU73" s="457"/>
      <c r="BV73" s="457"/>
      <c r="BW73" s="457"/>
      <c r="BX73" s="457"/>
      <c r="BY73" s="457"/>
      <c r="BZ73" s="457"/>
      <c r="CA73" s="457"/>
      <c r="CB73" s="457"/>
      <c r="CC73" s="457"/>
      <c r="CD73" s="456"/>
      <c r="CE73" s="450"/>
      <c r="CF73" s="450"/>
    </row>
    <row r="74" spans="2:84" s="449" customFormat="1" ht="13.5" customHeight="1">
      <c r="B74" s="455"/>
      <c r="C74" s="455"/>
      <c r="D74" s="455"/>
      <c r="E74" s="454"/>
      <c r="F74" s="453"/>
      <c r="G74" s="452"/>
      <c r="H74" s="452"/>
      <c r="I74" s="452"/>
      <c r="J74" s="452"/>
      <c r="K74" s="451"/>
      <c r="L74" s="451"/>
      <c r="M74" s="451"/>
      <c r="N74" s="451"/>
      <c r="O74" s="451"/>
      <c r="P74" s="451"/>
      <c r="Q74" s="451"/>
      <c r="R74" s="451"/>
      <c r="S74" s="451"/>
      <c r="T74" s="451"/>
      <c r="U74" s="451"/>
      <c r="V74" s="451"/>
      <c r="W74" s="451"/>
      <c r="X74" s="451"/>
      <c r="Y74" s="451"/>
      <c r="Z74" s="451"/>
      <c r="AA74" s="451"/>
      <c r="AB74" s="451"/>
      <c r="AC74" s="451"/>
      <c r="AD74" s="451"/>
      <c r="AE74" s="451"/>
      <c r="AF74" s="451"/>
      <c r="AG74" s="451"/>
      <c r="AH74" s="451"/>
      <c r="AI74" s="451"/>
      <c r="AJ74" s="451"/>
      <c r="AK74" s="451"/>
      <c r="AL74" s="451"/>
      <c r="AM74" s="451"/>
      <c r="AN74" s="451"/>
      <c r="AO74" s="451"/>
      <c r="AP74" s="451"/>
      <c r="AQ74" s="451"/>
      <c r="AR74" s="451"/>
      <c r="AS74" s="451"/>
      <c r="AT74" s="451"/>
      <c r="AU74" s="451"/>
      <c r="AV74" s="451"/>
      <c r="AW74" s="451"/>
      <c r="AX74" s="451"/>
      <c r="AY74" s="451"/>
      <c r="AZ74" s="451"/>
      <c r="BA74" s="451"/>
      <c r="BB74" s="451"/>
      <c r="BC74" s="451"/>
      <c r="BD74" s="451"/>
      <c r="BE74" s="451"/>
      <c r="BF74" s="451"/>
      <c r="BG74" s="451"/>
      <c r="BH74" s="451"/>
      <c r="BI74" s="451"/>
      <c r="BJ74" s="451"/>
      <c r="BK74" s="451"/>
      <c r="BL74" s="451"/>
      <c r="BM74" s="451"/>
      <c r="BN74" s="451"/>
      <c r="BO74" s="451"/>
      <c r="BP74" s="451"/>
      <c r="BQ74" s="451"/>
      <c r="BR74" s="451"/>
      <c r="BS74" s="451"/>
      <c r="BT74" s="451"/>
      <c r="BU74" s="451"/>
      <c r="BV74" s="451"/>
      <c r="BW74" s="451"/>
      <c r="BX74" s="451"/>
      <c r="BY74" s="451"/>
      <c r="BZ74" s="451"/>
      <c r="CA74" s="451"/>
      <c r="CB74" s="451"/>
      <c r="CC74" s="451"/>
      <c r="CD74" s="451"/>
      <c r="CE74" s="450"/>
      <c r="CF74" s="450"/>
    </row>
    <row r="75" ht="4.5" customHeight="1"/>
    <row r="76" spans="1:84" ht="9" customHeight="1">
      <c r="A76" s="445"/>
      <c r="B76" s="448"/>
      <c r="C76" s="448"/>
      <c r="BU76" s="2692"/>
      <c r="BV76" s="2692"/>
      <c r="BW76" s="2692"/>
      <c r="BX76" s="2692"/>
      <c r="BY76" s="2692"/>
      <c r="BZ76" s="2692"/>
      <c r="CA76" s="2692"/>
      <c r="CB76" s="2692"/>
      <c r="CC76" s="447"/>
      <c r="CD76" s="447"/>
      <c r="CE76" s="446"/>
      <c r="CF76" s="445"/>
    </row>
    <row r="77" ht="6" customHeight="1"/>
  </sheetData>
  <sheetProtection password="BDAF" sheet="1" objects="1" scenarios="1" selectLockedCells="1" selectUnlockedCells="1"/>
  <mergeCells count="154">
    <mergeCell ref="BN50:CC50"/>
    <mergeCell ref="BN51:CC51"/>
    <mergeCell ref="BU12:BW12"/>
    <mergeCell ref="L26:AW27"/>
    <mergeCell ref="L16:O16"/>
    <mergeCell ref="L18:O18"/>
    <mergeCell ref="BV26:BX27"/>
    <mergeCell ref="BE26:BH27"/>
    <mergeCell ref="BN26:BP27"/>
    <mergeCell ref="BR12:BS12"/>
    <mergeCell ref="BN43:CD43"/>
    <mergeCell ref="L33:AW33"/>
    <mergeCell ref="BC31:BM31"/>
    <mergeCell ref="AZ33:BB33"/>
    <mergeCell ref="Q35:S35"/>
    <mergeCell ref="AH35:AJ35"/>
    <mergeCell ref="AA41:AD41"/>
    <mergeCell ref="B43:T43"/>
    <mergeCell ref="B44:C44"/>
    <mergeCell ref="D45:V45"/>
    <mergeCell ref="BN48:CC48"/>
    <mergeCell ref="BN49:CC49"/>
    <mergeCell ref="BN47:CC47"/>
    <mergeCell ref="BT31:BV31"/>
    <mergeCell ref="D44:BM44"/>
    <mergeCell ref="BR33:BT33"/>
    <mergeCell ref="BO31:BQ31"/>
    <mergeCell ref="D33:H33"/>
    <mergeCell ref="O41:Q41"/>
    <mergeCell ref="AZ24:BB24"/>
    <mergeCell ref="BO16:BQ16"/>
    <mergeCell ref="P18:CC18"/>
    <mergeCell ref="AE41:AN41"/>
    <mergeCell ref="B35:C35"/>
    <mergeCell ref="BF41:BM41"/>
    <mergeCell ref="B39:BM39"/>
    <mergeCell ref="R41:Y41"/>
    <mergeCell ref="B41:L41"/>
    <mergeCell ref="D29:G29"/>
    <mergeCell ref="B1:P1"/>
    <mergeCell ref="B57:C57"/>
    <mergeCell ref="B59:C59"/>
    <mergeCell ref="B56:W56"/>
    <mergeCell ref="D57:BE57"/>
    <mergeCell ref="B58:C58"/>
    <mergeCell ref="D58:BF58"/>
    <mergeCell ref="D51:AR51"/>
    <mergeCell ref="B45:C45"/>
    <mergeCell ref="B33:C33"/>
    <mergeCell ref="Z3:BK10"/>
    <mergeCell ref="B21:CD21"/>
    <mergeCell ref="Z12:AG12"/>
    <mergeCell ref="AH12:AK12"/>
    <mergeCell ref="BY12:CB12"/>
    <mergeCell ref="B31:C31"/>
    <mergeCell ref="D31:H31"/>
    <mergeCell ref="B12:Y14"/>
    <mergeCell ref="BS13:BU13"/>
    <mergeCell ref="D26:H27"/>
    <mergeCell ref="B24:C24"/>
    <mergeCell ref="I26:I27"/>
    <mergeCell ref="AM11:BP12"/>
    <mergeCell ref="C18:J18"/>
    <mergeCell ref="D69:G69"/>
    <mergeCell ref="B65:C65"/>
    <mergeCell ref="D63:BK63"/>
    <mergeCell ref="D64:BK64"/>
    <mergeCell ref="C16:J16"/>
    <mergeCell ref="B26:C26"/>
    <mergeCell ref="B29:C29"/>
    <mergeCell ref="D24:H24"/>
    <mergeCell ref="J26:K27"/>
    <mergeCell ref="J29:K29"/>
    <mergeCell ref="J31:K31"/>
    <mergeCell ref="BC24:CD24"/>
    <mergeCell ref="AZ29:BB29"/>
    <mergeCell ref="AZ31:BB31"/>
    <mergeCell ref="L29:AW29"/>
    <mergeCell ref="B62:C62"/>
    <mergeCell ref="B63:C63"/>
    <mergeCell ref="D62:BK62"/>
    <mergeCell ref="BU76:CB76"/>
    <mergeCell ref="B71:C71"/>
    <mergeCell ref="D71:G71"/>
    <mergeCell ref="I71:K71"/>
    <mergeCell ref="B64:C64"/>
    <mergeCell ref="I69:K69"/>
    <mergeCell ref="AV72:BH72"/>
    <mergeCell ref="D65:BH65"/>
    <mergeCell ref="B69:C69"/>
    <mergeCell ref="B50:C50"/>
    <mergeCell ref="B66:AG66"/>
    <mergeCell ref="D46:AV46"/>
    <mergeCell ref="D49:BM49"/>
    <mergeCell ref="D47:BM47"/>
    <mergeCell ref="D48:BM48"/>
    <mergeCell ref="D61:BH61"/>
    <mergeCell ref="D50:AY50"/>
    <mergeCell ref="B52:O52"/>
    <mergeCell ref="B46:C46"/>
    <mergeCell ref="B47:C47"/>
    <mergeCell ref="B53:C53"/>
    <mergeCell ref="B61:C61"/>
    <mergeCell ref="B55:C55"/>
    <mergeCell ref="B60:C60"/>
    <mergeCell ref="B48:C48"/>
    <mergeCell ref="B49:C49"/>
    <mergeCell ref="D53:AS53"/>
    <mergeCell ref="B54:C54"/>
    <mergeCell ref="B51:C51"/>
    <mergeCell ref="BR10:CD10"/>
    <mergeCell ref="BR11:CE11"/>
    <mergeCell ref="BN5:CD5"/>
    <mergeCell ref="D60:BM60"/>
    <mergeCell ref="BN39:CD39"/>
    <mergeCell ref="BN41:CD41"/>
    <mergeCell ref="J24:K24"/>
    <mergeCell ref="D59:BM59"/>
    <mergeCell ref="D54:AP54"/>
    <mergeCell ref="B37:BG37"/>
    <mergeCell ref="B11:Y11"/>
    <mergeCell ref="M35:P35"/>
    <mergeCell ref="D35:L35"/>
    <mergeCell ref="BL6:CD7"/>
    <mergeCell ref="BL8:CF8"/>
    <mergeCell ref="L31:AW31"/>
    <mergeCell ref="BN29:CC29"/>
    <mergeCell ref="BR31:BS31"/>
    <mergeCell ref="P16:BC16"/>
    <mergeCell ref="L24:AW24"/>
    <mergeCell ref="BN44:CC44"/>
    <mergeCell ref="BN45:CC45"/>
    <mergeCell ref="BN46:CC46"/>
    <mergeCell ref="D55:BE55"/>
    <mergeCell ref="BN53:CC53"/>
    <mergeCell ref="BN54:CC54"/>
    <mergeCell ref="BQ69:CC72"/>
    <mergeCell ref="L71:AR71"/>
    <mergeCell ref="AS71:AU71"/>
    <mergeCell ref="BN56:CD56"/>
    <mergeCell ref="AV69:BN69"/>
    <mergeCell ref="BN52:CD52"/>
    <mergeCell ref="BN62:CC62"/>
    <mergeCell ref="BN63:CC63"/>
    <mergeCell ref="BN64:CC64"/>
    <mergeCell ref="BN65:CC65"/>
    <mergeCell ref="L69:AR69"/>
    <mergeCell ref="AV71:BO71"/>
    <mergeCell ref="BN55:CC55"/>
    <mergeCell ref="BN57:CC57"/>
    <mergeCell ref="BN58:CC58"/>
    <mergeCell ref="BN59:CC59"/>
    <mergeCell ref="BN60:CC60"/>
    <mergeCell ref="BN61:CC61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  <pageSetUpPr fitToPage="1"/>
  </sheetPr>
  <dimension ref="A1:CF77"/>
  <sheetViews>
    <sheetView showGridLines="0" zoomScaleSheetLayoutView="100" view="pageBreakPreview" workbookViewId="0">
      <selection pane="topLeft" activeCell="BL35" sqref="BL35"/>
    </sheetView>
  </sheetViews>
  <sheetFormatPr defaultColWidth="9.13671875" defaultRowHeight="14" baseColWidth="0"/>
  <cols>
    <col min="1" max="4" width="1.7109375" style="444" customWidth="1"/>
    <col min="5" max="5" width="0.85546875" style="444" customWidth="1"/>
    <col min="6" max="7" width="1.7109375" style="444" customWidth="1"/>
    <col min="8" max="8" width="3.28125" style="444" customWidth="1"/>
    <col min="9" max="12" width="1.7109375" style="444" customWidth="1"/>
    <col min="13" max="14" width="0.85546875" style="444" customWidth="1"/>
    <col min="15" max="15" width="1.7109375" style="444" customWidth="1"/>
    <col min="16" max="17" width="0.85546875" style="444" customWidth="1"/>
    <col min="18" max="18" width="1.7109375" style="444" customWidth="1"/>
    <col min="19" max="22" width="0.85546875" style="444" customWidth="1"/>
    <col min="23" max="23" width="1.7109375" style="444" customWidth="1"/>
    <col min="24" max="25" width="0.85546875" style="444" customWidth="1"/>
    <col min="26" max="26" width="1.7109375" style="444" customWidth="1"/>
    <col min="27" max="30" width="0.85546875" style="444" customWidth="1"/>
    <col min="31" max="31" width="1.7109375" style="444" customWidth="1"/>
    <col min="32" max="33" width="0.85546875" style="444" customWidth="1"/>
    <col min="34" max="34" width="1.7109375" style="444" customWidth="1"/>
    <col min="35" max="38" width="0.85546875" style="444" customWidth="1"/>
    <col min="39" max="39" width="1.7109375" style="444" customWidth="1"/>
    <col min="40" max="41" width="0.85546875" style="444" customWidth="1"/>
    <col min="42" max="42" width="1.7109375" style="444" customWidth="1"/>
    <col min="43" max="46" width="0.85546875" style="444" customWidth="1"/>
    <col min="47" max="47" width="1.7109375" style="444" customWidth="1"/>
    <col min="48" max="49" width="0.85546875" style="444" customWidth="1"/>
    <col min="50" max="50" width="1.7109375" style="444" customWidth="1"/>
    <col min="51" max="54" width="0.85546875" style="444" customWidth="1"/>
    <col min="55" max="55" width="1.7109375" style="444" customWidth="1"/>
    <col min="56" max="57" width="0.85546875" style="444" customWidth="1"/>
    <col min="58" max="75" width="1.7109375" style="444" customWidth="1"/>
    <col min="76" max="76" width="2.28125" style="444" customWidth="1"/>
    <col min="77" max="77" width="0.85546875" style="444" customWidth="1"/>
    <col min="78" max="78" width="2.28125" style="444" customWidth="1"/>
    <col min="79" max="79" width="0.85546875" style="444" customWidth="1"/>
    <col min="80" max="80" width="2.28125" style="444" customWidth="1"/>
    <col min="81" max="81" width="0.85546875" style="444" customWidth="1"/>
    <col min="82" max="82" width="2.28125" style="444" customWidth="1"/>
    <col min="83" max="83" width="0.56640625" style="444" customWidth="1"/>
    <col min="84" max="84" width="1.42578125" style="444" customWidth="1"/>
    <col min="85" max="16384" width="9.13671875" style="444" customWidth="1"/>
  </cols>
  <sheetData>
    <row r="1" spans="1:84" ht="21" customHeight="1">
      <c r="A1" s="609"/>
      <c r="B1" s="2715" t="s">
        <v>806</v>
      </c>
      <c r="C1" s="2715"/>
      <c r="D1" s="2715"/>
      <c r="E1" s="2715"/>
      <c r="F1" s="2715"/>
      <c r="G1" s="2715"/>
      <c r="H1" s="2715"/>
      <c r="I1" s="2715"/>
      <c r="J1" s="2715"/>
      <c r="K1" s="2715"/>
      <c r="L1" s="2715"/>
      <c r="M1" s="2715"/>
      <c r="N1" s="2715"/>
      <c r="O1" s="2715"/>
      <c r="P1" s="2715"/>
      <c r="Q1" s="609"/>
      <c r="R1" s="609"/>
      <c r="S1" s="609"/>
      <c r="T1" s="609"/>
      <c r="U1" s="609"/>
      <c r="V1" s="609"/>
      <c r="W1" s="609"/>
      <c r="X1" s="609"/>
      <c r="Y1" s="609"/>
      <c r="Z1" s="609"/>
      <c r="AA1" s="609"/>
      <c r="AB1" s="609"/>
      <c r="AC1" s="609"/>
      <c r="AD1" s="609"/>
      <c r="AE1" s="609"/>
      <c r="AF1" s="609"/>
      <c r="AG1" s="609"/>
      <c r="AH1" s="609"/>
      <c r="AI1" s="609"/>
      <c r="AJ1" s="609"/>
      <c r="AK1" s="609"/>
      <c r="AL1" s="609"/>
      <c r="AM1" s="609"/>
      <c r="AN1" s="609"/>
      <c r="AO1" s="609"/>
      <c r="AP1" s="609"/>
      <c r="AQ1" s="609"/>
      <c r="AR1" s="609"/>
      <c r="AS1" s="609"/>
      <c r="AT1" s="609"/>
      <c r="AU1" s="609"/>
      <c r="AV1" s="609"/>
      <c r="AW1" s="609"/>
      <c r="AX1" s="609"/>
      <c r="AY1" s="609"/>
      <c r="AZ1" s="609"/>
      <c r="BA1" s="609"/>
      <c r="BB1" s="609"/>
      <c r="BC1" s="609"/>
      <c r="BD1" s="609"/>
      <c r="BE1" s="609"/>
      <c r="BF1" s="609"/>
      <c r="BG1" s="609"/>
      <c r="BH1" s="609"/>
      <c r="BI1" s="609"/>
      <c r="BJ1" s="609"/>
      <c r="BK1" s="609"/>
      <c r="BL1" s="609"/>
      <c r="BM1" s="609"/>
      <c r="BN1" s="609"/>
      <c r="BO1" s="609"/>
      <c r="BP1" s="609"/>
      <c r="BQ1" s="609"/>
      <c r="BR1" s="609"/>
      <c r="BS1" s="609"/>
      <c r="BT1" s="609"/>
      <c r="BU1" s="609"/>
      <c r="BV1" s="609"/>
      <c r="BW1" s="609"/>
      <c r="BX1" s="609"/>
      <c r="BY1" s="609"/>
      <c r="BZ1" s="609"/>
      <c r="CA1" s="609"/>
      <c r="CB1" s="609"/>
      <c r="CC1" s="609"/>
      <c r="CE1" s="609"/>
      <c r="CF1" s="609"/>
    </row>
    <row r="2" spans="1:84" ht="9" customHeight="1">
      <c r="A2" s="445"/>
      <c r="B2" s="448"/>
      <c r="C2" s="448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444"/>
      <c r="O2" s="444"/>
      <c r="P2" s="444"/>
      <c r="Q2" s="444"/>
      <c r="R2" s="444"/>
      <c r="S2" s="444"/>
      <c r="T2" s="444"/>
      <c r="U2" s="444"/>
      <c r="V2" s="444"/>
      <c r="W2" s="444"/>
      <c r="X2" s="444"/>
      <c r="Y2" s="444"/>
      <c r="Z2" s="444"/>
      <c r="AA2" s="444"/>
      <c r="AB2" s="444"/>
      <c r="AC2" s="444"/>
      <c r="AD2" s="444"/>
      <c r="AE2" s="444"/>
      <c r="AF2" s="444"/>
      <c r="AG2" s="444"/>
      <c r="AH2" s="444"/>
      <c r="AI2" s="444"/>
      <c r="AJ2" s="444"/>
      <c r="AK2" s="444"/>
      <c r="AL2" s="444"/>
      <c r="AM2" s="444"/>
      <c r="AN2" s="444"/>
      <c r="AO2" s="444"/>
      <c r="AP2" s="444"/>
      <c r="AQ2" s="444"/>
      <c r="AR2" s="444"/>
      <c r="AS2" s="444"/>
      <c r="AT2" s="444"/>
      <c r="AU2" s="444"/>
      <c r="AV2" s="444"/>
      <c r="AW2" s="444"/>
      <c r="AX2" s="444"/>
      <c r="AY2" s="444"/>
      <c r="AZ2" s="444"/>
      <c r="BA2" s="444"/>
      <c r="BB2" s="444"/>
      <c r="BC2" s="444"/>
      <c r="BD2" s="444"/>
      <c r="BE2" s="444"/>
      <c r="BF2" s="444"/>
      <c r="BG2" s="444"/>
      <c r="BH2" s="444"/>
      <c r="BI2" s="444"/>
      <c r="BJ2" s="444"/>
      <c r="BK2" s="444"/>
      <c r="BL2" s="444"/>
      <c r="BM2" s="444"/>
      <c r="BN2" s="444"/>
      <c r="BO2" s="444"/>
      <c r="BP2" s="444"/>
      <c r="BQ2" s="444"/>
      <c r="BR2" s="444"/>
      <c r="BS2" s="444"/>
      <c r="BT2" s="444"/>
      <c r="BU2" s="444"/>
      <c r="BV2" s="444"/>
      <c r="BW2" s="444"/>
      <c r="BX2" s="444"/>
      <c r="BY2" s="444"/>
      <c r="BZ2" s="444"/>
      <c r="CA2" s="444"/>
      <c r="CB2" s="444"/>
      <c r="CC2" s="448"/>
      <c r="CD2" s="608"/>
      <c r="CE2" s="445"/>
      <c r="CF2" s="445"/>
    </row>
    <row r="3" spans="1:84" s="445" customFormat="1" ht="9" customHeight="1">
      <c r="A3" s="445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  <c r="P3" s="445"/>
      <c r="Q3" s="445"/>
      <c r="R3" s="445"/>
      <c r="S3" s="445"/>
      <c r="T3" s="445"/>
      <c r="U3" s="445"/>
      <c r="V3" s="445"/>
      <c r="W3" s="445"/>
      <c r="X3" s="445"/>
      <c r="Y3" s="445"/>
      <c r="Z3" s="2716" t="s">
        <v>805</v>
      </c>
      <c r="AA3" s="578"/>
      <c r="AB3" s="578"/>
      <c r="AC3" s="578"/>
      <c r="AD3" s="578"/>
      <c r="AE3" s="578"/>
      <c r="AF3" s="578"/>
      <c r="AG3" s="578"/>
      <c r="AH3" s="578"/>
      <c r="AI3" s="578"/>
      <c r="AJ3" s="578"/>
      <c r="AK3" s="578"/>
      <c r="AL3" s="578"/>
      <c r="AM3" s="578"/>
      <c r="AN3" s="578"/>
      <c r="AO3" s="578"/>
      <c r="AP3" s="578"/>
      <c r="AQ3" s="578"/>
      <c r="AR3" s="578"/>
      <c r="AS3" s="578"/>
      <c r="AT3" s="578"/>
      <c r="AU3" s="578"/>
      <c r="AV3" s="578"/>
      <c r="AW3" s="578"/>
      <c r="AX3" s="578"/>
      <c r="AY3" s="578"/>
      <c r="AZ3" s="578"/>
      <c r="BA3" s="578"/>
      <c r="BB3" s="578"/>
      <c r="BC3" s="578"/>
      <c r="BD3" s="578"/>
      <c r="BE3" s="578"/>
      <c r="BF3" s="578"/>
      <c r="BG3" s="578"/>
      <c r="BH3" s="578"/>
      <c r="BI3" s="578"/>
      <c r="BJ3" s="578"/>
      <c r="BK3" s="2717"/>
      <c r="BL3" s="598"/>
      <c r="BM3" s="604"/>
      <c r="BN3" s="445"/>
      <c r="BO3" s="445"/>
      <c r="BP3" s="445"/>
      <c r="BQ3" s="445"/>
      <c r="BR3" s="445"/>
      <c r="BS3" s="445"/>
      <c r="BT3" s="445"/>
      <c r="BU3" s="445"/>
      <c r="BV3" s="445"/>
      <c r="BW3" s="445"/>
      <c r="BX3" s="445"/>
      <c r="BY3" s="445"/>
      <c r="BZ3" s="445"/>
      <c r="CA3" s="445"/>
      <c r="CB3" s="445"/>
      <c r="CC3" s="445"/>
      <c r="CD3" s="445"/>
      <c r="CE3" s="605"/>
      <c r="CF3" s="605"/>
    </row>
    <row r="4" spans="1:84" s="445" customFormat="1" ht="9" customHeight="1">
      <c r="A4" s="445"/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  <c r="N4" s="445"/>
      <c r="O4" s="445"/>
      <c r="P4" s="445"/>
      <c r="Q4" s="445"/>
      <c r="R4" s="445"/>
      <c r="S4" s="445"/>
      <c r="T4" s="445"/>
      <c r="U4" s="445"/>
      <c r="V4" s="445"/>
      <c r="W4" s="445"/>
      <c r="X4" s="445"/>
      <c r="Y4" s="445"/>
      <c r="Z4" s="2716"/>
      <c r="AA4" s="578"/>
      <c r="AB4" s="578"/>
      <c r="AC4" s="578"/>
      <c r="AD4" s="578"/>
      <c r="AE4" s="578"/>
      <c r="AF4" s="578"/>
      <c r="AG4" s="578"/>
      <c r="AH4" s="578"/>
      <c r="AI4" s="578"/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W4" s="578"/>
      <c r="AX4" s="578"/>
      <c r="AY4" s="578"/>
      <c r="AZ4" s="578"/>
      <c r="BA4" s="578"/>
      <c r="BB4" s="578"/>
      <c r="BC4" s="578"/>
      <c r="BD4" s="578"/>
      <c r="BE4" s="578"/>
      <c r="BF4" s="578"/>
      <c r="BG4" s="578"/>
      <c r="BH4" s="578"/>
      <c r="BI4" s="578"/>
      <c r="BJ4" s="578"/>
      <c r="BK4" s="2717"/>
      <c r="BL4" s="598"/>
      <c r="BM4" s="604"/>
      <c r="BN4" s="445"/>
      <c r="BO4" s="445"/>
      <c r="BP4" s="445"/>
      <c r="BQ4" s="445"/>
      <c r="BR4" s="445"/>
      <c r="BS4" s="445"/>
      <c r="BT4" s="445"/>
      <c r="BU4" s="445"/>
      <c r="BV4" s="445"/>
      <c r="BW4" s="445"/>
      <c r="BX4" s="607"/>
      <c r="BY4" s="445"/>
      <c r="BZ4" s="606"/>
      <c r="CA4" s="445"/>
      <c r="CB4" s="607"/>
      <c r="CC4" s="445"/>
      <c r="CD4" s="606"/>
      <c r="CE4" s="605"/>
      <c r="CF4" s="605"/>
    </row>
    <row r="5" spans="2:84" ht="18.75" customHeight="1">
      <c r="B5" s="599"/>
      <c r="C5" s="599"/>
      <c r="D5" s="599"/>
      <c r="E5" s="599"/>
      <c r="F5" s="599"/>
      <c r="G5" s="599"/>
      <c r="H5" s="599"/>
      <c r="I5" s="599"/>
      <c r="J5" s="599"/>
      <c r="K5" s="599"/>
      <c r="L5" s="599"/>
      <c r="M5" s="599"/>
      <c r="N5" s="599"/>
      <c r="O5" s="599"/>
      <c r="P5" s="599"/>
      <c r="Q5" s="599"/>
      <c r="R5" s="599"/>
      <c r="S5" s="599"/>
      <c r="T5" s="599"/>
      <c r="U5" s="599"/>
      <c r="V5" s="599"/>
      <c r="W5" s="599"/>
      <c r="X5" s="599"/>
      <c r="Y5" s="599"/>
      <c r="Z5" s="2716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AW5" s="578"/>
      <c r="AX5" s="578"/>
      <c r="AY5" s="578"/>
      <c r="AZ5" s="578"/>
      <c r="BA5" s="578"/>
      <c r="BB5" s="578"/>
      <c r="BC5" s="578"/>
      <c r="BD5" s="578"/>
      <c r="BE5" s="578"/>
      <c r="BF5" s="578"/>
      <c r="BG5" s="578"/>
      <c r="BH5" s="578"/>
      <c r="BI5" s="578"/>
      <c r="BJ5" s="578"/>
      <c r="BK5" s="2717"/>
      <c r="BL5" s="598"/>
      <c r="BM5" s="604"/>
      <c r="BN5" s="2655" t="s">
        <v>804</v>
      </c>
      <c r="BO5" s="2655"/>
      <c r="BP5" s="2655"/>
      <c r="BQ5" s="2655"/>
      <c r="BR5" s="2655"/>
      <c r="BS5" s="2655"/>
      <c r="BT5" s="2655"/>
      <c r="BU5" s="2655"/>
      <c r="BV5" s="2655"/>
      <c r="BW5" s="2655"/>
      <c r="BX5" s="2655"/>
      <c r="BY5" s="2655"/>
      <c r="BZ5" s="2655"/>
      <c r="CA5" s="2655"/>
      <c r="CB5" s="2655"/>
      <c r="CC5" s="2655"/>
      <c r="CD5" s="2655"/>
      <c r="CE5" s="552"/>
      <c r="CF5" s="603"/>
    </row>
    <row r="6" spans="2:84" ht="6" customHeight="1">
      <c r="B6" s="599"/>
      <c r="C6" s="599"/>
      <c r="D6" s="599"/>
      <c r="E6" s="599"/>
      <c r="F6" s="599"/>
      <c r="G6" s="599"/>
      <c r="H6" s="599"/>
      <c r="I6" s="599"/>
      <c r="J6" s="599"/>
      <c r="K6" s="599"/>
      <c r="L6" s="599"/>
      <c r="M6" s="599"/>
      <c r="N6" s="599"/>
      <c r="O6" s="599"/>
      <c r="P6" s="599"/>
      <c r="Q6" s="599"/>
      <c r="R6" s="599"/>
      <c r="S6" s="599"/>
      <c r="T6" s="599"/>
      <c r="U6" s="599"/>
      <c r="V6" s="599"/>
      <c r="W6" s="599"/>
      <c r="X6" s="599"/>
      <c r="Y6" s="599"/>
      <c r="Z6" s="2716"/>
      <c r="AA6" s="578"/>
      <c r="AB6" s="578"/>
      <c r="AC6" s="578"/>
      <c r="AD6" s="578"/>
      <c r="AE6" s="578"/>
      <c r="AF6" s="578"/>
      <c r="AG6" s="578"/>
      <c r="AH6" s="578"/>
      <c r="AI6" s="578"/>
      <c r="AJ6" s="578"/>
      <c r="AK6" s="578"/>
      <c r="AL6" s="578"/>
      <c r="AM6" s="578"/>
      <c r="AN6" s="578"/>
      <c r="AO6" s="578"/>
      <c r="AP6" s="578"/>
      <c r="AQ6" s="578"/>
      <c r="AR6" s="578"/>
      <c r="AS6" s="578"/>
      <c r="AT6" s="578"/>
      <c r="AU6" s="578"/>
      <c r="AV6" s="578"/>
      <c r="AW6" s="578"/>
      <c r="AX6" s="578"/>
      <c r="AY6" s="578"/>
      <c r="AZ6" s="578"/>
      <c r="BA6" s="578"/>
      <c r="BB6" s="578"/>
      <c r="BC6" s="578"/>
      <c r="BD6" s="578"/>
      <c r="BE6" s="578"/>
      <c r="BF6" s="578"/>
      <c r="BG6" s="578"/>
      <c r="BH6" s="578"/>
      <c r="BI6" s="578"/>
      <c r="BJ6" s="578"/>
      <c r="BK6" s="2717"/>
      <c r="BL6" s="2673" t="s">
        <v>803</v>
      </c>
      <c r="BM6" s="2674"/>
      <c r="BN6" s="2674"/>
      <c r="BO6" s="2674"/>
      <c r="BP6" s="2674"/>
      <c r="BQ6" s="2674"/>
      <c r="BR6" s="2674"/>
      <c r="BS6" s="2674"/>
      <c r="BT6" s="2674"/>
      <c r="BU6" s="2674"/>
      <c r="BV6" s="2674"/>
      <c r="BW6" s="2674"/>
      <c r="BX6" s="2674"/>
      <c r="BY6" s="2674"/>
      <c r="BZ6" s="2674"/>
      <c r="CA6" s="2674"/>
      <c r="CB6" s="2674"/>
      <c r="CC6" s="2674"/>
      <c r="CD6" s="2674"/>
      <c r="CE6" s="444"/>
      <c r="CF6" s="444"/>
    </row>
    <row r="7" spans="2:84" ht="9" customHeight="1">
      <c r="B7" s="599"/>
      <c r="C7" s="599"/>
      <c r="D7" s="599"/>
      <c r="E7" s="599"/>
      <c r="F7" s="599"/>
      <c r="G7" s="599"/>
      <c r="H7" s="599"/>
      <c r="I7" s="599"/>
      <c r="J7" s="599"/>
      <c r="K7" s="599"/>
      <c r="L7" s="599"/>
      <c r="M7" s="599"/>
      <c r="N7" s="599"/>
      <c r="O7" s="599"/>
      <c r="P7" s="599"/>
      <c r="Q7" s="599"/>
      <c r="R7" s="599"/>
      <c r="S7" s="599"/>
      <c r="T7" s="599"/>
      <c r="U7" s="599"/>
      <c r="V7" s="599"/>
      <c r="W7" s="599"/>
      <c r="X7" s="599"/>
      <c r="Y7" s="599"/>
      <c r="Z7" s="2716"/>
      <c r="AA7" s="578"/>
      <c r="AB7" s="578"/>
      <c r="AC7" s="578"/>
      <c r="AD7" s="578"/>
      <c r="AE7" s="578"/>
      <c r="AF7" s="578"/>
      <c r="AG7" s="578"/>
      <c r="AH7" s="578"/>
      <c r="AI7" s="578"/>
      <c r="AJ7" s="578"/>
      <c r="AK7" s="578"/>
      <c r="AL7" s="578"/>
      <c r="AM7" s="578"/>
      <c r="AN7" s="578"/>
      <c r="AO7" s="578"/>
      <c r="AP7" s="578"/>
      <c r="AQ7" s="578"/>
      <c r="AR7" s="578"/>
      <c r="AS7" s="578"/>
      <c r="AT7" s="578"/>
      <c r="AU7" s="578"/>
      <c r="AV7" s="578"/>
      <c r="AW7" s="578"/>
      <c r="AX7" s="578"/>
      <c r="AY7" s="578"/>
      <c r="AZ7" s="578"/>
      <c r="BA7" s="578"/>
      <c r="BB7" s="578"/>
      <c r="BC7" s="578"/>
      <c r="BD7" s="578"/>
      <c r="BE7" s="578"/>
      <c r="BF7" s="578"/>
      <c r="BG7" s="578"/>
      <c r="BH7" s="578"/>
      <c r="BI7" s="578"/>
      <c r="BJ7" s="578"/>
      <c r="BK7" s="2717"/>
      <c r="BL7" s="2673"/>
      <c r="BM7" s="2674"/>
      <c r="BN7" s="2674"/>
      <c r="BO7" s="2674"/>
      <c r="BP7" s="2674"/>
      <c r="BQ7" s="2674"/>
      <c r="BR7" s="2674"/>
      <c r="BS7" s="2674"/>
      <c r="BT7" s="2674"/>
      <c r="BU7" s="2674"/>
      <c r="BV7" s="2674"/>
      <c r="BW7" s="2674"/>
      <c r="BX7" s="2674"/>
      <c r="BY7" s="2674"/>
      <c r="BZ7" s="2674"/>
      <c r="CA7" s="2674"/>
      <c r="CB7" s="2674"/>
      <c r="CC7" s="2674"/>
      <c r="CD7" s="2674"/>
      <c r="CE7" s="602"/>
      <c r="CF7" s="602"/>
    </row>
    <row r="8" spans="2:84" ht="9.75" customHeight="1">
      <c r="B8" s="599"/>
      <c r="C8" s="599"/>
      <c r="D8" s="599"/>
      <c r="E8" s="599"/>
      <c r="F8" s="599"/>
      <c r="G8" s="599"/>
      <c r="H8" s="599"/>
      <c r="I8" s="599"/>
      <c r="J8" s="599"/>
      <c r="K8" s="599"/>
      <c r="L8" s="599"/>
      <c r="M8" s="599"/>
      <c r="N8" s="599"/>
      <c r="O8" s="599"/>
      <c r="P8" s="599"/>
      <c r="Q8" s="599"/>
      <c r="R8" s="599"/>
      <c r="S8" s="599"/>
      <c r="T8" s="599"/>
      <c r="U8" s="599"/>
      <c r="V8" s="599"/>
      <c r="W8" s="599"/>
      <c r="X8" s="599"/>
      <c r="Y8" s="599"/>
      <c r="Z8" s="2716"/>
      <c r="AA8" s="578"/>
      <c r="AB8" s="578"/>
      <c r="AC8" s="578"/>
      <c r="AD8" s="578"/>
      <c r="AE8" s="578"/>
      <c r="AF8" s="578"/>
      <c r="AG8" s="578"/>
      <c r="AH8" s="578"/>
      <c r="AI8" s="578"/>
      <c r="AJ8" s="578"/>
      <c r="AK8" s="578"/>
      <c r="AL8" s="578"/>
      <c r="AM8" s="578"/>
      <c r="AN8" s="578"/>
      <c r="AO8" s="578"/>
      <c r="AP8" s="578"/>
      <c r="AQ8" s="578"/>
      <c r="AR8" s="578"/>
      <c r="AS8" s="578"/>
      <c r="AT8" s="578"/>
      <c r="AU8" s="578"/>
      <c r="AV8" s="578"/>
      <c r="AW8" s="578"/>
      <c r="AX8" s="578"/>
      <c r="AY8" s="578"/>
      <c r="AZ8" s="578"/>
      <c r="BA8" s="578"/>
      <c r="BB8" s="578"/>
      <c r="BC8" s="578"/>
      <c r="BD8" s="578"/>
      <c r="BE8" s="578"/>
      <c r="BF8" s="578"/>
      <c r="BG8" s="578"/>
      <c r="BH8" s="578"/>
      <c r="BI8" s="578"/>
      <c r="BJ8" s="578"/>
      <c r="BK8" s="2717"/>
      <c r="BL8" s="601" t="s">
        <v>802</v>
      </c>
      <c r="BM8" s="600"/>
      <c r="BN8" s="600"/>
      <c r="BO8" s="600"/>
      <c r="BP8" s="600"/>
      <c r="BQ8" s="600"/>
      <c r="BR8" s="600"/>
      <c r="BS8" s="600"/>
      <c r="BT8" s="600"/>
      <c r="BU8" s="600"/>
      <c r="BV8" s="600"/>
      <c r="BW8" s="600"/>
      <c r="BX8" s="600"/>
      <c r="BY8" s="600"/>
      <c r="BZ8" s="600"/>
      <c r="CA8" s="600"/>
      <c r="CB8" s="600"/>
      <c r="CC8" s="600"/>
      <c r="CD8" s="600"/>
      <c r="CE8" s="600"/>
      <c r="CF8" s="600"/>
    </row>
    <row r="9" spans="2:84" ht="6" customHeight="1">
      <c r="B9" s="599"/>
      <c r="C9" s="599"/>
      <c r="D9" s="599"/>
      <c r="E9" s="599"/>
      <c r="F9" s="599"/>
      <c r="G9" s="599"/>
      <c r="H9" s="599"/>
      <c r="I9" s="599"/>
      <c r="J9" s="599"/>
      <c r="K9" s="599"/>
      <c r="L9" s="599"/>
      <c r="M9" s="599"/>
      <c r="N9" s="599"/>
      <c r="O9" s="599"/>
      <c r="P9" s="599"/>
      <c r="Q9" s="599"/>
      <c r="R9" s="599"/>
      <c r="S9" s="599"/>
      <c r="T9" s="599"/>
      <c r="U9" s="599"/>
      <c r="V9" s="599"/>
      <c r="W9" s="599"/>
      <c r="X9" s="599"/>
      <c r="Y9" s="599"/>
      <c r="Z9" s="2716"/>
      <c r="AA9" s="578"/>
      <c r="AB9" s="578"/>
      <c r="AC9" s="578"/>
      <c r="AD9" s="578"/>
      <c r="AE9" s="578"/>
      <c r="AF9" s="578"/>
      <c r="AG9" s="578"/>
      <c r="AH9" s="578"/>
      <c r="AI9" s="578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8"/>
      <c r="AX9" s="578"/>
      <c r="AY9" s="578"/>
      <c r="AZ9" s="578"/>
      <c r="BA9" s="578"/>
      <c r="BB9" s="578"/>
      <c r="BC9" s="578"/>
      <c r="BD9" s="578"/>
      <c r="BE9" s="578"/>
      <c r="BF9" s="578"/>
      <c r="BG9" s="578"/>
      <c r="BH9" s="578"/>
      <c r="BI9" s="578"/>
      <c r="BJ9" s="578"/>
      <c r="BK9" s="2717"/>
      <c r="BL9" s="601"/>
      <c r="BM9" s="600"/>
      <c r="BN9" s="600"/>
      <c r="BO9" s="600"/>
      <c r="BP9" s="600"/>
      <c r="BQ9" s="600"/>
      <c r="BR9" s="600"/>
      <c r="BS9" s="600"/>
      <c r="BT9" s="600"/>
      <c r="BU9" s="600"/>
      <c r="BV9" s="600"/>
      <c r="BW9" s="600"/>
      <c r="BX9" s="600"/>
      <c r="BY9" s="600"/>
      <c r="BZ9" s="600"/>
      <c r="CA9" s="600"/>
      <c r="CB9" s="600"/>
      <c r="CC9" s="600"/>
      <c r="CD9" s="600"/>
      <c r="CE9" s="600"/>
      <c r="CF9" s="600"/>
    </row>
    <row r="10" spans="2:84" ht="14.25" customHeight="1" thickBot="1">
      <c r="B10" s="599"/>
      <c r="C10" s="599"/>
      <c r="D10" s="599"/>
      <c r="E10" s="599"/>
      <c r="F10" s="599"/>
      <c r="G10" s="599"/>
      <c r="H10" s="599"/>
      <c r="I10" s="599"/>
      <c r="J10" s="599"/>
      <c r="K10" s="599"/>
      <c r="L10" s="599"/>
      <c r="M10" s="599"/>
      <c r="N10" s="599"/>
      <c r="O10" s="599"/>
      <c r="P10" s="599"/>
      <c r="Q10" s="599"/>
      <c r="R10" s="599"/>
      <c r="S10" s="599"/>
      <c r="T10" s="599"/>
      <c r="U10" s="599"/>
      <c r="V10" s="599"/>
      <c r="W10" s="599"/>
      <c r="X10" s="599"/>
      <c r="Y10" s="599"/>
      <c r="Z10" s="2718"/>
      <c r="AA10" s="570"/>
      <c r="AB10" s="570"/>
      <c r="AC10" s="570"/>
      <c r="AD10" s="570"/>
      <c r="AE10" s="570"/>
      <c r="AF10" s="570"/>
      <c r="AG10" s="570"/>
      <c r="AH10" s="570"/>
      <c r="AI10" s="570"/>
      <c r="AJ10" s="570"/>
      <c r="AK10" s="570"/>
      <c r="AL10" s="570"/>
      <c r="AM10" s="570"/>
      <c r="AN10" s="570"/>
      <c r="AO10" s="570"/>
      <c r="AP10" s="570"/>
      <c r="AQ10" s="570"/>
      <c r="AR10" s="570"/>
      <c r="AS10" s="570"/>
      <c r="AT10" s="570"/>
      <c r="AU10" s="570"/>
      <c r="AV10" s="570"/>
      <c r="AW10" s="570"/>
      <c r="AX10" s="570"/>
      <c r="AY10" s="570"/>
      <c r="AZ10" s="570"/>
      <c r="BA10" s="570"/>
      <c r="BB10" s="570"/>
      <c r="BC10" s="570"/>
      <c r="BD10" s="570"/>
      <c r="BE10" s="570"/>
      <c r="BF10" s="570"/>
      <c r="BG10" s="570"/>
      <c r="BH10" s="570"/>
      <c r="BI10" s="570"/>
      <c r="BJ10" s="570"/>
      <c r="BK10" s="2719"/>
      <c r="BL10" s="598"/>
      <c r="BM10" s="597"/>
      <c r="BN10" s="596"/>
      <c r="BO10" s="596"/>
      <c r="BP10" s="596"/>
      <c r="BQ10" s="596"/>
      <c r="BR10" s="2652" t="s">
        <v>801</v>
      </c>
      <c r="BS10" s="2652"/>
      <c r="BT10" s="2652"/>
      <c r="BU10" s="2652"/>
      <c r="BV10" s="2652"/>
      <c r="BW10" s="2652"/>
      <c r="BX10" s="2652"/>
      <c r="BY10" s="2652"/>
      <c r="BZ10" s="2652"/>
      <c r="CA10" s="2652"/>
      <c r="CB10" s="2652"/>
      <c r="CC10" s="2652"/>
      <c r="CD10" s="2652"/>
      <c r="CE10" s="552"/>
      <c r="CF10" s="552"/>
    </row>
    <row r="11" spans="2:84" ht="15" customHeight="1">
      <c r="B11" s="2669" t="s">
        <v>289</v>
      </c>
      <c r="C11" s="2669"/>
      <c r="D11" s="2669"/>
      <c r="E11" s="2669"/>
      <c r="F11" s="2669"/>
      <c r="G11" s="2669"/>
      <c r="H11" s="2669"/>
      <c r="I11" s="2669"/>
      <c r="J11" s="2669"/>
      <c r="K11" s="2669"/>
      <c r="L11" s="2669"/>
      <c r="M11" s="2669"/>
      <c r="N11" s="2669"/>
      <c r="O11" s="2669"/>
      <c r="P11" s="2669"/>
      <c r="Q11" s="2669"/>
      <c r="R11" s="2669"/>
      <c r="S11" s="2669"/>
      <c r="T11" s="2669"/>
      <c r="U11" s="2669"/>
      <c r="V11" s="2669"/>
      <c r="W11" s="2669"/>
      <c r="X11" s="2669"/>
      <c r="Y11" s="2670"/>
      <c r="Z11" s="595"/>
      <c r="AA11" s="594"/>
      <c r="AB11" s="594"/>
      <c r="AC11" s="594"/>
      <c r="AD11" s="594"/>
      <c r="AE11" s="594"/>
      <c r="AF11" s="594"/>
      <c r="AG11" s="594"/>
      <c r="AH11" s="594"/>
      <c r="AI11" s="594"/>
      <c r="AJ11" s="593"/>
      <c r="AK11" s="593"/>
      <c r="AL11" s="593"/>
      <c r="AM11" s="2748" t="str">
        <f>slip02</f>
        <v>-</v>
      </c>
      <c r="AN11" s="2748"/>
      <c r="AO11" s="2748"/>
      <c r="AP11" s="2748"/>
      <c r="AQ11" s="2748"/>
      <c r="AR11" s="2748"/>
      <c r="AS11" s="2748"/>
      <c r="AT11" s="2748"/>
      <c r="AU11" s="2748"/>
      <c r="AV11" s="2748"/>
      <c r="AW11" s="2748"/>
      <c r="AX11" s="2748"/>
      <c r="AY11" s="2748"/>
      <c r="AZ11" s="2748"/>
      <c r="BA11" s="2748"/>
      <c r="BB11" s="2748"/>
      <c r="BC11" s="2748"/>
      <c r="BD11" s="2748"/>
      <c r="BE11" s="2748"/>
      <c r="BF11" s="2748"/>
      <c r="BG11" s="2748"/>
      <c r="BH11" s="2748"/>
      <c r="BI11" s="2748"/>
      <c r="BJ11" s="2748"/>
      <c r="BK11" s="2748"/>
      <c r="BL11" s="2748"/>
      <c r="BM11" s="2748"/>
      <c r="BN11" s="2748"/>
      <c r="BO11" s="2748"/>
      <c r="BP11" s="2748"/>
      <c r="BQ11" s="592"/>
      <c r="BR11" s="2653" t="s">
        <v>800</v>
      </c>
      <c r="BS11" s="2654"/>
      <c r="BT11" s="2654"/>
      <c r="BU11" s="2654"/>
      <c r="BV11" s="2654"/>
      <c r="BW11" s="2654"/>
      <c r="BX11" s="2654"/>
      <c r="BY11" s="2654"/>
      <c r="BZ11" s="2654"/>
      <c r="CA11" s="2654"/>
      <c r="CB11" s="2654"/>
      <c r="CC11" s="2654"/>
      <c r="CD11" s="2654"/>
      <c r="CE11" s="2654"/>
      <c r="CF11" s="552"/>
    </row>
    <row r="12" spans="2:84" ht="11.25" customHeight="1">
      <c r="B12" s="2723" t="s">
        <v>799</v>
      </c>
      <c r="C12" s="2723"/>
      <c r="D12" s="2723"/>
      <c r="E12" s="2723"/>
      <c r="F12" s="2723"/>
      <c r="G12" s="2723"/>
      <c r="H12" s="2723"/>
      <c r="I12" s="2723"/>
      <c r="J12" s="2723"/>
      <c r="K12" s="2723"/>
      <c r="L12" s="2723"/>
      <c r="M12" s="2723"/>
      <c r="N12" s="2723"/>
      <c r="O12" s="2723"/>
      <c r="P12" s="2723"/>
      <c r="Q12" s="2723"/>
      <c r="R12" s="2723"/>
      <c r="S12" s="2723"/>
      <c r="T12" s="2723"/>
      <c r="U12" s="2723"/>
      <c r="V12" s="2723"/>
      <c r="W12" s="2723"/>
      <c r="X12" s="2723"/>
      <c r="Y12" s="2724"/>
      <c r="Z12" s="588" t="s">
        <v>798</v>
      </c>
      <c r="AA12" s="587"/>
      <c r="AB12" s="587"/>
      <c r="AC12" s="587"/>
      <c r="AD12" s="587"/>
      <c r="AE12" s="587"/>
      <c r="AF12" s="587"/>
      <c r="AG12" s="587"/>
      <c r="AH12" s="2721" t="s">
        <v>797</v>
      </c>
      <c r="AI12" s="2721"/>
      <c r="AJ12" s="2721"/>
      <c r="AK12" s="2721"/>
      <c r="AL12" s="591"/>
      <c r="AM12" s="2749"/>
      <c r="AN12" s="2749"/>
      <c r="AO12" s="2749"/>
      <c r="AP12" s="2749"/>
      <c r="AQ12" s="2749"/>
      <c r="AR12" s="2749"/>
      <c r="AS12" s="2749"/>
      <c r="AT12" s="2749"/>
      <c r="AU12" s="2749"/>
      <c r="AV12" s="2749"/>
      <c r="AW12" s="2749"/>
      <c r="AX12" s="2749"/>
      <c r="AY12" s="2749"/>
      <c r="AZ12" s="2749"/>
      <c r="BA12" s="2749"/>
      <c r="BB12" s="2749"/>
      <c r="BC12" s="2749"/>
      <c r="BD12" s="2749"/>
      <c r="BE12" s="2749"/>
      <c r="BF12" s="2749"/>
      <c r="BG12" s="2749"/>
      <c r="BH12" s="2749"/>
      <c r="BI12" s="2749"/>
      <c r="BJ12" s="2749"/>
      <c r="BK12" s="2749"/>
      <c r="BL12" s="2749"/>
      <c r="BM12" s="2749"/>
      <c r="BN12" s="2749"/>
      <c r="BO12" s="2749"/>
      <c r="BP12" s="2749"/>
      <c r="BQ12" s="574"/>
      <c r="BR12" s="2694" t="s">
        <v>796</v>
      </c>
      <c r="BS12" s="2694"/>
      <c r="BT12" s="590"/>
      <c r="BU12" s="2722">
        <f>'GENERAL INFO'!L108</f>
        <v>0</v>
      </c>
      <c r="BV12" s="2722"/>
      <c r="BW12" s="2722"/>
      <c r="BX12" s="589" t="s">
        <v>30</v>
      </c>
      <c r="BY12" s="2722">
        <f>'GENERAL INFO'!O108</f>
        <v>0</v>
      </c>
      <c r="BZ12" s="2722"/>
      <c r="CA12" s="2722"/>
      <c r="CB12" s="2722"/>
      <c r="CC12" s="564"/>
      <c r="CD12" s="564"/>
      <c r="CE12" s="564"/>
      <c r="CF12" s="564"/>
    </row>
    <row r="13" spans="2:84" ht="3" customHeight="1">
      <c r="B13" s="2723"/>
      <c r="C13" s="2723"/>
      <c r="D13" s="2723"/>
      <c r="E13" s="2723"/>
      <c r="F13" s="2723"/>
      <c r="G13" s="2723"/>
      <c r="H13" s="2723"/>
      <c r="I13" s="2723"/>
      <c r="J13" s="2723"/>
      <c r="K13" s="2723"/>
      <c r="L13" s="2723"/>
      <c r="M13" s="2723"/>
      <c r="N13" s="2723"/>
      <c r="O13" s="2723"/>
      <c r="P13" s="2723"/>
      <c r="Q13" s="2723"/>
      <c r="R13" s="2723"/>
      <c r="S13" s="2723"/>
      <c r="T13" s="2723"/>
      <c r="U13" s="2723"/>
      <c r="V13" s="2723"/>
      <c r="W13" s="2723"/>
      <c r="X13" s="2723"/>
      <c r="Y13" s="2724"/>
      <c r="Z13" s="588"/>
      <c r="AA13" s="587"/>
      <c r="AB13" s="587"/>
      <c r="AC13" s="587"/>
      <c r="AD13" s="587"/>
      <c r="AE13" s="587"/>
      <c r="AF13" s="587"/>
      <c r="AG13" s="587"/>
      <c r="AH13" s="586"/>
      <c r="AI13" s="586"/>
      <c r="AJ13" s="586"/>
      <c r="AK13" s="586"/>
      <c r="AL13" s="586"/>
      <c r="AM13" s="585"/>
      <c r="AN13" s="584"/>
      <c r="AO13" s="584"/>
      <c r="AP13" s="584"/>
      <c r="AQ13" s="583"/>
      <c r="AR13" s="583"/>
      <c r="AS13" s="582"/>
      <c r="AT13" s="581"/>
      <c r="AU13" s="581"/>
      <c r="AV13" s="576"/>
      <c r="AW13" s="576"/>
      <c r="AX13" s="576"/>
      <c r="AY13" s="576"/>
      <c r="AZ13" s="576"/>
      <c r="BA13" s="576"/>
      <c r="BB13" s="580"/>
      <c r="BC13" s="579"/>
      <c r="BD13" s="578"/>
      <c r="BE13" s="578"/>
      <c r="BF13" s="576"/>
      <c r="BG13" s="576"/>
      <c r="BH13" s="576"/>
      <c r="BI13" s="577"/>
      <c r="BJ13" s="576"/>
      <c r="BK13" s="576"/>
      <c r="BL13" s="576"/>
      <c r="BM13" s="576"/>
      <c r="BN13" s="575"/>
      <c r="BO13" s="575"/>
      <c r="BP13" s="575"/>
      <c r="BQ13" s="574"/>
      <c r="BR13" s="573"/>
      <c r="BS13" s="2694"/>
      <c r="BT13" s="2694"/>
      <c r="BU13" s="2694"/>
      <c r="BV13" s="564"/>
      <c r="BW13" s="564"/>
      <c r="BX13" s="564"/>
      <c r="BY13" s="564"/>
      <c r="BZ13" s="564"/>
      <c r="CA13" s="564"/>
      <c r="CB13" s="564"/>
      <c r="CC13" s="564"/>
      <c r="CD13" s="564"/>
      <c r="CE13" s="564"/>
      <c r="CF13" s="564"/>
    </row>
    <row r="14" spans="2:84" ht="16.5" customHeight="1" thickBot="1">
      <c r="B14" s="2725"/>
      <c r="C14" s="2725"/>
      <c r="D14" s="2725"/>
      <c r="E14" s="2725"/>
      <c r="F14" s="2725"/>
      <c r="G14" s="2725"/>
      <c r="H14" s="2725"/>
      <c r="I14" s="2725"/>
      <c r="J14" s="2725"/>
      <c r="K14" s="2725"/>
      <c r="L14" s="2725"/>
      <c r="M14" s="2725"/>
      <c r="N14" s="2725"/>
      <c r="O14" s="2725"/>
      <c r="P14" s="2725"/>
      <c r="Q14" s="2725"/>
      <c r="R14" s="2725"/>
      <c r="S14" s="2725"/>
      <c r="T14" s="2725"/>
      <c r="U14" s="2725"/>
      <c r="V14" s="2725"/>
      <c r="W14" s="2725"/>
      <c r="X14" s="2725"/>
      <c r="Y14" s="2726"/>
      <c r="Z14" s="572"/>
      <c r="AA14" s="570"/>
      <c r="AB14" s="570"/>
      <c r="AC14" s="570"/>
      <c r="AD14" s="570"/>
      <c r="AE14" s="570"/>
      <c r="AF14" s="570"/>
      <c r="AG14" s="570"/>
      <c r="AH14" s="570"/>
      <c r="AI14" s="571"/>
      <c r="AJ14" s="571"/>
      <c r="AK14" s="571"/>
      <c r="AL14" s="571"/>
      <c r="AM14" s="571"/>
      <c r="AN14" s="570"/>
      <c r="AO14" s="570"/>
      <c r="AP14" s="570"/>
      <c r="AQ14" s="570"/>
      <c r="AR14" s="570"/>
      <c r="AS14" s="569"/>
      <c r="AT14" s="570"/>
      <c r="AU14" s="570"/>
      <c r="AV14" s="569"/>
      <c r="AW14" s="569"/>
      <c r="AX14" s="569"/>
      <c r="AY14" s="569"/>
      <c r="AZ14" s="569"/>
      <c r="BA14" s="569"/>
      <c r="BB14" s="569"/>
      <c r="BC14" s="569"/>
      <c r="BD14" s="569"/>
      <c r="BE14" s="569"/>
      <c r="BF14" s="569"/>
      <c r="BG14" s="569"/>
      <c r="BH14" s="569"/>
      <c r="BI14" s="569"/>
      <c r="BJ14" s="569"/>
      <c r="BK14" s="569"/>
      <c r="BL14" s="569"/>
      <c r="BM14" s="569"/>
      <c r="BN14" s="568"/>
      <c r="BO14" s="568"/>
      <c r="BP14" s="568"/>
      <c r="BQ14" s="567"/>
      <c r="BR14" s="566"/>
      <c r="BS14" s="566"/>
      <c r="BT14" s="566"/>
      <c r="BU14" s="565"/>
      <c r="BV14" s="565"/>
      <c r="BW14" s="565"/>
      <c r="BX14" s="565"/>
      <c r="BY14" s="565"/>
      <c r="BZ14" s="565"/>
      <c r="CA14" s="565"/>
      <c r="CB14" s="565"/>
      <c r="CC14" s="565"/>
      <c r="CD14" s="565"/>
      <c r="CE14" s="564"/>
      <c r="CF14" s="564"/>
    </row>
    <row r="15" spans="2:82" s="444" customFormat="1" ht="5.25" customHeight="1">
      <c r="B15" s="486"/>
      <c r="C15" s="485"/>
      <c r="D15" s="485"/>
      <c r="E15" s="485"/>
      <c r="F15" s="485"/>
      <c r="G15" s="485"/>
      <c r="H15" s="485"/>
      <c r="I15" s="485"/>
      <c r="J15" s="485"/>
      <c r="K15" s="485"/>
      <c r="L15" s="485"/>
      <c r="M15" s="485"/>
      <c r="N15" s="485"/>
      <c r="O15" s="484"/>
      <c r="P15" s="484"/>
      <c r="Q15" s="484"/>
      <c r="R15" s="484"/>
      <c r="S15" s="484"/>
      <c r="T15" s="484"/>
      <c r="U15" s="484"/>
      <c r="V15" s="484"/>
      <c r="W15" s="484"/>
      <c r="X15" s="484"/>
      <c r="Y15" s="484"/>
      <c r="Z15" s="484"/>
      <c r="AA15" s="484"/>
      <c r="AB15" s="484"/>
      <c r="AC15" s="484"/>
      <c r="AD15" s="484"/>
      <c r="AE15" s="484"/>
      <c r="AF15" s="484"/>
      <c r="AG15" s="484"/>
      <c r="AH15" s="484"/>
      <c r="AI15" s="484"/>
      <c r="AJ15" s="484"/>
      <c r="AK15" s="484"/>
      <c r="AL15" s="484"/>
      <c r="AM15" s="484"/>
      <c r="AN15" s="484"/>
      <c r="AO15" s="484"/>
      <c r="AP15" s="483"/>
      <c r="AQ15" s="483"/>
      <c r="AR15" s="483"/>
      <c r="AS15" s="483"/>
      <c r="AT15" s="483"/>
      <c r="AU15" s="483"/>
      <c r="AV15" s="483"/>
      <c r="AW15" s="483"/>
      <c r="AX15" s="483"/>
      <c r="AY15" s="483"/>
      <c r="AZ15" s="483"/>
      <c r="BA15" s="483"/>
      <c r="BB15" s="483"/>
      <c r="BC15" s="483"/>
      <c r="BD15" s="483"/>
      <c r="BE15" s="483"/>
      <c r="BF15" s="483"/>
      <c r="BG15" s="483"/>
      <c r="BH15" s="483"/>
      <c r="BI15" s="483"/>
      <c r="BJ15" s="483"/>
      <c r="BK15" s="483"/>
      <c r="BL15" s="483"/>
      <c r="BM15" s="483"/>
      <c r="BN15" s="483"/>
      <c r="BO15" s="483"/>
      <c r="BP15" s="483"/>
      <c r="BQ15" s="483"/>
      <c r="BR15" s="483"/>
      <c r="BS15" s="483"/>
      <c r="BT15" s="483"/>
      <c r="BU15" s="483"/>
      <c r="BV15" s="483"/>
      <c r="BW15" s="483"/>
      <c r="BX15" s="483"/>
      <c r="BY15" s="483"/>
      <c r="BZ15" s="483"/>
      <c r="CA15" s="483"/>
      <c r="CB15" s="483"/>
      <c r="CC15" s="483"/>
      <c r="CD15" s="482"/>
    </row>
    <row r="16" spans="2:82" s="444" customFormat="1" ht="23.15" customHeight="1">
      <c r="B16" s="561"/>
      <c r="C16" s="549" t="s">
        <v>795</v>
      </c>
      <c r="D16" s="523"/>
      <c r="E16" s="523"/>
      <c r="F16" s="523"/>
      <c r="G16" s="523"/>
      <c r="H16" s="523"/>
      <c r="I16" s="523"/>
      <c r="J16" s="523"/>
      <c r="K16" s="563" t="s">
        <v>26</v>
      </c>
      <c r="L16" s="2730" t="s">
        <v>794</v>
      </c>
      <c r="M16" s="2730"/>
      <c r="N16" s="2730"/>
      <c r="O16" s="2730"/>
      <c r="P16" s="2679" t="str">
        <f>emp_taxID2</f>
        <v>-</v>
      </c>
      <c r="Q16" s="2679"/>
      <c r="R16" s="2679"/>
      <c r="S16" s="2679"/>
      <c r="T16" s="2679"/>
      <c r="U16" s="2679"/>
      <c r="V16" s="2679"/>
      <c r="W16" s="2679"/>
      <c r="X16" s="2679"/>
      <c r="Y16" s="2679"/>
      <c r="Z16" s="2679"/>
      <c r="AA16" s="2679"/>
      <c r="AB16" s="2679"/>
      <c r="AC16" s="2679"/>
      <c r="AD16" s="2679"/>
      <c r="AE16" s="2679"/>
      <c r="AF16" s="2679"/>
      <c r="AG16" s="2679"/>
      <c r="AH16" s="2679"/>
      <c r="AI16" s="2679"/>
      <c r="AJ16" s="2679"/>
      <c r="AK16" s="2679"/>
      <c r="AL16" s="2679"/>
      <c r="AM16" s="2679"/>
      <c r="AN16" s="2679"/>
      <c r="AO16" s="2679"/>
      <c r="AP16" s="2679"/>
      <c r="AQ16" s="2679"/>
      <c r="AR16" s="2679"/>
      <c r="AS16" s="2679"/>
      <c r="AT16" s="2679"/>
      <c r="AU16" s="2679"/>
      <c r="AV16" s="2679"/>
      <c r="AW16" s="2679"/>
      <c r="AX16" s="2679"/>
      <c r="AY16" s="2679"/>
      <c r="AZ16" s="2679"/>
      <c r="BA16" s="2679"/>
      <c r="BB16" s="2679"/>
      <c r="BC16" s="2679"/>
      <c r="BD16" s="454"/>
      <c r="BE16" s="454"/>
      <c r="BF16" s="454"/>
      <c r="BG16" s="454"/>
      <c r="BH16" s="454"/>
      <c r="BI16" s="454"/>
      <c r="BJ16" s="454"/>
      <c r="BK16" s="454"/>
      <c r="BL16" s="454"/>
      <c r="BM16" s="454"/>
      <c r="BN16" s="454"/>
      <c r="BO16" s="2728"/>
      <c r="BP16" s="2728"/>
      <c r="BQ16" s="2728"/>
      <c r="BR16" s="473"/>
      <c r="BS16" s="473"/>
      <c r="BT16" s="562"/>
      <c r="BU16" s="562"/>
      <c r="BV16" s="562"/>
      <c r="BW16" s="562"/>
      <c r="BX16" s="562"/>
      <c r="BY16" s="473"/>
      <c r="BZ16" s="473"/>
      <c r="CA16" s="473"/>
      <c r="CB16" s="473"/>
      <c r="CC16" s="473"/>
      <c r="CD16" s="472"/>
    </row>
    <row r="17" spans="2:82" s="444" customFormat="1" ht="6" customHeight="1">
      <c r="B17" s="477"/>
      <c r="C17" s="468"/>
      <c r="D17" s="468"/>
      <c r="E17" s="468"/>
      <c r="F17" s="468"/>
      <c r="G17" s="468"/>
      <c r="H17" s="468"/>
      <c r="I17" s="468"/>
      <c r="J17" s="476"/>
      <c r="K17" s="476"/>
      <c r="L17" s="476"/>
      <c r="M17" s="468"/>
      <c r="N17" s="468"/>
      <c r="O17" s="475"/>
      <c r="P17" s="475"/>
      <c r="Q17" s="475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474"/>
      <c r="AI17" s="474"/>
      <c r="AJ17" s="474"/>
      <c r="AK17" s="474"/>
      <c r="AL17" s="474"/>
      <c r="AM17" s="474"/>
      <c r="AN17" s="474"/>
      <c r="AO17" s="474"/>
      <c r="AP17" s="473"/>
      <c r="AQ17" s="473"/>
      <c r="AR17" s="473"/>
      <c r="AS17" s="473"/>
      <c r="AT17" s="473"/>
      <c r="AU17" s="473"/>
      <c r="AV17" s="473"/>
      <c r="AW17" s="473"/>
      <c r="AX17" s="473"/>
      <c r="AY17" s="473"/>
      <c r="AZ17" s="473"/>
      <c r="BA17" s="473"/>
      <c r="BB17" s="473"/>
      <c r="BC17" s="473"/>
      <c r="BD17" s="473"/>
      <c r="BE17" s="473"/>
      <c r="BF17" s="473"/>
      <c r="BG17" s="473"/>
      <c r="BH17" s="473"/>
      <c r="BI17" s="473"/>
      <c r="BJ17" s="473"/>
      <c r="BK17" s="473"/>
      <c r="BL17" s="473"/>
      <c r="BM17" s="473"/>
      <c r="BN17" s="473"/>
      <c r="BO17" s="473"/>
      <c r="BP17" s="473"/>
      <c r="BQ17" s="473"/>
      <c r="BR17" s="473"/>
      <c r="BS17" s="473"/>
      <c r="BT17" s="473"/>
      <c r="BU17" s="473"/>
      <c r="BV17" s="473"/>
      <c r="BW17" s="473"/>
      <c r="BX17" s="473"/>
      <c r="BY17" s="473"/>
      <c r="BZ17" s="473"/>
      <c r="CA17" s="473"/>
      <c r="CB17" s="473"/>
      <c r="CC17" s="473"/>
      <c r="CD17" s="472"/>
    </row>
    <row r="18" spans="2:84" s="444" customFormat="1" ht="23.15" customHeight="1">
      <c r="B18" s="561"/>
      <c r="C18" s="536" t="s">
        <v>793</v>
      </c>
      <c r="D18" s="2699"/>
      <c r="E18" s="2699"/>
      <c r="F18" s="2699"/>
      <c r="G18" s="2699"/>
      <c r="H18" s="2699"/>
      <c r="I18" s="2699"/>
      <c r="J18" s="2699"/>
      <c r="K18" s="560" t="s">
        <v>26</v>
      </c>
      <c r="L18" s="467" t="s">
        <v>792</v>
      </c>
      <c r="M18" s="467"/>
      <c r="N18" s="467"/>
      <c r="O18" s="467"/>
      <c r="P18" s="2707" t="str">
        <f>employer2</f>
        <v>-</v>
      </c>
      <c r="Q18" s="2707"/>
      <c r="R18" s="2707"/>
      <c r="S18" s="2707"/>
      <c r="T18" s="2707"/>
      <c r="U18" s="2707"/>
      <c r="V18" s="2707"/>
      <c r="W18" s="2707"/>
      <c r="X18" s="2707"/>
      <c r="Y18" s="2707"/>
      <c r="Z18" s="2707"/>
      <c r="AA18" s="2707"/>
      <c r="AB18" s="2707"/>
      <c r="AC18" s="2707"/>
      <c r="AD18" s="2707"/>
      <c r="AE18" s="2707"/>
      <c r="AF18" s="2707"/>
      <c r="AG18" s="2707"/>
      <c r="AH18" s="2707"/>
      <c r="AI18" s="2707"/>
      <c r="AJ18" s="2707"/>
      <c r="AK18" s="2707"/>
      <c r="AL18" s="2707"/>
      <c r="AM18" s="2707"/>
      <c r="AN18" s="2707"/>
      <c r="AO18" s="2707"/>
      <c r="AP18" s="2707"/>
      <c r="AQ18" s="2707"/>
      <c r="AR18" s="2707"/>
      <c r="AS18" s="2707"/>
      <c r="AT18" s="2707"/>
      <c r="AU18" s="2707"/>
      <c r="AV18" s="2707"/>
      <c r="AW18" s="2707"/>
      <c r="AX18" s="2707"/>
      <c r="AY18" s="2707"/>
      <c r="AZ18" s="2707"/>
      <c r="BA18" s="2707"/>
      <c r="BB18" s="2707"/>
      <c r="BC18" s="2707"/>
      <c r="BD18" s="2707"/>
      <c r="BE18" s="2707"/>
      <c r="BF18" s="2707"/>
      <c r="BG18" s="2707"/>
      <c r="BH18" s="2707"/>
      <c r="BI18" s="2707"/>
      <c r="BJ18" s="2707"/>
      <c r="BK18" s="2707"/>
      <c r="BL18" s="2707"/>
      <c r="BM18" s="2707"/>
      <c r="BN18" s="2707"/>
      <c r="BO18" s="2707"/>
      <c r="BP18" s="2707"/>
      <c r="BQ18" s="2707"/>
      <c r="BR18" s="2707"/>
      <c r="BS18" s="2707"/>
      <c r="BT18" s="2707"/>
      <c r="BU18" s="2707"/>
      <c r="BV18" s="2707"/>
      <c r="BW18" s="2707"/>
      <c r="BX18" s="2707"/>
      <c r="BY18" s="2707"/>
      <c r="BZ18" s="2707"/>
      <c r="CA18" s="2707"/>
      <c r="CB18" s="2707"/>
      <c r="CC18" s="2707"/>
      <c r="CD18" s="463"/>
      <c r="CE18" s="518"/>
      <c r="CF18" s="518"/>
    </row>
    <row r="19" spans="2:84" s="444" customFormat="1" ht="9" customHeight="1" thickBot="1">
      <c r="B19" s="462"/>
      <c r="C19" s="461"/>
      <c r="D19" s="459"/>
      <c r="E19" s="459"/>
      <c r="F19" s="459"/>
      <c r="G19" s="459"/>
      <c r="H19" s="459"/>
      <c r="I19" s="459"/>
      <c r="J19" s="460"/>
      <c r="K19" s="460"/>
      <c r="L19" s="460"/>
      <c r="M19" s="459"/>
      <c r="N19" s="458"/>
      <c r="O19" s="458"/>
      <c r="P19" s="458"/>
      <c r="Q19" s="458"/>
      <c r="R19" s="457"/>
      <c r="S19" s="457"/>
      <c r="T19" s="457"/>
      <c r="U19" s="457"/>
      <c r="V19" s="457"/>
      <c r="W19" s="457"/>
      <c r="X19" s="457"/>
      <c r="Y19" s="457"/>
      <c r="Z19" s="457"/>
      <c r="AA19" s="457"/>
      <c r="AB19" s="457"/>
      <c r="AC19" s="457"/>
      <c r="AD19" s="457"/>
      <c r="AE19" s="457"/>
      <c r="AF19" s="457"/>
      <c r="AG19" s="457"/>
      <c r="AH19" s="457"/>
      <c r="AI19" s="457"/>
      <c r="AJ19" s="457"/>
      <c r="AK19" s="457"/>
      <c r="AL19" s="457"/>
      <c r="AM19" s="457"/>
      <c r="AN19" s="457"/>
      <c r="AO19" s="457"/>
      <c r="AP19" s="457"/>
      <c r="AQ19" s="457"/>
      <c r="AR19" s="457"/>
      <c r="AS19" s="457"/>
      <c r="AT19" s="457"/>
      <c r="AU19" s="457"/>
      <c r="AV19" s="457"/>
      <c r="AW19" s="457"/>
      <c r="AX19" s="457"/>
      <c r="AY19" s="457"/>
      <c r="AZ19" s="457"/>
      <c r="BA19" s="457"/>
      <c r="BB19" s="457"/>
      <c r="BC19" s="457"/>
      <c r="BD19" s="457"/>
      <c r="BE19" s="457"/>
      <c r="BF19" s="457"/>
      <c r="BG19" s="457"/>
      <c r="BH19" s="457"/>
      <c r="BI19" s="457"/>
      <c r="BJ19" s="457"/>
      <c r="BK19" s="457"/>
      <c r="BL19" s="457"/>
      <c r="BM19" s="457"/>
      <c r="BN19" s="457"/>
      <c r="BO19" s="457"/>
      <c r="BP19" s="457"/>
      <c r="BQ19" s="457"/>
      <c r="BR19" s="457"/>
      <c r="BS19" s="457"/>
      <c r="BT19" s="457"/>
      <c r="BU19" s="457"/>
      <c r="BV19" s="457"/>
      <c r="BW19" s="457"/>
      <c r="BX19" s="457"/>
      <c r="BY19" s="457"/>
      <c r="BZ19" s="457"/>
      <c r="CA19" s="457"/>
      <c r="CB19" s="457"/>
      <c r="CC19" s="457"/>
      <c r="CD19" s="456"/>
      <c r="CE19" s="518"/>
      <c r="CF19" s="518"/>
    </row>
    <row r="20" spans="2:84" s="444" customFormat="1" ht="9" customHeight="1">
      <c r="B20" s="558"/>
      <c r="C20" s="558"/>
      <c r="D20" s="559"/>
      <c r="E20" s="559"/>
      <c r="F20" s="559"/>
      <c r="G20" s="559"/>
      <c r="H20" s="559"/>
      <c r="I20" s="558"/>
      <c r="J20" s="557"/>
      <c r="K20" s="557"/>
      <c r="L20" s="556"/>
      <c r="M20" s="555"/>
      <c r="N20" s="466"/>
      <c r="O20" s="466"/>
      <c r="P20" s="466"/>
      <c r="Q20" s="466"/>
      <c r="R20" s="464"/>
      <c r="S20" s="464"/>
      <c r="T20" s="464"/>
      <c r="U20" s="464"/>
      <c r="V20" s="464"/>
      <c r="W20" s="464"/>
      <c r="X20" s="464"/>
      <c r="Y20" s="464"/>
      <c r="Z20" s="464"/>
      <c r="AA20" s="464"/>
      <c r="AB20" s="464"/>
      <c r="AC20" s="464"/>
      <c r="AD20" s="464"/>
      <c r="AE20" s="464"/>
      <c r="AF20" s="464"/>
      <c r="AG20" s="464"/>
      <c r="AH20" s="464"/>
      <c r="AI20" s="464"/>
      <c r="AJ20" s="464"/>
      <c r="AK20" s="464"/>
      <c r="AL20" s="464"/>
      <c r="AM20" s="464"/>
      <c r="AN20" s="464"/>
      <c r="AO20" s="464"/>
      <c r="AP20" s="464"/>
      <c r="AQ20" s="464"/>
      <c r="AR20" s="464"/>
      <c r="AS20" s="464"/>
      <c r="AT20" s="464"/>
      <c r="AU20" s="464"/>
      <c r="AV20" s="464"/>
      <c r="AW20" s="464"/>
      <c r="AX20" s="464"/>
      <c r="AY20" s="464"/>
      <c r="AZ20" s="464"/>
      <c r="BA20" s="464"/>
      <c r="BB20" s="464"/>
      <c r="BC20" s="464"/>
      <c r="BD20" s="464"/>
      <c r="BE20" s="464"/>
      <c r="BF20" s="464"/>
      <c r="BG20" s="464"/>
      <c r="BH20" s="464"/>
      <c r="BI20" s="464"/>
      <c r="BJ20" s="464"/>
      <c r="BK20" s="464"/>
      <c r="BL20" s="464"/>
      <c r="BM20" s="464"/>
      <c r="BN20" s="464"/>
      <c r="BO20" s="464"/>
      <c r="BP20" s="464"/>
      <c r="BQ20" s="464"/>
      <c r="BR20" s="464"/>
      <c r="BS20" s="464"/>
      <c r="BT20" s="464"/>
      <c r="BU20" s="464"/>
      <c r="BV20" s="464"/>
      <c r="BW20" s="464"/>
      <c r="BX20" s="464"/>
      <c r="BY20" s="464"/>
      <c r="BZ20" s="464"/>
      <c r="CA20" s="464"/>
      <c r="CB20" s="464"/>
      <c r="CC20" s="464"/>
      <c r="CD20" s="554"/>
      <c r="CE20" s="518"/>
      <c r="CF20" s="518"/>
    </row>
    <row r="21" spans="2:84">
      <c r="B21" s="2720" t="s">
        <v>791</v>
      </c>
      <c r="C21" s="2720"/>
      <c r="D21" s="2720"/>
      <c r="E21" s="2720"/>
      <c r="F21" s="2720"/>
      <c r="G21" s="2720"/>
      <c r="H21" s="2720"/>
      <c r="I21" s="2720"/>
      <c r="J21" s="2720"/>
      <c r="K21" s="2720"/>
      <c r="L21" s="2720"/>
      <c r="M21" s="2720"/>
      <c r="N21" s="2720"/>
      <c r="O21" s="2720"/>
      <c r="P21" s="2720"/>
      <c r="Q21" s="2720"/>
      <c r="R21" s="2720"/>
      <c r="S21" s="2720"/>
      <c r="T21" s="2720"/>
      <c r="U21" s="2720"/>
      <c r="V21" s="2720"/>
      <c r="W21" s="2720"/>
      <c r="X21" s="2720"/>
      <c r="Y21" s="2720"/>
      <c r="Z21" s="2720"/>
      <c r="AA21" s="2720"/>
      <c r="AB21" s="2720"/>
      <c r="AC21" s="2720"/>
      <c r="AD21" s="2720"/>
      <c r="AE21" s="2720"/>
      <c r="AF21" s="2720"/>
      <c r="AG21" s="2720"/>
      <c r="AH21" s="2720"/>
      <c r="AI21" s="2720"/>
      <c r="AJ21" s="2720"/>
      <c r="AK21" s="2720"/>
      <c r="AL21" s="2720"/>
      <c r="AM21" s="2720"/>
      <c r="AN21" s="2720"/>
      <c r="AO21" s="2720"/>
      <c r="AP21" s="2720"/>
      <c r="AQ21" s="2720"/>
      <c r="AR21" s="2720"/>
      <c r="AS21" s="2720"/>
      <c r="AT21" s="2720"/>
      <c r="AU21" s="2720"/>
      <c r="AV21" s="2720"/>
      <c r="AW21" s="2720"/>
      <c r="AX21" s="2720"/>
      <c r="AY21" s="2720"/>
      <c r="AZ21" s="2720"/>
      <c r="BA21" s="2720"/>
      <c r="BB21" s="2720"/>
      <c r="BC21" s="2720"/>
      <c r="BD21" s="2720"/>
      <c r="BE21" s="2720"/>
      <c r="BF21" s="2720"/>
      <c r="BG21" s="2720"/>
      <c r="BH21" s="2720"/>
      <c r="BI21" s="2720"/>
      <c r="BJ21" s="2720"/>
      <c r="BK21" s="2720"/>
      <c r="BL21" s="2720"/>
      <c r="BM21" s="2720"/>
      <c r="BN21" s="2720"/>
      <c r="BO21" s="2720"/>
      <c r="BP21" s="2720"/>
      <c r="BQ21" s="2720"/>
      <c r="BR21" s="2720"/>
      <c r="BS21" s="2720"/>
      <c r="BT21" s="2720"/>
      <c r="BU21" s="2720"/>
      <c r="BV21" s="2720"/>
      <c r="BW21" s="2720"/>
      <c r="BX21" s="2720"/>
      <c r="BY21" s="2720"/>
      <c r="BZ21" s="2720"/>
      <c r="CA21" s="2720"/>
      <c r="CB21" s="2720"/>
      <c r="CC21" s="2720"/>
      <c r="CD21" s="2720"/>
      <c r="CE21" s="552"/>
      <c r="CF21" s="552"/>
    </row>
    <row r="22" spans="2:84" ht="3.75" customHeight="1" thickBot="1">
      <c r="B22" s="553"/>
      <c r="C22" s="553"/>
      <c r="D22" s="553"/>
      <c r="E22" s="553"/>
      <c r="F22" s="553"/>
      <c r="G22" s="553"/>
      <c r="H22" s="553"/>
      <c r="I22" s="553"/>
      <c r="J22" s="553"/>
      <c r="K22" s="553"/>
      <c r="L22" s="553"/>
      <c r="M22" s="553"/>
      <c r="N22" s="553"/>
      <c r="O22" s="553"/>
      <c r="P22" s="553"/>
      <c r="Q22" s="553"/>
      <c r="R22" s="553"/>
      <c r="S22" s="553"/>
      <c r="T22" s="553"/>
      <c r="U22" s="553"/>
      <c r="V22" s="553"/>
      <c r="W22" s="553"/>
      <c r="X22" s="553"/>
      <c r="Y22" s="553"/>
      <c r="Z22" s="553"/>
      <c r="AA22" s="553"/>
      <c r="AB22" s="553"/>
      <c r="AC22" s="553"/>
      <c r="AD22" s="553"/>
      <c r="AE22" s="553"/>
      <c r="AF22" s="553"/>
      <c r="AG22" s="553"/>
      <c r="AH22" s="553"/>
      <c r="AI22" s="553"/>
      <c r="AJ22" s="553"/>
      <c r="AK22" s="553"/>
      <c r="AL22" s="553"/>
      <c r="AM22" s="553"/>
      <c r="AN22" s="553"/>
      <c r="AO22" s="553"/>
      <c r="AP22" s="553"/>
      <c r="AQ22" s="553"/>
      <c r="AR22" s="553"/>
      <c r="AS22" s="553"/>
      <c r="AT22" s="553"/>
      <c r="AU22" s="553"/>
      <c r="AV22" s="553"/>
      <c r="AW22" s="553"/>
      <c r="AX22" s="553"/>
      <c r="AY22" s="553"/>
      <c r="AZ22" s="553"/>
      <c r="BA22" s="553"/>
      <c r="BB22" s="553"/>
      <c r="BC22" s="553"/>
      <c r="BD22" s="553"/>
      <c r="BE22" s="553"/>
      <c r="BF22" s="553"/>
      <c r="BG22" s="553"/>
      <c r="BH22" s="553"/>
      <c r="BI22" s="553"/>
      <c r="BJ22" s="553"/>
      <c r="BK22" s="553"/>
      <c r="BL22" s="553"/>
      <c r="BM22" s="553"/>
      <c r="BN22" s="553"/>
      <c r="BO22" s="553"/>
      <c r="BP22" s="553"/>
      <c r="BQ22" s="553"/>
      <c r="BR22" s="553"/>
      <c r="BS22" s="553"/>
      <c r="BT22" s="553"/>
      <c r="BU22" s="553"/>
      <c r="BV22" s="553"/>
      <c r="BW22" s="553"/>
      <c r="BX22" s="553"/>
      <c r="BY22" s="553"/>
      <c r="BZ22" s="553"/>
      <c r="CA22" s="553"/>
      <c r="CB22" s="553"/>
      <c r="CC22" s="553"/>
      <c r="CD22" s="553"/>
      <c r="CE22" s="552"/>
      <c r="CF22" s="552"/>
    </row>
    <row r="23" spans="2:82" s="444" customFormat="1" ht="9" customHeight="1">
      <c r="B23" s="486"/>
      <c r="C23" s="485"/>
      <c r="D23" s="485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4"/>
      <c r="P23" s="484"/>
      <c r="Q23" s="484"/>
      <c r="R23" s="484"/>
      <c r="S23" s="484"/>
      <c r="T23" s="484"/>
      <c r="U23" s="484"/>
      <c r="V23" s="484"/>
      <c r="W23" s="484"/>
      <c r="X23" s="484"/>
      <c r="Y23" s="484"/>
      <c r="Z23" s="484"/>
      <c r="AA23" s="484"/>
      <c r="AB23" s="484"/>
      <c r="AC23" s="484"/>
      <c r="AD23" s="484"/>
      <c r="AE23" s="484"/>
      <c r="AF23" s="484"/>
      <c r="AG23" s="484"/>
      <c r="AH23" s="484"/>
      <c r="AI23" s="484"/>
      <c r="AJ23" s="484"/>
      <c r="AK23" s="484"/>
      <c r="AL23" s="484"/>
      <c r="AM23" s="484"/>
      <c r="AN23" s="484"/>
      <c r="AO23" s="484"/>
      <c r="AP23" s="483"/>
      <c r="AQ23" s="483"/>
      <c r="AR23" s="483"/>
      <c r="AS23" s="483"/>
      <c r="AT23" s="483"/>
      <c r="AU23" s="483"/>
      <c r="AV23" s="483"/>
      <c r="AW23" s="483"/>
      <c r="AX23" s="483"/>
      <c r="AY23" s="483"/>
      <c r="AZ23" s="483"/>
      <c r="BA23" s="483"/>
      <c r="BB23" s="483"/>
      <c r="BC23" s="483"/>
      <c r="BD23" s="483"/>
      <c r="BE23" s="483"/>
      <c r="BF23" s="483"/>
      <c r="BG23" s="483"/>
      <c r="BH23" s="483"/>
      <c r="BI23" s="483"/>
      <c r="BJ23" s="483"/>
      <c r="BK23" s="483"/>
      <c r="BL23" s="483"/>
      <c r="BM23" s="483"/>
      <c r="BN23" s="483"/>
      <c r="BO23" s="483"/>
      <c r="BP23" s="483"/>
      <c r="BQ23" s="483"/>
      <c r="BR23" s="483"/>
      <c r="BS23" s="483"/>
      <c r="BT23" s="483"/>
      <c r="BU23" s="483"/>
      <c r="BV23" s="483"/>
      <c r="BW23" s="483"/>
      <c r="BX23" s="483"/>
      <c r="BY23" s="483"/>
      <c r="BZ23" s="483"/>
      <c r="CA23" s="483"/>
      <c r="CB23" s="483"/>
      <c r="CC23" s="483"/>
      <c r="CD23" s="482"/>
    </row>
    <row r="24" spans="2:82" s="444" customFormat="1" ht="15.75" customHeight="1">
      <c r="B24" s="2695" t="s">
        <v>621</v>
      </c>
      <c r="C24" s="2696"/>
      <c r="D24" s="2701" t="s">
        <v>181</v>
      </c>
      <c r="E24" s="2701"/>
      <c r="F24" s="2701"/>
      <c r="G24" s="2701"/>
      <c r="H24" s="2701"/>
      <c r="I24" s="547" t="s">
        <v>26</v>
      </c>
      <c r="J24" s="2665" t="s">
        <v>790</v>
      </c>
      <c r="K24" s="2665"/>
      <c r="L24" s="2680" t="str">
        <f>npwp</f>
        <v>...-.</v>
      </c>
      <c r="M24" s="2680"/>
      <c r="N24" s="2680"/>
      <c r="O24" s="2680"/>
      <c r="P24" s="2680"/>
      <c r="Q24" s="2680"/>
      <c r="R24" s="2680"/>
      <c r="S24" s="2680"/>
      <c r="T24" s="2680"/>
      <c r="U24" s="2680"/>
      <c r="V24" s="2680"/>
      <c r="W24" s="2680"/>
      <c r="X24" s="2680"/>
      <c r="Y24" s="2680"/>
      <c r="Z24" s="2680"/>
      <c r="AA24" s="2680"/>
      <c r="AB24" s="2680"/>
      <c r="AC24" s="2680"/>
      <c r="AD24" s="2680"/>
      <c r="AE24" s="2680"/>
      <c r="AF24" s="2680"/>
      <c r="AG24" s="2680"/>
      <c r="AH24" s="2680"/>
      <c r="AI24" s="2680"/>
      <c r="AJ24" s="2680"/>
      <c r="AK24" s="2680"/>
      <c r="AL24" s="2680"/>
      <c r="AM24" s="2680"/>
      <c r="AN24" s="2680"/>
      <c r="AO24" s="2680"/>
      <c r="AP24" s="2680"/>
      <c r="AQ24" s="2680"/>
      <c r="AR24" s="2680"/>
      <c r="AS24" s="2680"/>
      <c r="AT24" s="2680"/>
      <c r="AU24" s="2680"/>
      <c r="AV24" s="2680"/>
      <c r="AW24" s="2680"/>
      <c r="AX24" s="478"/>
      <c r="AY24" s="480"/>
      <c r="AZ24" s="2706" t="s">
        <v>626</v>
      </c>
      <c r="BA24" s="2706"/>
      <c r="BB24" s="2706"/>
      <c r="BC24" s="2703" t="s">
        <v>789</v>
      </c>
      <c r="BD24" s="2703"/>
      <c r="BE24" s="2703"/>
      <c r="BF24" s="2703"/>
      <c r="BG24" s="2703"/>
      <c r="BH24" s="2703"/>
      <c r="BI24" s="2703"/>
      <c r="BJ24" s="2703"/>
      <c r="BK24" s="2703"/>
      <c r="BL24" s="2703"/>
      <c r="BM24" s="2703"/>
      <c r="BN24" s="2703"/>
      <c r="BO24" s="2703"/>
      <c r="BP24" s="2703"/>
      <c r="BQ24" s="2703"/>
      <c r="BR24" s="2703"/>
      <c r="BS24" s="2703"/>
      <c r="BT24" s="2703"/>
      <c r="BU24" s="2703"/>
      <c r="BV24" s="2703"/>
      <c r="BW24" s="2703"/>
      <c r="BX24" s="2703"/>
      <c r="BY24" s="2703"/>
      <c r="BZ24" s="2703"/>
      <c r="CA24" s="2703"/>
      <c r="CB24" s="2703"/>
      <c r="CC24" s="2703"/>
      <c r="CD24" s="2704"/>
    </row>
    <row r="25" spans="2:82" s="444" customFormat="1" ht="6" customHeight="1">
      <c r="B25" s="546"/>
      <c r="C25" s="537"/>
      <c r="D25" s="537"/>
      <c r="E25" s="537"/>
      <c r="F25" s="537"/>
      <c r="G25" s="537"/>
      <c r="H25" s="537"/>
      <c r="I25" s="537"/>
      <c r="J25" s="537"/>
      <c r="K25" s="537"/>
      <c r="L25" s="537"/>
      <c r="M25" s="537"/>
      <c r="N25" s="537"/>
      <c r="O25" s="545"/>
      <c r="P25" s="545"/>
      <c r="Q25" s="545"/>
      <c r="R25" s="544"/>
      <c r="S25" s="544"/>
      <c r="T25" s="544"/>
      <c r="U25" s="544"/>
      <c r="V25" s="544"/>
      <c r="W25" s="544"/>
      <c r="X25" s="544"/>
      <c r="Y25" s="544"/>
      <c r="Z25" s="544"/>
      <c r="AA25" s="544"/>
      <c r="AB25" s="544"/>
      <c r="AC25" s="544"/>
      <c r="AD25" s="544"/>
      <c r="AE25" s="544"/>
      <c r="AF25" s="544"/>
      <c r="AG25" s="544"/>
      <c r="AH25" s="544"/>
      <c r="AI25" s="544"/>
      <c r="AJ25" s="544"/>
      <c r="AK25" s="544"/>
      <c r="AL25" s="544"/>
      <c r="AM25" s="544"/>
      <c r="AN25" s="544"/>
      <c r="AO25" s="544"/>
      <c r="AP25" s="543"/>
      <c r="AQ25" s="543"/>
      <c r="AR25" s="543"/>
      <c r="AS25" s="543"/>
      <c r="AT25" s="543"/>
      <c r="AU25" s="543"/>
      <c r="AV25" s="543"/>
      <c r="AW25" s="543"/>
      <c r="AX25" s="473"/>
      <c r="AY25" s="47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2"/>
    </row>
    <row r="26" spans="2:84" s="444" customFormat="1" ht="15.75" customHeight="1">
      <c r="B26" s="551" t="s">
        <v>622</v>
      </c>
      <c r="C26" s="550"/>
      <c r="D26" s="549" t="s">
        <v>788</v>
      </c>
      <c r="E26" s="549"/>
      <c r="F26" s="549"/>
      <c r="G26" s="549"/>
      <c r="H26" s="549"/>
      <c r="I26" s="550" t="s">
        <v>26</v>
      </c>
      <c r="J26" s="2671" t="s">
        <v>787</v>
      </c>
      <c r="K26" s="2671"/>
      <c r="L26" s="2671"/>
      <c r="M26" s="2671"/>
      <c r="N26" s="2671"/>
      <c r="O26" s="2671"/>
      <c r="P26" s="2671"/>
      <c r="Q26" s="2671"/>
      <c r="R26" s="2671"/>
      <c r="S26" s="2671"/>
      <c r="T26" s="2671"/>
      <c r="U26" s="2671"/>
      <c r="V26" s="2671"/>
      <c r="W26" s="2671"/>
      <c r="X26" s="2671"/>
      <c r="Y26" s="2671"/>
      <c r="Z26" s="2671"/>
      <c r="AA26" s="2671"/>
      <c r="AB26" s="2671"/>
      <c r="AC26" s="2671"/>
      <c r="AD26" s="2671"/>
      <c r="AE26" s="2671"/>
      <c r="AF26" s="2671"/>
      <c r="AG26" s="2671"/>
      <c r="AH26" s="2671"/>
      <c r="AI26" s="2671"/>
      <c r="AJ26" s="2671"/>
      <c r="AK26" s="2671"/>
      <c r="AL26" s="2671"/>
      <c r="AM26" s="2671"/>
      <c r="AN26" s="2671"/>
      <c r="AO26" s="2671"/>
      <c r="AP26" s="2671"/>
      <c r="AQ26" s="2671"/>
      <c r="AR26" s="2671"/>
      <c r="AS26" s="2671"/>
      <c r="AT26" s="2671"/>
      <c r="AU26" s="2671"/>
      <c r="AV26" s="2671"/>
      <c r="AW26" s="2671"/>
      <c r="AX26" s="464"/>
      <c r="AY26" s="464"/>
      <c r="AZ26" s="531"/>
      <c r="BA26" s="531"/>
      <c r="BB26" s="531"/>
      <c r="BC26" s="531" t="s">
        <v>727</v>
      </c>
      <c r="BD26" s="531"/>
      <c r="BE26" s="2733" t="str">
        <f>'FE-1770S'!S50</f>
        <v/>
      </c>
      <c r="BF26" s="2733"/>
      <c r="BG26" s="2733"/>
      <c r="BH26" s="2733"/>
      <c r="BI26" s="531"/>
      <c r="BJ26" s="531"/>
      <c r="BK26" s="531"/>
      <c r="BL26" s="531" t="s">
        <v>728</v>
      </c>
      <c r="BM26" s="531"/>
      <c r="BN26" s="2733" t="str">
        <f>'FE-1770S'!P50</f>
        <v/>
      </c>
      <c r="BO26" s="2733"/>
      <c r="BP26" s="2733"/>
      <c r="BQ26" s="531"/>
      <c r="BR26" s="531"/>
      <c r="BS26" s="531"/>
      <c r="BT26" s="531" t="s">
        <v>807</v>
      </c>
      <c r="BU26" s="531"/>
      <c r="BV26" s="2731">
        <f>'FE-1770S'!Y50</f>
        <v>0</v>
      </c>
      <c r="BW26" s="2731"/>
      <c r="BX26" s="2731"/>
      <c r="BY26" s="531"/>
      <c r="BZ26" s="531"/>
      <c r="CA26" s="531"/>
      <c r="CB26" s="531"/>
      <c r="CC26" s="531"/>
      <c r="CD26" s="534"/>
      <c r="CE26" s="518"/>
      <c r="CF26" s="518"/>
    </row>
    <row r="27" spans="2:84" s="444" customFormat="1" ht="9" customHeight="1">
      <c r="B27" s="551"/>
      <c r="C27" s="550"/>
      <c r="D27" s="549"/>
      <c r="E27" s="549"/>
      <c r="F27" s="549"/>
      <c r="G27" s="549"/>
      <c r="H27" s="549"/>
      <c r="I27" s="550"/>
      <c r="J27" s="2671"/>
      <c r="K27" s="2671"/>
      <c r="L27" s="2729"/>
      <c r="M27" s="2729"/>
      <c r="N27" s="2729"/>
      <c r="O27" s="2729"/>
      <c r="P27" s="2729"/>
      <c r="Q27" s="2729"/>
      <c r="R27" s="2729"/>
      <c r="S27" s="2729"/>
      <c r="T27" s="2729"/>
      <c r="U27" s="2729"/>
      <c r="V27" s="2729"/>
      <c r="W27" s="2729"/>
      <c r="X27" s="2729"/>
      <c r="Y27" s="2729"/>
      <c r="Z27" s="2729"/>
      <c r="AA27" s="2729"/>
      <c r="AB27" s="2729"/>
      <c r="AC27" s="2729"/>
      <c r="AD27" s="2729"/>
      <c r="AE27" s="2729"/>
      <c r="AF27" s="2729"/>
      <c r="AG27" s="2729"/>
      <c r="AH27" s="2729"/>
      <c r="AI27" s="2729"/>
      <c r="AJ27" s="2729"/>
      <c r="AK27" s="2729"/>
      <c r="AL27" s="2729"/>
      <c r="AM27" s="2729"/>
      <c r="AN27" s="2729"/>
      <c r="AO27" s="2729"/>
      <c r="AP27" s="2729"/>
      <c r="AQ27" s="2729"/>
      <c r="AR27" s="2729"/>
      <c r="AS27" s="2729"/>
      <c r="AT27" s="2729"/>
      <c r="AU27" s="2729"/>
      <c r="AV27" s="2729"/>
      <c r="AW27" s="2729"/>
      <c r="AX27" s="464"/>
      <c r="AY27" s="464"/>
      <c r="AZ27" s="531"/>
      <c r="BA27" s="531"/>
      <c r="BB27" s="531"/>
      <c r="BC27" s="531"/>
      <c r="BD27" s="531"/>
      <c r="BE27" s="2734"/>
      <c r="BF27" s="2734"/>
      <c r="BG27" s="2734"/>
      <c r="BH27" s="2734"/>
      <c r="BI27" s="533" t="s">
        <v>786</v>
      </c>
      <c r="BJ27" s="531"/>
      <c r="BK27" s="531"/>
      <c r="BL27" s="531"/>
      <c r="BM27" s="531"/>
      <c r="BN27" s="2734"/>
      <c r="BO27" s="2734"/>
      <c r="BP27" s="2734"/>
      <c r="BQ27" s="533" t="s">
        <v>785</v>
      </c>
      <c r="BR27" s="531"/>
      <c r="BS27" s="531"/>
      <c r="BT27" s="531"/>
      <c r="BU27" s="531"/>
      <c r="BV27" s="2732"/>
      <c r="BW27" s="2732"/>
      <c r="BX27" s="2732"/>
      <c r="BY27" s="533" t="s">
        <v>784</v>
      </c>
      <c r="BZ27" s="531"/>
      <c r="CA27" s="531"/>
      <c r="CB27" s="531"/>
      <c r="CC27" s="531"/>
      <c r="CD27" s="534"/>
      <c r="CE27" s="518"/>
      <c r="CF27" s="518"/>
    </row>
    <row r="28" spans="2:84" s="444" customFormat="1" ht="6" customHeight="1">
      <c r="B28" s="539"/>
      <c r="C28" s="538"/>
      <c r="D28" s="538"/>
      <c r="E28" s="537"/>
      <c r="F28" s="536"/>
      <c r="G28" s="536"/>
      <c r="H28" s="536"/>
      <c r="I28" s="536"/>
      <c r="J28" s="537"/>
      <c r="K28" s="537"/>
      <c r="L28" s="537"/>
      <c r="M28" s="536"/>
      <c r="N28" s="536"/>
      <c r="O28" s="535"/>
      <c r="P28" s="535"/>
      <c r="Q28" s="535"/>
      <c r="R28" s="531"/>
      <c r="S28" s="531"/>
      <c r="T28" s="531"/>
      <c r="U28" s="531"/>
      <c r="V28" s="531"/>
      <c r="W28" s="531"/>
      <c r="X28" s="531"/>
      <c r="Y28" s="531"/>
      <c r="Z28" s="531"/>
      <c r="AA28" s="531"/>
      <c r="AB28" s="531"/>
      <c r="AC28" s="531"/>
      <c r="AD28" s="531"/>
      <c r="AE28" s="531"/>
      <c r="AF28" s="531"/>
      <c r="AG28" s="531"/>
      <c r="AH28" s="531"/>
      <c r="AI28" s="531"/>
      <c r="AJ28" s="531"/>
      <c r="AK28" s="531"/>
      <c r="AL28" s="531"/>
      <c r="AM28" s="531"/>
      <c r="AN28" s="531"/>
      <c r="AO28" s="531"/>
      <c r="AP28" s="531"/>
      <c r="AQ28" s="531"/>
      <c r="AR28" s="531"/>
      <c r="AS28" s="531"/>
      <c r="AT28" s="531"/>
      <c r="AU28" s="531"/>
      <c r="AV28" s="531"/>
      <c r="AW28" s="531"/>
      <c r="AX28" s="464"/>
      <c r="AY28" s="464"/>
      <c r="AZ28" s="531"/>
      <c r="BA28" s="531"/>
      <c r="BB28" s="531"/>
      <c r="BC28" s="531"/>
      <c r="BD28" s="531"/>
      <c r="BE28" s="531"/>
      <c r="BF28" s="531"/>
      <c r="BG28" s="531"/>
      <c r="BH28" s="531"/>
      <c r="BI28" s="531"/>
      <c r="BJ28" s="531"/>
      <c r="BK28" s="531"/>
      <c r="BL28" s="531"/>
      <c r="BM28" s="531"/>
      <c r="BN28" s="531"/>
      <c r="BO28" s="531"/>
      <c r="BP28" s="531"/>
      <c r="BQ28" s="531"/>
      <c r="BR28" s="531"/>
      <c r="BS28" s="531"/>
      <c r="BT28" s="531"/>
      <c r="BU28" s="531"/>
      <c r="BV28" s="531"/>
      <c r="BW28" s="531"/>
      <c r="BX28" s="531"/>
      <c r="BY28" s="531"/>
      <c r="BZ28" s="531"/>
      <c r="CA28" s="531"/>
      <c r="CB28" s="531"/>
      <c r="CC28" s="531"/>
      <c r="CD28" s="534"/>
      <c r="CE28" s="518"/>
      <c r="CF28" s="518"/>
    </row>
    <row r="29" spans="2:84" s="444" customFormat="1" ht="15.75" customHeight="1">
      <c r="B29" s="551" t="s">
        <v>623</v>
      </c>
      <c r="C29" s="550"/>
      <c r="D29" s="549" t="s">
        <v>783</v>
      </c>
      <c r="E29" s="549"/>
      <c r="F29" s="549"/>
      <c r="G29" s="549"/>
      <c r="H29" s="541"/>
      <c r="I29" s="541" t="s">
        <v>26</v>
      </c>
      <c r="J29" s="2702" t="s">
        <v>782</v>
      </c>
      <c r="K29" s="2702"/>
      <c r="L29" s="2707">
        <f>name</f>
        <v>0</v>
      </c>
      <c r="M29" s="2707"/>
      <c r="N29" s="2707"/>
      <c r="O29" s="2707"/>
      <c r="P29" s="2707"/>
      <c r="Q29" s="2707"/>
      <c r="R29" s="2707"/>
      <c r="S29" s="2707"/>
      <c r="T29" s="2707"/>
      <c r="U29" s="2707"/>
      <c r="V29" s="2707"/>
      <c r="W29" s="2707"/>
      <c r="X29" s="2707"/>
      <c r="Y29" s="2707"/>
      <c r="Z29" s="2707"/>
      <c r="AA29" s="2707"/>
      <c r="AB29" s="2707"/>
      <c r="AC29" s="2707"/>
      <c r="AD29" s="2707"/>
      <c r="AE29" s="2707"/>
      <c r="AF29" s="2707"/>
      <c r="AG29" s="2707"/>
      <c r="AH29" s="2707"/>
      <c r="AI29" s="2707"/>
      <c r="AJ29" s="2707"/>
      <c r="AK29" s="2707"/>
      <c r="AL29" s="2707"/>
      <c r="AM29" s="2707"/>
      <c r="AN29" s="2707"/>
      <c r="AO29" s="2707"/>
      <c r="AP29" s="2707"/>
      <c r="AQ29" s="2707"/>
      <c r="AR29" s="2707"/>
      <c r="AS29" s="2707"/>
      <c r="AT29" s="2707"/>
      <c r="AU29" s="2707"/>
      <c r="AV29" s="2707"/>
      <c r="AW29" s="2707"/>
      <c r="AX29" s="464"/>
      <c r="AY29" s="464"/>
      <c r="AZ29" s="2705" t="s">
        <v>629</v>
      </c>
      <c r="BA29" s="2705"/>
      <c r="BB29" s="2705"/>
      <c r="BC29" s="531" t="s">
        <v>781</v>
      </c>
      <c r="BD29" s="531"/>
      <c r="BE29" s="531"/>
      <c r="BF29" s="531"/>
      <c r="BG29" s="531"/>
      <c r="BH29" s="531"/>
      <c r="BI29" s="531"/>
      <c r="BJ29" s="531"/>
      <c r="BK29" s="531"/>
      <c r="BL29" s="533" t="s">
        <v>780</v>
      </c>
      <c r="BM29" s="531"/>
      <c r="BN29" s="2676"/>
      <c r="BO29" s="2676"/>
      <c r="BP29" s="2676"/>
      <c r="BQ29" s="2676"/>
      <c r="BR29" s="2676"/>
      <c r="BS29" s="2676"/>
      <c r="BT29" s="2676"/>
      <c r="BU29" s="2676"/>
      <c r="BV29" s="2676"/>
      <c r="BW29" s="2676"/>
      <c r="BX29" s="2676"/>
      <c r="BY29" s="2676"/>
      <c r="BZ29" s="2676"/>
      <c r="CA29" s="2676"/>
      <c r="CB29" s="2676"/>
      <c r="CC29" s="2676"/>
      <c r="CD29" s="534"/>
      <c r="CE29" s="518"/>
      <c r="CF29" s="518"/>
    </row>
    <row r="30" spans="2:84" s="444" customFormat="1" ht="6" customHeight="1">
      <c r="B30" s="551"/>
      <c r="C30" s="550"/>
      <c r="D30" s="549"/>
      <c r="E30" s="549"/>
      <c r="F30" s="549"/>
      <c r="G30" s="549"/>
      <c r="H30" s="549"/>
      <c r="I30" s="541"/>
      <c r="J30" s="548"/>
      <c r="K30" s="548"/>
      <c r="L30" s="548"/>
      <c r="M30" s="541"/>
      <c r="N30" s="543"/>
      <c r="O30" s="543"/>
      <c r="P30" s="543"/>
      <c r="Q30" s="535"/>
      <c r="R30" s="531"/>
      <c r="S30" s="531"/>
      <c r="T30" s="531"/>
      <c r="U30" s="531"/>
      <c r="V30" s="531"/>
      <c r="W30" s="531"/>
      <c r="X30" s="531"/>
      <c r="Y30" s="531"/>
      <c r="Z30" s="531"/>
      <c r="AA30" s="531"/>
      <c r="AB30" s="531"/>
      <c r="AC30" s="531"/>
      <c r="AD30" s="531"/>
      <c r="AE30" s="531"/>
      <c r="AF30" s="531"/>
      <c r="AG30" s="531"/>
      <c r="AH30" s="531"/>
      <c r="AI30" s="531"/>
      <c r="AJ30" s="531"/>
      <c r="AK30" s="531"/>
      <c r="AL30" s="531"/>
      <c r="AM30" s="531"/>
      <c r="AN30" s="531"/>
      <c r="AO30" s="531"/>
      <c r="AP30" s="531"/>
      <c r="AQ30" s="531"/>
      <c r="AR30" s="531"/>
      <c r="AS30" s="531"/>
      <c r="AT30" s="531"/>
      <c r="AU30" s="531"/>
      <c r="AV30" s="531"/>
      <c r="AW30" s="531"/>
      <c r="AX30" s="464"/>
      <c r="AY30" s="464"/>
      <c r="AZ30" s="531"/>
      <c r="BA30" s="531"/>
      <c r="BB30" s="531"/>
      <c r="BC30" s="531"/>
      <c r="BD30" s="531"/>
      <c r="BE30" s="531"/>
      <c r="BF30" s="531"/>
      <c r="BG30" s="531"/>
      <c r="BH30" s="531"/>
      <c r="BI30" s="531"/>
      <c r="BJ30" s="531"/>
      <c r="BK30" s="531"/>
      <c r="BL30" s="531"/>
      <c r="BM30" s="531"/>
      <c r="BN30" s="531"/>
      <c r="BO30" s="531"/>
      <c r="BP30" s="531"/>
      <c r="BQ30" s="531"/>
      <c r="BR30" s="531"/>
      <c r="BS30" s="531"/>
      <c r="BT30" s="531"/>
      <c r="BU30" s="531"/>
      <c r="BV30" s="531"/>
      <c r="BW30" s="531"/>
      <c r="BX30" s="531"/>
      <c r="BY30" s="531"/>
      <c r="BZ30" s="531"/>
      <c r="CA30" s="531"/>
      <c r="CB30" s="531"/>
      <c r="CC30" s="531"/>
      <c r="CD30" s="534"/>
      <c r="CE30" s="518"/>
      <c r="CF30" s="518"/>
    </row>
    <row r="31" spans="2:82" s="444" customFormat="1" ht="15.75" customHeight="1">
      <c r="B31" s="2695" t="s">
        <v>624</v>
      </c>
      <c r="C31" s="2696"/>
      <c r="D31" s="2701" t="s">
        <v>606</v>
      </c>
      <c r="E31" s="2701"/>
      <c r="F31" s="2701"/>
      <c r="G31" s="2701"/>
      <c r="H31" s="2701"/>
      <c r="I31" s="547" t="s">
        <v>26</v>
      </c>
      <c r="J31" s="2665" t="s">
        <v>779</v>
      </c>
      <c r="K31" s="2665"/>
      <c r="L31" s="2675"/>
      <c r="M31" s="2675"/>
      <c r="N31" s="2675"/>
      <c r="O31" s="2675"/>
      <c r="P31" s="2675"/>
      <c r="Q31" s="2675"/>
      <c r="R31" s="2675"/>
      <c r="S31" s="2675"/>
      <c r="T31" s="2675"/>
      <c r="U31" s="2675"/>
      <c r="V31" s="2675"/>
      <c r="W31" s="2675"/>
      <c r="X31" s="2675"/>
      <c r="Y31" s="2675"/>
      <c r="Z31" s="2675"/>
      <c r="AA31" s="2675"/>
      <c r="AB31" s="2675"/>
      <c r="AC31" s="2675"/>
      <c r="AD31" s="2675"/>
      <c r="AE31" s="2675"/>
      <c r="AF31" s="2675"/>
      <c r="AG31" s="2675"/>
      <c r="AH31" s="2675"/>
      <c r="AI31" s="2675"/>
      <c r="AJ31" s="2675"/>
      <c r="AK31" s="2675"/>
      <c r="AL31" s="2675"/>
      <c r="AM31" s="2675"/>
      <c r="AN31" s="2675"/>
      <c r="AO31" s="2675"/>
      <c r="AP31" s="2675"/>
      <c r="AQ31" s="2675"/>
      <c r="AR31" s="2675"/>
      <c r="AS31" s="2675"/>
      <c r="AT31" s="2675"/>
      <c r="AU31" s="2675"/>
      <c r="AV31" s="2675"/>
      <c r="AW31" s="2675"/>
      <c r="AX31" s="478"/>
      <c r="AY31" s="480"/>
      <c r="AZ31" s="2706" t="s">
        <v>630</v>
      </c>
      <c r="BA31" s="2706"/>
      <c r="BB31" s="2706"/>
      <c r="BC31" s="2703" t="s">
        <v>778</v>
      </c>
      <c r="BD31" s="2703"/>
      <c r="BE31" s="2703"/>
      <c r="BF31" s="2703"/>
      <c r="BG31" s="2703"/>
      <c r="BH31" s="2703"/>
      <c r="BI31" s="2703"/>
      <c r="BJ31" s="2703"/>
      <c r="BK31" s="2703"/>
      <c r="BL31" s="2703"/>
      <c r="BM31" s="2703"/>
      <c r="BN31" s="540"/>
      <c r="BO31" s="2665" t="s">
        <v>777</v>
      </c>
      <c r="BP31" s="2665"/>
      <c r="BQ31" s="2727"/>
      <c r="BR31" s="2677"/>
      <c r="BS31" s="2678"/>
      <c r="BT31" s="2746" t="s">
        <v>735</v>
      </c>
      <c r="BU31" s="2747"/>
      <c r="BV31" s="2747"/>
      <c r="BW31" s="511"/>
      <c r="BX31" s="511"/>
      <c r="BY31" s="543"/>
      <c r="BZ31" s="543"/>
      <c r="CA31" s="543"/>
      <c r="CB31" s="543"/>
      <c r="CC31" s="543"/>
      <c r="CD31" s="542"/>
    </row>
    <row r="32" spans="2:82" s="444" customFormat="1" ht="6" customHeight="1">
      <c r="B32" s="546"/>
      <c r="C32" s="537"/>
      <c r="D32" s="537"/>
      <c r="E32" s="537"/>
      <c r="F32" s="537"/>
      <c r="G32" s="537"/>
      <c r="H32" s="537"/>
      <c r="I32" s="537"/>
      <c r="J32" s="537"/>
      <c r="K32" s="537"/>
      <c r="L32" s="537"/>
      <c r="M32" s="537"/>
      <c r="N32" s="537"/>
      <c r="O32" s="545"/>
      <c r="P32" s="545"/>
      <c r="Q32" s="545"/>
      <c r="R32" s="544"/>
      <c r="S32" s="544"/>
      <c r="T32" s="544"/>
      <c r="U32" s="544"/>
      <c r="V32" s="544"/>
      <c r="W32" s="544"/>
      <c r="X32" s="544"/>
      <c r="Y32" s="544"/>
      <c r="Z32" s="544"/>
      <c r="AA32" s="544"/>
      <c r="AB32" s="544"/>
      <c r="AC32" s="544"/>
      <c r="AD32" s="544"/>
      <c r="AE32" s="544"/>
      <c r="AF32" s="544"/>
      <c r="AG32" s="544"/>
      <c r="AH32" s="544"/>
      <c r="AI32" s="544"/>
      <c r="AJ32" s="544"/>
      <c r="AK32" s="544"/>
      <c r="AL32" s="544"/>
      <c r="AM32" s="544"/>
      <c r="AN32" s="544"/>
      <c r="AO32" s="544"/>
      <c r="AP32" s="543"/>
      <c r="AQ32" s="543"/>
      <c r="AR32" s="543"/>
      <c r="AS32" s="543"/>
      <c r="AT32" s="543"/>
      <c r="AU32" s="543"/>
      <c r="AV32" s="543"/>
      <c r="AW32" s="543"/>
      <c r="AX32" s="473"/>
      <c r="AY32" s="47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2"/>
    </row>
    <row r="33" spans="2:84" s="444" customFormat="1" ht="15.75" customHeight="1">
      <c r="B33" s="551"/>
      <c r="C33" s="550"/>
      <c r="D33" s="549"/>
      <c r="E33" s="549"/>
      <c r="F33" s="549"/>
      <c r="G33" s="549"/>
      <c r="H33" s="549"/>
      <c r="I33" s="541"/>
      <c r="J33" s="540"/>
      <c r="K33" s="540"/>
      <c r="L33" s="2675"/>
      <c r="M33" s="2675"/>
      <c r="N33" s="2675"/>
      <c r="O33" s="2675"/>
      <c r="P33" s="2675"/>
      <c r="Q33" s="2675"/>
      <c r="R33" s="2675"/>
      <c r="S33" s="2675"/>
      <c r="T33" s="2675"/>
      <c r="U33" s="2675"/>
      <c r="V33" s="2675"/>
      <c r="W33" s="2675"/>
      <c r="X33" s="2675"/>
      <c r="Y33" s="2675"/>
      <c r="Z33" s="2675"/>
      <c r="AA33" s="2675"/>
      <c r="AB33" s="2675"/>
      <c r="AC33" s="2675"/>
      <c r="AD33" s="2675"/>
      <c r="AE33" s="2675"/>
      <c r="AF33" s="2675"/>
      <c r="AG33" s="2675"/>
      <c r="AH33" s="2675"/>
      <c r="AI33" s="2675"/>
      <c r="AJ33" s="2675"/>
      <c r="AK33" s="2675"/>
      <c r="AL33" s="2675"/>
      <c r="AM33" s="2675"/>
      <c r="AN33" s="2675"/>
      <c r="AO33" s="2675"/>
      <c r="AP33" s="2675"/>
      <c r="AQ33" s="2675"/>
      <c r="AR33" s="2675"/>
      <c r="AS33" s="2675"/>
      <c r="AT33" s="2675"/>
      <c r="AU33" s="2675"/>
      <c r="AV33" s="2675"/>
      <c r="AW33" s="2675"/>
      <c r="AX33" s="464"/>
      <c r="AY33" s="464"/>
      <c r="AZ33" s="2705" t="s">
        <v>631</v>
      </c>
      <c r="BA33" s="2705"/>
      <c r="BB33" s="2705"/>
      <c r="BC33" s="531" t="s">
        <v>776</v>
      </c>
      <c r="BD33" s="531"/>
      <c r="BE33" s="531"/>
      <c r="BF33" s="531"/>
      <c r="BG33" s="531"/>
      <c r="BH33" s="531"/>
      <c r="BI33" s="531"/>
      <c r="BJ33" s="531"/>
      <c r="BK33" s="531"/>
      <c r="BL33" s="531"/>
      <c r="BM33" s="531"/>
      <c r="BN33" s="531"/>
      <c r="BO33" s="533"/>
      <c r="BP33" s="533" t="s">
        <v>775</v>
      </c>
      <c r="BQ33" s="533"/>
      <c r="BR33" s="2676"/>
      <c r="BS33" s="2676"/>
      <c r="BT33" s="2676"/>
      <c r="BU33" s="531"/>
      <c r="BV33" s="531"/>
      <c r="BW33" s="531"/>
      <c r="BX33" s="531"/>
      <c r="BY33" s="531"/>
      <c r="BZ33" s="531"/>
      <c r="CA33" s="531"/>
      <c r="CB33" s="531"/>
      <c r="CC33" s="531"/>
      <c r="CD33" s="534"/>
      <c r="CE33" s="518"/>
      <c r="CF33" s="518"/>
    </row>
    <row r="34" spans="2:84" s="444" customFormat="1" ht="6" customHeight="1">
      <c r="B34" s="539"/>
      <c r="C34" s="538"/>
      <c r="D34" s="538"/>
      <c r="E34" s="537"/>
      <c r="F34" s="536"/>
      <c r="G34" s="536"/>
      <c r="H34" s="536"/>
      <c r="I34" s="536"/>
      <c r="J34" s="536"/>
      <c r="K34" s="536"/>
      <c r="L34" s="536"/>
      <c r="M34" s="536"/>
      <c r="N34" s="536"/>
      <c r="O34" s="535"/>
      <c r="P34" s="535"/>
      <c r="Q34" s="535"/>
      <c r="R34" s="531"/>
      <c r="S34" s="531"/>
      <c r="T34" s="531"/>
      <c r="U34" s="531"/>
      <c r="V34" s="531"/>
      <c r="W34" s="531"/>
      <c r="X34" s="531"/>
      <c r="Y34" s="531"/>
      <c r="Z34" s="531"/>
      <c r="AA34" s="531"/>
      <c r="AB34" s="531"/>
      <c r="AC34" s="531"/>
      <c r="AD34" s="531"/>
      <c r="AE34" s="531"/>
      <c r="AF34" s="531"/>
      <c r="AG34" s="531"/>
      <c r="AH34" s="531"/>
      <c r="AI34" s="531"/>
      <c r="AJ34" s="531"/>
      <c r="AK34" s="531"/>
      <c r="AL34" s="531"/>
      <c r="AM34" s="531"/>
      <c r="AN34" s="531"/>
      <c r="AO34" s="531"/>
      <c r="AP34" s="531"/>
      <c r="AQ34" s="531"/>
      <c r="AR34" s="531"/>
      <c r="AS34" s="531"/>
      <c r="AT34" s="531"/>
      <c r="AU34" s="531"/>
      <c r="AV34" s="531"/>
      <c r="AW34" s="531"/>
      <c r="AX34" s="464"/>
      <c r="AY34" s="464"/>
      <c r="AZ34" s="531"/>
      <c r="BA34" s="531"/>
      <c r="BB34" s="531"/>
      <c r="BC34" s="531"/>
      <c r="BD34" s="531"/>
      <c r="BE34" s="531"/>
      <c r="BF34" s="531"/>
      <c r="BG34" s="531"/>
      <c r="BH34" s="531"/>
      <c r="BI34" s="531"/>
      <c r="BJ34" s="531"/>
      <c r="BK34" s="531"/>
      <c r="BL34" s="531"/>
      <c r="BM34" s="531"/>
      <c r="BN34" s="531"/>
      <c r="BO34" s="531"/>
      <c r="BP34" s="531"/>
      <c r="BQ34" s="531"/>
      <c r="BR34" s="531"/>
      <c r="BS34" s="531"/>
      <c r="BT34" s="531"/>
      <c r="BU34" s="531"/>
      <c r="BV34" s="531"/>
      <c r="BW34" s="531"/>
      <c r="BX34" s="531"/>
      <c r="BY34" s="531"/>
      <c r="BZ34" s="531"/>
      <c r="CA34" s="531"/>
      <c r="CB34" s="531"/>
      <c r="CC34" s="531"/>
      <c r="CD34" s="534"/>
      <c r="CE34" s="518"/>
      <c r="CF34" s="518"/>
    </row>
    <row r="35" spans="2:84" s="444" customFormat="1" ht="15.75" customHeight="1">
      <c r="B35" s="551" t="s">
        <v>625</v>
      </c>
      <c r="C35" s="550"/>
      <c r="D35" s="549" t="s">
        <v>774</v>
      </c>
      <c r="E35" s="549"/>
      <c r="F35" s="549"/>
      <c r="G35" s="549"/>
      <c r="H35" s="549"/>
      <c r="I35" s="549"/>
      <c r="J35" s="549"/>
      <c r="K35" s="549"/>
      <c r="L35" s="549"/>
      <c r="M35" s="2671" t="s">
        <v>773</v>
      </c>
      <c r="N35" s="2671"/>
      <c r="O35" s="2671"/>
      <c r="P35" s="2672"/>
      <c r="Q35" s="2738"/>
      <c r="R35" s="2739"/>
      <c r="S35" s="2740"/>
      <c r="T35" s="531" t="s">
        <v>772</v>
      </c>
      <c r="U35" s="531"/>
      <c r="V35" s="531"/>
      <c r="W35" s="531"/>
      <c r="X35" s="531"/>
      <c r="Y35" s="531"/>
      <c r="Z35" s="531"/>
      <c r="AA35" s="531"/>
      <c r="AB35" s="531"/>
      <c r="AC35" s="531"/>
      <c r="AD35" s="533" t="s">
        <v>771</v>
      </c>
      <c r="AE35" s="531"/>
      <c r="AF35" s="531"/>
      <c r="AG35" s="532"/>
      <c r="AH35" s="2741"/>
      <c r="AI35" s="2742"/>
      <c r="AJ35" s="2743"/>
      <c r="AK35" s="531"/>
      <c r="AL35" s="531" t="s">
        <v>726</v>
      </c>
      <c r="AM35" s="531"/>
      <c r="AN35" s="531"/>
      <c r="AO35" s="531"/>
      <c r="AP35" s="531"/>
      <c r="AQ35" s="531"/>
      <c r="AR35" s="531"/>
      <c r="AS35" s="531"/>
      <c r="AT35" s="531"/>
      <c r="AU35" s="531"/>
      <c r="AV35" s="531"/>
      <c r="AW35" s="531"/>
      <c r="AX35" s="464"/>
      <c r="AY35" s="464"/>
      <c r="AZ35" s="464"/>
      <c r="BA35" s="464"/>
      <c r="BB35" s="464"/>
      <c r="BC35" s="464"/>
      <c r="BD35" s="464"/>
      <c r="BE35" s="464"/>
      <c r="BF35" s="464"/>
      <c r="BG35" s="464"/>
      <c r="BH35" s="464"/>
      <c r="BI35" s="464"/>
      <c r="BJ35" s="464"/>
      <c r="BK35" s="464"/>
      <c r="BL35" s="464"/>
      <c r="BM35" s="464"/>
      <c r="BN35" s="464"/>
      <c r="BO35" s="464"/>
      <c r="BP35" s="464"/>
      <c r="BQ35" s="464"/>
      <c r="BR35" s="464"/>
      <c r="BS35" s="464"/>
      <c r="BT35" s="464"/>
      <c r="BU35" s="464"/>
      <c r="BV35" s="464"/>
      <c r="BW35" s="464"/>
      <c r="BX35" s="464"/>
      <c r="BY35" s="464"/>
      <c r="BZ35" s="464"/>
      <c r="CA35" s="464"/>
      <c r="CB35" s="464"/>
      <c r="CC35" s="464"/>
      <c r="CD35" s="463"/>
      <c r="CE35" s="518"/>
      <c r="CF35" s="518"/>
    </row>
    <row r="36" spans="2:84" s="444" customFormat="1" ht="9.75" customHeight="1" thickBot="1">
      <c r="B36" s="462"/>
      <c r="C36" s="461"/>
      <c r="D36" s="530"/>
      <c r="E36" s="530"/>
      <c r="F36" s="530"/>
      <c r="G36" s="530"/>
      <c r="H36" s="530"/>
      <c r="I36" s="530"/>
      <c r="J36" s="530"/>
      <c r="K36" s="530"/>
      <c r="L36" s="529"/>
      <c r="M36" s="529"/>
      <c r="N36" s="529"/>
      <c r="O36" s="528"/>
      <c r="P36" s="528"/>
      <c r="Q36" s="527"/>
      <c r="R36" s="457"/>
      <c r="S36" s="457"/>
      <c r="T36" s="457"/>
      <c r="U36" s="457"/>
      <c r="V36" s="457"/>
      <c r="W36" s="457"/>
      <c r="X36" s="457"/>
      <c r="Y36" s="457"/>
      <c r="Z36" s="457"/>
      <c r="AA36" s="457"/>
      <c r="AB36" s="457"/>
      <c r="AC36" s="457"/>
      <c r="AD36" s="526"/>
      <c r="AE36" s="457"/>
      <c r="AF36" s="457"/>
      <c r="AG36" s="457"/>
      <c r="AH36" s="457"/>
      <c r="AI36" s="457"/>
      <c r="AJ36" s="457"/>
      <c r="AK36" s="457"/>
      <c r="AL36" s="457"/>
      <c r="AM36" s="457"/>
      <c r="AN36" s="457"/>
      <c r="AO36" s="457"/>
      <c r="AP36" s="457"/>
      <c r="AQ36" s="457"/>
      <c r="AR36" s="457"/>
      <c r="AS36" s="457"/>
      <c r="AT36" s="457"/>
      <c r="AU36" s="457"/>
      <c r="AV36" s="457"/>
      <c r="AW36" s="457"/>
      <c r="AX36" s="457"/>
      <c r="AY36" s="457"/>
      <c r="AZ36" s="457"/>
      <c r="BA36" s="457"/>
      <c r="BB36" s="457"/>
      <c r="BC36" s="457"/>
      <c r="BD36" s="457"/>
      <c r="BE36" s="457"/>
      <c r="BF36" s="457"/>
      <c r="BG36" s="457"/>
      <c r="BH36" s="457"/>
      <c r="BI36" s="457"/>
      <c r="BJ36" s="457"/>
      <c r="BK36" s="457"/>
      <c r="BL36" s="457"/>
      <c r="BM36" s="457"/>
      <c r="BN36" s="457"/>
      <c r="BO36" s="457"/>
      <c r="BP36" s="457"/>
      <c r="BQ36" s="457"/>
      <c r="BR36" s="457"/>
      <c r="BS36" s="457"/>
      <c r="BT36" s="457"/>
      <c r="BU36" s="457"/>
      <c r="BV36" s="457"/>
      <c r="BW36" s="457"/>
      <c r="BX36" s="457"/>
      <c r="BY36" s="457"/>
      <c r="BZ36" s="457"/>
      <c r="CA36" s="457"/>
      <c r="CB36" s="457"/>
      <c r="CC36" s="457"/>
      <c r="CD36" s="456"/>
      <c r="CE36" s="518"/>
      <c r="CF36" s="518"/>
    </row>
    <row r="37" spans="2:84" s="444" customFormat="1" ht="24" customHeight="1">
      <c r="B37" s="2668" t="s">
        <v>770</v>
      </c>
      <c r="C37" s="2668"/>
      <c r="D37" s="2668"/>
      <c r="E37" s="2668"/>
      <c r="F37" s="2668"/>
      <c r="G37" s="2668"/>
      <c r="H37" s="2668"/>
      <c r="I37" s="2668"/>
      <c r="J37" s="2668"/>
      <c r="K37" s="2668"/>
      <c r="L37" s="2668"/>
      <c r="M37" s="2668"/>
      <c r="N37" s="2668"/>
      <c r="O37" s="2668"/>
      <c r="P37" s="2668"/>
      <c r="Q37" s="2668"/>
      <c r="R37" s="2668"/>
      <c r="S37" s="2668"/>
      <c r="T37" s="2668"/>
      <c r="U37" s="2668"/>
      <c r="V37" s="2668"/>
      <c r="W37" s="2668"/>
      <c r="X37" s="2668"/>
      <c r="Y37" s="2668"/>
      <c r="Z37" s="2668"/>
      <c r="AA37" s="2668"/>
      <c r="AB37" s="2668"/>
      <c r="AC37" s="2668"/>
      <c r="AD37" s="2668"/>
      <c r="AE37" s="2668"/>
      <c r="AF37" s="2668"/>
      <c r="AG37" s="2668"/>
      <c r="AH37" s="2668"/>
      <c r="AI37" s="2668"/>
      <c r="AJ37" s="2668"/>
      <c r="AK37" s="2668"/>
      <c r="AL37" s="2668"/>
      <c r="AM37" s="2668"/>
      <c r="AN37" s="2668"/>
      <c r="AO37" s="2668"/>
      <c r="AP37" s="2668"/>
      <c r="AQ37" s="2668"/>
      <c r="AR37" s="2668"/>
      <c r="AS37" s="2668"/>
      <c r="AT37" s="2668"/>
      <c r="AU37" s="2668"/>
      <c r="AV37" s="2668"/>
      <c r="AW37" s="2668"/>
      <c r="AX37" s="2668"/>
      <c r="AY37" s="2668"/>
      <c r="AZ37" s="2668"/>
      <c r="BA37" s="2668"/>
      <c r="BB37" s="2668"/>
      <c r="BC37" s="2668"/>
      <c r="BD37" s="2668"/>
      <c r="BE37" s="2668"/>
      <c r="BF37" s="2668"/>
      <c r="BG37" s="2668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5"/>
      <c r="CB37" s="525"/>
      <c r="CC37" s="525"/>
      <c r="CD37" s="518"/>
      <c r="CE37" s="518"/>
      <c r="CF37" s="518"/>
    </row>
    <row r="38" spans="2:84" s="444" customFormat="1" ht="3" customHeight="1">
      <c r="B38" s="524"/>
      <c r="C38" s="524"/>
      <c r="D38" s="523"/>
      <c r="E38" s="523"/>
      <c r="F38" s="523"/>
      <c r="G38" s="523"/>
      <c r="H38" s="523"/>
      <c r="I38" s="521"/>
      <c r="J38" s="522"/>
      <c r="K38" s="522"/>
      <c r="L38" s="522"/>
      <c r="M38" s="521"/>
      <c r="Q38" s="520"/>
      <c r="R38" s="519"/>
      <c r="S38" s="519"/>
      <c r="T38" s="519"/>
      <c r="U38" s="519"/>
      <c r="V38" s="519"/>
      <c r="W38" s="519"/>
      <c r="X38" s="519"/>
      <c r="Y38" s="519"/>
      <c r="Z38" s="519"/>
      <c r="AA38" s="519"/>
      <c r="AB38" s="519"/>
      <c r="AC38" s="519"/>
      <c r="AD38" s="519"/>
      <c r="AE38" s="519"/>
      <c r="AF38" s="519"/>
      <c r="AG38" s="519"/>
      <c r="AH38" s="519"/>
      <c r="AI38" s="519"/>
      <c r="AJ38" s="519"/>
      <c r="AK38" s="519"/>
      <c r="AL38" s="519"/>
      <c r="AM38" s="519"/>
      <c r="AN38" s="519"/>
      <c r="AO38" s="519"/>
      <c r="AP38" s="519"/>
      <c r="AQ38" s="519"/>
      <c r="AR38" s="519"/>
      <c r="AS38" s="519"/>
      <c r="AT38" s="519"/>
      <c r="AU38" s="519"/>
      <c r="AV38" s="519"/>
      <c r="AW38" s="519"/>
      <c r="AX38" s="519"/>
      <c r="AY38" s="519"/>
      <c r="AZ38" s="519"/>
      <c r="BA38" s="519"/>
      <c r="BB38" s="519"/>
      <c r="BC38" s="519"/>
      <c r="BD38" s="519"/>
      <c r="BE38" s="519"/>
      <c r="BF38" s="519"/>
      <c r="BG38" s="519"/>
      <c r="BH38" s="519"/>
      <c r="BI38" s="519"/>
      <c r="BJ38" s="519"/>
      <c r="BK38" s="519"/>
      <c r="BL38" s="519"/>
      <c r="BM38" s="519"/>
      <c r="BN38" s="519"/>
      <c r="BO38" s="519"/>
      <c r="BP38" s="519"/>
      <c r="BQ38" s="519"/>
      <c r="BR38" s="519"/>
      <c r="BS38" s="519"/>
      <c r="BT38" s="519"/>
      <c r="BU38" s="519"/>
      <c r="BV38" s="519"/>
      <c r="BW38" s="519"/>
      <c r="BX38" s="519"/>
      <c r="BY38" s="519"/>
      <c r="BZ38" s="519"/>
      <c r="CA38" s="519"/>
      <c r="CB38" s="519"/>
      <c r="CC38" s="519"/>
      <c r="CD38" s="518"/>
      <c r="CE38" s="518"/>
      <c r="CF38" s="518"/>
    </row>
    <row r="39" spans="2:84" s="449" customFormat="1" ht="19" customHeight="1">
      <c r="B39" s="2709" t="s">
        <v>340</v>
      </c>
      <c r="C39" s="2710"/>
      <c r="D39" s="2710"/>
      <c r="E39" s="2710"/>
      <c r="F39" s="2710"/>
      <c r="G39" s="2710"/>
      <c r="H39" s="2710"/>
      <c r="I39" s="2710"/>
      <c r="J39" s="2710"/>
      <c r="K39" s="2710"/>
      <c r="L39" s="2710"/>
      <c r="M39" s="2710"/>
      <c r="N39" s="2710"/>
      <c r="O39" s="2710"/>
      <c r="P39" s="2710"/>
      <c r="Q39" s="2710"/>
      <c r="R39" s="2710"/>
      <c r="S39" s="2710"/>
      <c r="T39" s="2710"/>
      <c r="U39" s="2710"/>
      <c r="V39" s="2710"/>
      <c r="W39" s="2710"/>
      <c r="X39" s="2710"/>
      <c r="Y39" s="2710"/>
      <c r="Z39" s="2710"/>
      <c r="AA39" s="2710"/>
      <c r="AB39" s="2710"/>
      <c r="AC39" s="2710"/>
      <c r="AD39" s="2710"/>
      <c r="AE39" s="2710"/>
      <c r="AF39" s="2710"/>
      <c r="AG39" s="2710"/>
      <c r="AH39" s="2710"/>
      <c r="AI39" s="2710"/>
      <c r="AJ39" s="2710"/>
      <c r="AK39" s="2710"/>
      <c r="AL39" s="2710"/>
      <c r="AM39" s="2710"/>
      <c r="AN39" s="2710"/>
      <c r="AO39" s="2710"/>
      <c r="AP39" s="2710"/>
      <c r="AQ39" s="2710"/>
      <c r="AR39" s="2710"/>
      <c r="AS39" s="2710"/>
      <c r="AT39" s="2710"/>
      <c r="AU39" s="2710"/>
      <c r="AV39" s="2710"/>
      <c r="AW39" s="2710"/>
      <c r="AX39" s="2710"/>
      <c r="AY39" s="2710"/>
      <c r="AZ39" s="2710"/>
      <c r="BA39" s="2710"/>
      <c r="BB39" s="2710"/>
      <c r="BC39" s="2710"/>
      <c r="BD39" s="2710"/>
      <c r="BE39" s="2710"/>
      <c r="BF39" s="2710"/>
      <c r="BG39" s="2710"/>
      <c r="BH39" s="2710"/>
      <c r="BI39" s="2710"/>
      <c r="BJ39" s="2710"/>
      <c r="BK39" s="2710"/>
      <c r="BL39" s="2710"/>
      <c r="BM39" s="2711"/>
      <c r="BN39" s="2659" t="s">
        <v>769</v>
      </c>
      <c r="BO39" s="2660"/>
      <c r="BP39" s="2660"/>
      <c r="BQ39" s="2660"/>
      <c r="BR39" s="2660"/>
      <c r="BS39" s="2660"/>
      <c r="BT39" s="2660"/>
      <c r="BU39" s="2660"/>
      <c r="BV39" s="2660"/>
      <c r="BW39" s="2660"/>
      <c r="BX39" s="2660"/>
      <c r="BY39" s="2660"/>
      <c r="BZ39" s="2660"/>
      <c r="CA39" s="2660"/>
      <c r="CB39" s="2660"/>
      <c r="CC39" s="2660"/>
      <c r="CD39" s="2661"/>
      <c r="CE39" s="511"/>
      <c r="CF39" s="511"/>
    </row>
    <row r="40" spans="2:84" s="449" customFormat="1" ht="3" customHeight="1">
      <c r="B40" s="517"/>
      <c r="C40" s="516"/>
      <c r="D40" s="516"/>
      <c r="E40" s="516"/>
      <c r="F40" s="516"/>
      <c r="G40" s="516"/>
      <c r="H40" s="516"/>
      <c r="I40" s="516"/>
      <c r="J40" s="516"/>
      <c r="K40" s="516"/>
      <c r="L40" s="516"/>
      <c r="M40" s="516"/>
      <c r="N40" s="516"/>
      <c r="O40" s="516"/>
      <c r="P40" s="516"/>
      <c r="Q40" s="516"/>
      <c r="R40" s="516"/>
      <c r="S40" s="516"/>
      <c r="T40" s="516"/>
      <c r="U40" s="516"/>
      <c r="V40" s="516"/>
      <c r="W40" s="516"/>
      <c r="X40" s="516"/>
      <c r="Y40" s="516"/>
      <c r="Z40" s="516"/>
      <c r="AA40" s="516"/>
      <c r="AB40" s="516"/>
      <c r="AC40" s="516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4"/>
      <c r="BO40" s="513"/>
      <c r="BP40" s="513"/>
      <c r="BQ40" s="513"/>
      <c r="BR40" s="513"/>
      <c r="BS40" s="513"/>
      <c r="BT40" s="513"/>
      <c r="BU40" s="513"/>
      <c r="BV40" s="513"/>
      <c r="BW40" s="513"/>
      <c r="BX40" s="513"/>
      <c r="BY40" s="513"/>
      <c r="BZ40" s="513"/>
      <c r="CA40" s="513"/>
      <c r="CB40" s="513"/>
      <c r="CC40" s="513"/>
      <c r="CD40" s="512"/>
      <c r="CE40" s="511"/>
      <c r="CF40" s="511"/>
    </row>
    <row r="41" spans="2:84" s="500" customFormat="1" ht="17.25" customHeight="1">
      <c r="B41" s="2713" t="s">
        <v>768</v>
      </c>
      <c r="C41" s="2714"/>
      <c r="D41" s="2714"/>
      <c r="E41" s="2714"/>
      <c r="F41" s="2714"/>
      <c r="G41" s="2714"/>
      <c r="H41" s="2714"/>
      <c r="I41" s="2714"/>
      <c r="J41" s="2714"/>
      <c r="K41" s="2714"/>
      <c r="L41" s="2714"/>
      <c r="M41" s="510" t="s">
        <v>26</v>
      </c>
      <c r="N41" s="510"/>
      <c r="O41" s="2659"/>
      <c r="P41" s="2660"/>
      <c r="Q41" s="2661"/>
      <c r="R41" s="2712" t="s">
        <v>767</v>
      </c>
      <c r="S41" s="2708"/>
      <c r="T41" s="2708"/>
      <c r="U41" s="2708"/>
      <c r="V41" s="2708"/>
      <c r="W41" s="2708"/>
      <c r="X41" s="2708"/>
      <c r="Y41" s="2708"/>
      <c r="Z41" s="510"/>
      <c r="AA41" s="2659"/>
      <c r="AB41" s="2660"/>
      <c r="AC41" s="2660"/>
      <c r="AD41" s="2661"/>
      <c r="AE41" s="2713" t="s">
        <v>766</v>
      </c>
      <c r="AF41" s="2714"/>
      <c r="AG41" s="2714"/>
      <c r="AH41" s="2714"/>
      <c r="AI41" s="2714"/>
      <c r="AJ41" s="2714"/>
      <c r="AK41" s="2714"/>
      <c r="AL41" s="2714"/>
      <c r="AM41" s="2714"/>
      <c r="AN41" s="2714"/>
      <c r="AV41" s="510"/>
      <c r="AW41" s="510"/>
      <c r="AX41" s="510"/>
      <c r="AY41" s="510"/>
      <c r="AZ41" s="510"/>
      <c r="BA41" s="510"/>
      <c r="BB41" s="510"/>
      <c r="BC41" s="510"/>
      <c r="BD41" s="510"/>
      <c r="BE41" s="510"/>
      <c r="BF41" s="2708"/>
      <c r="BG41" s="2708"/>
      <c r="BH41" s="2708"/>
      <c r="BI41" s="2708"/>
      <c r="BJ41" s="2708"/>
      <c r="BK41" s="2708"/>
      <c r="BL41" s="2708"/>
      <c r="BM41" s="2708"/>
      <c r="BN41" s="2662"/>
      <c r="BO41" s="2663"/>
      <c r="BP41" s="2663"/>
      <c r="BQ41" s="2663"/>
      <c r="BR41" s="2663"/>
      <c r="BS41" s="2663"/>
      <c r="BT41" s="2663"/>
      <c r="BU41" s="2663"/>
      <c r="BV41" s="2663"/>
      <c r="BW41" s="2663"/>
      <c r="BX41" s="2663"/>
      <c r="BY41" s="2663"/>
      <c r="BZ41" s="2663"/>
      <c r="CA41" s="2663"/>
      <c r="CB41" s="2663"/>
      <c r="CC41" s="2663"/>
      <c r="CD41" s="2664"/>
      <c r="CE41" s="501"/>
      <c r="CF41" s="501"/>
    </row>
    <row r="42" spans="2:84" s="500" customFormat="1" ht="3" customHeight="1">
      <c r="B42" s="509"/>
      <c r="C42" s="508"/>
      <c r="D42" s="508"/>
      <c r="E42" s="508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8"/>
      <c r="AI42" s="508"/>
      <c r="AJ42" s="508"/>
      <c r="AK42" s="508"/>
      <c r="AL42" s="508"/>
      <c r="AM42" s="508"/>
      <c r="AN42" s="508"/>
      <c r="AO42" s="508"/>
      <c r="AP42" s="508"/>
      <c r="AQ42" s="508"/>
      <c r="AR42" s="508"/>
      <c r="AS42" s="508"/>
      <c r="AT42" s="508"/>
      <c r="AU42" s="508"/>
      <c r="AV42" s="508"/>
      <c r="AW42" s="508"/>
      <c r="AX42" s="508"/>
      <c r="AY42" s="508"/>
      <c r="AZ42" s="508"/>
      <c r="BA42" s="508"/>
      <c r="BB42" s="508"/>
      <c r="BC42" s="508"/>
      <c r="BD42" s="508"/>
      <c r="BE42" s="508"/>
      <c r="BF42" s="508"/>
      <c r="BG42" s="507"/>
      <c r="BH42" s="507"/>
      <c r="BI42" s="507"/>
      <c r="BJ42" s="507"/>
      <c r="BK42" s="507"/>
      <c r="BL42" s="507"/>
      <c r="BM42" s="507"/>
      <c r="BN42" s="506"/>
      <c r="BO42" s="505"/>
      <c r="BP42" s="505"/>
      <c r="BQ42" s="505"/>
      <c r="BR42" s="505"/>
      <c r="BS42" s="505"/>
      <c r="BT42" s="505"/>
      <c r="BU42" s="505"/>
      <c r="BV42" s="505"/>
      <c r="BW42" s="505"/>
      <c r="BX42" s="505"/>
      <c r="BY42" s="505"/>
      <c r="BZ42" s="505"/>
      <c r="CA42" s="505"/>
      <c r="CB42" s="505"/>
      <c r="CC42" s="505"/>
      <c r="CD42" s="504"/>
      <c r="CE42" s="501"/>
      <c r="CF42" s="501"/>
    </row>
    <row r="43" spans="2:84" s="500" customFormat="1" ht="20.15" customHeight="1">
      <c r="B43" s="2744" t="s">
        <v>765</v>
      </c>
      <c r="C43" s="2745"/>
      <c r="D43" s="2745"/>
      <c r="E43" s="2745"/>
      <c r="F43" s="2745"/>
      <c r="G43" s="2745"/>
      <c r="H43" s="2745"/>
      <c r="I43" s="2745"/>
      <c r="J43" s="2745"/>
      <c r="K43" s="2745"/>
      <c r="L43" s="2745"/>
      <c r="M43" s="2745"/>
      <c r="N43" s="2745"/>
      <c r="O43" s="2745"/>
      <c r="P43" s="2745"/>
      <c r="Q43" s="2745"/>
      <c r="R43" s="2745"/>
      <c r="S43" s="2745"/>
      <c r="T43" s="2745"/>
      <c r="U43" s="503"/>
      <c r="V43" s="503"/>
      <c r="W43" s="503"/>
      <c r="X43" s="503"/>
      <c r="Y43" s="503"/>
      <c r="Z43" s="503"/>
      <c r="AA43" s="503"/>
      <c r="AB43" s="503"/>
      <c r="AC43" s="503"/>
      <c r="AD43" s="503"/>
      <c r="AE43" s="503"/>
      <c r="AF43" s="503"/>
      <c r="AG43" s="503"/>
      <c r="AH43" s="503"/>
      <c r="AI43" s="503"/>
      <c r="AJ43" s="503"/>
      <c r="AK43" s="503"/>
      <c r="AL43" s="503"/>
      <c r="AM43" s="503"/>
      <c r="AN43" s="503"/>
      <c r="AO43" s="503"/>
      <c r="AP43" s="503"/>
      <c r="AQ43" s="503"/>
      <c r="AR43" s="503"/>
      <c r="AS43" s="503"/>
      <c r="AT43" s="503"/>
      <c r="AU43" s="503"/>
      <c r="AV43" s="503"/>
      <c r="AW43" s="503"/>
      <c r="AX43" s="503"/>
      <c r="AY43" s="503"/>
      <c r="AZ43" s="503"/>
      <c r="BA43" s="503"/>
      <c r="BB43" s="503"/>
      <c r="BC43" s="503"/>
      <c r="BD43" s="503"/>
      <c r="BE43" s="503"/>
      <c r="BF43" s="503"/>
      <c r="BG43" s="502"/>
      <c r="BH43" s="502"/>
      <c r="BI43" s="502"/>
      <c r="BJ43" s="502"/>
      <c r="BK43" s="502"/>
      <c r="BL43" s="502"/>
      <c r="BM43" s="502"/>
      <c r="BN43" s="2735"/>
      <c r="BO43" s="2736"/>
      <c r="BP43" s="2736"/>
      <c r="BQ43" s="2736"/>
      <c r="BR43" s="2736"/>
      <c r="BS43" s="2736"/>
      <c r="BT43" s="2736"/>
      <c r="BU43" s="2736"/>
      <c r="BV43" s="2736"/>
      <c r="BW43" s="2736"/>
      <c r="BX43" s="2736"/>
      <c r="BY43" s="2736"/>
      <c r="BZ43" s="2736"/>
      <c r="CA43" s="2736"/>
      <c r="CB43" s="2736"/>
      <c r="CC43" s="2736"/>
      <c r="CD43" s="2737"/>
      <c r="CE43" s="501"/>
      <c r="CF43" s="501"/>
    </row>
    <row r="44" spans="2:84" s="449" customFormat="1" ht="20.15" customHeight="1">
      <c r="B44" s="2681" t="s">
        <v>621</v>
      </c>
      <c r="C44" s="2682"/>
      <c r="D44" s="2666" t="s">
        <v>764</v>
      </c>
      <c r="E44" s="490"/>
      <c r="F44" s="490"/>
      <c r="G44" s="490"/>
      <c r="H44" s="490"/>
      <c r="I44" s="490"/>
      <c r="J44" s="490"/>
      <c r="K44" s="490"/>
      <c r="L44" s="490"/>
      <c r="M44" s="490"/>
      <c r="N44" s="490"/>
      <c r="O44" s="490"/>
      <c r="P44" s="490"/>
      <c r="Q44" s="490"/>
      <c r="R44" s="490"/>
      <c r="S44" s="490"/>
      <c r="T44" s="490"/>
      <c r="U44" s="490"/>
      <c r="V44" s="490"/>
      <c r="W44" s="490"/>
      <c r="X44" s="490"/>
      <c r="Y44" s="490"/>
      <c r="Z44" s="490"/>
      <c r="AA44" s="490"/>
      <c r="AB44" s="490"/>
      <c r="AC44" s="490"/>
      <c r="AD44" s="490"/>
      <c r="AE44" s="490"/>
      <c r="AF44" s="490"/>
      <c r="AG44" s="490"/>
      <c r="AH44" s="490"/>
      <c r="AI44" s="490"/>
      <c r="AJ44" s="490"/>
      <c r="AK44" s="490"/>
      <c r="AL44" s="490"/>
      <c r="AM44" s="490"/>
      <c r="AN44" s="490"/>
      <c r="AO44" s="490"/>
      <c r="AP44" s="490"/>
      <c r="AQ44" s="490"/>
      <c r="AR44" s="490"/>
      <c r="AS44" s="490"/>
      <c r="AT44" s="490"/>
      <c r="AU44" s="490"/>
      <c r="AV44" s="490"/>
      <c r="AW44" s="490"/>
      <c r="AX44" s="490"/>
      <c r="AY44" s="490"/>
      <c r="AZ44" s="490"/>
      <c r="BA44" s="490"/>
      <c r="BB44" s="490"/>
      <c r="BC44" s="490"/>
      <c r="BD44" s="490"/>
      <c r="BE44" s="490"/>
      <c r="BF44" s="490"/>
      <c r="BG44" s="490"/>
      <c r="BH44" s="490"/>
      <c r="BI44" s="490"/>
      <c r="BJ44" s="490"/>
      <c r="BK44" s="490"/>
      <c r="BL44" s="490"/>
      <c r="BM44" s="2667"/>
      <c r="BN44" s="2633">
        <f>'GENERAL INFO'!L118</f>
        <v>0</v>
      </c>
      <c r="BO44" s="2634"/>
      <c r="BP44" s="2634"/>
      <c r="BQ44" s="2634"/>
      <c r="BR44" s="2634"/>
      <c r="BS44" s="2634"/>
      <c r="BT44" s="2634"/>
      <c r="BU44" s="2634"/>
      <c r="BV44" s="2634"/>
      <c r="BW44" s="2634"/>
      <c r="BX44" s="2634"/>
      <c r="BY44" s="2634"/>
      <c r="BZ44" s="2634"/>
      <c r="CA44" s="2634"/>
      <c r="CB44" s="2634"/>
      <c r="CC44" s="2634"/>
      <c r="CD44" s="610"/>
      <c r="CE44" s="450"/>
      <c r="CF44" s="450"/>
    </row>
    <row r="45" spans="2:84" s="449" customFormat="1" ht="20.15" customHeight="1">
      <c r="B45" s="2681" t="s">
        <v>622</v>
      </c>
      <c r="C45" s="2682"/>
      <c r="D45" s="2684" t="s">
        <v>763</v>
      </c>
      <c r="E45" s="491"/>
      <c r="F45" s="491"/>
      <c r="G45" s="491"/>
      <c r="H45" s="491"/>
      <c r="I45" s="491"/>
      <c r="J45" s="491"/>
      <c r="K45" s="491"/>
      <c r="L45" s="491"/>
      <c r="M45" s="491"/>
      <c r="N45" s="491"/>
      <c r="O45" s="491"/>
      <c r="P45" s="491"/>
      <c r="Q45" s="491"/>
      <c r="R45" s="491"/>
      <c r="S45" s="491"/>
      <c r="T45" s="491"/>
      <c r="U45" s="491"/>
      <c r="V45" s="491"/>
      <c r="W45" s="491"/>
      <c r="X45" s="491"/>
      <c r="Y45" s="491"/>
      <c r="Z45" s="491"/>
      <c r="AA45" s="491"/>
      <c r="AB45" s="491"/>
      <c r="AC45" s="491"/>
      <c r="AD45" s="491"/>
      <c r="AE45" s="491"/>
      <c r="AF45" s="491"/>
      <c r="AG45" s="491"/>
      <c r="AH45" s="491"/>
      <c r="AI45" s="491"/>
      <c r="AJ45" s="491"/>
      <c r="AK45" s="491"/>
      <c r="AL45" s="491"/>
      <c r="AM45" s="491"/>
      <c r="AN45" s="495"/>
      <c r="AO45" s="495"/>
      <c r="AP45" s="495"/>
      <c r="AQ45" s="495"/>
      <c r="AR45" s="495"/>
      <c r="AS45" s="495"/>
      <c r="AT45" s="495"/>
      <c r="AU45" s="495"/>
      <c r="AV45" s="495"/>
      <c r="AW45" s="495"/>
      <c r="AX45" s="495"/>
      <c r="AY45" s="495"/>
      <c r="AZ45" s="495"/>
      <c r="BA45" s="495"/>
      <c r="BB45" s="495"/>
      <c r="BC45" s="495"/>
      <c r="BD45" s="495"/>
      <c r="BE45" s="495"/>
      <c r="BF45" s="495"/>
      <c r="BG45" s="495"/>
      <c r="BH45" s="495"/>
      <c r="BI45" s="495"/>
      <c r="BJ45" s="495"/>
      <c r="BK45" s="495"/>
      <c r="BL45" s="495"/>
      <c r="BM45" s="495"/>
      <c r="BN45" s="2633">
        <f>'GENERAL INFO'!L119</f>
        <v>0</v>
      </c>
      <c r="BO45" s="2634"/>
      <c r="BP45" s="2634"/>
      <c r="BQ45" s="2634"/>
      <c r="BR45" s="2634"/>
      <c r="BS45" s="2634"/>
      <c r="BT45" s="2634"/>
      <c r="BU45" s="2634"/>
      <c r="BV45" s="2634"/>
      <c r="BW45" s="2634"/>
      <c r="BX45" s="2634"/>
      <c r="BY45" s="2634"/>
      <c r="BZ45" s="2634"/>
      <c r="CA45" s="2634"/>
      <c r="CB45" s="2634"/>
      <c r="CC45" s="2634"/>
      <c r="CD45" s="611"/>
      <c r="CE45" s="450"/>
      <c r="CF45" s="450"/>
    </row>
    <row r="46" spans="2:84" s="449" customFormat="1" ht="20.15" customHeight="1">
      <c r="B46" s="2681" t="s">
        <v>623</v>
      </c>
      <c r="C46" s="2682"/>
      <c r="D46" s="2684" t="s">
        <v>762</v>
      </c>
      <c r="E46" s="491"/>
      <c r="F46" s="491"/>
      <c r="G46" s="491"/>
      <c r="H46" s="491"/>
      <c r="I46" s="491"/>
      <c r="J46" s="491"/>
      <c r="K46" s="491"/>
      <c r="L46" s="491"/>
      <c r="M46" s="491"/>
      <c r="N46" s="491"/>
      <c r="O46" s="491"/>
      <c r="P46" s="491"/>
      <c r="Q46" s="491"/>
      <c r="R46" s="491"/>
      <c r="S46" s="491"/>
      <c r="T46" s="491"/>
      <c r="U46" s="491"/>
      <c r="V46" s="491"/>
      <c r="W46" s="491"/>
      <c r="X46" s="491"/>
      <c r="Y46" s="491"/>
      <c r="Z46" s="491"/>
      <c r="AA46" s="491"/>
      <c r="AB46" s="491"/>
      <c r="AC46" s="491"/>
      <c r="AD46" s="491"/>
      <c r="AE46" s="491"/>
      <c r="AF46" s="491"/>
      <c r="AG46" s="491"/>
      <c r="AH46" s="491"/>
      <c r="AI46" s="491"/>
      <c r="AJ46" s="491"/>
      <c r="AK46" s="491"/>
      <c r="AL46" s="491"/>
      <c r="AM46" s="491"/>
      <c r="AN46" s="491"/>
      <c r="AO46" s="491"/>
      <c r="AP46" s="491"/>
      <c r="AQ46" s="491"/>
      <c r="AR46" s="491"/>
      <c r="AS46" s="491"/>
      <c r="AT46" s="491"/>
      <c r="AU46" s="491"/>
      <c r="AV46" s="491"/>
      <c r="AW46" s="499"/>
      <c r="AX46" s="495"/>
      <c r="AY46" s="495"/>
      <c r="AZ46" s="495"/>
      <c r="BA46" s="495"/>
      <c r="BB46" s="495"/>
      <c r="BC46" s="495"/>
      <c r="BD46" s="495"/>
      <c r="BE46" s="495"/>
      <c r="BF46" s="495"/>
      <c r="BG46" s="495"/>
      <c r="BH46" s="495"/>
      <c r="BI46" s="495"/>
      <c r="BJ46" s="495"/>
      <c r="BK46" s="495"/>
      <c r="BL46" s="495"/>
      <c r="BM46" s="495"/>
      <c r="BN46" s="2633">
        <f>'GENERAL INFO'!L120</f>
        <v>0</v>
      </c>
      <c r="BO46" s="2634"/>
      <c r="BP46" s="2634"/>
      <c r="BQ46" s="2634"/>
      <c r="BR46" s="2634"/>
      <c r="BS46" s="2634"/>
      <c r="BT46" s="2634"/>
      <c r="BU46" s="2634"/>
      <c r="BV46" s="2634"/>
      <c r="BW46" s="2634"/>
      <c r="BX46" s="2634"/>
      <c r="BY46" s="2634"/>
      <c r="BZ46" s="2634"/>
      <c r="CA46" s="2634"/>
      <c r="CB46" s="2634"/>
      <c r="CC46" s="2634"/>
      <c r="CD46" s="611"/>
      <c r="CE46" s="450"/>
      <c r="CF46" s="450"/>
    </row>
    <row r="47" spans="2:84" s="449" customFormat="1" ht="20.15" customHeight="1">
      <c r="B47" s="2681" t="s">
        <v>624</v>
      </c>
      <c r="C47" s="2682"/>
      <c r="D47" s="2684" t="s">
        <v>761</v>
      </c>
      <c r="E47" s="491"/>
      <c r="F47" s="491"/>
      <c r="G47" s="491"/>
      <c r="H47" s="491"/>
      <c r="I47" s="491"/>
      <c r="J47" s="491"/>
      <c r="K47" s="491"/>
      <c r="L47" s="491"/>
      <c r="M47" s="491"/>
      <c r="N47" s="491"/>
      <c r="O47" s="491"/>
      <c r="P47" s="491"/>
      <c r="Q47" s="491"/>
      <c r="R47" s="491"/>
      <c r="S47" s="491"/>
      <c r="T47" s="491"/>
      <c r="U47" s="491"/>
      <c r="V47" s="491"/>
      <c r="W47" s="491"/>
      <c r="X47" s="491"/>
      <c r="Y47" s="491"/>
      <c r="Z47" s="491"/>
      <c r="AA47" s="491"/>
      <c r="AB47" s="491"/>
      <c r="AC47" s="491"/>
      <c r="AD47" s="491"/>
      <c r="AE47" s="491"/>
      <c r="AF47" s="491"/>
      <c r="AG47" s="491"/>
      <c r="AH47" s="491"/>
      <c r="AI47" s="491"/>
      <c r="AJ47" s="491"/>
      <c r="AK47" s="491"/>
      <c r="AL47" s="491"/>
      <c r="AM47" s="491"/>
      <c r="AN47" s="491"/>
      <c r="AO47" s="491"/>
      <c r="AP47" s="491"/>
      <c r="AQ47" s="491"/>
      <c r="AR47" s="491"/>
      <c r="AS47" s="491"/>
      <c r="AT47" s="491"/>
      <c r="AU47" s="491"/>
      <c r="AV47" s="491"/>
      <c r="AW47" s="491"/>
      <c r="AX47" s="491"/>
      <c r="AY47" s="491"/>
      <c r="AZ47" s="491"/>
      <c r="BA47" s="491"/>
      <c r="BB47" s="491"/>
      <c r="BC47" s="491"/>
      <c r="BD47" s="491"/>
      <c r="BE47" s="491"/>
      <c r="BF47" s="491"/>
      <c r="BG47" s="491"/>
      <c r="BH47" s="491"/>
      <c r="BI47" s="491"/>
      <c r="BJ47" s="491"/>
      <c r="BK47" s="491"/>
      <c r="BL47" s="491"/>
      <c r="BM47" s="2687"/>
      <c r="BN47" s="2633">
        <f>'GENERAL INFO'!L121</f>
        <v>0</v>
      </c>
      <c r="BO47" s="2634"/>
      <c r="BP47" s="2634"/>
      <c r="BQ47" s="2634"/>
      <c r="BR47" s="2634"/>
      <c r="BS47" s="2634"/>
      <c r="BT47" s="2634"/>
      <c r="BU47" s="2634"/>
      <c r="BV47" s="2634"/>
      <c r="BW47" s="2634"/>
      <c r="BX47" s="2634"/>
      <c r="BY47" s="2634"/>
      <c r="BZ47" s="2634"/>
      <c r="CA47" s="2634"/>
      <c r="CB47" s="2634"/>
      <c r="CC47" s="2634"/>
      <c r="CD47" s="611"/>
      <c r="CE47" s="450"/>
      <c r="CF47" s="450"/>
    </row>
    <row r="48" spans="2:84" s="449" customFormat="1" ht="20.15" customHeight="1">
      <c r="B48" s="2681" t="s">
        <v>625</v>
      </c>
      <c r="C48" s="2682"/>
      <c r="D48" s="2684" t="s">
        <v>760</v>
      </c>
      <c r="E48" s="491"/>
      <c r="F48" s="491"/>
      <c r="G48" s="491"/>
      <c r="H48" s="491"/>
      <c r="I48" s="491"/>
      <c r="J48" s="491"/>
      <c r="K48" s="491"/>
      <c r="L48" s="491"/>
      <c r="M48" s="491"/>
      <c r="N48" s="491"/>
      <c r="O48" s="491"/>
      <c r="P48" s="491"/>
      <c r="Q48" s="491"/>
      <c r="R48" s="491"/>
      <c r="S48" s="491"/>
      <c r="T48" s="491"/>
      <c r="U48" s="491"/>
      <c r="V48" s="491"/>
      <c r="W48" s="491"/>
      <c r="X48" s="491"/>
      <c r="Y48" s="491"/>
      <c r="Z48" s="491"/>
      <c r="AA48" s="491"/>
      <c r="AB48" s="491"/>
      <c r="AC48" s="491"/>
      <c r="AD48" s="491"/>
      <c r="AE48" s="491"/>
      <c r="AF48" s="491"/>
      <c r="AG48" s="491"/>
      <c r="AH48" s="491"/>
      <c r="AI48" s="491"/>
      <c r="AJ48" s="491"/>
      <c r="AK48" s="491"/>
      <c r="AL48" s="491"/>
      <c r="AM48" s="491"/>
      <c r="AN48" s="491"/>
      <c r="AO48" s="491"/>
      <c r="AP48" s="491"/>
      <c r="AQ48" s="491"/>
      <c r="AR48" s="491"/>
      <c r="AS48" s="491"/>
      <c r="AT48" s="491"/>
      <c r="AU48" s="491"/>
      <c r="AV48" s="491"/>
      <c r="AW48" s="491"/>
      <c r="AX48" s="491"/>
      <c r="AY48" s="491"/>
      <c r="AZ48" s="491"/>
      <c r="BA48" s="491"/>
      <c r="BB48" s="491"/>
      <c r="BC48" s="491"/>
      <c r="BD48" s="491"/>
      <c r="BE48" s="491"/>
      <c r="BF48" s="491"/>
      <c r="BG48" s="491"/>
      <c r="BH48" s="491"/>
      <c r="BI48" s="491"/>
      <c r="BJ48" s="491"/>
      <c r="BK48" s="491"/>
      <c r="BL48" s="491"/>
      <c r="BM48" s="2687"/>
      <c r="BN48" s="2633">
        <f>'GENERAL INFO'!L122</f>
        <v>0</v>
      </c>
      <c r="BO48" s="2634"/>
      <c r="BP48" s="2634"/>
      <c r="BQ48" s="2634"/>
      <c r="BR48" s="2634"/>
      <c r="BS48" s="2634"/>
      <c r="BT48" s="2634"/>
      <c r="BU48" s="2634"/>
      <c r="BV48" s="2634"/>
      <c r="BW48" s="2634"/>
      <c r="BX48" s="2634"/>
      <c r="BY48" s="2634"/>
      <c r="BZ48" s="2634"/>
      <c r="CA48" s="2634"/>
      <c r="CB48" s="2634"/>
      <c r="CC48" s="2634"/>
      <c r="CD48" s="611"/>
      <c r="CE48" s="450"/>
      <c r="CF48" s="450"/>
    </row>
    <row r="49" spans="2:84" s="449" customFormat="1" ht="20.15" customHeight="1">
      <c r="B49" s="2681" t="s">
        <v>626</v>
      </c>
      <c r="C49" s="2682"/>
      <c r="D49" s="2684" t="s">
        <v>759</v>
      </c>
      <c r="E49" s="2685"/>
      <c r="F49" s="2685"/>
      <c r="G49" s="2685"/>
      <c r="H49" s="2685"/>
      <c r="I49" s="2685"/>
      <c r="J49" s="2685"/>
      <c r="K49" s="2685"/>
      <c r="L49" s="2685"/>
      <c r="M49" s="2685"/>
      <c r="N49" s="2685"/>
      <c r="O49" s="2685"/>
      <c r="P49" s="2685"/>
      <c r="Q49" s="2685"/>
      <c r="R49" s="2685"/>
      <c r="S49" s="2685"/>
      <c r="T49" s="2685"/>
      <c r="U49" s="2685"/>
      <c r="V49" s="2685"/>
      <c r="W49" s="2685"/>
      <c r="X49" s="2685"/>
      <c r="Y49" s="2685"/>
      <c r="Z49" s="2685"/>
      <c r="AA49" s="2685"/>
      <c r="AB49" s="2685"/>
      <c r="AC49" s="2685"/>
      <c r="AD49" s="2685"/>
      <c r="AE49" s="2685"/>
      <c r="AF49" s="2685"/>
      <c r="AG49" s="2685"/>
      <c r="AH49" s="2685"/>
      <c r="AI49" s="2685"/>
      <c r="AJ49" s="2685"/>
      <c r="AK49" s="2685"/>
      <c r="AL49" s="2685"/>
      <c r="AM49" s="2685"/>
      <c r="AN49" s="2685"/>
      <c r="AO49" s="2685"/>
      <c r="AP49" s="2685"/>
      <c r="AQ49" s="2685"/>
      <c r="AR49" s="2685"/>
      <c r="AS49" s="2685"/>
      <c r="AT49" s="2685"/>
      <c r="AU49" s="2685"/>
      <c r="AV49" s="2685"/>
      <c r="AW49" s="2685"/>
      <c r="AX49" s="2685"/>
      <c r="AY49" s="2685"/>
      <c r="AZ49" s="2685"/>
      <c r="BA49" s="2685"/>
      <c r="BB49" s="2685"/>
      <c r="BC49" s="2685"/>
      <c r="BD49" s="2685"/>
      <c r="BE49" s="2685"/>
      <c r="BF49" s="2685"/>
      <c r="BG49" s="2685"/>
      <c r="BH49" s="2685"/>
      <c r="BI49" s="2685"/>
      <c r="BJ49" s="2685"/>
      <c r="BK49" s="2685"/>
      <c r="BL49" s="2685"/>
      <c r="BM49" s="2686"/>
      <c r="BN49" s="2633">
        <f>'GENERAL INFO'!L123</f>
        <v>0</v>
      </c>
      <c r="BO49" s="2634"/>
      <c r="BP49" s="2634"/>
      <c r="BQ49" s="2634"/>
      <c r="BR49" s="2634"/>
      <c r="BS49" s="2634"/>
      <c r="BT49" s="2634"/>
      <c r="BU49" s="2634"/>
      <c r="BV49" s="2634"/>
      <c r="BW49" s="2634"/>
      <c r="BX49" s="2634"/>
      <c r="BY49" s="2634"/>
      <c r="BZ49" s="2634"/>
      <c r="CA49" s="2634"/>
      <c r="CB49" s="2634"/>
      <c r="CC49" s="2634"/>
      <c r="CD49" s="611"/>
      <c r="CE49" s="450"/>
      <c r="CF49" s="450"/>
    </row>
    <row r="50" spans="2:84" s="449" customFormat="1" ht="25.5" customHeight="1">
      <c r="B50" s="2681" t="s">
        <v>629</v>
      </c>
      <c r="C50" s="2682"/>
      <c r="D50" s="2666" t="s">
        <v>758</v>
      </c>
      <c r="E50" s="490"/>
      <c r="F50" s="490"/>
      <c r="G50" s="490"/>
      <c r="H50" s="490"/>
      <c r="I50" s="490"/>
      <c r="J50" s="490"/>
      <c r="K50" s="490"/>
      <c r="L50" s="490"/>
      <c r="M50" s="490"/>
      <c r="N50" s="490"/>
      <c r="O50" s="490"/>
      <c r="P50" s="490"/>
      <c r="Q50" s="490"/>
      <c r="R50" s="490"/>
      <c r="S50" s="490"/>
      <c r="T50" s="490"/>
      <c r="U50" s="490"/>
      <c r="V50" s="490"/>
      <c r="W50" s="490"/>
      <c r="X50" s="490"/>
      <c r="Y50" s="490"/>
      <c r="Z50" s="490"/>
      <c r="AA50" s="490"/>
      <c r="AB50" s="490"/>
      <c r="AC50" s="490"/>
      <c r="AD50" s="490"/>
      <c r="AE50" s="490"/>
      <c r="AF50" s="490"/>
      <c r="AG50" s="490"/>
      <c r="AH50" s="490"/>
      <c r="AI50" s="490"/>
      <c r="AJ50" s="490"/>
      <c r="AK50" s="490"/>
      <c r="AL50" s="490"/>
      <c r="AM50" s="490"/>
      <c r="AN50" s="490"/>
      <c r="AO50" s="490"/>
      <c r="AP50" s="490"/>
      <c r="AQ50" s="490"/>
      <c r="AR50" s="490"/>
      <c r="AS50" s="490"/>
      <c r="AT50" s="490"/>
      <c r="AU50" s="490"/>
      <c r="AV50" s="490"/>
      <c r="AW50" s="490"/>
      <c r="AX50" s="490"/>
      <c r="AY50" s="490"/>
      <c r="AZ50" s="495"/>
      <c r="BA50" s="495"/>
      <c r="BB50" s="495"/>
      <c r="BC50" s="495"/>
      <c r="BD50" s="495"/>
      <c r="BE50" s="495"/>
      <c r="BF50" s="498"/>
      <c r="BG50" s="495"/>
      <c r="BH50" s="495"/>
      <c r="BI50" s="495"/>
      <c r="BJ50" s="495"/>
      <c r="BK50" s="498"/>
      <c r="BL50" s="495"/>
      <c r="BM50" s="495"/>
      <c r="BN50" s="2633">
        <f>'GENERAL INFO'!L124</f>
        <v>0</v>
      </c>
      <c r="BO50" s="2634"/>
      <c r="BP50" s="2634"/>
      <c r="BQ50" s="2634"/>
      <c r="BR50" s="2634"/>
      <c r="BS50" s="2634"/>
      <c r="BT50" s="2634"/>
      <c r="BU50" s="2634"/>
      <c r="BV50" s="2634"/>
      <c r="BW50" s="2634"/>
      <c r="BX50" s="2634"/>
      <c r="BY50" s="2634"/>
      <c r="BZ50" s="2634"/>
      <c r="CA50" s="2634"/>
      <c r="CB50" s="2634"/>
      <c r="CC50" s="2634"/>
      <c r="CD50" s="611"/>
      <c r="CE50" s="450"/>
      <c r="CF50" s="450"/>
    </row>
    <row r="51" spans="2:84" s="449" customFormat="1" ht="20.15" customHeight="1">
      <c r="B51" s="2690" t="s">
        <v>630</v>
      </c>
      <c r="C51" s="2691"/>
      <c r="D51" s="2666" t="s">
        <v>757</v>
      </c>
      <c r="E51" s="490"/>
      <c r="F51" s="490"/>
      <c r="G51" s="490"/>
      <c r="H51" s="490"/>
      <c r="I51" s="490"/>
      <c r="J51" s="490"/>
      <c r="K51" s="490"/>
      <c r="L51" s="490"/>
      <c r="M51" s="490"/>
      <c r="N51" s="490"/>
      <c r="O51" s="490"/>
      <c r="P51" s="490"/>
      <c r="Q51" s="490"/>
      <c r="R51" s="490"/>
      <c r="S51" s="490"/>
      <c r="T51" s="490"/>
      <c r="U51" s="490"/>
      <c r="V51" s="490"/>
      <c r="W51" s="490"/>
      <c r="X51" s="490"/>
      <c r="Y51" s="490"/>
      <c r="Z51" s="490"/>
      <c r="AA51" s="490"/>
      <c r="AB51" s="490"/>
      <c r="AC51" s="490"/>
      <c r="AD51" s="490"/>
      <c r="AE51" s="490"/>
      <c r="AF51" s="490"/>
      <c r="AG51" s="490"/>
      <c r="AH51" s="490"/>
      <c r="AI51" s="490"/>
      <c r="AJ51" s="490"/>
      <c r="AK51" s="490"/>
      <c r="AL51" s="490"/>
      <c r="AM51" s="490"/>
      <c r="AN51" s="490"/>
      <c r="AO51" s="490"/>
      <c r="AP51" s="490"/>
      <c r="AQ51" s="490"/>
      <c r="AR51" s="490"/>
      <c r="AS51" s="492"/>
      <c r="AT51" s="492"/>
      <c r="AU51" s="492"/>
      <c r="AV51" s="492"/>
      <c r="AW51" s="495"/>
      <c r="AX51" s="495"/>
      <c r="AY51" s="496"/>
      <c r="AZ51" s="496"/>
      <c r="BA51" s="496"/>
      <c r="BB51" s="496"/>
      <c r="BC51" s="496"/>
      <c r="BD51" s="496"/>
      <c r="BE51" s="496"/>
      <c r="BF51" s="496"/>
      <c r="BG51" s="496"/>
      <c r="BH51" s="496"/>
      <c r="BI51" s="496"/>
      <c r="BJ51" s="496"/>
      <c r="BK51" s="495"/>
      <c r="BL51" s="495"/>
      <c r="BM51" s="495"/>
      <c r="BN51" s="2633">
        <f>'GENERAL INFO'!L125</f>
        <v>0</v>
      </c>
      <c r="BO51" s="2634"/>
      <c r="BP51" s="2634"/>
      <c r="BQ51" s="2634"/>
      <c r="BR51" s="2634"/>
      <c r="BS51" s="2634"/>
      <c r="BT51" s="2634"/>
      <c r="BU51" s="2634"/>
      <c r="BV51" s="2634"/>
      <c r="BW51" s="2634"/>
      <c r="BX51" s="2634"/>
      <c r="BY51" s="2634"/>
      <c r="BZ51" s="2634"/>
      <c r="CA51" s="2634"/>
      <c r="CB51" s="2634"/>
      <c r="CC51" s="2634"/>
      <c r="CD51" s="611"/>
      <c r="CE51" s="450"/>
      <c r="CF51" s="450"/>
    </row>
    <row r="52" spans="2:84" s="449" customFormat="1" ht="20.15" customHeight="1">
      <c r="B52" s="2688" t="s">
        <v>756</v>
      </c>
      <c r="C52" s="2689"/>
      <c r="D52" s="2689"/>
      <c r="E52" s="2689"/>
      <c r="F52" s="2689"/>
      <c r="G52" s="2689"/>
      <c r="H52" s="2689"/>
      <c r="I52" s="2689"/>
      <c r="J52" s="2689"/>
      <c r="K52" s="2689"/>
      <c r="L52" s="2689"/>
      <c r="M52" s="2689"/>
      <c r="N52" s="2689"/>
      <c r="O52" s="2689"/>
      <c r="P52" s="497"/>
      <c r="Q52" s="497"/>
      <c r="R52" s="497"/>
      <c r="S52" s="497"/>
      <c r="T52" s="497"/>
      <c r="U52" s="497"/>
      <c r="V52" s="497"/>
      <c r="W52" s="497"/>
      <c r="X52" s="497"/>
      <c r="Y52" s="497"/>
      <c r="Z52" s="497"/>
      <c r="AA52" s="497"/>
      <c r="AB52" s="497"/>
      <c r="AC52" s="497"/>
      <c r="AD52" s="497"/>
      <c r="AE52" s="497"/>
      <c r="AF52" s="497"/>
      <c r="AG52" s="497"/>
      <c r="AH52" s="497"/>
      <c r="AI52" s="497"/>
      <c r="AJ52" s="497"/>
      <c r="AK52" s="497"/>
      <c r="AL52" s="497"/>
      <c r="AM52" s="497"/>
      <c r="AN52" s="495"/>
      <c r="AO52" s="495"/>
      <c r="AP52" s="495"/>
      <c r="AQ52" s="495"/>
      <c r="AR52" s="495"/>
      <c r="AS52" s="495"/>
      <c r="AT52" s="495"/>
      <c r="AU52" s="495"/>
      <c r="AV52" s="495"/>
      <c r="AW52" s="495"/>
      <c r="AX52" s="495"/>
      <c r="AY52" s="496"/>
      <c r="AZ52" s="496"/>
      <c r="BA52" s="496"/>
      <c r="BB52" s="496"/>
      <c r="BC52" s="496"/>
      <c r="BD52" s="496"/>
      <c r="BE52" s="496"/>
      <c r="BF52" s="496"/>
      <c r="BG52" s="496"/>
      <c r="BH52" s="496"/>
      <c r="BI52" s="496"/>
      <c r="BJ52" s="496"/>
      <c r="BK52" s="495"/>
      <c r="BL52" s="495"/>
      <c r="BM52" s="495"/>
      <c r="BN52" s="2645"/>
      <c r="BO52" s="2646"/>
      <c r="BP52" s="2646"/>
      <c r="BQ52" s="2646"/>
      <c r="BR52" s="2646"/>
      <c r="BS52" s="2646"/>
      <c r="BT52" s="2646"/>
      <c r="BU52" s="2646"/>
      <c r="BV52" s="2646"/>
      <c r="BW52" s="2646"/>
      <c r="BX52" s="2646"/>
      <c r="BY52" s="2646"/>
      <c r="BZ52" s="2646"/>
      <c r="CA52" s="2646"/>
      <c r="CB52" s="2646"/>
      <c r="CC52" s="2646"/>
      <c r="CD52" s="2647"/>
      <c r="CE52" s="450"/>
      <c r="CF52" s="450"/>
    </row>
    <row r="53" spans="2:84" s="449" customFormat="1" ht="20.15" customHeight="1">
      <c r="B53" s="2681" t="s">
        <v>631</v>
      </c>
      <c r="C53" s="2682"/>
      <c r="D53" s="2666" t="s">
        <v>755</v>
      </c>
      <c r="E53" s="490"/>
      <c r="F53" s="490"/>
      <c r="G53" s="490"/>
      <c r="H53" s="490"/>
      <c r="I53" s="490"/>
      <c r="J53" s="490"/>
      <c r="K53" s="490"/>
      <c r="L53" s="490"/>
      <c r="M53" s="490"/>
      <c r="N53" s="490"/>
      <c r="O53" s="490"/>
      <c r="P53" s="490"/>
      <c r="Q53" s="490"/>
      <c r="R53" s="490"/>
      <c r="S53" s="490"/>
      <c r="T53" s="490"/>
      <c r="U53" s="490"/>
      <c r="V53" s="490"/>
      <c r="W53" s="490"/>
      <c r="X53" s="490"/>
      <c r="Y53" s="490"/>
      <c r="Z53" s="490"/>
      <c r="AA53" s="490"/>
      <c r="AB53" s="490"/>
      <c r="AC53" s="490"/>
      <c r="AD53" s="490"/>
      <c r="AE53" s="490"/>
      <c r="AF53" s="490"/>
      <c r="AG53" s="490"/>
      <c r="AH53" s="490"/>
      <c r="AI53" s="490"/>
      <c r="AJ53" s="490"/>
      <c r="AK53" s="490"/>
      <c r="AL53" s="490"/>
      <c r="AM53" s="490"/>
      <c r="AN53" s="490"/>
      <c r="AO53" s="490"/>
      <c r="AP53" s="490"/>
      <c r="AQ53" s="490"/>
      <c r="AR53" s="490"/>
      <c r="AS53" s="490"/>
      <c r="AT53" s="495"/>
      <c r="AU53" s="495"/>
      <c r="AV53" s="495"/>
      <c r="AW53" s="495"/>
      <c r="AX53" s="495"/>
      <c r="AY53" s="495"/>
      <c r="AZ53" s="495"/>
      <c r="BA53" s="495"/>
      <c r="BB53" s="495"/>
      <c r="BC53" s="495"/>
      <c r="BD53" s="495"/>
      <c r="BE53" s="495"/>
      <c r="BF53" s="495"/>
      <c r="BG53" s="495"/>
      <c r="BH53" s="495"/>
      <c r="BI53" s="495"/>
      <c r="BJ53" s="495"/>
      <c r="BK53" s="495"/>
      <c r="BL53" s="495"/>
      <c r="BM53" s="495"/>
      <c r="BN53" s="2633">
        <f>'GENERAL INFO'!L128</f>
        <v>0</v>
      </c>
      <c r="BO53" s="2634"/>
      <c r="BP53" s="2634"/>
      <c r="BQ53" s="2634"/>
      <c r="BR53" s="2634"/>
      <c r="BS53" s="2634"/>
      <c r="BT53" s="2634"/>
      <c r="BU53" s="2634"/>
      <c r="BV53" s="2634"/>
      <c r="BW53" s="2634"/>
      <c r="BX53" s="2634"/>
      <c r="BY53" s="2634"/>
      <c r="BZ53" s="2634"/>
      <c r="CA53" s="2634"/>
      <c r="CB53" s="2634"/>
      <c r="CC53" s="2634"/>
      <c r="CD53" s="612"/>
      <c r="CE53" s="450"/>
      <c r="CF53" s="450"/>
    </row>
    <row r="54" spans="2:84" s="449" customFormat="1" ht="20.15" customHeight="1">
      <c r="B54" s="2681" t="s">
        <v>632</v>
      </c>
      <c r="C54" s="2682"/>
      <c r="D54" s="2666" t="s">
        <v>754</v>
      </c>
      <c r="E54" s="490"/>
      <c r="F54" s="490"/>
      <c r="G54" s="490"/>
      <c r="H54" s="490"/>
      <c r="I54" s="490"/>
      <c r="J54" s="490"/>
      <c r="K54" s="490"/>
      <c r="L54" s="490"/>
      <c r="M54" s="490"/>
      <c r="N54" s="490"/>
      <c r="O54" s="490"/>
      <c r="P54" s="490"/>
      <c r="Q54" s="490"/>
      <c r="R54" s="490"/>
      <c r="S54" s="490"/>
      <c r="T54" s="490"/>
      <c r="U54" s="490"/>
      <c r="V54" s="490"/>
      <c r="W54" s="490"/>
      <c r="X54" s="490"/>
      <c r="Y54" s="490"/>
      <c r="Z54" s="490"/>
      <c r="AA54" s="490"/>
      <c r="AB54" s="490"/>
      <c r="AC54" s="490"/>
      <c r="AD54" s="490"/>
      <c r="AE54" s="490"/>
      <c r="AF54" s="490"/>
      <c r="AG54" s="490"/>
      <c r="AH54" s="490"/>
      <c r="AI54" s="490"/>
      <c r="AJ54" s="490"/>
      <c r="AK54" s="490"/>
      <c r="AL54" s="490"/>
      <c r="AM54" s="490"/>
      <c r="AN54" s="490"/>
      <c r="AO54" s="490"/>
      <c r="AP54" s="490"/>
      <c r="AQ54" s="491"/>
      <c r="AR54" s="491"/>
      <c r="AS54" s="491"/>
      <c r="AT54" s="491"/>
      <c r="AU54" s="491"/>
      <c r="AV54" s="491"/>
      <c r="AW54" s="491"/>
      <c r="AX54" s="491"/>
      <c r="AY54" s="491"/>
      <c r="AZ54" s="491"/>
      <c r="BA54" s="491"/>
      <c r="BB54" s="491"/>
      <c r="BC54" s="491"/>
      <c r="BD54" s="491"/>
      <c r="BE54" s="491"/>
      <c r="BF54" s="494"/>
      <c r="BG54" s="494"/>
      <c r="BH54" s="494"/>
      <c r="BI54" s="494"/>
      <c r="BJ54" s="494"/>
      <c r="BK54" s="494"/>
      <c r="BL54" s="494"/>
      <c r="BM54" s="494"/>
      <c r="BN54" s="2633">
        <f>'GENERAL INFO'!L130</f>
        <v>0</v>
      </c>
      <c r="BO54" s="2634"/>
      <c r="BP54" s="2634"/>
      <c r="BQ54" s="2634"/>
      <c r="BR54" s="2634"/>
      <c r="BS54" s="2634"/>
      <c r="BT54" s="2634"/>
      <c r="BU54" s="2634"/>
      <c r="BV54" s="2634"/>
      <c r="BW54" s="2634"/>
      <c r="BX54" s="2634"/>
      <c r="BY54" s="2634"/>
      <c r="BZ54" s="2634"/>
      <c r="CA54" s="2634"/>
      <c r="CB54" s="2634"/>
      <c r="CC54" s="2634"/>
      <c r="CD54" s="612"/>
      <c r="CE54" s="450"/>
      <c r="CF54" s="450"/>
    </row>
    <row r="55" spans="2:84" s="449" customFormat="1" ht="20.15" customHeight="1">
      <c r="B55" s="2681" t="s">
        <v>633</v>
      </c>
      <c r="C55" s="2682"/>
      <c r="D55" s="2666" t="s">
        <v>753</v>
      </c>
      <c r="E55" s="490"/>
      <c r="F55" s="490"/>
      <c r="G55" s="490"/>
      <c r="H55" s="490"/>
      <c r="I55" s="490"/>
      <c r="J55" s="490"/>
      <c r="K55" s="490"/>
      <c r="L55" s="490"/>
      <c r="M55" s="490"/>
      <c r="N55" s="490"/>
      <c r="O55" s="490"/>
      <c r="P55" s="490"/>
      <c r="Q55" s="490"/>
      <c r="R55" s="490"/>
      <c r="S55" s="490"/>
      <c r="T55" s="490"/>
      <c r="U55" s="490"/>
      <c r="V55" s="490"/>
      <c r="W55" s="490"/>
      <c r="X55" s="490"/>
      <c r="Y55" s="490"/>
      <c r="Z55" s="490"/>
      <c r="AA55" s="490"/>
      <c r="AB55" s="490"/>
      <c r="AC55" s="490"/>
      <c r="AD55" s="490"/>
      <c r="AE55" s="490"/>
      <c r="AF55" s="490"/>
      <c r="AG55" s="490"/>
      <c r="AH55" s="490"/>
      <c r="AI55" s="490"/>
      <c r="AJ55" s="490"/>
      <c r="AK55" s="490"/>
      <c r="AL55" s="490"/>
      <c r="AM55" s="490"/>
      <c r="AN55" s="490"/>
      <c r="AO55" s="490"/>
      <c r="AP55" s="490"/>
      <c r="AQ55" s="490"/>
      <c r="AR55" s="490"/>
      <c r="AS55" s="490"/>
      <c r="AT55" s="490"/>
      <c r="AU55" s="490"/>
      <c r="AV55" s="490"/>
      <c r="AW55" s="490"/>
      <c r="AX55" s="490"/>
      <c r="AY55" s="490"/>
      <c r="AZ55" s="490"/>
      <c r="BA55" s="490"/>
      <c r="BB55" s="490"/>
      <c r="BC55" s="490"/>
      <c r="BD55" s="490"/>
      <c r="BE55" s="490"/>
      <c r="BF55" s="493"/>
      <c r="BG55" s="493"/>
      <c r="BH55" s="493"/>
      <c r="BI55" s="493"/>
      <c r="BJ55" s="493"/>
      <c r="BK55" s="493"/>
      <c r="BL55" s="493"/>
      <c r="BM55" s="493"/>
      <c r="BN55" s="2633">
        <f>'GENERAL INFO'!L131</f>
        <v>0</v>
      </c>
      <c r="BO55" s="2634"/>
      <c r="BP55" s="2634"/>
      <c r="BQ55" s="2634"/>
      <c r="BR55" s="2634"/>
      <c r="BS55" s="2634"/>
      <c r="BT55" s="2634"/>
      <c r="BU55" s="2634"/>
      <c r="BV55" s="2634"/>
      <c r="BW55" s="2634"/>
      <c r="BX55" s="2634"/>
      <c r="BY55" s="2634"/>
      <c r="BZ55" s="2634"/>
      <c r="CA55" s="2634"/>
      <c r="CB55" s="2634"/>
      <c r="CC55" s="2634"/>
      <c r="CD55" s="612"/>
      <c r="CE55" s="450"/>
      <c r="CF55" s="450"/>
    </row>
    <row r="56" spans="2:84" s="449" customFormat="1" ht="20.15" customHeight="1">
      <c r="B56" s="2688" t="s">
        <v>752</v>
      </c>
      <c r="C56" s="2689"/>
      <c r="D56" s="2689"/>
      <c r="E56" s="2689"/>
      <c r="F56" s="2689"/>
      <c r="G56" s="2689"/>
      <c r="H56" s="2689"/>
      <c r="I56" s="2689"/>
      <c r="J56" s="2689"/>
      <c r="K56" s="2689"/>
      <c r="L56" s="2689"/>
      <c r="M56" s="2689"/>
      <c r="N56" s="2689"/>
      <c r="O56" s="2689"/>
      <c r="P56" s="2689"/>
      <c r="Q56" s="2689"/>
      <c r="R56" s="2689"/>
      <c r="S56" s="2689"/>
      <c r="T56" s="2689"/>
      <c r="U56" s="2689"/>
      <c r="V56" s="2689"/>
      <c r="W56" s="2689"/>
      <c r="X56" s="492"/>
      <c r="Y56" s="492"/>
      <c r="Z56" s="492"/>
      <c r="AA56" s="492"/>
      <c r="AB56" s="492"/>
      <c r="AC56" s="492"/>
      <c r="AD56" s="492"/>
      <c r="AE56" s="492"/>
      <c r="AF56" s="492"/>
      <c r="AG56" s="492"/>
      <c r="AH56" s="492"/>
      <c r="AI56" s="492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  <c r="BA56" s="492"/>
      <c r="BB56" s="492"/>
      <c r="BC56" s="492"/>
      <c r="BD56" s="492"/>
      <c r="BE56" s="492"/>
      <c r="BF56" s="492"/>
      <c r="BG56" s="492"/>
      <c r="BH56" s="492"/>
      <c r="BI56" s="492"/>
      <c r="BJ56" s="492"/>
      <c r="BK56" s="492"/>
      <c r="BL56" s="492"/>
      <c r="BM56" s="492"/>
      <c r="BN56" s="2645"/>
      <c r="BO56" s="2646"/>
      <c r="BP56" s="2646"/>
      <c r="BQ56" s="2646"/>
      <c r="BR56" s="2646"/>
      <c r="BS56" s="2646"/>
      <c r="BT56" s="2646"/>
      <c r="BU56" s="2646"/>
      <c r="BV56" s="2646"/>
      <c r="BW56" s="2646"/>
      <c r="BX56" s="2646"/>
      <c r="BY56" s="2646"/>
      <c r="BZ56" s="2646"/>
      <c r="CA56" s="2646"/>
      <c r="CB56" s="2646"/>
      <c r="CC56" s="2646"/>
      <c r="CD56" s="2647"/>
      <c r="CE56" s="450"/>
      <c r="CF56" s="450"/>
    </row>
    <row r="57" spans="2:84" s="449" customFormat="1" ht="20.15" customHeight="1">
      <c r="B57" s="2681" t="s">
        <v>634</v>
      </c>
      <c r="C57" s="2682"/>
      <c r="D57" s="2666" t="s">
        <v>751</v>
      </c>
      <c r="E57" s="490"/>
      <c r="F57" s="490"/>
      <c r="G57" s="490"/>
      <c r="H57" s="490"/>
      <c r="I57" s="490"/>
      <c r="J57" s="490"/>
      <c r="K57" s="490"/>
      <c r="L57" s="490"/>
      <c r="M57" s="490"/>
      <c r="N57" s="490"/>
      <c r="O57" s="490"/>
      <c r="P57" s="490"/>
      <c r="Q57" s="490"/>
      <c r="R57" s="490"/>
      <c r="S57" s="490"/>
      <c r="T57" s="490"/>
      <c r="U57" s="490"/>
      <c r="V57" s="490"/>
      <c r="W57" s="490"/>
      <c r="X57" s="490"/>
      <c r="Y57" s="490"/>
      <c r="Z57" s="490"/>
      <c r="AA57" s="490"/>
      <c r="AB57" s="490"/>
      <c r="AC57" s="490"/>
      <c r="AD57" s="490"/>
      <c r="AE57" s="490"/>
      <c r="AF57" s="490"/>
      <c r="AG57" s="490"/>
      <c r="AH57" s="490"/>
      <c r="AI57" s="490"/>
      <c r="AJ57" s="490"/>
      <c r="AK57" s="490"/>
      <c r="AL57" s="490"/>
      <c r="AM57" s="490"/>
      <c r="AN57" s="490"/>
      <c r="AO57" s="490"/>
      <c r="AP57" s="490"/>
      <c r="AQ57" s="490"/>
      <c r="AR57" s="490"/>
      <c r="AS57" s="490"/>
      <c r="AT57" s="490"/>
      <c r="AU57" s="490"/>
      <c r="AV57" s="490"/>
      <c r="AW57" s="490"/>
      <c r="AX57" s="490"/>
      <c r="AY57" s="490"/>
      <c r="AZ57" s="490"/>
      <c r="BA57" s="490"/>
      <c r="BB57" s="490"/>
      <c r="BC57" s="490"/>
      <c r="BD57" s="490"/>
      <c r="BE57" s="490"/>
      <c r="BF57" s="491"/>
      <c r="BG57" s="491"/>
      <c r="BH57" s="491"/>
      <c r="BI57" s="491"/>
      <c r="BJ57" s="491"/>
      <c r="BK57" s="491"/>
      <c r="BL57" s="491"/>
      <c r="BM57" s="491"/>
      <c r="BN57" s="2649">
        <f>'GENERAL INFO'!L133</f>
        <v>0</v>
      </c>
      <c r="BO57" s="2650"/>
      <c r="BP57" s="2650"/>
      <c r="BQ57" s="2650"/>
      <c r="BR57" s="2650"/>
      <c r="BS57" s="2650"/>
      <c r="BT57" s="2650"/>
      <c r="BU57" s="2650"/>
      <c r="BV57" s="2650"/>
      <c r="BW57" s="2650"/>
      <c r="BX57" s="2650"/>
      <c r="BY57" s="2650"/>
      <c r="BZ57" s="2650"/>
      <c r="CA57" s="2650"/>
      <c r="CB57" s="2650"/>
      <c r="CC57" s="2650"/>
      <c r="CD57" s="611"/>
      <c r="CE57" s="450"/>
      <c r="CF57" s="450"/>
    </row>
    <row r="58" spans="2:84" s="449" customFormat="1" ht="20.15" customHeight="1">
      <c r="B58" s="2681" t="s">
        <v>635</v>
      </c>
      <c r="C58" s="2682"/>
      <c r="D58" s="2666" t="s">
        <v>750</v>
      </c>
      <c r="E58" s="490"/>
      <c r="F58" s="490"/>
      <c r="G58" s="490"/>
      <c r="H58" s="490"/>
      <c r="I58" s="490"/>
      <c r="J58" s="490"/>
      <c r="K58" s="490"/>
      <c r="L58" s="490"/>
      <c r="M58" s="490"/>
      <c r="N58" s="490"/>
      <c r="O58" s="490"/>
      <c r="P58" s="490"/>
      <c r="Q58" s="490"/>
      <c r="R58" s="490"/>
      <c r="S58" s="490"/>
      <c r="T58" s="490"/>
      <c r="U58" s="490"/>
      <c r="V58" s="490"/>
      <c r="W58" s="490"/>
      <c r="X58" s="490"/>
      <c r="Y58" s="490"/>
      <c r="Z58" s="490"/>
      <c r="AA58" s="490"/>
      <c r="AB58" s="490"/>
      <c r="AC58" s="490"/>
      <c r="AD58" s="490"/>
      <c r="AE58" s="490"/>
      <c r="AF58" s="490"/>
      <c r="AG58" s="490"/>
      <c r="AH58" s="490"/>
      <c r="AI58" s="490"/>
      <c r="AJ58" s="490"/>
      <c r="AK58" s="490"/>
      <c r="AL58" s="490"/>
      <c r="AM58" s="490"/>
      <c r="AN58" s="490"/>
      <c r="AO58" s="490"/>
      <c r="AP58" s="490"/>
      <c r="AQ58" s="490"/>
      <c r="AR58" s="490"/>
      <c r="AS58" s="490"/>
      <c r="AT58" s="490"/>
      <c r="AU58" s="490"/>
      <c r="AV58" s="490"/>
      <c r="AW58" s="490"/>
      <c r="AX58" s="490"/>
      <c r="AY58" s="490"/>
      <c r="AZ58" s="490"/>
      <c r="BA58" s="490"/>
      <c r="BB58" s="490"/>
      <c r="BC58" s="490"/>
      <c r="BD58" s="490"/>
      <c r="BE58" s="490"/>
      <c r="BF58" s="490"/>
      <c r="BG58" s="491"/>
      <c r="BH58" s="491"/>
      <c r="BI58" s="491"/>
      <c r="BJ58" s="491"/>
      <c r="BK58" s="491"/>
      <c r="BL58" s="491"/>
      <c r="BM58" s="491"/>
      <c r="BN58" s="2649">
        <f>'GENERAL INFO'!L136</f>
        <v>0</v>
      </c>
      <c r="BO58" s="2650"/>
      <c r="BP58" s="2650"/>
      <c r="BQ58" s="2650"/>
      <c r="BR58" s="2650"/>
      <c r="BS58" s="2650"/>
      <c r="BT58" s="2650"/>
      <c r="BU58" s="2650"/>
      <c r="BV58" s="2650"/>
      <c r="BW58" s="2650"/>
      <c r="BX58" s="2650"/>
      <c r="BY58" s="2650"/>
      <c r="BZ58" s="2650"/>
      <c r="CA58" s="2650"/>
      <c r="CB58" s="2650"/>
      <c r="CC58" s="2650"/>
      <c r="CD58" s="611"/>
      <c r="CE58" s="450"/>
      <c r="CF58" s="450"/>
    </row>
    <row r="59" spans="2:84" s="449" customFormat="1" ht="20.15" customHeight="1">
      <c r="B59" s="2681" t="s">
        <v>636</v>
      </c>
      <c r="C59" s="2682"/>
      <c r="D59" s="2666" t="s">
        <v>749</v>
      </c>
      <c r="E59" s="490"/>
      <c r="F59" s="490"/>
      <c r="G59" s="490"/>
      <c r="H59" s="490"/>
      <c r="I59" s="490"/>
      <c r="J59" s="490"/>
      <c r="K59" s="490"/>
      <c r="L59" s="490"/>
      <c r="M59" s="490"/>
      <c r="N59" s="490"/>
      <c r="O59" s="490"/>
      <c r="P59" s="490"/>
      <c r="Q59" s="490"/>
      <c r="R59" s="490"/>
      <c r="S59" s="490"/>
      <c r="T59" s="490"/>
      <c r="U59" s="490"/>
      <c r="V59" s="490"/>
      <c r="W59" s="490"/>
      <c r="X59" s="490"/>
      <c r="Y59" s="490"/>
      <c r="Z59" s="490"/>
      <c r="AA59" s="490"/>
      <c r="AB59" s="490"/>
      <c r="AC59" s="490"/>
      <c r="AD59" s="490"/>
      <c r="AE59" s="490"/>
      <c r="AF59" s="490"/>
      <c r="AG59" s="490"/>
      <c r="AH59" s="490"/>
      <c r="AI59" s="490"/>
      <c r="AJ59" s="490"/>
      <c r="AK59" s="490"/>
      <c r="AL59" s="490"/>
      <c r="AM59" s="490"/>
      <c r="AN59" s="490"/>
      <c r="AO59" s="490"/>
      <c r="AP59" s="490"/>
      <c r="AQ59" s="490"/>
      <c r="AR59" s="490"/>
      <c r="AS59" s="490"/>
      <c r="AT59" s="490"/>
      <c r="AU59" s="490"/>
      <c r="AV59" s="490"/>
      <c r="AW59" s="490"/>
      <c r="AX59" s="490"/>
      <c r="AY59" s="490"/>
      <c r="AZ59" s="490"/>
      <c r="BA59" s="490"/>
      <c r="BB59" s="490"/>
      <c r="BC59" s="490"/>
      <c r="BD59" s="490"/>
      <c r="BE59" s="490"/>
      <c r="BF59" s="490"/>
      <c r="BG59" s="490"/>
      <c r="BH59" s="490"/>
      <c r="BI59" s="490"/>
      <c r="BJ59" s="490"/>
      <c r="BK59" s="490"/>
      <c r="BL59" s="490"/>
      <c r="BM59" s="2667"/>
      <c r="BN59" s="2649">
        <f>+'GENERAL INFO'!L141</f>
        <v>0</v>
      </c>
      <c r="BO59" s="2650"/>
      <c r="BP59" s="2650"/>
      <c r="BQ59" s="2650"/>
      <c r="BR59" s="2650"/>
      <c r="BS59" s="2650"/>
      <c r="BT59" s="2650"/>
      <c r="BU59" s="2650"/>
      <c r="BV59" s="2650"/>
      <c r="BW59" s="2650"/>
      <c r="BX59" s="2650"/>
      <c r="BY59" s="2650"/>
      <c r="BZ59" s="2650"/>
      <c r="CA59" s="2650"/>
      <c r="CB59" s="2650"/>
      <c r="CC59" s="2650"/>
      <c r="CD59" s="611"/>
      <c r="CE59" s="450"/>
      <c r="CF59" s="450"/>
    </row>
    <row r="60" spans="2:84" s="449" customFormat="1" ht="20.15" customHeight="1">
      <c r="B60" s="2681" t="s">
        <v>637</v>
      </c>
      <c r="C60" s="2682"/>
      <c r="D60" s="2656" t="s">
        <v>748</v>
      </c>
      <c r="E60" s="2657"/>
      <c r="F60" s="2657"/>
      <c r="G60" s="2657"/>
      <c r="H60" s="2657"/>
      <c r="I60" s="2657"/>
      <c r="J60" s="2657"/>
      <c r="K60" s="2657"/>
      <c r="L60" s="2657"/>
      <c r="M60" s="2657"/>
      <c r="N60" s="2657"/>
      <c r="O60" s="2657"/>
      <c r="P60" s="2657"/>
      <c r="Q60" s="2657"/>
      <c r="R60" s="2657"/>
      <c r="S60" s="2657"/>
      <c r="T60" s="2657"/>
      <c r="U60" s="2657"/>
      <c r="V60" s="2657"/>
      <c r="W60" s="2657"/>
      <c r="X60" s="2657"/>
      <c r="Y60" s="2657"/>
      <c r="Z60" s="2657"/>
      <c r="AA60" s="2657"/>
      <c r="AB60" s="2657"/>
      <c r="AC60" s="2657"/>
      <c r="AD60" s="2657"/>
      <c r="AE60" s="2657"/>
      <c r="AF60" s="2657"/>
      <c r="AG60" s="2657"/>
      <c r="AH60" s="2657"/>
      <c r="AI60" s="2657"/>
      <c r="AJ60" s="2657"/>
      <c r="AK60" s="2657"/>
      <c r="AL60" s="2657"/>
      <c r="AM60" s="2657"/>
      <c r="AN60" s="2657"/>
      <c r="AO60" s="2657"/>
      <c r="AP60" s="2657"/>
      <c r="AQ60" s="2657"/>
      <c r="AR60" s="2657"/>
      <c r="AS60" s="2657"/>
      <c r="AT60" s="2657"/>
      <c r="AU60" s="2657"/>
      <c r="AV60" s="2657"/>
      <c r="AW60" s="2657"/>
      <c r="AX60" s="2657"/>
      <c r="AY60" s="2657"/>
      <c r="AZ60" s="2657"/>
      <c r="BA60" s="2657"/>
      <c r="BB60" s="2657"/>
      <c r="BC60" s="2657"/>
      <c r="BD60" s="2657"/>
      <c r="BE60" s="2657"/>
      <c r="BF60" s="2657"/>
      <c r="BG60" s="2657"/>
      <c r="BH60" s="2657"/>
      <c r="BI60" s="2657"/>
      <c r="BJ60" s="2657"/>
      <c r="BK60" s="2657"/>
      <c r="BL60" s="2657"/>
      <c r="BM60" s="2658"/>
      <c r="BN60" s="2649">
        <f>personalreliefs</f>
        <v>0</v>
      </c>
      <c r="BO60" s="2650"/>
      <c r="BP60" s="2650"/>
      <c r="BQ60" s="2650"/>
      <c r="BR60" s="2650"/>
      <c r="BS60" s="2650"/>
      <c r="BT60" s="2650"/>
      <c r="BU60" s="2650"/>
      <c r="BV60" s="2650"/>
      <c r="BW60" s="2650"/>
      <c r="BX60" s="2650"/>
      <c r="BY60" s="2650"/>
      <c r="BZ60" s="2650"/>
      <c r="CA60" s="2650"/>
      <c r="CB60" s="2650"/>
      <c r="CC60" s="2650"/>
      <c r="CD60" s="613"/>
      <c r="CE60" s="450"/>
      <c r="CF60" s="450"/>
    </row>
    <row r="61" spans="2:84" s="449" customFormat="1" ht="20.15" customHeight="1">
      <c r="B61" s="2681" t="s">
        <v>638</v>
      </c>
      <c r="C61" s="2682"/>
      <c r="D61" s="2666" t="s">
        <v>747</v>
      </c>
      <c r="E61" s="490"/>
      <c r="F61" s="490"/>
      <c r="G61" s="490"/>
      <c r="H61" s="490"/>
      <c r="I61" s="490"/>
      <c r="J61" s="490"/>
      <c r="K61" s="490"/>
      <c r="L61" s="490"/>
      <c r="M61" s="490"/>
      <c r="N61" s="490"/>
      <c r="O61" s="490"/>
      <c r="P61" s="490"/>
      <c r="Q61" s="490"/>
      <c r="R61" s="490"/>
      <c r="S61" s="490"/>
      <c r="T61" s="490"/>
      <c r="U61" s="490"/>
      <c r="V61" s="490"/>
      <c r="W61" s="490"/>
      <c r="X61" s="490"/>
      <c r="Y61" s="490"/>
      <c r="Z61" s="490"/>
      <c r="AA61" s="490"/>
      <c r="AB61" s="490"/>
      <c r="AC61" s="490"/>
      <c r="AD61" s="490"/>
      <c r="AE61" s="490"/>
      <c r="AF61" s="490"/>
      <c r="AG61" s="490"/>
      <c r="AH61" s="490"/>
      <c r="AI61" s="490"/>
      <c r="AJ61" s="490"/>
      <c r="AK61" s="490"/>
      <c r="AL61" s="490"/>
      <c r="AM61" s="490"/>
      <c r="AN61" s="490"/>
      <c r="AO61" s="490"/>
      <c r="AP61" s="490"/>
      <c r="AQ61" s="490"/>
      <c r="AR61" s="490"/>
      <c r="AS61" s="490"/>
      <c r="AT61" s="490"/>
      <c r="AU61" s="490"/>
      <c r="AV61" s="490"/>
      <c r="AW61" s="490"/>
      <c r="AX61" s="490"/>
      <c r="AY61" s="490"/>
      <c r="AZ61" s="490"/>
      <c r="BA61" s="490"/>
      <c r="BB61" s="490"/>
      <c r="BC61" s="490"/>
      <c r="BD61" s="490"/>
      <c r="BE61" s="490"/>
      <c r="BF61" s="490"/>
      <c r="BG61" s="490"/>
      <c r="BH61" s="490"/>
      <c r="BI61" s="490"/>
      <c r="BJ61" s="490"/>
      <c r="BK61" s="490"/>
      <c r="BL61" s="490"/>
      <c r="BM61" s="490"/>
      <c r="BN61" s="2649">
        <f>BN59-BN60</f>
        <v>0</v>
      </c>
      <c r="BO61" s="2650"/>
      <c r="BP61" s="2650"/>
      <c r="BQ61" s="2650"/>
      <c r="BR61" s="2650"/>
      <c r="BS61" s="2650"/>
      <c r="BT61" s="2650"/>
      <c r="BU61" s="2650"/>
      <c r="BV61" s="2650"/>
      <c r="BW61" s="2650"/>
      <c r="BX61" s="2650"/>
      <c r="BY61" s="2650"/>
      <c r="BZ61" s="2650"/>
      <c r="CA61" s="2650"/>
      <c r="CB61" s="2650"/>
      <c r="CC61" s="2650"/>
      <c r="CD61" s="613"/>
      <c r="CE61" s="450"/>
      <c r="CF61" s="450"/>
    </row>
    <row r="62" spans="2:84" s="449" customFormat="1" ht="20.15" customHeight="1">
      <c r="B62" s="2681" t="s">
        <v>639</v>
      </c>
      <c r="C62" s="2682"/>
      <c r="D62" s="2666" t="s">
        <v>746</v>
      </c>
      <c r="E62" s="490"/>
      <c r="F62" s="490"/>
      <c r="G62" s="490"/>
      <c r="H62" s="490"/>
      <c r="I62" s="490"/>
      <c r="J62" s="490"/>
      <c r="K62" s="490"/>
      <c r="L62" s="490"/>
      <c r="M62" s="490"/>
      <c r="N62" s="490"/>
      <c r="O62" s="490"/>
      <c r="P62" s="490"/>
      <c r="Q62" s="490"/>
      <c r="R62" s="490"/>
      <c r="S62" s="490"/>
      <c r="T62" s="490"/>
      <c r="U62" s="490"/>
      <c r="V62" s="490"/>
      <c r="W62" s="490"/>
      <c r="X62" s="490"/>
      <c r="Y62" s="490"/>
      <c r="Z62" s="490"/>
      <c r="AA62" s="490"/>
      <c r="AB62" s="490"/>
      <c r="AC62" s="490"/>
      <c r="AD62" s="490"/>
      <c r="AE62" s="490"/>
      <c r="AF62" s="490"/>
      <c r="AG62" s="490"/>
      <c r="AH62" s="490"/>
      <c r="AI62" s="490"/>
      <c r="AJ62" s="490"/>
      <c r="AK62" s="490"/>
      <c r="AL62" s="490"/>
      <c r="AM62" s="490"/>
      <c r="AN62" s="490"/>
      <c r="AO62" s="490"/>
      <c r="AP62" s="490"/>
      <c r="AQ62" s="490"/>
      <c r="AR62" s="490"/>
      <c r="AS62" s="490"/>
      <c r="AT62" s="490"/>
      <c r="AU62" s="490"/>
      <c r="AV62" s="490"/>
      <c r="AW62" s="490"/>
      <c r="AX62" s="490"/>
      <c r="AY62" s="490"/>
      <c r="AZ62" s="490"/>
      <c r="BA62" s="490"/>
      <c r="BB62" s="490"/>
      <c r="BC62" s="490"/>
      <c r="BD62" s="490"/>
      <c r="BE62" s="490"/>
      <c r="BF62" s="490"/>
      <c r="BG62" s="490"/>
      <c r="BH62" s="490"/>
      <c r="BI62" s="490"/>
      <c r="BJ62" s="490"/>
      <c r="BK62" s="490"/>
      <c r="BL62" s="489"/>
      <c r="BM62" s="489"/>
      <c r="BN62" s="2649">
        <f>+'GENERAL INFO'!L145</f>
        <v>0</v>
      </c>
      <c r="BO62" s="2650"/>
      <c r="BP62" s="2650"/>
      <c r="BQ62" s="2650"/>
      <c r="BR62" s="2650"/>
      <c r="BS62" s="2650"/>
      <c r="BT62" s="2650"/>
      <c r="BU62" s="2650"/>
      <c r="BV62" s="2650"/>
      <c r="BW62" s="2650"/>
      <c r="BX62" s="2650"/>
      <c r="BY62" s="2650"/>
      <c r="BZ62" s="2650"/>
      <c r="CA62" s="2650"/>
      <c r="CB62" s="2650"/>
      <c r="CC62" s="2650"/>
      <c r="CD62" s="613"/>
      <c r="CE62" s="450"/>
      <c r="CF62" s="450"/>
    </row>
    <row r="63" spans="2:84" s="449" customFormat="1" ht="20.15" customHeight="1">
      <c r="B63" s="2681" t="s">
        <v>640</v>
      </c>
      <c r="C63" s="2682"/>
      <c r="D63" s="2666" t="s">
        <v>745</v>
      </c>
      <c r="E63" s="490"/>
      <c r="F63" s="490"/>
      <c r="G63" s="490"/>
      <c r="H63" s="490"/>
      <c r="I63" s="490"/>
      <c r="J63" s="490"/>
      <c r="K63" s="490"/>
      <c r="L63" s="490"/>
      <c r="M63" s="490"/>
      <c r="N63" s="490"/>
      <c r="O63" s="490"/>
      <c r="P63" s="490"/>
      <c r="Q63" s="490"/>
      <c r="R63" s="490"/>
      <c r="S63" s="490"/>
      <c r="T63" s="490"/>
      <c r="U63" s="490"/>
      <c r="V63" s="490"/>
      <c r="W63" s="490"/>
      <c r="X63" s="490"/>
      <c r="Y63" s="490"/>
      <c r="Z63" s="490"/>
      <c r="AA63" s="490"/>
      <c r="AB63" s="490"/>
      <c r="AC63" s="490"/>
      <c r="AD63" s="490"/>
      <c r="AE63" s="490"/>
      <c r="AF63" s="490"/>
      <c r="AG63" s="490"/>
      <c r="AH63" s="490"/>
      <c r="AI63" s="490"/>
      <c r="AJ63" s="490"/>
      <c r="AK63" s="490"/>
      <c r="AL63" s="490"/>
      <c r="AM63" s="490"/>
      <c r="AN63" s="490"/>
      <c r="AO63" s="490"/>
      <c r="AP63" s="490"/>
      <c r="AQ63" s="490"/>
      <c r="AR63" s="490"/>
      <c r="AS63" s="490"/>
      <c r="AT63" s="490"/>
      <c r="AU63" s="490"/>
      <c r="AV63" s="490"/>
      <c r="AW63" s="490"/>
      <c r="AX63" s="490"/>
      <c r="AY63" s="490"/>
      <c r="AZ63" s="490"/>
      <c r="BA63" s="490"/>
      <c r="BB63" s="490"/>
      <c r="BC63" s="490"/>
      <c r="BD63" s="490"/>
      <c r="BE63" s="490"/>
      <c r="BF63" s="490"/>
      <c r="BG63" s="490"/>
      <c r="BH63" s="490"/>
      <c r="BI63" s="490"/>
      <c r="BJ63" s="490"/>
      <c r="BK63" s="490"/>
      <c r="BL63" s="489"/>
      <c r="BM63" s="489"/>
      <c r="BN63" s="2649">
        <f>'GENERAL INFO'!L137</f>
        <v>0</v>
      </c>
      <c r="BO63" s="2650"/>
      <c r="BP63" s="2650"/>
      <c r="BQ63" s="2650"/>
      <c r="BR63" s="2650"/>
      <c r="BS63" s="2650"/>
      <c r="BT63" s="2650"/>
      <c r="BU63" s="2650"/>
      <c r="BV63" s="2650"/>
      <c r="BW63" s="2650"/>
      <c r="BX63" s="2650"/>
      <c r="BY63" s="2650"/>
      <c r="BZ63" s="2650"/>
      <c r="CA63" s="2650"/>
      <c r="CB63" s="2650"/>
      <c r="CC63" s="2650"/>
      <c r="CD63" s="613"/>
      <c r="CE63" s="450"/>
      <c r="CF63" s="450"/>
    </row>
    <row r="64" spans="2:84" s="449" customFormat="1" ht="20.15" customHeight="1">
      <c r="B64" s="2681" t="s">
        <v>729</v>
      </c>
      <c r="C64" s="2682"/>
      <c r="D64" s="2666" t="s">
        <v>744</v>
      </c>
      <c r="E64" s="490"/>
      <c r="F64" s="490"/>
      <c r="G64" s="490"/>
      <c r="H64" s="490"/>
      <c r="I64" s="490"/>
      <c r="J64" s="490"/>
      <c r="K64" s="490"/>
      <c r="L64" s="490"/>
      <c r="M64" s="490"/>
      <c r="N64" s="490"/>
      <c r="O64" s="490"/>
      <c r="P64" s="490"/>
      <c r="Q64" s="490"/>
      <c r="R64" s="490"/>
      <c r="S64" s="490"/>
      <c r="T64" s="490"/>
      <c r="U64" s="490"/>
      <c r="V64" s="490"/>
      <c r="W64" s="490"/>
      <c r="X64" s="490"/>
      <c r="Y64" s="490"/>
      <c r="Z64" s="490"/>
      <c r="AA64" s="490"/>
      <c r="AB64" s="490"/>
      <c r="AC64" s="490"/>
      <c r="AD64" s="490"/>
      <c r="AE64" s="490"/>
      <c r="AF64" s="490"/>
      <c r="AG64" s="490"/>
      <c r="AH64" s="490"/>
      <c r="AI64" s="490"/>
      <c r="AJ64" s="490"/>
      <c r="AK64" s="490"/>
      <c r="AL64" s="490"/>
      <c r="AM64" s="490"/>
      <c r="AN64" s="490"/>
      <c r="AO64" s="490"/>
      <c r="AP64" s="490"/>
      <c r="AQ64" s="490"/>
      <c r="AR64" s="490"/>
      <c r="AS64" s="490"/>
      <c r="AT64" s="490"/>
      <c r="AU64" s="490"/>
      <c r="AV64" s="490"/>
      <c r="AW64" s="490"/>
      <c r="AX64" s="490"/>
      <c r="AY64" s="490"/>
      <c r="AZ64" s="490"/>
      <c r="BA64" s="490"/>
      <c r="BB64" s="490"/>
      <c r="BC64" s="490"/>
      <c r="BD64" s="490"/>
      <c r="BE64" s="490"/>
      <c r="BF64" s="490"/>
      <c r="BG64" s="490"/>
      <c r="BH64" s="490"/>
      <c r="BI64" s="490"/>
      <c r="BJ64" s="490"/>
      <c r="BK64" s="490"/>
      <c r="BL64" s="489"/>
      <c r="BM64" s="489"/>
      <c r="BN64" s="2649">
        <f>+'GENERAL INFO'!L147</f>
        <v>0</v>
      </c>
      <c r="BO64" s="2650"/>
      <c r="BP64" s="2650"/>
      <c r="BQ64" s="2650"/>
      <c r="BR64" s="2650"/>
      <c r="BS64" s="2650"/>
      <c r="BT64" s="2650"/>
      <c r="BU64" s="2650"/>
      <c r="BV64" s="2650"/>
      <c r="BW64" s="2650"/>
      <c r="BX64" s="2650"/>
      <c r="BY64" s="2650"/>
      <c r="BZ64" s="2650"/>
      <c r="CA64" s="2650"/>
      <c r="CB64" s="2650"/>
      <c r="CC64" s="2650"/>
      <c r="CD64" s="613"/>
      <c r="CE64" s="450"/>
      <c r="CF64" s="450"/>
    </row>
    <row r="65" spans="2:84" s="449" customFormat="1" ht="20.15" customHeight="1">
      <c r="B65" s="2681" t="s">
        <v>730</v>
      </c>
      <c r="C65" s="2682"/>
      <c r="D65" s="2666" t="s">
        <v>743</v>
      </c>
      <c r="E65" s="490"/>
      <c r="F65" s="490"/>
      <c r="G65" s="490"/>
      <c r="H65" s="490"/>
      <c r="I65" s="490"/>
      <c r="J65" s="490"/>
      <c r="K65" s="490"/>
      <c r="L65" s="490"/>
      <c r="M65" s="490"/>
      <c r="N65" s="490"/>
      <c r="O65" s="490"/>
      <c r="P65" s="490"/>
      <c r="Q65" s="490"/>
      <c r="R65" s="490"/>
      <c r="S65" s="490"/>
      <c r="T65" s="490"/>
      <c r="U65" s="490"/>
      <c r="V65" s="490"/>
      <c r="W65" s="490"/>
      <c r="X65" s="490"/>
      <c r="Y65" s="490"/>
      <c r="Z65" s="490"/>
      <c r="AA65" s="490"/>
      <c r="AB65" s="490"/>
      <c r="AC65" s="490"/>
      <c r="AD65" s="490"/>
      <c r="AE65" s="490"/>
      <c r="AF65" s="490"/>
      <c r="AG65" s="490"/>
      <c r="AH65" s="490"/>
      <c r="AI65" s="490"/>
      <c r="AJ65" s="490"/>
      <c r="AK65" s="490"/>
      <c r="AL65" s="490"/>
      <c r="AM65" s="490"/>
      <c r="AN65" s="490"/>
      <c r="AO65" s="490"/>
      <c r="AP65" s="490"/>
      <c r="AQ65" s="490"/>
      <c r="AR65" s="490"/>
      <c r="AS65" s="490"/>
      <c r="AT65" s="490"/>
      <c r="AU65" s="490"/>
      <c r="AV65" s="490"/>
      <c r="AW65" s="490"/>
      <c r="AX65" s="490"/>
      <c r="AY65" s="490"/>
      <c r="AZ65" s="490"/>
      <c r="BA65" s="490"/>
      <c r="BB65" s="490"/>
      <c r="BC65" s="490"/>
      <c r="BD65" s="490"/>
      <c r="BE65" s="490"/>
      <c r="BF65" s="490"/>
      <c r="BG65" s="490"/>
      <c r="BH65" s="490"/>
      <c r="BI65" s="489"/>
      <c r="BJ65" s="489"/>
      <c r="BK65" s="489"/>
      <c r="BL65" s="489"/>
      <c r="BM65" s="488"/>
      <c r="BN65" s="2649">
        <f>BN64</f>
        <v>0</v>
      </c>
      <c r="BO65" s="2650"/>
      <c r="BP65" s="2650"/>
      <c r="BQ65" s="2650"/>
      <c r="BR65" s="2650"/>
      <c r="BS65" s="2650"/>
      <c r="BT65" s="2650"/>
      <c r="BU65" s="2650"/>
      <c r="BV65" s="2650"/>
      <c r="BW65" s="2650"/>
      <c r="BX65" s="2650"/>
      <c r="BY65" s="2650"/>
      <c r="BZ65" s="2650"/>
      <c r="CA65" s="2650"/>
      <c r="CB65" s="2650"/>
      <c r="CC65" s="2650"/>
      <c r="CD65" s="613"/>
      <c r="CE65" s="450"/>
      <c r="CF65" s="450"/>
    </row>
    <row r="66" spans="2:84" s="449" customFormat="1" ht="24" customHeight="1">
      <c r="B66" s="2683" t="s">
        <v>742</v>
      </c>
      <c r="C66" s="2683"/>
      <c r="D66" s="2683"/>
      <c r="E66" s="2683"/>
      <c r="F66" s="2683"/>
      <c r="G66" s="2683"/>
      <c r="H66" s="2683"/>
      <c r="I66" s="2683"/>
      <c r="J66" s="2683"/>
      <c r="K66" s="2683"/>
      <c r="L66" s="2683"/>
      <c r="M66" s="2683"/>
      <c r="N66" s="2683"/>
      <c r="O66" s="2683"/>
      <c r="P66" s="2683"/>
      <c r="Q66" s="2683"/>
      <c r="R66" s="2683"/>
      <c r="S66" s="2683"/>
      <c r="T66" s="2683"/>
      <c r="U66" s="2683"/>
      <c r="V66" s="2683"/>
      <c r="W66" s="2683"/>
      <c r="X66" s="2683"/>
      <c r="Y66" s="2683"/>
      <c r="Z66" s="2683"/>
      <c r="AA66" s="2683"/>
      <c r="AB66" s="2683"/>
      <c r="AC66" s="2683"/>
      <c r="AD66" s="2683"/>
      <c r="AE66" s="2683"/>
      <c r="AF66" s="2683"/>
      <c r="AG66" s="2683"/>
      <c r="AH66" s="487"/>
      <c r="AI66" s="487"/>
      <c r="AJ66" s="487"/>
      <c r="AK66" s="487"/>
      <c r="AL66" s="487"/>
      <c r="AM66" s="487"/>
      <c r="AN66" s="487"/>
      <c r="AO66" s="487"/>
      <c r="AP66" s="487"/>
      <c r="AQ66" s="487"/>
      <c r="AR66" s="487"/>
      <c r="AS66" s="487"/>
      <c r="AT66" s="487"/>
      <c r="AU66" s="487"/>
      <c r="AV66" s="487"/>
      <c r="AW66" s="487"/>
      <c r="AX66" s="487"/>
      <c r="AY66" s="487"/>
      <c r="AZ66" s="487"/>
      <c r="BA66" s="487"/>
      <c r="BB66" s="487"/>
      <c r="BC66" s="487"/>
      <c r="BD66" s="487"/>
      <c r="BE66" s="487"/>
      <c r="BF66" s="487"/>
      <c r="BG66" s="487"/>
      <c r="BH66" s="487"/>
      <c r="BI66" s="487"/>
      <c r="BJ66" s="487"/>
      <c r="BK66" s="487"/>
      <c r="BL66" s="487"/>
      <c r="BM66" s="487"/>
      <c r="BN66" s="487"/>
      <c r="BO66" s="487"/>
      <c r="BP66" s="487"/>
      <c r="BQ66" s="487"/>
      <c r="BR66" s="487"/>
      <c r="BS66" s="487"/>
      <c r="BT66" s="487"/>
      <c r="BU66" s="487"/>
      <c r="BV66" s="487"/>
      <c r="BW66" s="487"/>
      <c r="BX66" s="487"/>
      <c r="BY66" s="487"/>
      <c r="BZ66" s="487"/>
      <c r="CA66" s="487"/>
      <c r="CB66" s="487"/>
      <c r="CC66" s="487"/>
      <c r="CD66" s="487"/>
      <c r="CE66" s="450"/>
      <c r="CF66" s="450"/>
    </row>
    <row r="67" spans="2:84" s="449" customFormat="1" ht="4.5" customHeight="1" thickBot="1">
      <c r="B67" s="455"/>
      <c r="C67" s="455"/>
      <c r="D67" s="455"/>
      <c r="E67" s="454"/>
      <c r="F67" s="453"/>
      <c r="G67" s="452"/>
      <c r="H67" s="452"/>
      <c r="I67" s="452"/>
      <c r="J67" s="452"/>
      <c r="K67" s="451"/>
      <c r="L67" s="451"/>
      <c r="M67" s="451"/>
      <c r="N67" s="451"/>
      <c r="O67" s="451"/>
      <c r="P67" s="451"/>
      <c r="Q67" s="451"/>
      <c r="R67" s="451"/>
      <c r="S67" s="451"/>
      <c r="T67" s="451"/>
      <c r="U67" s="451"/>
      <c r="V67" s="451"/>
      <c r="W67" s="451"/>
      <c r="X67" s="451"/>
      <c r="Y67" s="451"/>
      <c r="Z67" s="451"/>
      <c r="AA67" s="451"/>
      <c r="AB67" s="451"/>
      <c r="AC67" s="451"/>
      <c r="AD67" s="451"/>
      <c r="AE67" s="451"/>
      <c r="AF67" s="451"/>
      <c r="AG67" s="451"/>
      <c r="AH67" s="451"/>
      <c r="AI67" s="451"/>
      <c r="AJ67" s="451"/>
      <c r="AK67" s="451"/>
      <c r="AL67" s="451"/>
      <c r="AM67" s="451"/>
      <c r="AN67" s="451"/>
      <c r="AO67" s="451"/>
      <c r="AP67" s="451"/>
      <c r="AQ67" s="451"/>
      <c r="AR67" s="451"/>
      <c r="AS67" s="451"/>
      <c r="AT67" s="451"/>
      <c r="AU67" s="451"/>
      <c r="AV67" s="451"/>
      <c r="AW67" s="451"/>
      <c r="AX67" s="451"/>
      <c r="AY67" s="451"/>
      <c r="AZ67" s="451"/>
      <c r="BA67" s="451"/>
      <c r="BB67" s="451"/>
      <c r="BC67" s="451"/>
      <c r="BD67" s="451"/>
      <c r="BE67" s="451"/>
      <c r="BF67" s="451"/>
      <c r="BG67" s="451"/>
      <c r="BH67" s="451"/>
      <c r="BI67" s="451"/>
      <c r="BJ67" s="451"/>
      <c r="BK67" s="451"/>
      <c r="BL67" s="451"/>
      <c r="BM67" s="451"/>
      <c r="BN67" s="451"/>
      <c r="BO67" s="451"/>
      <c r="BP67" s="451"/>
      <c r="BQ67" s="451"/>
      <c r="BR67" s="451"/>
      <c r="BS67" s="451"/>
      <c r="BT67" s="451"/>
      <c r="BU67" s="451"/>
      <c r="BV67" s="451"/>
      <c r="BW67" s="451"/>
      <c r="BX67" s="451"/>
      <c r="BY67" s="451"/>
      <c r="BZ67" s="451"/>
      <c r="CA67" s="451"/>
      <c r="CB67" s="451"/>
      <c r="CC67" s="451"/>
      <c r="CD67" s="451"/>
      <c r="CE67" s="450"/>
      <c r="CF67" s="450"/>
    </row>
    <row r="68" spans="2:84" s="449" customFormat="1" ht="10" customHeight="1">
      <c r="B68" s="486"/>
      <c r="C68" s="485"/>
      <c r="D68" s="485"/>
      <c r="E68" s="485"/>
      <c r="F68" s="485"/>
      <c r="G68" s="485"/>
      <c r="H68" s="485"/>
      <c r="I68" s="485"/>
      <c r="J68" s="485"/>
      <c r="K68" s="485"/>
      <c r="L68" s="485"/>
      <c r="M68" s="485"/>
      <c r="N68" s="485"/>
      <c r="O68" s="484"/>
      <c r="P68" s="484"/>
      <c r="Q68" s="484"/>
      <c r="R68" s="484"/>
      <c r="S68" s="484"/>
      <c r="T68" s="484"/>
      <c r="U68" s="484"/>
      <c r="V68" s="484"/>
      <c r="W68" s="484"/>
      <c r="X68" s="484"/>
      <c r="Y68" s="484"/>
      <c r="Z68" s="484"/>
      <c r="AA68" s="484"/>
      <c r="AB68" s="484"/>
      <c r="AC68" s="484"/>
      <c r="AD68" s="484"/>
      <c r="AE68" s="484"/>
      <c r="AF68" s="484"/>
      <c r="AG68" s="484"/>
      <c r="AH68" s="484"/>
      <c r="AI68" s="484"/>
      <c r="AJ68" s="484"/>
      <c r="AK68" s="484"/>
      <c r="AL68" s="484"/>
      <c r="AM68" s="484"/>
      <c r="AN68" s="484"/>
      <c r="AO68" s="484"/>
      <c r="AP68" s="483"/>
      <c r="AQ68" s="483"/>
      <c r="AR68" s="483"/>
      <c r="AS68" s="483"/>
      <c r="AT68" s="483"/>
      <c r="AU68" s="483"/>
      <c r="AV68" s="483"/>
      <c r="AW68" s="483"/>
      <c r="AX68" s="483"/>
      <c r="AY68" s="483"/>
      <c r="AZ68" s="483"/>
      <c r="BA68" s="483"/>
      <c r="BB68" s="483"/>
      <c r="BC68" s="483"/>
      <c r="BD68" s="483"/>
      <c r="BE68" s="483"/>
      <c r="BF68" s="483"/>
      <c r="BG68" s="483"/>
      <c r="BH68" s="483"/>
      <c r="BI68" s="483"/>
      <c r="BJ68" s="483"/>
      <c r="BK68" s="483"/>
      <c r="BL68" s="483"/>
      <c r="BM68" s="483"/>
      <c r="BN68" s="483"/>
      <c r="BO68" s="483"/>
      <c r="BP68" s="483"/>
      <c r="BQ68" s="483"/>
      <c r="BR68" s="483"/>
      <c r="BS68" s="483"/>
      <c r="BT68" s="483"/>
      <c r="BU68" s="483"/>
      <c r="BV68" s="483"/>
      <c r="BW68" s="483"/>
      <c r="BX68" s="483"/>
      <c r="BY68" s="483"/>
      <c r="BZ68" s="483"/>
      <c r="CA68" s="483"/>
      <c r="CB68" s="483"/>
      <c r="CC68" s="483"/>
      <c r="CD68" s="482"/>
      <c r="CE68" s="450"/>
      <c r="CF68" s="450"/>
    </row>
    <row r="69" spans="2:84" s="449" customFormat="1" ht="13.5" customHeight="1">
      <c r="B69" s="471" t="s">
        <v>621</v>
      </c>
      <c r="C69" s="470"/>
      <c r="D69" s="2700" t="s">
        <v>741</v>
      </c>
      <c r="E69" s="2700"/>
      <c r="F69" s="2700"/>
      <c r="G69" s="2700"/>
      <c r="H69" s="481" t="s">
        <v>26</v>
      </c>
      <c r="I69" s="467" t="s">
        <v>740</v>
      </c>
      <c r="J69" s="467"/>
      <c r="K69" s="467"/>
      <c r="L69" s="2641" t="s">
        <v>30</v>
      </c>
      <c r="M69" s="2641"/>
      <c r="N69" s="2641"/>
      <c r="O69" s="2641"/>
      <c r="P69" s="2641"/>
      <c r="Q69" s="2641"/>
      <c r="R69" s="2641"/>
      <c r="S69" s="2641"/>
      <c r="T69" s="2641"/>
      <c r="U69" s="2641"/>
      <c r="V69" s="2641"/>
      <c r="W69" s="2641"/>
      <c r="X69" s="2641"/>
      <c r="Y69" s="2641"/>
      <c r="Z69" s="2641"/>
      <c r="AA69" s="2641"/>
      <c r="AB69" s="2641"/>
      <c r="AC69" s="2641"/>
      <c r="AD69" s="2641"/>
      <c r="AE69" s="2641"/>
      <c r="AF69" s="2641"/>
      <c r="AG69" s="2641"/>
      <c r="AH69" s="2641"/>
      <c r="AI69" s="2641"/>
      <c r="AJ69" s="2641"/>
      <c r="AK69" s="2641"/>
      <c r="AL69" s="2641"/>
      <c r="AM69" s="2641"/>
      <c r="AN69" s="2641"/>
      <c r="AO69" s="2641"/>
      <c r="AP69" s="2641"/>
      <c r="AQ69" s="2641"/>
      <c r="AR69" s="2641"/>
      <c r="AS69" s="479"/>
      <c r="AT69" s="479"/>
      <c r="AU69" s="478"/>
      <c r="AV69" s="2648" t="s">
        <v>739</v>
      </c>
      <c r="AW69" s="2648"/>
      <c r="AX69" s="2648"/>
      <c r="AY69" s="2648"/>
      <c r="AZ69" s="2648"/>
      <c r="BA69" s="2648"/>
      <c r="BB69" s="2648"/>
      <c r="BC69" s="2648"/>
      <c r="BD69" s="2648"/>
      <c r="BE69" s="2648"/>
      <c r="BF69" s="2648"/>
      <c r="BG69" s="2648"/>
      <c r="BH69" s="2648"/>
      <c r="BI69" s="2648"/>
      <c r="BJ69" s="2648"/>
      <c r="BK69" s="2648"/>
      <c r="BL69" s="2648"/>
      <c r="BM69" s="2648"/>
      <c r="BN69" s="2648"/>
      <c r="BO69" s="478"/>
      <c r="BP69" s="478"/>
      <c r="BQ69" s="2635"/>
      <c r="BR69" s="2636"/>
      <c r="BS69" s="2636"/>
      <c r="BT69" s="2636"/>
      <c r="BU69" s="2636"/>
      <c r="BV69" s="2636"/>
      <c r="BW69" s="2636"/>
      <c r="BX69" s="2636"/>
      <c r="BY69" s="2636"/>
      <c r="BZ69" s="2636"/>
      <c r="CA69" s="2636"/>
      <c r="CB69" s="2636"/>
      <c r="CC69" s="2637"/>
      <c r="CD69" s="472"/>
      <c r="CE69" s="450"/>
      <c r="CF69" s="450"/>
    </row>
    <row r="70" spans="2:84" s="449" customFormat="1" ht="10" customHeight="1">
      <c r="B70" s="477"/>
      <c r="C70" s="468"/>
      <c r="D70" s="468"/>
      <c r="E70" s="468"/>
      <c r="F70" s="468"/>
      <c r="G70" s="468"/>
      <c r="H70" s="468"/>
      <c r="I70" s="468"/>
      <c r="J70" s="476"/>
      <c r="K70" s="476"/>
      <c r="L70" s="476"/>
      <c r="M70" s="468"/>
      <c r="N70" s="468"/>
      <c r="O70" s="475"/>
      <c r="P70" s="475"/>
      <c r="Q70" s="475"/>
      <c r="R70" s="474"/>
      <c r="S70" s="474"/>
      <c r="T70" s="474"/>
      <c r="U70" s="474"/>
      <c r="V70" s="474"/>
      <c r="W70" s="474"/>
      <c r="X70" s="474"/>
      <c r="Y70" s="474"/>
      <c r="Z70" s="474"/>
      <c r="AA70" s="474"/>
      <c r="AB70" s="474"/>
      <c r="AC70" s="474"/>
      <c r="AD70" s="474"/>
      <c r="AE70" s="474"/>
      <c r="AF70" s="474"/>
      <c r="AG70" s="474"/>
      <c r="AH70" s="474"/>
      <c r="AI70" s="474"/>
      <c r="AJ70" s="474"/>
      <c r="AK70" s="474"/>
      <c r="AL70" s="474"/>
      <c r="AM70" s="474"/>
      <c r="AN70" s="474"/>
      <c r="AO70" s="474"/>
      <c r="AP70" s="473"/>
      <c r="AQ70" s="473"/>
      <c r="AR70" s="473"/>
      <c r="AS70" s="473"/>
      <c r="AT70" s="473"/>
      <c r="AU70" s="473"/>
      <c r="AV70" s="473"/>
      <c r="AW70" s="473"/>
      <c r="AX70" s="473"/>
      <c r="AY70" s="473"/>
      <c r="AZ70" s="473"/>
      <c r="BA70" s="473"/>
      <c r="BB70" s="473"/>
      <c r="BC70" s="473"/>
      <c r="BD70" s="473"/>
      <c r="BE70" s="473"/>
      <c r="BF70" s="473"/>
      <c r="BG70" s="473"/>
      <c r="BH70" s="473"/>
      <c r="BI70" s="473"/>
      <c r="BJ70" s="473"/>
      <c r="BK70" s="473"/>
      <c r="BL70" s="473"/>
      <c r="BM70" s="473"/>
      <c r="BN70" s="473"/>
      <c r="BO70" s="473"/>
      <c r="BP70" s="473"/>
      <c r="BQ70" s="2638"/>
      <c r="BR70" s="480"/>
      <c r="BS70" s="480"/>
      <c r="BT70" s="480"/>
      <c r="BU70" s="480"/>
      <c r="BV70" s="480"/>
      <c r="BW70" s="480"/>
      <c r="BX70" s="480"/>
      <c r="BY70" s="480"/>
      <c r="BZ70" s="480"/>
      <c r="CA70" s="480"/>
      <c r="CB70" s="480"/>
      <c r="CC70" s="2639"/>
      <c r="CD70" s="472"/>
      <c r="CE70" s="450"/>
      <c r="CF70" s="450"/>
    </row>
    <row r="71" spans="2:84" s="449" customFormat="1" ht="13.5" customHeight="1">
      <c r="B71" s="471" t="s">
        <v>622</v>
      </c>
      <c r="C71" s="470"/>
      <c r="D71" s="469" t="s">
        <v>607</v>
      </c>
      <c r="E71" s="469"/>
      <c r="F71" s="469"/>
      <c r="G71" s="469"/>
      <c r="H71" s="468" t="s">
        <v>26</v>
      </c>
      <c r="I71" s="467" t="s">
        <v>738</v>
      </c>
      <c r="J71" s="467"/>
      <c r="K71" s="467"/>
      <c r="L71" s="2643"/>
      <c r="M71" s="2643"/>
      <c r="N71" s="2643"/>
      <c r="O71" s="2643"/>
      <c r="P71" s="2643"/>
      <c r="Q71" s="2643"/>
      <c r="R71" s="2643"/>
      <c r="S71" s="2643"/>
      <c r="T71" s="2643"/>
      <c r="U71" s="2643"/>
      <c r="V71" s="2643"/>
      <c r="W71" s="2643"/>
      <c r="X71" s="2643"/>
      <c r="Y71" s="2643"/>
      <c r="Z71" s="2643"/>
      <c r="AA71" s="2643"/>
      <c r="AB71" s="2643"/>
      <c r="AC71" s="2643"/>
      <c r="AD71" s="2643"/>
      <c r="AE71" s="2643"/>
      <c r="AF71" s="2643"/>
      <c r="AG71" s="2643"/>
      <c r="AH71" s="2643"/>
      <c r="AI71" s="2643"/>
      <c r="AJ71" s="2643"/>
      <c r="AK71" s="2643"/>
      <c r="AL71" s="2643"/>
      <c r="AM71" s="2643"/>
      <c r="AN71" s="2643"/>
      <c r="AO71" s="2643"/>
      <c r="AP71" s="2643"/>
      <c r="AQ71" s="2643"/>
      <c r="AR71" s="2643"/>
      <c r="AS71" s="2644" t="s">
        <v>737</v>
      </c>
      <c r="AT71" s="2644"/>
      <c r="AU71" s="2644"/>
      <c r="AV71" s="2651" t="str">
        <f>'GENERAL INFO'!L113</f>
        <v>-</v>
      </c>
      <c r="AW71" s="2651"/>
      <c r="AX71" s="2651"/>
      <c r="AY71" s="2651"/>
      <c r="AZ71" s="2651"/>
      <c r="BA71" s="2651"/>
      <c r="BB71" s="2651"/>
      <c r="BC71" s="2651"/>
      <c r="BD71" s="2651"/>
      <c r="BE71" s="2651"/>
      <c r="BF71" s="2651"/>
      <c r="BG71" s="2651"/>
      <c r="BH71" s="2651"/>
      <c r="BI71" s="2651"/>
      <c r="BJ71" s="2651"/>
      <c r="BK71" s="2651"/>
      <c r="BL71" s="2651"/>
      <c r="BM71" s="2651"/>
      <c r="BN71" s="2651"/>
      <c r="BO71" s="2651"/>
      <c r="BP71" s="464"/>
      <c r="BQ71" s="2638"/>
      <c r="BR71" s="480"/>
      <c r="BS71" s="480"/>
      <c r="BT71" s="480"/>
      <c r="BU71" s="480"/>
      <c r="BV71" s="480"/>
      <c r="BW71" s="480"/>
      <c r="BX71" s="480"/>
      <c r="BY71" s="480"/>
      <c r="BZ71" s="480"/>
      <c r="CA71" s="480"/>
      <c r="CB71" s="480"/>
      <c r="CC71" s="2639"/>
      <c r="CD71" s="463"/>
      <c r="CE71" s="450"/>
      <c r="CF71" s="450"/>
    </row>
    <row r="72" spans="2:84" s="449" customFormat="1" ht="13.5" customHeight="1">
      <c r="B72" s="471"/>
      <c r="C72" s="470"/>
      <c r="D72" s="469"/>
      <c r="E72" s="469"/>
      <c r="F72" s="469"/>
      <c r="G72" s="469"/>
      <c r="H72" s="468"/>
      <c r="I72" s="467"/>
      <c r="J72" s="467"/>
      <c r="K72" s="467"/>
      <c r="L72" s="467"/>
      <c r="M72" s="449"/>
      <c r="N72" s="449"/>
      <c r="O72" s="449"/>
      <c r="P72" s="466"/>
      <c r="Q72" s="466"/>
      <c r="R72" s="464"/>
      <c r="S72" s="464"/>
      <c r="T72" s="464"/>
      <c r="U72" s="464"/>
      <c r="V72" s="464"/>
      <c r="W72" s="464"/>
      <c r="X72" s="464"/>
      <c r="Y72" s="464"/>
      <c r="Z72" s="464"/>
      <c r="AA72" s="464"/>
      <c r="AB72" s="464"/>
      <c r="AC72" s="464"/>
      <c r="AD72" s="464"/>
      <c r="AE72" s="464"/>
      <c r="AF72" s="464"/>
      <c r="AG72" s="464"/>
      <c r="AH72" s="464"/>
      <c r="AI72" s="464"/>
      <c r="AJ72" s="464"/>
      <c r="AK72" s="464"/>
      <c r="AL72" s="464"/>
      <c r="AM72" s="464"/>
      <c r="AN72" s="464"/>
      <c r="AO72" s="464"/>
      <c r="AP72" s="464"/>
      <c r="AQ72" s="464"/>
      <c r="AR72" s="464"/>
      <c r="AS72" s="464"/>
      <c r="AT72" s="465"/>
      <c r="AU72" s="465"/>
      <c r="AV72" s="2693" t="s">
        <v>736</v>
      </c>
      <c r="AW72" s="2693"/>
      <c r="AX72" s="2693"/>
      <c r="AY72" s="2693"/>
      <c r="AZ72" s="2693"/>
      <c r="BA72" s="2693"/>
      <c r="BB72" s="2693"/>
      <c r="BC72" s="2693"/>
      <c r="BD72" s="2693"/>
      <c r="BE72" s="2693"/>
      <c r="BF72" s="2693"/>
      <c r="BG72" s="2693"/>
      <c r="BH72" s="2693"/>
      <c r="BI72" s="464"/>
      <c r="BJ72" s="464"/>
      <c r="BK72" s="464"/>
      <c r="BL72" s="464"/>
      <c r="BM72" s="464"/>
      <c r="BN72" s="464"/>
      <c r="BO72" s="464"/>
      <c r="BP72" s="464"/>
      <c r="BQ72" s="2640"/>
      <c r="BR72" s="2641"/>
      <c r="BS72" s="2641"/>
      <c r="BT72" s="2641"/>
      <c r="BU72" s="2641"/>
      <c r="BV72" s="2641"/>
      <c r="BW72" s="2641"/>
      <c r="BX72" s="2641"/>
      <c r="BY72" s="2641"/>
      <c r="BZ72" s="2641"/>
      <c r="CA72" s="2641"/>
      <c r="CB72" s="2641"/>
      <c r="CC72" s="2642"/>
      <c r="CD72" s="463"/>
      <c r="CE72" s="450"/>
      <c r="CF72" s="450"/>
    </row>
    <row r="73" spans="2:84" s="449" customFormat="1" ht="10" customHeight="1" thickBot="1">
      <c r="B73" s="462"/>
      <c r="C73" s="461"/>
      <c r="D73" s="459"/>
      <c r="E73" s="459"/>
      <c r="F73" s="459"/>
      <c r="G73" s="459"/>
      <c r="H73" s="459"/>
      <c r="I73" s="459"/>
      <c r="J73" s="460"/>
      <c r="K73" s="460"/>
      <c r="L73" s="460"/>
      <c r="M73" s="459"/>
      <c r="N73" s="458"/>
      <c r="O73" s="458"/>
      <c r="P73" s="458"/>
      <c r="Q73" s="458"/>
      <c r="R73" s="457"/>
      <c r="S73" s="457"/>
      <c r="T73" s="457"/>
      <c r="U73" s="457"/>
      <c r="V73" s="457"/>
      <c r="W73" s="457"/>
      <c r="X73" s="457"/>
      <c r="Y73" s="457"/>
      <c r="Z73" s="457"/>
      <c r="AA73" s="457"/>
      <c r="AB73" s="457"/>
      <c r="AC73" s="457"/>
      <c r="AD73" s="457"/>
      <c r="AE73" s="457"/>
      <c r="AF73" s="457"/>
      <c r="AG73" s="457"/>
      <c r="AH73" s="457"/>
      <c r="AI73" s="457"/>
      <c r="AJ73" s="457"/>
      <c r="AK73" s="457"/>
      <c r="AL73" s="457"/>
      <c r="AM73" s="457"/>
      <c r="AN73" s="457"/>
      <c r="AO73" s="457"/>
      <c r="AP73" s="457"/>
      <c r="AQ73" s="457"/>
      <c r="AR73" s="457"/>
      <c r="AS73" s="457"/>
      <c r="AT73" s="457"/>
      <c r="AU73" s="457"/>
      <c r="AV73" s="457"/>
      <c r="AW73" s="457"/>
      <c r="AX73" s="457"/>
      <c r="AY73" s="457"/>
      <c r="AZ73" s="457"/>
      <c r="BA73" s="457"/>
      <c r="BB73" s="457"/>
      <c r="BC73" s="457"/>
      <c r="BD73" s="457"/>
      <c r="BE73" s="457"/>
      <c r="BF73" s="457"/>
      <c r="BG73" s="457"/>
      <c r="BH73" s="457"/>
      <c r="BI73" s="457"/>
      <c r="BJ73" s="457"/>
      <c r="BK73" s="457"/>
      <c r="BL73" s="457"/>
      <c r="BM73" s="457"/>
      <c r="BN73" s="457"/>
      <c r="BO73" s="457"/>
      <c r="BP73" s="457"/>
      <c r="BQ73" s="457"/>
      <c r="BR73" s="457"/>
      <c r="BS73" s="457"/>
      <c r="BT73" s="457"/>
      <c r="BU73" s="457"/>
      <c r="BV73" s="457"/>
      <c r="BW73" s="457"/>
      <c r="BX73" s="457"/>
      <c r="BY73" s="457"/>
      <c r="BZ73" s="457"/>
      <c r="CA73" s="457"/>
      <c r="CB73" s="457"/>
      <c r="CC73" s="457"/>
      <c r="CD73" s="456"/>
      <c r="CE73" s="450"/>
      <c r="CF73" s="450"/>
    </row>
    <row r="74" spans="2:84" s="449" customFormat="1" ht="13.5" customHeight="1">
      <c r="B74" s="455"/>
      <c r="C74" s="455"/>
      <c r="D74" s="455"/>
      <c r="E74" s="454"/>
      <c r="F74" s="453"/>
      <c r="G74" s="452"/>
      <c r="H74" s="452"/>
      <c r="I74" s="452"/>
      <c r="J74" s="452"/>
      <c r="K74" s="451"/>
      <c r="L74" s="451"/>
      <c r="M74" s="451"/>
      <c r="N74" s="451"/>
      <c r="O74" s="451"/>
      <c r="P74" s="451"/>
      <c r="Q74" s="451"/>
      <c r="R74" s="451"/>
      <c r="S74" s="451"/>
      <c r="T74" s="451"/>
      <c r="U74" s="451"/>
      <c r="V74" s="451"/>
      <c r="W74" s="451"/>
      <c r="X74" s="451"/>
      <c r="Y74" s="451"/>
      <c r="Z74" s="451"/>
      <c r="AA74" s="451"/>
      <c r="AB74" s="451"/>
      <c r="AC74" s="451"/>
      <c r="AD74" s="451"/>
      <c r="AE74" s="451"/>
      <c r="AF74" s="451"/>
      <c r="AG74" s="451"/>
      <c r="AH74" s="451"/>
      <c r="AI74" s="451"/>
      <c r="AJ74" s="451"/>
      <c r="AK74" s="451"/>
      <c r="AL74" s="451"/>
      <c r="AM74" s="451"/>
      <c r="AN74" s="451"/>
      <c r="AO74" s="451"/>
      <c r="AP74" s="451"/>
      <c r="AQ74" s="451"/>
      <c r="AR74" s="451"/>
      <c r="AS74" s="451"/>
      <c r="AT74" s="451"/>
      <c r="AU74" s="451"/>
      <c r="AV74" s="451"/>
      <c r="AW74" s="451"/>
      <c r="AX74" s="451"/>
      <c r="AY74" s="451"/>
      <c r="AZ74" s="451"/>
      <c r="BA74" s="451"/>
      <c r="BB74" s="451"/>
      <c r="BC74" s="451"/>
      <c r="BD74" s="451"/>
      <c r="BE74" s="451"/>
      <c r="BF74" s="451"/>
      <c r="BG74" s="451"/>
      <c r="BH74" s="451"/>
      <c r="BI74" s="451"/>
      <c r="BJ74" s="451"/>
      <c r="BK74" s="451"/>
      <c r="BL74" s="451"/>
      <c r="BM74" s="451"/>
      <c r="BN74" s="451"/>
      <c r="BO74" s="451"/>
      <c r="BP74" s="451"/>
      <c r="BQ74" s="451"/>
      <c r="BR74" s="451"/>
      <c r="BS74" s="451"/>
      <c r="BT74" s="451"/>
      <c r="BU74" s="451"/>
      <c r="BV74" s="451"/>
      <c r="BW74" s="451"/>
      <c r="BX74" s="451"/>
      <c r="BY74" s="451"/>
      <c r="BZ74" s="451"/>
      <c r="CA74" s="451"/>
      <c r="CB74" s="451"/>
      <c r="CC74" s="451"/>
      <c r="CD74" s="451"/>
      <c r="CE74" s="450"/>
      <c r="CF74" s="450"/>
    </row>
    <row r="75" ht="4.5" customHeight="1"/>
    <row r="76" spans="1:84" ht="9" customHeight="1">
      <c r="A76" s="445"/>
      <c r="B76" s="448"/>
      <c r="C76" s="448"/>
      <c r="BU76" s="2692"/>
      <c r="BV76" s="2692"/>
      <c r="BW76" s="2692"/>
      <c r="BX76" s="2692"/>
      <c r="BY76" s="2692"/>
      <c r="BZ76" s="2692"/>
      <c r="CA76" s="2692"/>
      <c r="CB76" s="2692"/>
      <c r="CC76" s="447"/>
      <c r="CD76" s="447"/>
      <c r="CE76" s="446"/>
      <c r="CF76" s="445"/>
    </row>
    <row r="77" ht="6" customHeight="1"/>
  </sheetData>
  <sheetProtection password="BDAF" sheet="1" objects="1" scenarios="1" selectLockedCells="1" selectUnlockedCells="1"/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0066"/>
    <pageSetUpPr fitToPage="1"/>
  </sheetPr>
  <dimension ref="A1:CF77"/>
  <sheetViews>
    <sheetView showGridLines="0" zoomScaleSheetLayoutView="100" view="pageBreakPreview" workbookViewId="0">
      <selection pane="topLeft" activeCell="BY12" sqref="BY12"/>
    </sheetView>
  </sheetViews>
  <sheetFormatPr defaultColWidth="9.13671875" defaultRowHeight="14" baseColWidth="0"/>
  <cols>
    <col min="1" max="4" width="1.7109375" style="444" customWidth="1"/>
    <col min="5" max="5" width="0.85546875" style="444" customWidth="1"/>
    <col min="6" max="7" width="1.7109375" style="444" customWidth="1"/>
    <col min="8" max="8" width="3.28125" style="444" customWidth="1"/>
    <col min="9" max="12" width="1.7109375" style="444" customWidth="1"/>
    <col min="13" max="14" width="0.85546875" style="444" customWidth="1"/>
    <col min="15" max="15" width="1.7109375" style="444" customWidth="1"/>
    <col min="16" max="17" width="0.85546875" style="444" customWidth="1"/>
    <col min="18" max="18" width="1.7109375" style="444" customWidth="1"/>
    <col min="19" max="22" width="0.85546875" style="444" customWidth="1"/>
    <col min="23" max="23" width="1.7109375" style="444" customWidth="1"/>
    <col min="24" max="25" width="0.85546875" style="444" customWidth="1"/>
    <col min="26" max="26" width="1.7109375" style="444" customWidth="1"/>
    <col min="27" max="30" width="0.85546875" style="444" customWidth="1"/>
    <col min="31" max="31" width="1.7109375" style="444" customWidth="1"/>
    <col min="32" max="33" width="0.85546875" style="444" customWidth="1"/>
    <col min="34" max="34" width="1.7109375" style="444" customWidth="1"/>
    <col min="35" max="38" width="0.85546875" style="444" customWidth="1"/>
    <col min="39" max="39" width="1.7109375" style="444" customWidth="1"/>
    <col min="40" max="41" width="0.85546875" style="444" customWidth="1"/>
    <col min="42" max="42" width="1.7109375" style="444" customWidth="1"/>
    <col min="43" max="46" width="0.85546875" style="444" customWidth="1"/>
    <col min="47" max="47" width="1.7109375" style="444" customWidth="1"/>
    <col min="48" max="49" width="0.85546875" style="444" customWidth="1"/>
    <col min="50" max="50" width="1.7109375" style="444" customWidth="1"/>
    <col min="51" max="54" width="0.85546875" style="444" customWidth="1"/>
    <col min="55" max="55" width="1.7109375" style="444" customWidth="1"/>
    <col min="56" max="57" width="0.85546875" style="444" customWidth="1"/>
    <col min="58" max="75" width="1.7109375" style="444" customWidth="1"/>
    <col min="76" max="76" width="2.28125" style="444" customWidth="1"/>
    <col min="77" max="77" width="0.85546875" style="444" customWidth="1"/>
    <col min="78" max="78" width="2.28125" style="444" customWidth="1"/>
    <col min="79" max="79" width="0.85546875" style="444" customWidth="1"/>
    <col min="80" max="80" width="2.28125" style="444" customWidth="1"/>
    <col min="81" max="81" width="0.85546875" style="444" customWidth="1"/>
    <col min="82" max="82" width="2.28125" style="444" customWidth="1"/>
    <col min="83" max="83" width="0.56640625" style="444" customWidth="1"/>
    <col min="84" max="84" width="1.42578125" style="444" customWidth="1"/>
    <col min="85" max="16384" width="9.13671875" style="444" customWidth="1"/>
  </cols>
  <sheetData>
    <row r="1" spans="1:84" ht="21" customHeight="1">
      <c r="A1" s="609"/>
      <c r="B1" s="2715" t="s">
        <v>806</v>
      </c>
      <c r="C1" s="2715"/>
      <c r="D1" s="2715"/>
      <c r="E1" s="2715"/>
      <c r="F1" s="2715"/>
      <c r="G1" s="2715"/>
      <c r="H1" s="2715"/>
      <c r="I1" s="2715"/>
      <c r="J1" s="2715"/>
      <c r="K1" s="2715"/>
      <c r="L1" s="2715"/>
      <c r="M1" s="2715"/>
      <c r="N1" s="2715"/>
      <c r="O1" s="2715"/>
      <c r="P1" s="2715"/>
      <c r="Q1" s="609"/>
      <c r="R1" s="609"/>
      <c r="S1" s="609"/>
      <c r="T1" s="609"/>
      <c r="U1" s="609"/>
      <c r="V1" s="609"/>
      <c r="W1" s="609"/>
      <c r="X1" s="609"/>
      <c r="Y1" s="609"/>
      <c r="Z1" s="609"/>
      <c r="AA1" s="609"/>
      <c r="AB1" s="609"/>
      <c r="AC1" s="609"/>
      <c r="AD1" s="609"/>
      <c r="AE1" s="609"/>
      <c r="AF1" s="609"/>
      <c r="AG1" s="609"/>
      <c r="AH1" s="609"/>
      <c r="AI1" s="609"/>
      <c r="AJ1" s="609"/>
      <c r="AK1" s="609"/>
      <c r="AL1" s="609"/>
      <c r="AM1" s="609"/>
      <c r="AN1" s="609"/>
      <c r="AO1" s="609"/>
      <c r="AP1" s="609"/>
      <c r="AQ1" s="609"/>
      <c r="AR1" s="609"/>
      <c r="AS1" s="609"/>
      <c r="AT1" s="609"/>
      <c r="AU1" s="609"/>
      <c r="AV1" s="609"/>
      <c r="AW1" s="609"/>
      <c r="AX1" s="609"/>
      <c r="AY1" s="609"/>
      <c r="AZ1" s="609"/>
      <c r="BA1" s="609"/>
      <c r="BB1" s="609"/>
      <c r="BC1" s="609"/>
      <c r="BD1" s="609"/>
      <c r="BE1" s="609"/>
      <c r="BF1" s="609"/>
      <c r="BG1" s="609"/>
      <c r="BH1" s="609"/>
      <c r="BI1" s="609"/>
      <c r="BJ1" s="609"/>
      <c r="BK1" s="609"/>
      <c r="BL1" s="609"/>
      <c r="BM1" s="609"/>
      <c r="BN1" s="609"/>
      <c r="BO1" s="609"/>
      <c r="BP1" s="609"/>
      <c r="BQ1" s="609"/>
      <c r="BR1" s="609"/>
      <c r="BS1" s="609"/>
      <c r="BT1" s="609"/>
      <c r="BU1" s="609"/>
      <c r="BV1" s="609"/>
      <c r="BW1" s="609"/>
      <c r="BX1" s="609"/>
      <c r="BY1" s="609"/>
      <c r="BZ1" s="609"/>
      <c r="CA1" s="609"/>
      <c r="CB1" s="609"/>
      <c r="CC1" s="609"/>
      <c r="CE1" s="609"/>
      <c r="CF1" s="609"/>
    </row>
    <row r="2" spans="1:84" ht="9" customHeight="1">
      <c r="A2" s="445"/>
      <c r="B2" s="448"/>
      <c r="C2" s="448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444"/>
      <c r="O2" s="444"/>
      <c r="P2" s="444"/>
      <c r="Q2" s="444"/>
      <c r="R2" s="444"/>
      <c r="S2" s="444"/>
      <c r="T2" s="444"/>
      <c r="U2" s="444"/>
      <c r="V2" s="444"/>
      <c r="W2" s="444"/>
      <c r="X2" s="444"/>
      <c r="Y2" s="444"/>
      <c r="Z2" s="444"/>
      <c r="AA2" s="444"/>
      <c r="AB2" s="444"/>
      <c r="AC2" s="444"/>
      <c r="AD2" s="444"/>
      <c r="AE2" s="444"/>
      <c r="AF2" s="444"/>
      <c r="AG2" s="444"/>
      <c r="AH2" s="444"/>
      <c r="AI2" s="444"/>
      <c r="AJ2" s="444"/>
      <c r="AK2" s="444"/>
      <c r="AL2" s="444"/>
      <c r="AM2" s="444"/>
      <c r="AN2" s="444"/>
      <c r="AO2" s="444"/>
      <c r="AP2" s="444"/>
      <c r="AQ2" s="444"/>
      <c r="AR2" s="444"/>
      <c r="AS2" s="444"/>
      <c r="AT2" s="444"/>
      <c r="AU2" s="444"/>
      <c r="AV2" s="444"/>
      <c r="AW2" s="444"/>
      <c r="AX2" s="444"/>
      <c r="AY2" s="444"/>
      <c r="AZ2" s="444"/>
      <c r="BA2" s="444"/>
      <c r="BB2" s="444"/>
      <c r="BC2" s="444"/>
      <c r="BD2" s="444"/>
      <c r="BE2" s="444"/>
      <c r="BF2" s="444"/>
      <c r="BG2" s="444"/>
      <c r="BH2" s="444"/>
      <c r="BI2" s="444"/>
      <c r="BJ2" s="444"/>
      <c r="BK2" s="444"/>
      <c r="BL2" s="444"/>
      <c r="BM2" s="444"/>
      <c r="BN2" s="444"/>
      <c r="BO2" s="444"/>
      <c r="BP2" s="444"/>
      <c r="BQ2" s="444"/>
      <c r="BR2" s="444"/>
      <c r="BS2" s="444"/>
      <c r="BT2" s="444"/>
      <c r="BU2" s="444"/>
      <c r="BV2" s="444"/>
      <c r="BW2" s="444"/>
      <c r="BX2" s="444"/>
      <c r="BY2" s="444"/>
      <c r="BZ2" s="444"/>
      <c r="CA2" s="444"/>
      <c r="CB2" s="444"/>
      <c r="CC2" s="448"/>
      <c r="CD2" s="608"/>
      <c r="CE2" s="445"/>
      <c r="CF2" s="445"/>
    </row>
    <row r="3" spans="1:84" s="445" customFormat="1" ht="9" customHeight="1">
      <c r="A3" s="445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  <c r="P3" s="445"/>
      <c r="Q3" s="445"/>
      <c r="R3" s="445"/>
      <c r="S3" s="445"/>
      <c r="T3" s="445"/>
      <c r="U3" s="445"/>
      <c r="V3" s="445"/>
      <c r="W3" s="445"/>
      <c r="X3" s="445"/>
      <c r="Y3" s="445"/>
      <c r="Z3" s="2716" t="s">
        <v>805</v>
      </c>
      <c r="AA3" s="578"/>
      <c r="AB3" s="578"/>
      <c r="AC3" s="578"/>
      <c r="AD3" s="578"/>
      <c r="AE3" s="578"/>
      <c r="AF3" s="578"/>
      <c r="AG3" s="578"/>
      <c r="AH3" s="578"/>
      <c r="AI3" s="578"/>
      <c r="AJ3" s="578"/>
      <c r="AK3" s="578"/>
      <c r="AL3" s="578"/>
      <c r="AM3" s="578"/>
      <c r="AN3" s="578"/>
      <c r="AO3" s="578"/>
      <c r="AP3" s="578"/>
      <c r="AQ3" s="578"/>
      <c r="AR3" s="578"/>
      <c r="AS3" s="578"/>
      <c r="AT3" s="578"/>
      <c r="AU3" s="578"/>
      <c r="AV3" s="578"/>
      <c r="AW3" s="578"/>
      <c r="AX3" s="578"/>
      <c r="AY3" s="578"/>
      <c r="AZ3" s="578"/>
      <c r="BA3" s="578"/>
      <c r="BB3" s="578"/>
      <c r="BC3" s="578"/>
      <c r="BD3" s="578"/>
      <c r="BE3" s="578"/>
      <c r="BF3" s="578"/>
      <c r="BG3" s="578"/>
      <c r="BH3" s="578"/>
      <c r="BI3" s="578"/>
      <c r="BJ3" s="578"/>
      <c r="BK3" s="2717"/>
      <c r="BL3" s="598"/>
      <c r="BM3" s="604"/>
      <c r="BN3" s="445"/>
      <c r="BO3" s="445"/>
      <c r="BP3" s="445"/>
      <c r="BQ3" s="445"/>
      <c r="BR3" s="445"/>
      <c r="BS3" s="445"/>
      <c r="BT3" s="445"/>
      <c r="BU3" s="445"/>
      <c r="BV3" s="445"/>
      <c r="BW3" s="445"/>
      <c r="BX3" s="445"/>
      <c r="BY3" s="445"/>
      <c r="BZ3" s="445"/>
      <c r="CA3" s="445"/>
      <c r="CB3" s="445"/>
      <c r="CC3" s="445"/>
      <c r="CD3" s="445"/>
      <c r="CE3" s="605"/>
      <c r="CF3" s="605"/>
    </row>
    <row r="4" spans="1:84" s="445" customFormat="1" ht="9" customHeight="1">
      <c r="A4" s="445"/>
      <c r="B4" s="445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5"/>
      <c r="N4" s="445"/>
      <c r="O4" s="445"/>
      <c r="P4" s="445"/>
      <c r="Q4" s="445"/>
      <c r="R4" s="445"/>
      <c r="S4" s="445"/>
      <c r="T4" s="445"/>
      <c r="U4" s="445"/>
      <c r="V4" s="445"/>
      <c r="W4" s="445"/>
      <c r="X4" s="445"/>
      <c r="Y4" s="445"/>
      <c r="Z4" s="2716"/>
      <c r="AA4" s="578"/>
      <c r="AB4" s="578"/>
      <c r="AC4" s="578"/>
      <c r="AD4" s="578"/>
      <c r="AE4" s="578"/>
      <c r="AF4" s="578"/>
      <c r="AG4" s="578"/>
      <c r="AH4" s="578"/>
      <c r="AI4" s="578"/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W4" s="578"/>
      <c r="AX4" s="578"/>
      <c r="AY4" s="578"/>
      <c r="AZ4" s="578"/>
      <c r="BA4" s="578"/>
      <c r="BB4" s="578"/>
      <c r="BC4" s="578"/>
      <c r="BD4" s="578"/>
      <c r="BE4" s="578"/>
      <c r="BF4" s="578"/>
      <c r="BG4" s="578"/>
      <c r="BH4" s="578"/>
      <c r="BI4" s="578"/>
      <c r="BJ4" s="578"/>
      <c r="BK4" s="2717"/>
      <c r="BL4" s="598"/>
      <c r="BM4" s="604"/>
      <c r="BN4" s="445"/>
      <c r="BO4" s="445"/>
      <c r="BP4" s="445"/>
      <c r="BQ4" s="445"/>
      <c r="BR4" s="445"/>
      <c r="BS4" s="445"/>
      <c r="BT4" s="445"/>
      <c r="BU4" s="445"/>
      <c r="BV4" s="445"/>
      <c r="BW4" s="445"/>
      <c r="BX4" s="607"/>
      <c r="BY4" s="445"/>
      <c r="BZ4" s="606"/>
      <c r="CA4" s="445"/>
      <c r="CB4" s="607"/>
      <c r="CC4" s="445"/>
      <c r="CD4" s="606"/>
      <c r="CE4" s="605"/>
      <c r="CF4" s="605"/>
    </row>
    <row r="5" spans="2:84" ht="18.75" customHeight="1">
      <c r="B5" s="599"/>
      <c r="C5" s="599"/>
      <c r="D5" s="599"/>
      <c r="E5" s="599"/>
      <c r="F5" s="599"/>
      <c r="G5" s="599"/>
      <c r="H5" s="599"/>
      <c r="I5" s="599"/>
      <c r="J5" s="599"/>
      <c r="K5" s="599"/>
      <c r="L5" s="599"/>
      <c r="M5" s="599"/>
      <c r="N5" s="599"/>
      <c r="O5" s="599"/>
      <c r="P5" s="599"/>
      <c r="Q5" s="599"/>
      <c r="R5" s="599"/>
      <c r="S5" s="599"/>
      <c r="T5" s="599"/>
      <c r="U5" s="599"/>
      <c r="V5" s="599"/>
      <c r="W5" s="599"/>
      <c r="X5" s="599"/>
      <c r="Y5" s="599"/>
      <c r="Z5" s="2716"/>
      <c r="AA5" s="578"/>
      <c r="AB5" s="578"/>
      <c r="AC5" s="578"/>
      <c r="AD5" s="578"/>
      <c r="AE5" s="578"/>
      <c r="AF5" s="578"/>
      <c r="AG5" s="578"/>
      <c r="AH5" s="578"/>
      <c r="AI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AW5" s="578"/>
      <c r="AX5" s="578"/>
      <c r="AY5" s="578"/>
      <c r="AZ5" s="578"/>
      <c r="BA5" s="578"/>
      <c r="BB5" s="578"/>
      <c r="BC5" s="578"/>
      <c r="BD5" s="578"/>
      <c r="BE5" s="578"/>
      <c r="BF5" s="578"/>
      <c r="BG5" s="578"/>
      <c r="BH5" s="578"/>
      <c r="BI5" s="578"/>
      <c r="BJ5" s="578"/>
      <c r="BK5" s="2717"/>
      <c r="BL5" s="598"/>
      <c r="BM5" s="604"/>
      <c r="BN5" s="2655" t="s">
        <v>804</v>
      </c>
      <c r="BO5" s="2655"/>
      <c r="BP5" s="2655"/>
      <c r="BQ5" s="2655"/>
      <c r="BR5" s="2655"/>
      <c r="BS5" s="2655"/>
      <c r="BT5" s="2655"/>
      <c r="BU5" s="2655"/>
      <c r="BV5" s="2655"/>
      <c r="BW5" s="2655"/>
      <c r="BX5" s="2655"/>
      <c r="BY5" s="2655"/>
      <c r="BZ5" s="2655"/>
      <c r="CA5" s="2655"/>
      <c r="CB5" s="2655"/>
      <c r="CC5" s="2655"/>
      <c r="CD5" s="2655"/>
      <c r="CE5" s="552"/>
      <c r="CF5" s="603"/>
    </row>
    <row r="6" spans="2:84" ht="6" customHeight="1">
      <c r="B6" s="599"/>
      <c r="C6" s="599"/>
      <c r="D6" s="599"/>
      <c r="E6" s="599"/>
      <c r="F6" s="599"/>
      <c r="G6" s="599"/>
      <c r="H6" s="599"/>
      <c r="I6" s="599"/>
      <c r="J6" s="599"/>
      <c r="K6" s="599"/>
      <c r="L6" s="599"/>
      <c r="M6" s="599"/>
      <c r="N6" s="599"/>
      <c r="O6" s="599"/>
      <c r="P6" s="599"/>
      <c r="Q6" s="599"/>
      <c r="R6" s="599"/>
      <c r="S6" s="599"/>
      <c r="T6" s="599"/>
      <c r="U6" s="599"/>
      <c r="V6" s="599"/>
      <c r="W6" s="599"/>
      <c r="X6" s="599"/>
      <c r="Y6" s="599"/>
      <c r="Z6" s="2716"/>
      <c r="AA6" s="578"/>
      <c r="AB6" s="578"/>
      <c r="AC6" s="578"/>
      <c r="AD6" s="578"/>
      <c r="AE6" s="578"/>
      <c r="AF6" s="578"/>
      <c r="AG6" s="578"/>
      <c r="AH6" s="578"/>
      <c r="AI6" s="578"/>
      <c r="AJ6" s="578"/>
      <c r="AK6" s="578"/>
      <c r="AL6" s="578"/>
      <c r="AM6" s="578"/>
      <c r="AN6" s="578"/>
      <c r="AO6" s="578"/>
      <c r="AP6" s="578"/>
      <c r="AQ6" s="578"/>
      <c r="AR6" s="578"/>
      <c r="AS6" s="578"/>
      <c r="AT6" s="578"/>
      <c r="AU6" s="578"/>
      <c r="AV6" s="578"/>
      <c r="AW6" s="578"/>
      <c r="AX6" s="578"/>
      <c r="AY6" s="578"/>
      <c r="AZ6" s="578"/>
      <c r="BA6" s="578"/>
      <c r="BB6" s="578"/>
      <c r="BC6" s="578"/>
      <c r="BD6" s="578"/>
      <c r="BE6" s="578"/>
      <c r="BF6" s="578"/>
      <c r="BG6" s="578"/>
      <c r="BH6" s="578"/>
      <c r="BI6" s="578"/>
      <c r="BJ6" s="578"/>
      <c r="BK6" s="2717"/>
      <c r="BL6" s="2673" t="s">
        <v>803</v>
      </c>
      <c r="BM6" s="2674"/>
      <c r="BN6" s="2674"/>
      <c r="BO6" s="2674"/>
      <c r="BP6" s="2674"/>
      <c r="BQ6" s="2674"/>
      <c r="BR6" s="2674"/>
      <c r="BS6" s="2674"/>
      <c r="BT6" s="2674"/>
      <c r="BU6" s="2674"/>
      <c r="BV6" s="2674"/>
      <c r="BW6" s="2674"/>
      <c r="BX6" s="2674"/>
      <c r="BY6" s="2674"/>
      <c r="BZ6" s="2674"/>
      <c r="CA6" s="2674"/>
      <c r="CB6" s="2674"/>
      <c r="CC6" s="2674"/>
      <c r="CD6" s="2674"/>
      <c r="CE6" s="444"/>
      <c r="CF6" s="444"/>
    </row>
    <row r="7" spans="2:84" ht="9" customHeight="1">
      <c r="B7" s="599"/>
      <c r="C7" s="599"/>
      <c r="D7" s="599"/>
      <c r="E7" s="599"/>
      <c r="F7" s="599"/>
      <c r="G7" s="599"/>
      <c r="H7" s="599"/>
      <c r="I7" s="599"/>
      <c r="J7" s="599"/>
      <c r="K7" s="599"/>
      <c r="L7" s="599"/>
      <c r="M7" s="599"/>
      <c r="N7" s="599"/>
      <c r="O7" s="599"/>
      <c r="P7" s="599"/>
      <c r="Q7" s="599"/>
      <c r="R7" s="599"/>
      <c r="S7" s="599"/>
      <c r="T7" s="599"/>
      <c r="U7" s="599"/>
      <c r="V7" s="599"/>
      <c r="W7" s="599"/>
      <c r="X7" s="599"/>
      <c r="Y7" s="599"/>
      <c r="Z7" s="2716"/>
      <c r="AA7" s="578"/>
      <c r="AB7" s="578"/>
      <c r="AC7" s="578"/>
      <c r="AD7" s="578"/>
      <c r="AE7" s="578"/>
      <c r="AF7" s="578"/>
      <c r="AG7" s="578"/>
      <c r="AH7" s="578"/>
      <c r="AI7" s="578"/>
      <c r="AJ7" s="578"/>
      <c r="AK7" s="578"/>
      <c r="AL7" s="578"/>
      <c r="AM7" s="578"/>
      <c r="AN7" s="578"/>
      <c r="AO7" s="578"/>
      <c r="AP7" s="578"/>
      <c r="AQ7" s="578"/>
      <c r="AR7" s="578"/>
      <c r="AS7" s="578"/>
      <c r="AT7" s="578"/>
      <c r="AU7" s="578"/>
      <c r="AV7" s="578"/>
      <c r="AW7" s="578"/>
      <c r="AX7" s="578"/>
      <c r="AY7" s="578"/>
      <c r="AZ7" s="578"/>
      <c r="BA7" s="578"/>
      <c r="BB7" s="578"/>
      <c r="BC7" s="578"/>
      <c r="BD7" s="578"/>
      <c r="BE7" s="578"/>
      <c r="BF7" s="578"/>
      <c r="BG7" s="578"/>
      <c r="BH7" s="578"/>
      <c r="BI7" s="578"/>
      <c r="BJ7" s="578"/>
      <c r="BK7" s="2717"/>
      <c r="BL7" s="2673"/>
      <c r="BM7" s="2674"/>
      <c r="BN7" s="2674"/>
      <c r="BO7" s="2674"/>
      <c r="BP7" s="2674"/>
      <c r="BQ7" s="2674"/>
      <c r="BR7" s="2674"/>
      <c r="BS7" s="2674"/>
      <c r="BT7" s="2674"/>
      <c r="BU7" s="2674"/>
      <c r="BV7" s="2674"/>
      <c r="BW7" s="2674"/>
      <c r="BX7" s="2674"/>
      <c r="BY7" s="2674"/>
      <c r="BZ7" s="2674"/>
      <c r="CA7" s="2674"/>
      <c r="CB7" s="2674"/>
      <c r="CC7" s="2674"/>
      <c r="CD7" s="2674"/>
      <c r="CE7" s="602"/>
      <c r="CF7" s="602"/>
    </row>
    <row r="8" spans="2:84" ht="9.75" customHeight="1">
      <c r="B8" s="599"/>
      <c r="C8" s="599"/>
      <c r="D8" s="599"/>
      <c r="E8" s="599"/>
      <c r="F8" s="599"/>
      <c r="G8" s="599"/>
      <c r="H8" s="599"/>
      <c r="I8" s="599"/>
      <c r="J8" s="599"/>
      <c r="K8" s="599"/>
      <c r="L8" s="599"/>
      <c r="M8" s="599"/>
      <c r="N8" s="599"/>
      <c r="O8" s="599"/>
      <c r="P8" s="599"/>
      <c r="Q8" s="599"/>
      <c r="R8" s="599"/>
      <c r="S8" s="599"/>
      <c r="T8" s="599"/>
      <c r="U8" s="599"/>
      <c r="V8" s="599"/>
      <c r="W8" s="599"/>
      <c r="X8" s="599"/>
      <c r="Y8" s="599"/>
      <c r="Z8" s="2716"/>
      <c r="AA8" s="578"/>
      <c r="AB8" s="578"/>
      <c r="AC8" s="578"/>
      <c r="AD8" s="578"/>
      <c r="AE8" s="578"/>
      <c r="AF8" s="578"/>
      <c r="AG8" s="578"/>
      <c r="AH8" s="578"/>
      <c r="AI8" s="578"/>
      <c r="AJ8" s="578"/>
      <c r="AK8" s="578"/>
      <c r="AL8" s="578"/>
      <c r="AM8" s="578"/>
      <c r="AN8" s="578"/>
      <c r="AO8" s="578"/>
      <c r="AP8" s="578"/>
      <c r="AQ8" s="578"/>
      <c r="AR8" s="578"/>
      <c r="AS8" s="578"/>
      <c r="AT8" s="578"/>
      <c r="AU8" s="578"/>
      <c r="AV8" s="578"/>
      <c r="AW8" s="578"/>
      <c r="AX8" s="578"/>
      <c r="AY8" s="578"/>
      <c r="AZ8" s="578"/>
      <c r="BA8" s="578"/>
      <c r="BB8" s="578"/>
      <c r="BC8" s="578"/>
      <c r="BD8" s="578"/>
      <c r="BE8" s="578"/>
      <c r="BF8" s="578"/>
      <c r="BG8" s="578"/>
      <c r="BH8" s="578"/>
      <c r="BI8" s="578"/>
      <c r="BJ8" s="578"/>
      <c r="BK8" s="2717"/>
      <c r="BL8" s="601" t="s">
        <v>802</v>
      </c>
      <c r="BM8" s="600"/>
      <c r="BN8" s="600"/>
      <c r="BO8" s="600"/>
      <c r="BP8" s="600"/>
      <c r="BQ8" s="600"/>
      <c r="BR8" s="600"/>
      <c r="BS8" s="600"/>
      <c r="BT8" s="600"/>
      <c r="BU8" s="600"/>
      <c r="BV8" s="600"/>
      <c r="BW8" s="600"/>
      <c r="BX8" s="600"/>
      <c r="BY8" s="600"/>
      <c r="BZ8" s="600"/>
      <c r="CA8" s="600"/>
      <c r="CB8" s="600"/>
      <c r="CC8" s="600"/>
      <c r="CD8" s="600"/>
      <c r="CE8" s="600"/>
      <c r="CF8" s="600"/>
    </row>
    <row r="9" spans="2:84" ht="6" customHeight="1">
      <c r="B9" s="599"/>
      <c r="C9" s="599"/>
      <c r="D9" s="599"/>
      <c r="E9" s="599"/>
      <c r="F9" s="599"/>
      <c r="G9" s="599"/>
      <c r="H9" s="599"/>
      <c r="I9" s="599"/>
      <c r="J9" s="599"/>
      <c r="K9" s="599"/>
      <c r="L9" s="599"/>
      <c r="M9" s="599"/>
      <c r="N9" s="599"/>
      <c r="O9" s="599"/>
      <c r="P9" s="599"/>
      <c r="Q9" s="599"/>
      <c r="R9" s="599"/>
      <c r="S9" s="599"/>
      <c r="T9" s="599"/>
      <c r="U9" s="599"/>
      <c r="V9" s="599"/>
      <c r="W9" s="599"/>
      <c r="X9" s="599"/>
      <c r="Y9" s="599"/>
      <c r="Z9" s="2716"/>
      <c r="AA9" s="578"/>
      <c r="AB9" s="578"/>
      <c r="AC9" s="578"/>
      <c r="AD9" s="578"/>
      <c r="AE9" s="578"/>
      <c r="AF9" s="578"/>
      <c r="AG9" s="578"/>
      <c r="AH9" s="578"/>
      <c r="AI9" s="578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8"/>
      <c r="AX9" s="578"/>
      <c r="AY9" s="578"/>
      <c r="AZ9" s="578"/>
      <c r="BA9" s="578"/>
      <c r="BB9" s="578"/>
      <c r="BC9" s="578"/>
      <c r="BD9" s="578"/>
      <c r="BE9" s="578"/>
      <c r="BF9" s="578"/>
      <c r="BG9" s="578"/>
      <c r="BH9" s="578"/>
      <c r="BI9" s="578"/>
      <c r="BJ9" s="578"/>
      <c r="BK9" s="2717"/>
      <c r="BL9" s="601"/>
      <c r="BM9" s="600"/>
      <c r="BN9" s="600"/>
      <c r="BO9" s="600"/>
      <c r="BP9" s="600"/>
      <c r="BQ9" s="600"/>
      <c r="BR9" s="600"/>
      <c r="BS9" s="600"/>
      <c r="BT9" s="600"/>
      <c r="BU9" s="600"/>
      <c r="BV9" s="600"/>
      <c r="BW9" s="600"/>
      <c r="BX9" s="600"/>
      <c r="BY9" s="600"/>
      <c r="BZ9" s="600"/>
      <c r="CA9" s="600"/>
      <c r="CB9" s="600"/>
      <c r="CC9" s="600"/>
      <c r="CD9" s="600"/>
      <c r="CE9" s="600"/>
      <c r="CF9" s="600"/>
    </row>
    <row r="10" spans="2:84" ht="14.25" customHeight="1" thickBot="1">
      <c r="B10" s="599"/>
      <c r="C10" s="599"/>
      <c r="D10" s="599"/>
      <c r="E10" s="599"/>
      <c r="F10" s="599"/>
      <c r="G10" s="599"/>
      <c r="H10" s="599"/>
      <c r="I10" s="599"/>
      <c r="J10" s="599"/>
      <c r="K10" s="599"/>
      <c r="L10" s="599"/>
      <c r="M10" s="599"/>
      <c r="N10" s="599"/>
      <c r="O10" s="599"/>
      <c r="P10" s="599"/>
      <c r="Q10" s="599"/>
      <c r="R10" s="599"/>
      <c r="S10" s="599"/>
      <c r="T10" s="599"/>
      <c r="U10" s="599"/>
      <c r="V10" s="599"/>
      <c r="W10" s="599"/>
      <c r="X10" s="599"/>
      <c r="Y10" s="599"/>
      <c r="Z10" s="2718"/>
      <c r="AA10" s="570"/>
      <c r="AB10" s="570"/>
      <c r="AC10" s="570"/>
      <c r="AD10" s="570"/>
      <c r="AE10" s="570"/>
      <c r="AF10" s="570"/>
      <c r="AG10" s="570"/>
      <c r="AH10" s="570"/>
      <c r="AI10" s="570"/>
      <c r="AJ10" s="570"/>
      <c r="AK10" s="570"/>
      <c r="AL10" s="570"/>
      <c r="AM10" s="570"/>
      <c r="AN10" s="570"/>
      <c r="AO10" s="570"/>
      <c r="AP10" s="570"/>
      <c r="AQ10" s="570"/>
      <c r="AR10" s="570"/>
      <c r="AS10" s="570"/>
      <c r="AT10" s="570"/>
      <c r="AU10" s="570"/>
      <c r="AV10" s="570"/>
      <c r="AW10" s="570"/>
      <c r="AX10" s="570"/>
      <c r="AY10" s="570"/>
      <c r="AZ10" s="570"/>
      <c r="BA10" s="570"/>
      <c r="BB10" s="570"/>
      <c r="BC10" s="570"/>
      <c r="BD10" s="570"/>
      <c r="BE10" s="570"/>
      <c r="BF10" s="570"/>
      <c r="BG10" s="570"/>
      <c r="BH10" s="570"/>
      <c r="BI10" s="570"/>
      <c r="BJ10" s="570"/>
      <c r="BK10" s="2719"/>
      <c r="BL10" s="598"/>
      <c r="BM10" s="597"/>
      <c r="BN10" s="596"/>
      <c r="BO10" s="596"/>
      <c r="BP10" s="596"/>
      <c r="BQ10" s="596"/>
      <c r="BR10" s="2652" t="s">
        <v>801</v>
      </c>
      <c r="BS10" s="2652"/>
      <c r="BT10" s="2652"/>
      <c r="BU10" s="2652"/>
      <c r="BV10" s="2652"/>
      <c r="BW10" s="2652"/>
      <c r="BX10" s="2652"/>
      <c r="BY10" s="2652"/>
      <c r="BZ10" s="2652"/>
      <c r="CA10" s="2652"/>
      <c r="CB10" s="2652"/>
      <c r="CC10" s="2652"/>
      <c r="CD10" s="2652"/>
      <c r="CE10" s="552"/>
      <c r="CF10" s="552"/>
    </row>
    <row r="11" spans="2:84" ht="15" customHeight="1">
      <c r="B11" s="2669" t="s">
        <v>289</v>
      </c>
      <c r="C11" s="2669"/>
      <c r="D11" s="2669"/>
      <c r="E11" s="2669"/>
      <c r="F11" s="2669"/>
      <c r="G11" s="2669"/>
      <c r="H11" s="2669"/>
      <c r="I11" s="2669"/>
      <c r="J11" s="2669"/>
      <c r="K11" s="2669"/>
      <c r="L11" s="2669"/>
      <c r="M11" s="2669"/>
      <c r="N11" s="2669"/>
      <c r="O11" s="2669"/>
      <c r="P11" s="2669"/>
      <c r="Q11" s="2669"/>
      <c r="R11" s="2669"/>
      <c r="S11" s="2669"/>
      <c r="T11" s="2669"/>
      <c r="U11" s="2669"/>
      <c r="V11" s="2669"/>
      <c r="W11" s="2669"/>
      <c r="X11" s="2669"/>
      <c r="Y11" s="2670"/>
      <c r="Z11" s="595"/>
      <c r="AA11" s="594"/>
      <c r="AB11" s="594"/>
      <c r="AC11" s="594"/>
      <c r="AD11" s="594"/>
      <c r="AE11" s="594"/>
      <c r="AF11" s="594"/>
      <c r="AG11" s="594"/>
      <c r="AH11" s="594"/>
      <c r="AI11" s="594"/>
      <c r="AJ11" s="593"/>
      <c r="AK11" s="593"/>
      <c r="AL11" s="593"/>
      <c r="AM11" s="2748" t="str">
        <f>'FE-1770 S-1'!T86</f>
        <v>-</v>
      </c>
      <c r="AN11" s="2748"/>
      <c r="AO11" s="2748"/>
      <c r="AP11" s="2748"/>
      <c r="AQ11" s="2748"/>
      <c r="AR11" s="2748"/>
      <c r="AS11" s="2748"/>
      <c r="AT11" s="2748"/>
      <c r="AU11" s="2748"/>
      <c r="AV11" s="2748"/>
      <c r="AW11" s="2748"/>
      <c r="AX11" s="2748"/>
      <c r="AY11" s="2748"/>
      <c r="AZ11" s="2748"/>
      <c r="BA11" s="2748"/>
      <c r="BB11" s="2748"/>
      <c r="BC11" s="2748"/>
      <c r="BD11" s="2748"/>
      <c r="BE11" s="2748"/>
      <c r="BF11" s="2748"/>
      <c r="BG11" s="2748"/>
      <c r="BH11" s="2748"/>
      <c r="BI11" s="2748"/>
      <c r="BJ11" s="2748"/>
      <c r="BK11" s="2748"/>
      <c r="BL11" s="2748"/>
      <c r="BM11" s="2748"/>
      <c r="BN11" s="2748"/>
      <c r="BO11" s="2748"/>
      <c r="BP11" s="2748"/>
      <c r="BQ11" s="592"/>
      <c r="BR11" s="2653" t="s">
        <v>800</v>
      </c>
      <c r="BS11" s="2654"/>
      <c r="BT11" s="2654"/>
      <c r="BU11" s="2654"/>
      <c r="BV11" s="2654"/>
      <c r="BW11" s="2654"/>
      <c r="BX11" s="2654"/>
      <c r="BY11" s="2654"/>
      <c r="BZ11" s="2654"/>
      <c r="CA11" s="2654"/>
      <c r="CB11" s="2654"/>
      <c r="CC11" s="2654"/>
      <c r="CD11" s="2654"/>
      <c r="CE11" s="2654"/>
      <c r="CF11" s="552"/>
    </row>
    <row r="12" spans="2:84" ht="11.25" customHeight="1">
      <c r="B12" s="2723" t="s">
        <v>799</v>
      </c>
      <c r="C12" s="2723"/>
      <c r="D12" s="2723"/>
      <c r="E12" s="2723"/>
      <c r="F12" s="2723"/>
      <c r="G12" s="2723"/>
      <c r="H12" s="2723"/>
      <c r="I12" s="2723"/>
      <c r="J12" s="2723"/>
      <c r="K12" s="2723"/>
      <c r="L12" s="2723"/>
      <c r="M12" s="2723"/>
      <c r="N12" s="2723"/>
      <c r="O12" s="2723"/>
      <c r="P12" s="2723"/>
      <c r="Q12" s="2723"/>
      <c r="R12" s="2723"/>
      <c r="S12" s="2723"/>
      <c r="T12" s="2723"/>
      <c r="U12" s="2723"/>
      <c r="V12" s="2723"/>
      <c r="W12" s="2723"/>
      <c r="X12" s="2723"/>
      <c r="Y12" s="2724"/>
      <c r="Z12" s="588" t="s">
        <v>798</v>
      </c>
      <c r="AA12" s="587"/>
      <c r="AB12" s="587"/>
      <c r="AC12" s="587"/>
      <c r="AD12" s="587"/>
      <c r="AE12" s="587"/>
      <c r="AF12" s="587"/>
      <c r="AG12" s="587"/>
      <c r="AH12" s="2721" t="s">
        <v>797</v>
      </c>
      <c r="AI12" s="2721"/>
      <c r="AJ12" s="2721"/>
      <c r="AK12" s="2721"/>
      <c r="AL12" s="591"/>
      <c r="AM12" s="2749"/>
      <c r="AN12" s="2749"/>
      <c r="AO12" s="2749"/>
      <c r="AP12" s="2749"/>
      <c r="AQ12" s="2749"/>
      <c r="AR12" s="2749"/>
      <c r="AS12" s="2749"/>
      <c r="AT12" s="2749"/>
      <c r="AU12" s="2749"/>
      <c r="AV12" s="2749"/>
      <c r="AW12" s="2749"/>
      <c r="AX12" s="2749"/>
      <c r="AY12" s="2749"/>
      <c r="AZ12" s="2749"/>
      <c r="BA12" s="2749"/>
      <c r="BB12" s="2749"/>
      <c r="BC12" s="2749"/>
      <c r="BD12" s="2749"/>
      <c r="BE12" s="2749"/>
      <c r="BF12" s="2749"/>
      <c r="BG12" s="2749"/>
      <c r="BH12" s="2749"/>
      <c r="BI12" s="2749"/>
      <c r="BJ12" s="2749"/>
      <c r="BK12" s="2749"/>
      <c r="BL12" s="2749"/>
      <c r="BM12" s="2749"/>
      <c r="BN12" s="2749"/>
      <c r="BO12" s="2749"/>
      <c r="BP12" s="2749"/>
      <c r="BQ12" s="574"/>
      <c r="BR12" s="2694" t="s">
        <v>796</v>
      </c>
      <c r="BS12" s="2694"/>
      <c r="BT12" s="590"/>
      <c r="BU12" s="2722">
        <f>'GENERAL INFO'!Q108</f>
        <v>0</v>
      </c>
      <c r="BV12" s="2722"/>
      <c r="BW12" s="2722"/>
      <c r="BX12" s="589" t="s">
        <v>30</v>
      </c>
      <c r="BY12" s="2722">
        <f>'GENERAL INFO'!Q108</f>
        <v>0</v>
      </c>
      <c r="BZ12" s="2722"/>
      <c r="CA12" s="2722"/>
      <c r="CB12" s="2722"/>
      <c r="CC12" s="564"/>
      <c r="CD12" s="564"/>
      <c r="CE12" s="564"/>
      <c r="CF12" s="564"/>
    </row>
    <row r="13" spans="2:84" ht="3" customHeight="1">
      <c r="B13" s="2723"/>
      <c r="C13" s="2723"/>
      <c r="D13" s="2723"/>
      <c r="E13" s="2723"/>
      <c r="F13" s="2723"/>
      <c r="G13" s="2723"/>
      <c r="H13" s="2723"/>
      <c r="I13" s="2723"/>
      <c r="J13" s="2723"/>
      <c r="K13" s="2723"/>
      <c r="L13" s="2723"/>
      <c r="M13" s="2723"/>
      <c r="N13" s="2723"/>
      <c r="O13" s="2723"/>
      <c r="P13" s="2723"/>
      <c r="Q13" s="2723"/>
      <c r="R13" s="2723"/>
      <c r="S13" s="2723"/>
      <c r="T13" s="2723"/>
      <c r="U13" s="2723"/>
      <c r="V13" s="2723"/>
      <c r="W13" s="2723"/>
      <c r="X13" s="2723"/>
      <c r="Y13" s="2724"/>
      <c r="Z13" s="588"/>
      <c r="AA13" s="587"/>
      <c r="AB13" s="587"/>
      <c r="AC13" s="587"/>
      <c r="AD13" s="587"/>
      <c r="AE13" s="587"/>
      <c r="AF13" s="587"/>
      <c r="AG13" s="587"/>
      <c r="AH13" s="586"/>
      <c r="AI13" s="586"/>
      <c r="AJ13" s="586"/>
      <c r="AK13" s="586"/>
      <c r="AL13" s="586"/>
      <c r="AM13" s="585"/>
      <c r="AN13" s="584"/>
      <c r="AO13" s="584"/>
      <c r="AP13" s="584"/>
      <c r="AQ13" s="583"/>
      <c r="AR13" s="583"/>
      <c r="AS13" s="582"/>
      <c r="AT13" s="581"/>
      <c r="AU13" s="581"/>
      <c r="AV13" s="576"/>
      <c r="AW13" s="576"/>
      <c r="AX13" s="576"/>
      <c r="AY13" s="576"/>
      <c r="AZ13" s="576"/>
      <c r="BA13" s="576"/>
      <c r="BB13" s="580"/>
      <c r="BC13" s="579"/>
      <c r="BD13" s="578"/>
      <c r="BE13" s="578"/>
      <c r="BF13" s="576"/>
      <c r="BG13" s="576"/>
      <c r="BH13" s="576"/>
      <c r="BI13" s="577"/>
      <c r="BJ13" s="576"/>
      <c r="BK13" s="576"/>
      <c r="BL13" s="576"/>
      <c r="BM13" s="576"/>
      <c r="BN13" s="575"/>
      <c r="BO13" s="575"/>
      <c r="BP13" s="575"/>
      <c r="BQ13" s="574"/>
      <c r="BR13" s="573"/>
      <c r="BS13" s="2694"/>
      <c r="BT13" s="2694"/>
      <c r="BU13" s="2694"/>
      <c r="BV13" s="564"/>
      <c r="BW13" s="564"/>
      <c r="BX13" s="564"/>
      <c r="BY13" s="564"/>
      <c r="BZ13" s="564"/>
      <c r="CA13" s="564"/>
      <c r="CB13" s="564"/>
      <c r="CC13" s="564"/>
      <c r="CD13" s="564"/>
      <c r="CE13" s="564"/>
      <c r="CF13" s="564"/>
    </row>
    <row r="14" spans="2:84" ht="16.5" customHeight="1" thickBot="1">
      <c r="B14" s="2725"/>
      <c r="C14" s="2725"/>
      <c r="D14" s="2725"/>
      <c r="E14" s="2725"/>
      <c r="F14" s="2725"/>
      <c r="G14" s="2725"/>
      <c r="H14" s="2725"/>
      <c r="I14" s="2725"/>
      <c r="J14" s="2725"/>
      <c r="K14" s="2725"/>
      <c r="L14" s="2725"/>
      <c r="M14" s="2725"/>
      <c r="N14" s="2725"/>
      <c r="O14" s="2725"/>
      <c r="P14" s="2725"/>
      <c r="Q14" s="2725"/>
      <c r="R14" s="2725"/>
      <c r="S14" s="2725"/>
      <c r="T14" s="2725"/>
      <c r="U14" s="2725"/>
      <c r="V14" s="2725"/>
      <c r="W14" s="2725"/>
      <c r="X14" s="2725"/>
      <c r="Y14" s="2726"/>
      <c r="Z14" s="572"/>
      <c r="AA14" s="570"/>
      <c r="AB14" s="570"/>
      <c r="AC14" s="570"/>
      <c r="AD14" s="570"/>
      <c r="AE14" s="570"/>
      <c r="AF14" s="570"/>
      <c r="AG14" s="570"/>
      <c r="AH14" s="570"/>
      <c r="AI14" s="571"/>
      <c r="AJ14" s="571"/>
      <c r="AK14" s="571"/>
      <c r="AL14" s="571"/>
      <c r="AM14" s="571"/>
      <c r="AN14" s="570"/>
      <c r="AO14" s="570"/>
      <c r="AP14" s="570"/>
      <c r="AQ14" s="570"/>
      <c r="AR14" s="570"/>
      <c r="AS14" s="569"/>
      <c r="AT14" s="570"/>
      <c r="AU14" s="570"/>
      <c r="AV14" s="569"/>
      <c r="AW14" s="569"/>
      <c r="AX14" s="569"/>
      <c r="AY14" s="569"/>
      <c r="AZ14" s="569"/>
      <c r="BA14" s="569"/>
      <c r="BB14" s="569"/>
      <c r="BC14" s="569"/>
      <c r="BD14" s="569"/>
      <c r="BE14" s="569"/>
      <c r="BF14" s="569"/>
      <c r="BG14" s="569"/>
      <c r="BH14" s="569"/>
      <c r="BI14" s="569"/>
      <c r="BJ14" s="569"/>
      <c r="BK14" s="569"/>
      <c r="BL14" s="569"/>
      <c r="BM14" s="569"/>
      <c r="BN14" s="568"/>
      <c r="BO14" s="568"/>
      <c r="BP14" s="568"/>
      <c r="BQ14" s="567"/>
      <c r="BR14" s="566"/>
      <c r="BS14" s="566"/>
      <c r="BT14" s="566"/>
      <c r="BU14" s="565"/>
      <c r="BV14" s="565"/>
      <c r="BW14" s="565"/>
      <c r="BX14" s="565"/>
      <c r="BY14" s="565"/>
      <c r="BZ14" s="565"/>
      <c r="CA14" s="565"/>
      <c r="CB14" s="565"/>
      <c r="CC14" s="565"/>
      <c r="CD14" s="565"/>
      <c r="CE14" s="564"/>
      <c r="CF14" s="564"/>
    </row>
    <row r="15" spans="2:82" s="444" customFormat="1" ht="5.25" customHeight="1">
      <c r="B15" s="486"/>
      <c r="C15" s="485"/>
      <c r="D15" s="485"/>
      <c r="E15" s="485"/>
      <c r="F15" s="485"/>
      <c r="G15" s="485"/>
      <c r="H15" s="485"/>
      <c r="I15" s="485"/>
      <c r="J15" s="485"/>
      <c r="K15" s="485"/>
      <c r="L15" s="485"/>
      <c r="M15" s="485"/>
      <c r="N15" s="485"/>
      <c r="O15" s="484"/>
      <c r="P15" s="484"/>
      <c r="Q15" s="484"/>
      <c r="R15" s="484"/>
      <c r="S15" s="484"/>
      <c r="T15" s="484"/>
      <c r="U15" s="484"/>
      <c r="V15" s="484"/>
      <c r="W15" s="484"/>
      <c r="X15" s="484"/>
      <c r="Y15" s="484"/>
      <c r="Z15" s="484"/>
      <c r="AA15" s="484"/>
      <c r="AB15" s="484"/>
      <c r="AC15" s="484"/>
      <c r="AD15" s="484"/>
      <c r="AE15" s="484"/>
      <c r="AF15" s="484"/>
      <c r="AG15" s="484"/>
      <c r="AH15" s="484"/>
      <c r="AI15" s="484"/>
      <c r="AJ15" s="484"/>
      <c r="AK15" s="484"/>
      <c r="AL15" s="484"/>
      <c r="AM15" s="484"/>
      <c r="AN15" s="484"/>
      <c r="AO15" s="484"/>
      <c r="AP15" s="483"/>
      <c r="AQ15" s="483"/>
      <c r="AR15" s="483"/>
      <c r="AS15" s="483"/>
      <c r="AT15" s="483"/>
      <c r="AU15" s="483"/>
      <c r="AV15" s="483"/>
      <c r="AW15" s="483"/>
      <c r="AX15" s="483"/>
      <c r="AY15" s="483"/>
      <c r="AZ15" s="483"/>
      <c r="BA15" s="483"/>
      <c r="BB15" s="483"/>
      <c r="BC15" s="483"/>
      <c r="BD15" s="483"/>
      <c r="BE15" s="483"/>
      <c r="BF15" s="483"/>
      <c r="BG15" s="483"/>
      <c r="BH15" s="483"/>
      <c r="BI15" s="483"/>
      <c r="BJ15" s="483"/>
      <c r="BK15" s="483"/>
      <c r="BL15" s="483"/>
      <c r="BM15" s="483"/>
      <c r="BN15" s="483"/>
      <c r="BO15" s="483"/>
      <c r="BP15" s="483"/>
      <c r="BQ15" s="483"/>
      <c r="BR15" s="483"/>
      <c r="BS15" s="483"/>
      <c r="BT15" s="483"/>
      <c r="BU15" s="483"/>
      <c r="BV15" s="483"/>
      <c r="BW15" s="483"/>
      <c r="BX15" s="483"/>
      <c r="BY15" s="483"/>
      <c r="BZ15" s="483"/>
      <c r="CA15" s="483"/>
      <c r="CB15" s="483"/>
      <c r="CC15" s="483"/>
      <c r="CD15" s="482"/>
    </row>
    <row r="16" spans="2:82" s="444" customFormat="1" ht="23.15" customHeight="1">
      <c r="B16" s="561"/>
      <c r="C16" s="549" t="s">
        <v>795</v>
      </c>
      <c r="D16" s="523"/>
      <c r="E16" s="523"/>
      <c r="F16" s="523"/>
      <c r="G16" s="523"/>
      <c r="H16" s="523"/>
      <c r="I16" s="523"/>
      <c r="J16" s="523"/>
      <c r="K16" s="563" t="s">
        <v>26</v>
      </c>
      <c r="L16" s="2730" t="s">
        <v>794</v>
      </c>
      <c r="M16" s="2730"/>
      <c r="N16" s="2730"/>
      <c r="O16" s="2730"/>
      <c r="P16" s="2679" t="str">
        <f>'FE-1770 S-1'!L86</f>
        <v>-</v>
      </c>
      <c r="Q16" s="2679"/>
      <c r="R16" s="2679"/>
      <c r="S16" s="2679"/>
      <c r="T16" s="2679"/>
      <c r="U16" s="2679"/>
      <c r="V16" s="2679"/>
      <c r="W16" s="2679"/>
      <c r="X16" s="2679"/>
      <c r="Y16" s="2679"/>
      <c r="Z16" s="2679"/>
      <c r="AA16" s="2679"/>
      <c r="AB16" s="2679"/>
      <c r="AC16" s="2679"/>
      <c r="AD16" s="2679"/>
      <c r="AE16" s="2679"/>
      <c r="AF16" s="2679"/>
      <c r="AG16" s="2679"/>
      <c r="AH16" s="2679"/>
      <c r="AI16" s="2679"/>
      <c r="AJ16" s="2679"/>
      <c r="AK16" s="2679"/>
      <c r="AL16" s="2679"/>
      <c r="AM16" s="2679"/>
      <c r="AN16" s="2679"/>
      <c r="AO16" s="2679"/>
      <c r="AP16" s="2679"/>
      <c r="AQ16" s="2679"/>
      <c r="AR16" s="2679"/>
      <c r="AS16" s="2679"/>
      <c r="AT16" s="2679"/>
      <c r="AU16" s="2679"/>
      <c r="AV16" s="2679"/>
      <c r="AW16" s="2679"/>
      <c r="AX16" s="2679"/>
      <c r="AY16" s="2679"/>
      <c r="AZ16" s="2679"/>
      <c r="BA16" s="2679"/>
      <c r="BB16" s="2679"/>
      <c r="BC16" s="2679"/>
      <c r="BD16" s="454"/>
      <c r="BE16" s="454"/>
      <c r="BF16" s="454"/>
      <c r="BG16" s="454"/>
      <c r="BH16" s="454"/>
      <c r="BI16" s="454"/>
      <c r="BJ16" s="454"/>
      <c r="BK16" s="454"/>
      <c r="BL16" s="454"/>
      <c r="BM16" s="454"/>
      <c r="BN16" s="454"/>
      <c r="BO16" s="2728"/>
      <c r="BP16" s="2728"/>
      <c r="BQ16" s="2728"/>
      <c r="BR16" s="473"/>
      <c r="BS16" s="473"/>
      <c r="BT16" s="562"/>
      <c r="BU16" s="562"/>
      <c r="BV16" s="562"/>
      <c r="BW16" s="562"/>
      <c r="BX16" s="562"/>
      <c r="BY16" s="473"/>
      <c r="BZ16" s="473"/>
      <c r="CA16" s="473"/>
      <c r="CB16" s="473"/>
      <c r="CC16" s="473"/>
      <c r="CD16" s="472"/>
    </row>
    <row r="17" spans="2:82" s="444" customFormat="1" ht="6" customHeight="1">
      <c r="B17" s="477"/>
      <c r="C17" s="468"/>
      <c r="D17" s="468"/>
      <c r="E17" s="468"/>
      <c r="F17" s="468"/>
      <c r="G17" s="468"/>
      <c r="H17" s="468"/>
      <c r="I17" s="468"/>
      <c r="J17" s="476"/>
      <c r="K17" s="476"/>
      <c r="L17" s="476"/>
      <c r="M17" s="468"/>
      <c r="N17" s="468"/>
      <c r="O17" s="475"/>
      <c r="P17" s="475"/>
      <c r="Q17" s="475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474"/>
      <c r="AI17" s="474"/>
      <c r="AJ17" s="474"/>
      <c r="AK17" s="474"/>
      <c r="AL17" s="474"/>
      <c r="AM17" s="474"/>
      <c r="AN17" s="474"/>
      <c r="AO17" s="474"/>
      <c r="AP17" s="473"/>
      <c r="AQ17" s="473"/>
      <c r="AR17" s="473"/>
      <c r="AS17" s="473"/>
      <c r="AT17" s="473"/>
      <c r="AU17" s="473"/>
      <c r="AV17" s="473"/>
      <c r="AW17" s="473"/>
      <c r="AX17" s="473"/>
      <c r="AY17" s="473"/>
      <c r="AZ17" s="473"/>
      <c r="BA17" s="473"/>
      <c r="BB17" s="473"/>
      <c r="BC17" s="473"/>
      <c r="BD17" s="473"/>
      <c r="BE17" s="473"/>
      <c r="BF17" s="473"/>
      <c r="BG17" s="473"/>
      <c r="BH17" s="473"/>
      <c r="BI17" s="473"/>
      <c r="BJ17" s="473"/>
      <c r="BK17" s="473"/>
      <c r="BL17" s="473"/>
      <c r="BM17" s="473"/>
      <c r="BN17" s="473"/>
      <c r="BO17" s="473"/>
      <c r="BP17" s="473"/>
      <c r="BQ17" s="473"/>
      <c r="BR17" s="473"/>
      <c r="BS17" s="473"/>
      <c r="BT17" s="473"/>
      <c r="BU17" s="473"/>
      <c r="BV17" s="473"/>
      <c r="BW17" s="473"/>
      <c r="BX17" s="473"/>
      <c r="BY17" s="473"/>
      <c r="BZ17" s="473"/>
      <c r="CA17" s="473"/>
      <c r="CB17" s="473"/>
      <c r="CC17" s="473"/>
      <c r="CD17" s="472"/>
    </row>
    <row r="18" spans="2:84" s="444" customFormat="1" ht="23.15" customHeight="1">
      <c r="B18" s="561"/>
      <c r="C18" s="536" t="s">
        <v>793</v>
      </c>
      <c r="D18" s="2699"/>
      <c r="E18" s="2699"/>
      <c r="F18" s="2699"/>
      <c r="G18" s="2699"/>
      <c r="H18" s="2699"/>
      <c r="I18" s="2699"/>
      <c r="J18" s="2699"/>
      <c r="K18" s="560" t="s">
        <v>26</v>
      </c>
      <c r="L18" s="467" t="s">
        <v>792</v>
      </c>
      <c r="M18" s="467"/>
      <c r="N18" s="467"/>
      <c r="O18" s="467"/>
      <c r="P18" s="2707" t="str">
        <f>'FE-1770 S-1'!L86</f>
        <v>-</v>
      </c>
      <c r="Q18" s="2707"/>
      <c r="R18" s="2707"/>
      <c r="S18" s="2707"/>
      <c r="T18" s="2707"/>
      <c r="U18" s="2707"/>
      <c r="V18" s="2707"/>
      <c r="W18" s="2707"/>
      <c r="X18" s="2707"/>
      <c r="Y18" s="2707"/>
      <c r="Z18" s="2707"/>
      <c r="AA18" s="2707"/>
      <c r="AB18" s="2707"/>
      <c r="AC18" s="2707"/>
      <c r="AD18" s="2707"/>
      <c r="AE18" s="2707"/>
      <c r="AF18" s="2707"/>
      <c r="AG18" s="2707"/>
      <c r="AH18" s="2707"/>
      <c r="AI18" s="2707"/>
      <c r="AJ18" s="2707"/>
      <c r="AK18" s="2707"/>
      <c r="AL18" s="2707"/>
      <c r="AM18" s="2707"/>
      <c r="AN18" s="2707"/>
      <c r="AO18" s="2707"/>
      <c r="AP18" s="2707"/>
      <c r="AQ18" s="2707"/>
      <c r="AR18" s="2707"/>
      <c r="AS18" s="2707"/>
      <c r="AT18" s="2707"/>
      <c r="AU18" s="2707"/>
      <c r="AV18" s="2707"/>
      <c r="AW18" s="2707"/>
      <c r="AX18" s="2707"/>
      <c r="AY18" s="2707"/>
      <c r="AZ18" s="2707"/>
      <c r="BA18" s="2707"/>
      <c r="BB18" s="2707"/>
      <c r="BC18" s="2707"/>
      <c r="BD18" s="2707"/>
      <c r="BE18" s="2707"/>
      <c r="BF18" s="2707"/>
      <c r="BG18" s="2707"/>
      <c r="BH18" s="2707"/>
      <c r="BI18" s="2707"/>
      <c r="BJ18" s="2707"/>
      <c r="BK18" s="2707"/>
      <c r="BL18" s="2707"/>
      <c r="BM18" s="2707"/>
      <c r="BN18" s="2707"/>
      <c r="BO18" s="2707"/>
      <c r="BP18" s="2707"/>
      <c r="BQ18" s="2707"/>
      <c r="BR18" s="2707"/>
      <c r="BS18" s="2707"/>
      <c r="BT18" s="2707"/>
      <c r="BU18" s="2707"/>
      <c r="BV18" s="2707"/>
      <c r="BW18" s="2707"/>
      <c r="BX18" s="2707"/>
      <c r="BY18" s="2707"/>
      <c r="BZ18" s="2707"/>
      <c r="CA18" s="2707"/>
      <c r="CB18" s="2707"/>
      <c r="CC18" s="2707"/>
      <c r="CD18" s="463"/>
      <c r="CE18" s="518"/>
      <c r="CF18" s="518"/>
    </row>
    <row r="19" spans="2:84" s="444" customFormat="1" ht="9" customHeight="1" thickBot="1">
      <c r="B19" s="462"/>
      <c r="C19" s="461"/>
      <c r="D19" s="459"/>
      <c r="E19" s="459"/>
      <c r="F19" s="459"/>
      <c r="G19" s="459"/>
      <c r="H19" s="459"/>
      <c r="I19" s="459"/>
      <c r="J19" s="460"/>
      <c r="K19" s="460"/>
      <c r="L19" s="460"/>
      <c r="M19" s="459"/>
      <c r="N19" s="458"/>
      <c r="O19" s="458"/>
      <c r="P19" s="458"/>
      <c r="Q19" s="458"/>
      <c r="R19" s="457"/>
      <c r="S19" s="457"/>
      <c r="T19" s="457"/>
      <c r="U19" s="457"/>
      <c r="V19" s="457"/>
      <c r="W19" s="457"/>
      <c r="X19" s="457"/>
      <c r="Y19" s="457"/>
      <c r="Z19" s="457"/>
      <c r="AA19" s="457"/>
      <c r="AB19" s="457"/>
      <c r="AC19" s="457"/>
      <c r="AD19" s="457"/>
      <c r="AE19" s="457"/>
      <c r="AF19" s="457"/>
      <c r="AG19" s="457"/>
      <c r="AH19" s="457"/>
      <c r="AI19" s="457"/>
      <c r="AJ19" s="457"/>
      <c r="AK19" s="457"/>
      <c r="AL19" s="457"/>
      <c r="AM19" s="457"/>
      <c r="AN19" s="457"/>
      <c r="AO19" s="457"/>
      <c r="AP19" s="457"/>
      <c r="AQ19" s="457"/>
      <c r="AR19" s="457"/>
      <c r="AS19" s="457"/>
      <c r="AT19" s="457"/>
      <c r="AU19" s="457"/>
      <c r="AV19" s="457"/>
      <c r="AW19" s="457"/>
      <c r="AX19" s="457"/>
      <c r="AY19" s="457"/>
      <c r="AZ19" s="457"/>
      <c r="BA19" s="457"/>
      <c r="BB19" s="457"/>
      <c r="BC19" s="457"/>
      <c r="BD19" s="457"/>
      <c r="BE19" s="457"/>
      <c r="BF19" s="457"/>
      <c r="BG19" s="457"/>
      <c r="BH19" s="457"/>
      <c r="BI19" s="457"/>
      <c r="BJ19" s="457"/>
      <c r="BK19" s="457"/>
      <c r="BL19" s="457"/>
      <c r="BM19" s="457"/>
      <c r="BN19" s="457"/>
      <c r="BO19" s="457"/>
      <c r="BP19" s="457"/>
      <c r="BQ19" s="457"/>
      <c r="BR19" s="457"/>
      <c r="BS19" s="457"/>
      <c r="BT19" s="457"/>
      <c r="BU19" s="457"/>
      <c r="BV19" s="457"/>
      <c r="BW19" s="457"/>
      <c r="BX19" s="457"/>
      <c r="BY19" s="457"/>
      <c r="BZ19" s="457"/>
      <c r="CA19" s="457"/>
      <c r="CB19" s="457"/>
      <c r="CC19" s="457"/>
      <c r="CD19" s="456"/>
      <c r="CE19" s="518"/>
      <c r="CF19" s="518"/>
    </row>
    <row r="20" spans="2:84" s="444" customFormat="1" ht="9" customHeight="1">
      <c r="B20" s="558"/>
      <c r="C20" s="558"/>
      <c r="D20" s="559"/>
      <c r="E20" s="559"/>
      <c r="F20" s="559"/>
      <c r="G20" s="559"/>
      <c r="H20" s="559"/>
      <c r="I20" s="558"/>
      <c r="J20" s="557"/>
      <c r="K20" s="557"/>
      <c r="L20" s="556"/>
      <c r="M20" s="555"/>
      <c r="N20" s="466"/>
      <c r="O20" s="466"/>
      <c r="P20" s="466"/>
      <c r="Q20" s="466"/>
      <c r="R20" s="464"/>
      <c r="S20" s="464"/>
      <c r="T20" s="464"/>
      <c r="U20" s="464"/>
      <c r="V20" s="464"/>
      <c r="W20" s="464"/>
      <c r="X20" s="464"/>
      <c r="Y20" s="464"/>
      <c r="Z20" s="464"/>
      <c r="AA20" s="464"/>
      <c r="AB20" s="464"/>
      <c r="AC20" s="464"/>
      <c r="AD20" s="464"/>
      <c r="AE20" s="464"/>
      <c r="AF20" s="464"/>
      <c r="AG20" s="464"/>
      <c r="AH20" s="464"/>
      <c r="AI20" s="464"/>
      <c r="AJ20" s="464"/>
      <c r="AK20" s="464"/>
      <c r="AL20" s="464"/>
      <c r="AM20" s="464"/>
      <c r="AN20" s="464"/>
      <c r="AO20" s="464"/>
      <c r="AP20" s="464"/>
      <c r="AQ20" s="464"/>
      <c r="AR20" s="464"/>
      <c r="AS20" s="464"/>
      <c r="AT20" s="464"/>
      <c r="AU20" s="464"/>
      <c r="AV20" s="464"/>
      <c r="AW20" s="464"/>
      <c r="AX20" s="464"/>
      <c r="AY20" s="464"/>
      <c r="AZ20" s="464"/>
      <c r="BA20" s="464"/>
      <c r="BB20" s="464"/>
      <c r="BC20" s="464"/>
      <c r="BD20" s="464"/>
      <c r="BE20" s="464"/>
      <c r="BF20" s="464"/>
      <c r="BG20" s="464"/>
      <c r="BH20" s="464"/>
      <c r="BI20" s="464"/>
      <c r="BJ20" s="464"/>
      <c r="BK20" s="464"/>
      <c r="BL20" s="464"/>
      <c r="BM20" s="464"/>
      <c r="BN20" s="464"/>
      <c r="BO20" s="464"/>
      <c r="BP20" s="464"/>
      <c r="BQ20" s="464"/>
      <c r="BR20" s="464"/>
      <c r="BS20" s="464"/>
      <c r="BT20" s="464"/>
      <c r="BU20" s="464"/>
      <c r="BV20" s="464"/>
      <c r="BW20" s="464"/>
      <c r="BX20" s="464"/>
      <c r="BY20" s="464"/>
      <c r="BZ20" s="464"/>
      <c r="CA20" s="464"/>
      <c r="CB20" s="464"/>
      <c r="CC20" s="464"/>
      <c r="CD20" s="554"/>
      <c r="CE20" s="518"/>
      <c r="CF20" s="518"/>
    </row>
    <row r="21" spans="2:84">
      <c r="B21" s="2720" t="s">
        <v>791</v>
      </c>
      <c r="C21" s="2720"/>
      <c r="D21" s="2720"/>
      <c r="E21" s="2720"/>
      <c r="F21" s="2720"/>
      <c r="G21" s="2720"/>
      <c r="H21" s="2720"/>
      <c r="I21" s="2720"/>
      <c r="J21" s="2720"/>
      <c r="K21" s="2720"/>
      <c r="L21" s="2720"/>
      <c r="M21" s="2720"/>
      <c r="N21" s="2720"/>
      <c r="O21" s="2720"/>
      <c r="P21" s="2720"/>
      <c r="Q21" s="2720"/>
      <c r="R21" s="2720"/>
      <c r="S21" s="2720"/>
      <c r="T21" s="2720"/>
      <c r="U21" s="2720"/>
      <c r="V21" s="2720"/>
      <c r="W21" s="2720"/>
      <c r="X21" s="2720"/>
      <c r="Y21" s="2720"/>
      <c r="Z21" s="2720"/>
      <c r="AA21" s="2720"/>
      <c r="AB21" s="2720"/>
      <c r="AC21" s="2720"/>
      <c r="AD21" s="2720"/>
      <c r="AE21" s="2720"/>
      <c r="AF21" s="2720"/>
      <c r="AG21" s="2720"/>
      <c r="AH21" s="2720"/>
      <c r="AI21" s="2720"/>
      <c r="AJ21" s="2720"/>
      <c r="AK21" s="2720"/>
      <c r="AL21" s="2720"/>
      <c r="AM21" s="2720"/>
      <c r="AN21" s="2720"/>
      <c r="AO21" s="2720"/>
      <c r="AP21" s="2720"/>
      <c r="AQ21" s="2720"/>
      <c r="AR21" s="2720"/>
      <c r="AS21" s="2720"/>
      <c r="AT21" s="2720"/>
      <c r="AU21" s="2720"/>
      <c r="AV21" s="2720"/>
      <c r="AW21" s="2720"/>
      <c r="AX21" s="2720"/>
      <c r="AY21" s="2720"/>
      <c r="AZ21" s="2720"/>
      <c r="BA21" s="2720"/>
      <c r="BB21" s="2720"/>
      <c r="BC21" s="2720"/>
      <c r="BD21" s="2720"/>
      <c r="BE21" s="2720"/>
      <c r="BF21" s="2720"/>
      <c r="BG21" s="2720"/>
      <c r="BH21" s="2720"/>
      <c r="BI21" s="2720"/>
      <c r="BJ21" s="2720"/>
      <c r="BK21" s="2720"/>
      <c r="BL21" s="2720"/>
      <c r="BM21" s="2720"/>
      <c r="BN21" s="2720"/>
      <c r="BO21" s="2720"/>
      <c r="BP21" s="2720"/>
      <c r="BQ21" s="2720"/>
      <c r="BR21" s="2720"/>
      <c r="BS21" s="2720"/>
      <c r="BT21" s="2720"/>
      <c r="BU21" s="2720"/>
      <c r="BV21" s="2720"/>
      <c r="BW21" s="2720"/>
      <c r="BX21" s="2720"/>
      <c r="BY21" s="2720"/>
      <c r="BZ21" s="2720"/>
      <c r="CA21" s="2720"/>
      <c r="CB21" s="2720"/>
      <c r="CC21" s="2720"/>
      <c r="CD21" s="2720"/>
      <c r="CE21" s="552"/>
      <c r="CF21" s="552"/>
    </row>
    <row r="22" spans="2:84" ht="3.75" customHeight="1" thickBot="1">
      <c r="B22" s="553"/>
      <c r="C22" s="553"/>
      <c r="D22" s="553"/>
      <c r="E22" s="553"/>
      <c r="F22" s="553"/>
      <c r="G22" s="553"/>
      <c r="H22" s="553"/>
      <c r="I22" s="553"/>
      <c r="J22" s="553"/>
      <c r="K22" s="553"/>
      <c r="L22" s="553"/>
      <c r="M22" s="553"/>
      <c r="N22" s="553"/>
      <c r="O22" s="553"/>
      <c r="P22" s="553"/>
      <c r="Q22" s="553"/>
      <c r="R22" s="553"/>
      <c r="S22" s="553"/>
      <c r="T22" s="553"/>
      <c r="U22" s="553"/>
      <c r="V22" s="553"/>
      <c r="W22" s="553"/>
      <c r="X22" s="553"/>
      <c r="Y22" s="553"/>
      <c r="Z22" s="553"/>
      <c r="AA22" s="553"/>
      <c r="AB22" s="553"/>
      <c r="AC22" s="553"/>
      <c r="AD22" s="553"/>
      <c r="AE22" s="553"/>
      <c r="AF22" s="553"/>
      <c r="AG22" s="553"/>
      <c r="AH22" s="553"/>
      <c r="AI22" s="553"/>
      <c r="AJ22" s="553"/>
      <c r="AK22" s="553"/>
      <c r="AL22" s="553"/>
      <c r="AM22" s="553"/>
      <c r="AN22" s="553"/>
      <c r="AO22" s="553"/>
      <c r="AP22" s="553"/>
      <c r="AQ22" s="553"/>
      <c r="AR22" s="553"/>
      <c r="AS22" s="553"/>
      <c r="AT22" s="553"/>
      <c r="AU22" s="553"/>
      <c r="AV22" s="553"/>
      <c r="AW22" s="553"/>
      <c r="AX22" s="553"/>
      <c r="AY22" s="553"/>
      <c r="AZ22" s="553"/>
      <c r="BA22" s="553"/>
      <c r="BB22" s="553"/>
      <c r="BC22" s="553"/>
      <c r="BD22" s="553"/>
      <c r="BE22" s="553"/>
      <c r="BF22" s="553"/>
      <c r="BG22" s="553"/>
      <c r="BH22" s="553"/>
      <c r="BI22" s="553"/>
      <c r="BJ22" s="553"/>
      <c r="BK22" s="553"/>
      <c r="BL22" s="553"/>
      <c r="BM22" s="553"/>
      <c r="BN22" s="553"/>
      <c r="BO22" s="553"/>
      <c r="BP22" s="553"/>
      <c r="BQ22" s="553"/>
      <c r="BR22" s="553"/>
      <c r="BS22" s="553"/>
      <c r="BT22" s="553"/>
      <c r="BU22" s="553"/>
      <c r="BV22" s="553"/>
      <c r="BW22" s="553"/>
      <c r="BX22" s="553"/>
      <c r="BY22" s="553"/>
      <c r="BZ22" s="553"/>
      <c r="CA22" s="553"/>
      <c r="CB22" s="553"/>
      <c r="CC22" s="553"/>
      <c r="CD22" s="553"/>
      <c r="CE22" s="552"/>
      <c r="CF22" s="552"/>
    </row>
    <row r="23" spans="2:82" s="444" customFormat="1" ht="9" customHeight="1">
      <c r="B23" s="486"/>
      <c r="C23" s="485"/>
      <c r="D23" s="485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4"/>
      <c r="P23" s="484"/>
      <c r="Q23" s="484"/>
      <c r="R23" s="484"/>
      <c r="S23" s="484"/>
      <c r="T23" s="484"/>
      <c r="U23" s="484"/>
      <c r="V23" s="484"/>
      <c r="W23" s="484"/>
      <c r="X23" s="484"/>
      <c r="Y23" s="484"/>
      <c r="Z23" s="484"/>
      <c r="AA23" s="484"/>
      <c r="AB23" s="484"/>
      <c r="AC23" s="484"/>
      <c r="AD23" s="484"/>
      <c r="AE23" s="484"/>
      <c r="AF23" s="484"/>
      <c r="AG23" s="484"/>
      <c r="AH23" s="484"/>
      <c r="AI23" s="484"/>
      <c r="AJ23" s="484"/>
      <c r="AK23" s="484"/>
      <c r="AL23" s="484"/>
      <c r="AM23" s="484"/>
      <c r="AN23" s="484"/>
      <c r="AO23" s="484"/>
      <c r="AP23" s="483"/>
      <c r="AQ23" s="483"/>
      <c r="AR23" s="483"/>
      <c r="AS23" s="483"/>
      <c r="AT23" s="483"/>
      <c r="AU23" s="483"/>
      <c r="AV23" s="483"/>
      <c r="AW23" s="483"/>
      <c r="AX23" s="483"/>
      <c r="AY23" s="483"/>
      <c r="AZ23" s="483"/>
      <c r="BA23" s="483"/>
      <c r="BB23" s="483"/>
      <c r="BC23" s="483"/>
      <c r="BD23" s="483"/>
      <c r="BE23" s="483"/>
      <c r="BF23" s="483"/>
      <c r="BG23" s="483"/>
      <c r="BH23" s="483"/>
      <c r="BI23" s="483"/>
      <c r="BJ23" s="483"/>
      <c r="BK23" s="483"/>
      <c r="BL23" s="483"/>
      <c r="BM23" s="483"/>
      <c r="BN23" s="483"/>
      <c r="BO23" s="483"/>
      <c r="BP23" s="483"/>
      <c r="BQ23" s="483"/>
      <c r="BR23" s="483"/>
      <c r="BS23" s="483"/>
      <c r="BT23" s="483"/>
      <c r="BU23" s="483"/>
      <c r="BV23" s="483"/>
      <c r="BW23" s="483"/>
      <c r="BX23" s="483"/>
      <c r="BY23" s="483"/>
      <c r="BZ23" s="483"/>
      <c r="CA23" s="483"/>
      <c r="CB23" s="483"/>
      <c r="CC23" s="483"/>
      <c r="CD23" s="482"/>
    </row>
    <row r="24" spans="2:82" s="444" customFormat="1" ht="15.75" customHeight="1">
      <c r="B24" s="2695" t="s">
        <v>621</v>
      </c>
      <c r="C24" s="2696"/>
      <c r="D24" s="2701" t="s">
        <v>181</v>
      </c>
      <c r="E24" s="2701"/>
      <c r="F24" s="2701"/>
      <c r="G24" s="2701"/>
      <c r="H24" s="2701"/>
      <c r="I24" s="547" t="s">
        <v>26</v>
      </c>
      <c r="J24" s="2665" t="s">
        <v>790</v>
      </c>
      <c r="K24" s="2665"/>
      <c r="L24" s="2680" t="str">
        <f>npwp</f>
        <v>...-.</v>
      </c>
      <c r="M24" s="2680"/>
      <c r="N24" s="2680"/>
      <c r="O24" s="2680"/>
      <c r="P24" s="2680"/>
      <c r="Q24" s="2680"/>
      <c r="R24" s="2680"/>
      <c r="S24" s="2680"/>
      <c r="T24" s="2680"/>
      <c r="U24" s="2680"/>
      <c r="V24" s="2680"/>
      <c r="W24" s="2680"/>
      <c r="X24" s="2680"/>
      <c r="Y24" s="2680"/>
      <c r="Z24" s="2680"/>
      <c r="AA24" s="2680"/>
      <c r="AB24" s="2680"/>
      <c r="AC24" s="2680"/>
      <c r="AD24" s="2680"/>
      <c r="AE24" s="2680"/>
      <c r="AF24" s="2680"/>
      <c r="AG24" s="2680"/>
      <c r="AH24" s="2680"/>
      <c r="AI24" s="2680"/>
      <c r="AJ24" s="2680"/>
      <c r="AK24" s="2680"/>
      <c r="AL24" s="2680"/>
      <c r="AM24" s="2680"/>
      <c r="AN24" s="2680"/>
      <c r="AO24" s="2680"/>
      <c r="AP24" s="2680"/>
      <c r="AQ24" s="2680"/>
      <c r="AR24" s="2680"/>
      <c r="AS24" s="2680"/>
      <c r="AT24" s="2680"/>
      <c r="AU24" s="2680"/>
      <c r="AV24" s="2680"/>
      <c r="AW24" s="2680"/>
      <c r="AX24" s="478"/>
      <c r="AY24" s="480"/>
      <c r="AZ24" s="2706" t="s">
        <v>626</v>
      </c>
      <c r="BA24" s="2706"/>
      <c r="BB24" s="2706"/>
      <c r="BC24" s="2703" t="s">
        <v>789</v>
      </c>
      <c r="BD24" s="2703"/>
      <c r="BE24" s="2703"/>
      <c r="BF24" s="2703"/>
      <c r="BG24" s="2703"/>
      <c r="BH24" s="2703"/>
      <c r="BI24" s="2703"/>
      <c r="BJ24" s="2703"/>
      <c r="BK24" s="2703"/>
      <c r="BL24" s="2703"/>
      <c r="BM24" s="2703"/>
      <c r="BN24" s="2703"/>
      <c r="BO24" s="2703"/>
      <c r="BP24" s="2703"/>
      <c r="BQ24" s="2703"/>
      <c r="BR24" s="2703"/>
      <c r="BS24" s="2703"/>
      <c r="BT24" s="2703"/>
      <c r="BU24" s="2703"/>
      <c r="BV24" s="2703"/>
      <c r="BW24" s="2703"/>
      <c r="BX24" s="2703"/>
      <c r="BY24" s="2703"/>
      <c r="BZ24" s="2703"/>
      <c r="CA24" s="2703"/>
      <c r="CB24" s="2703"/>
      <c r="CC24" s="2703"/>
      <c r="CD24" s="2704"/>
    </row>
    <row r="25" spans="2:82" s="444" customFormat="1" ht="6" customHeight="1">
      <c r="B25" s="546"/>
      <c r="C25" s="537"/>
      <c r="D25" s="537"/>
      <c r="E25" s="537"/>
      <c r="F25" s="537"/>
      <c r="G25" s="537"/>
      <c r="H25" s="537"/>
      <c r="I25" s="537"/>
      <c r="J25" s="537"/>
      <c r="K25" s="537"/>
      <c r="L25" s="537"/>
      <c r="M25" s="537"/>
      <c r="N25" s="537"/>
      <c r="O25" s="545"/>
      <c r="P25" s="545"/>
      <c r="Q25" s="545"/>
      <c r="R25" s="544"/>
      <c r="S25" s="544"/>
      <c r="T25" s="544"/>
      <c r="U25" s="544"/>
      <c r="V25" s="544"/>
      <c r="W25" s="544"/>
      <c r="X25" s="544"/>
      <c r="Y25" s="544"/>
      <c r="Z25" s="544"/>
      <c r="AA25" s="544"/>
      <c r="AB25" s="544"/>
      <c r="AC25" s="544"/>
      <c r="AD25" s="544"/>
      <c r="AE25" s="544"/>
      <c r="AF25" s="544"/>
      <c r="AG25" s="544"/>
      <c r="AH25" s="544"/>
      <c r="AI25" s="544"/>
      <c r="AJ25" s="544"/>
      <c r="AK25" s="544"/>
      <c r="AL25" s="544"/>
      <c r="AM25" s="544"/>
      <c r="AN25" s="544"/>
      <c r="AO25" s="544"/>
      <c r="AP25" s="543"/>
      <c r="AQ25" s="543"/>
      <c r="AR25" s="543"/>
      <c r="AS25" s="543"/>
      <c r="AT25" s="543"/>
      <c r="AU25" s="543"/>
      <c r="AV25" s="543"/>
      <c r="AW25" s="543"/>
      <c r="AX25" s="473"/>
      <c r="AY25" s="47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2"/>
    </row>
    <row r="26" spans="2:84" s="444" customFormat="1" ht="15.75" customHeight="1">
      <c r="B26" s="551" t="s">
        <v>622</v>
      </c>
      <c r="C26" s="550"/>
      <c r="D26" s="549" t="s">
        <v>788</v>
      </c>
      <c r="E26" s="549"/>
      <c r="F26" s="549"/>
      <c r="G26" s="549"/>
      <c r="H26" s="549"/>
      <c r="I26" s="550" t="s">
        <v>26</v>
      </c>
      <c r="J26" s="2671" t="s">
        <v>787</v>
      </c>
      <c r="K26" s="2671"/>
      <c r="L26" s="2671"/>
      <c r="M26" s="2671"/>
      <c r="N26" s="2671"/>
      <c r="O26" s="2671"/>
      <c r="P26" s="2671"/>
      <c r="Q26" s="2671"/>
      <c r="R26" s="2671"/>
      <c r="S26" s="2671"/>
      <c r="T26" s="2671"/>
      <c r="U26" s="2671"/>
      <c r="V26" s="2671"/>
      <c r="W26" s="2671"/>
      <c r="X26" s="2671"/>
      <c r="Y26" s="2671"/>
      <c r="Z26" s="2671"/>
      <c r="AA26" s="2671"/>
      <c r="AB26" s="2671"/>
      <c r="AC26" s="2671"/>
      <c r="AD26" s="2671"/>
      <c r="AE26" s="2671"/>
      <c r="AF26" s="2671"/>
      <c r="AG26" s="2671"/>
      <c r="AH26" s="2671"/>
      <c r="AI26" s="2671"/>
      <c r="AJ26" s="2671"/>
      <c r="AK26" s="2671"/>
      <c r="AL26" s="2671"/>
      <c r="AM26" s="2671"/>
      <c r="AN26" s="2671"/>
      <c r="AO26" s="2671"/>
      <c r="AP26" s="2671"/>
      <c r="AQ26" s="2671"/>
      <c r="AR26" s="2671"/>
      <c r="AS26" s="2671"/>
      <c r="AT26" s="2671"/>
      <c r="AU26" s="2671"/>
      <c r="AV26" s="2671"/>
      <c r="AW26" s="2671"/>
      <c r="AX26" s="464"/>
      <c r="AY26" s="464"/>
      <c r="AZ26" s="531"/>
      <c r="BA26" s="531"/>
      <c r="BB26" s="531"/>
      <c r="BC26" s="531" t="s">
        <v>727</v>
      </c>
      <c r="BD26" s="531"/>
      <c r="BE26" s="2733" t="str">
        <f>'FE-1770S'!S50</f>
        <v/>
      </c>
      <c r="BF26" s="2733"/>
      <c r="BG26" s="2733"/>
      <c r="BH26" s="2733"/>
      <c r="BI26" s="531"/>
      <c r="BJ26" s="531"/>
      <c r="BK26" s="531"/>
      <c r="BL26" s="531" t="s">
        <v>728</v>
      </c>
      <c r="BM26" s="531"/>
      <c r="BN26" s="2733" t="str">
        <f>'FE-1770S'!P50</f>
        <v/>
      </c>
      <c r="BO26" s="2733"/>
      <c r="BP26" s="2733"/>
      <c r="BQ26" s="531"/>
      <c r="BR26" s="531"/>
      <c r="BS26" s="531"/>
      <c r="BT26" s="531" t="s">
        <v>807</v>
      </c>
      <c r="BU26" s="531"/>
      <c r="BV26" s="2731">
        <f>'FE-1770S'!Y50</f>
        <v>0</v>
      </c>
      <c r="BW26" s="2731"/>
      <c r="BX26" s="2731"/>
      <c r="BY26" s="531"/>
      <c r="BZ26" s="531"/>
      <c r="CA26" s="531"/>
      <c r="CB26" s="531"/>
      <c r="CC26" s="531"/>
      <c r="CD26" s="534"/>
      <c r="CE26" s="518"/>
      <c r="CF26" s="518"/>
    </row>
    <row r="27" spans="2:84" s="444" customFormat="1" ht="9" customHeight="1">
      <c r="B27" s="551"/>
      <c r="C27" s="550"/>
      <c r="D27" s="549"/>
      <c r="E27" s="549"/>
      <c r="F27" s="549"/>
      <c r="G27" s="549"/>
      <c r="H27" s="549"/>
      <c r="I27" s="550"/>
      <c r="J27" s="2671"/>
      <c r="K27" s="2671"/>
      <c r="L27" s="2729"/>
      <c r="M27" s="2729"/>
      <c r="N27" s="2729"/>
      <c r="O27" s="2729"/>
      <c r="P27" s="2729"/>
      <c r="Q27" s="2729"/>
      <c r="R27" s="2729"/>
      <c r="S27" s="2729"/>
      <c r="T27" s="2729"/>
      <c r="U27" s="2729"/>
      <c r="V27" s="2729"/>
      <c r="W27" s="2729"/>
      <c r="X27" s="2729"/>
      <c r="Y27" s="2729"/>
      <c r="Z27" s="2729"/>
      <c r="AA27" s="2729"/>
      <c r="AB27" s="2729"/>
      <c r="AC27" s="2729"/>
      <c r="AD27" s="2729"/>
      <c r="AE27" s="2729"/>
      <c r="AF27" s="2729"/>
      <c r="AG27" s="2729"/>
      <c r="AH27" s="2729"/>
      <c r="AI27" s="2729"/>
      <c r="AJ27" s="2729"/>
      <c r="AK27" s="2729"/>
      <c r="AL27" s="2729"/>
      <c r="AM27" s="2729"/>
      <c r="AN27" s="2729"/>
      <c r="AO27" s="2729"/>
      <c r="AP27" s="2729"/>
      <c r="AQ27" s="2729"/>
      <c r="AR27" s="2729"/>
      <c r="AS27" s="2729"/>
      <c r="AT27" s="2729"/>
      <c r="AU27" s="2729"/>
      <c r="AV27" s="2729"/>
      <c r="AW27" s="2729"/>
      <c r="AX27" s="464"/>
      <c r="AY27" s="464"/>
      <c r="AZ27" s="531"/>
      <c r="BA27" s="531"/>
      <c r="BB27" s="531"/>
      <c r="BC27" s="531"/>
      <c r="BD27" s="531"/>
      <c r="BE27" s="2734"/>
      <c r="BF27" s="2734"/>
      <c r="BG27" s="2734"/>
      <c r="BH27" s="2734"/>
      <c r="BI27" s="533" t="s">
        <v>786</v>
      </c>
      <c r="BJ27" s="531"/>
      <c r="BK27" s="531"/>
      <c r="BL27" s="531"/>
      <c r="BM27" s="531"/>
      <c r="BN27" s="2734"/>
      <c r="BO27" s="2734"/>
      <c r="BP27" s="2734"/>
      <c r="BQ27" s="533" t="s">
        <v>785</v>
      </c>
      <c r="BR27" s="531"/>
      <c r="BS27" s="531"/>
      <c r="BT27" s="531"/>
      <c r="BU27" s="531"/>
      <c r="BV27" s="2732"/>
      <c r="BW27" s="2732"/>
      <c r="BX27" s="2732"/>
      <c r="BY27" s="533" t="s">
        <v>784</v>
      </c>
      <c r="BZ27" s="531"/>
      <c r="CA27" s="531"/>
      <c r="CB27" s="531"/>
      <c r="CC27" s="531"/>
      <c r="CD27" s="534"/>
      <c r="CE27" s="518"/>
      <c r="CF27" s="518"/>
    </row>
    <row r="28" spans="2:84" s="444" customFormat="1" ht="6" customHeight="1">
      <c r="B28" s="539"/>
      <c r="C28" s="538"/>
      <c r="D28" s="538"/>
      <c r="E28" s="537"/>
      <c r="F28" s="536"/>
      <c r="G28" s="536"/>
      <c r="H28" s="536"/>
      <c r="I28" s="536"/>
      <c r="J28" s="537"/>
      <c r="K28" s="537"/>
      <c r="L28" s="537"/>
      <c r="M28" s="536"/>
      <c r="N28" s="536"/>
      <c r="O28" s="535"/>
      <c r="P28" s="535"/>
      <c r="Q28" s="535"/>
      <c r="R28" s="531"/>
      <c r="S28" s="531"/>
      <c r="T28" s="531"/>
      <c r="U28" s="531"/>
      <c r="V28" s="531"/>
      <c r="W28" s="531"/>
      <c r="X28" s="531"/>
      <c r="Y28" s="531"/>
      <c r="Z28" s="531"/>
      <c r="AA28" s="531"/>
      <c r="AB28" s="531"/>
      <c r="AC28" s="531"/>
      <c r="AD28" s="531"/>
      <c r="AE28" s="531"/>
      <c r="AF28" s="531"/>
      <c r="AG28" s="531"/>
      <c r="AH28" s="531"/>
      <c r="AI28" s="531"/>
      <c r="AJ28" s="531"/>
      <c r="AK28" s="531"/>
      <c r="AL28" s="531"/>
      <c r="AM28" s="531"/>
      <c r="AN28" s="531"/>
      <c r="AO28" s="531"/>
      <c r="AP28" s="531"/>
      <c r="AQ28" s="531"/>
      <c r="AR28" s="531"/>
      <c r="AS28" s="531"/>
      <c r="AT28" s="531"/>
      <c r="AU28" s="531"/>
      <c r="AV28" s="531"/>
      <c r="AW28" s="531"/>
      <c r="AX28" s="464"/>
      <c r="AY28" s="464"/>
      <c r="AZ28" s="531"/>
      <c r="BA28" s="531"/>
      <c r="BB28" s="531"/>
      <c r="BC28" s="531"/>
      <c r="BD28" s="531"/>
      <c r="BE28" s="531"/>
      <c r="BF28" s="531"/>
      <c r="BG28" s="531"/>
      <c r="BH28" s="531"/>
      <c r="BI28" s="531"/>
      <c r="BJ28" s="531"/>
      <c r="BK28" s="531"/>
      <c r="BL28" s="531"/>
      <c r="BM28" s="531"/>
      <c r="BN28" s="531"/>
      <c r="BO28" s="531"/>
      <c r="BP28" s="531"/>
      <c r="BQ28" s="531"/>
      <c r="BR28" s="531"/>
      <c r="BS28" s="531"/>
      <c r="BT28" s="531"/>
      <c r="BU28" s="531"/>
      <c r="BV28" s="531"/>
      <c r="BW28" s="531"/>
      <c r="BX28" s="531"/>
      <c r="BY28" s="531"/>
      <c r="BZ28" s="531"/>
      <c r="CA28" s="531"/>
      <c r="CB28" s="531"/>
      <c r="CC28" s="531"/>
      <c r="CD28" s="534"/>
      <c r="CE28" s="518"/>
      <c r="CF28" s="518"/>
    </row>
    <row r="29" spans="2:84" s="444" customFormat="1" ht="15.75" customHeight="1">
      <c r="B29" s="551" t="s">
        <v>623</v>
      </c>
      <c r="C29" s="550"/>
      <c r="D29" s="549" t="s">
        <v>783</v>
      </c>
      <c r="E29" s="549"/>
      <c r="F29" s="549"/>
      <c r="G29" s="549"/>
      <c r="H29" s="541"/>
      <c r="I29" s="541" t="s">
        <v>26</v>
      </c>
      <c r="J29" s="2702" t="s">
        <v>782</v>
      </c>
      <c r="K29" s="2702"/>
      <c r="L29" s="2707">
        <f>name</f>
        <v>0</v>
      </c>
      <c r="M29" s="2707"/>
      <c r="N29" s="2707"/>
      <c r="O29" s="2707"/>
      <c r="P29" s="2707"/>
      <c r="Q29" s="2707"/>
      <c r="R29" s="2707"/>
      <c r="S29" s="2707"/>
      <c r="T29" s="2707"/>
      <c r="U29" s="2707"/>
      <c r="V29" s="2707"/>
      <c r="W29" s="2707"/>
      <c r="X29" s="2707"/>
      <c r="Y29" s="2707"/>
      <c r="Z29" s="2707"/>
      <c r="AA29" s="2707"/>
      <c r="AB29" s="2707"/>
      <c r="AC29" s="2707"/>
      <c r="AD29" s="2707"/>
      <c r="AE29" s="2707"/>
      <c r="AF29" s="2707"/>
      <c r="AG29" s="2707"/>
      <c r="AH29" s="2707"/>
      <c r="AI29" s="2707"/>
      <c r="AJ29" s="2707"/>
      <c r="AK29" s="2707"/>
      <c r="AL29" s="2707"/>
      <c r="AM29" s="2707"/>
      <c r="AN29" s="2707"/>
      <c r="AO29" s="2707"/>
      <c r="AP29" s="2707"/>
      <c r="AQ29" s="2707"/>
      <c r="AR29" s="2707"/>
      <c r="AS29" s="2707"/>
      <c r="AT29" s="2707"/>
      <c r="AU29" s="2707"/>
      <c r="AV29" s="2707"/>
      <c r="AW29" s="2707"/>
      <c r="AX29" s="464"/>
      <c r="AY29" s="464"/>
      <c r="AZ29" s="2705" t="s">
        <v>629</v>
      </c>
      <c r="BA29" s="2705"/>
      <c r="BB29" s="2705"/>
      <c r="BC29" s="531" t="s">
        <v>781</v>
      </c>
      <c r="BD29" s="531"/>
      <c r="BE29" s="531"/>
      <c r="BF29" s="531"/>
      <c r="BG29" s="531"/>
      <c r="BH29" s="531"/>
      <c r="BI29" s="531"/>
      <c r="BJ29" s="531"/>
      <c r="BK29" s="531"/>
      <c r="BL29" s="533" t="s">
        <v>780</v>
      </c>
      <c r="BM29" s="531"/>
      <c r="BN29" s="2676"/>
      <c r="BO29" s="2676"/>
      <c r="BP29" s="2676"/>
      <c r="BQ29" s="2676"/>
      <c r="BR29" s="2676"/>
      <c r="BS29" s="2676"/>
      <c r="BT29" s="2676"/>
      <c r="BU29" s="2676"/>
      <c r="BV29" s="2676"/>
      <c r="BW29" s="2676"/>
      <c r="BX29" s="2676"/>
      <c r="BY29" s="2676"/>
      <c r="BZ29" s="2676"/>
      <c r="CA29" s="2676"/>
      <c r="CB29" s="2676"/>
      <c r="CC29" s="2676"/>
      <c r="CD29" s="534"/>
      <c r="CE29" s="518"/>
      <c r="CF29" s="518"/>
    </row>
    <row r="30" spans="2:84" s="444" customFormat="1" ht="6" customHeight="1">
      <c r="B30" s="551"/>
      <c r="C30" s="550"/>
      <c r="D30" s="549"/>
      <c r="E30" s="549"/>
      <c r="F30" s="549"/>
      <c r="G30" s="549"/>
      <c r="H30" s="549"/>
      <c r="I30" s="541"/>
      <c r="J30" s="548"/>
      <c r="K30" s="548"/>
      <c r="L30" s="548"/>
      <c r="M30" s="541"/>
      <c r="N30" s="543"/>
      <c r="O30" s="543"/>
      <c r="P30" s="543"/>
      <c r="Q30" s="535"/>
      <c r="R30" s="531"/>
      <c r="S30" s="531"/>
      <c r="T30" s="531"/>
      <c r="U30" s="531"/>
      <c r="V30" s="531"/>
      <c r="W30" s="531"/>
      <c r="X30" s="531"/>
      <c r="Y30" s="531"/>
      <c r="Z30" s="531"/>
      <c r="AA30" s="531"/>
      <c r="AB30" s="531"/>
      <c r="AC30" s="531"/>
      <c r="AD30" s="531"/>
      <c r="AE30" s="531"/>
      <c r="AF30" s="531"/>
      <c r="AG30" s="531"/>
      <c r="AH30" s="531"/>
      <c r="AI30" s="531"/>
      <c r="AJ30" s="531"/>
      <c r="AK30" s="531"/>
      <c r="AL30" s="531"/>
      <c r="AM30" s="531"/>
      <c r="AN30" s="531"/>
      <c r="AO30" s="531"/>
      <c r="AP30" s="531"/>
      <c r="AQ30" s="531"/>
      <c r="AR30" s="531"/>
      <c r="AS30" s="531"/>
      <c r="AT30" s="531"/>
      <c r="AU30" s="531"/>
      <c r="AV30" s="531"/>
      <c r="AW30" s="531"/>
      <c r="AX30" s="464"/>
      <c r="AY30" s="464"/>
      <c r="AZ30" s="531"/>
      <c r="BA30" s="531"/>
      <c r="BB30" s="531"/>
      <c r="BC30" s="531"/>
      <c r="BD30" s="531"/>
      <c r="BE30" s="531"/>
      <c r="BF30" s="531"/>
      <c r="BG30" s="531"/>
      <c r="BH30" s="531"/>
      <c r="BI30" s="531"/>
      <c r="BJ30" s="531"/>
      <c r="BK30" s="531"/>
      <c r="BL30" s="531"/>
      <c r="BM30" s="531"/>
      <c r="BN30" s="531"/>
      <c r="BO30" s="531"/>
      <c r="BP30" s="531"/>
      <c r="BQ30" s="531"/>
      <c r="BR30" s="531"/>
      <c r="BS30" s="531"/>
      <c r="BT30" s="531"/>
      <c r="BU30" s="531"/>
      <c r="BV30" s="531"/>
      <c r="BW30" s="531"/>
      <c r="BX30" s="531"/>
      <c r="BY30" s="531"/>
      <c r="BZ30" s="531"/>
      <c r="CA30" s="531"/>
      <c r="CB30" s="531"/>
      <c r="CC30" s="531"/>
      <c r="CD30" s="534"/>
      <c r="CE30" s="518"/>
      <c r="CF30" s="518"/>
    </row>
    <row r="31" spans="2:82" s="444" customFormat="1" ht="15.75" customHeight="1">
      <c r="B31" s="2695" t="s">
        <v>624</v>
      </c>
      <c r="C31" s="2696"/>
      <c r="D31" s="2701" t="s">
        <v>606</v>
      </c>
      <c r="E31" s="2701"/>
      <c r="F31" s="2701"/>
      <c r="G31" s="2701"/>
      <c r="H31" s="2701"/>
      <c r="I31" s="547" t="s">
        <v>26</v>
      </c>
      <c r="J31" s="2665" t="s">
        <v>779</v>
      </c>
      <c r="K31" s="2665"/>
      <c r="L31" s="2675"/>
      <c r="M31" s="2675"/>
      <c r="N31" s="2675"/>
      <c r="O31" s="2675"/>
      <c r="P31" s="2675"/>
      <c r="Q31" s="2675"/>
      <c r="R31" s="2675"/>
      <c r="S31" s="2675"/>
      <c r="T31" s="2675"/>
      <c r="U31" s="2675"/>
      <c r="V31" s="2675"/>
      <c r="W31" s="2675"/>
      <c r="X31" s="2675"/>
      <c r="Y31" s="2675"/>
      <c r="Z31" s="2675"/>
      <c r="AA31" s="2675"/>
      <c r="AB31" s="2675"/>
      <c r="AC31" s="2675"/>
      <c r="AD31" s="2675"/>
      <c r="AE31" s="2675"/>
      <c r="AF31" s="2675"/>
      <c r="AG31" s="2675"/>
      <c r="AH31" s="2675"/>
      <c r="AI31" s="2675"/>
      <c r="AJ31" s="2675"/>
      <c r="AK31" s="2675"/>
      <c r="AL31" s="2675"/>
      <c r="AM31" s="2675"/>
      <c r="AN31" s="2675"/>
      <c r="AO31" s="2675"/>
      <c r="AP31" s="2675"/>
      <c r="AQ31" s="2675"/>
      <c r="AR31" s="2675"/>
      <c r="AS31" s="2675"/>
      <c r="AT31" s="2675"/>
      <c r="AU31" s="2675"/>
      <c r="AV31" s="2675"/>
      <c r="AW31" s="2675"/>
      <c r="AX31" s="478"/>
      <c r="AY31" s="480"/>
      <c r="AZ31" s="2706" t="s">
        <v>630</v>
      </c>
      <c r="BA31" s="2706"/>
      <c r="BB31" s="2706"/>
      <c r="BC31" s="2703" t="s">
        <v>778</v>
      </c>
      <c r="BD31" s="2703"/>
      <c r="BE31" s="2703"/>
      <c r="BF31" s="2703"/>
      <c r="BG31" s="2703"/>
      <c r="BH31" s="2703"/>
      <c r="BI31" s="2703"/>
      <c r="BJ31" s="2703"/>
      <c r="BK31" s="2703"/>
      <c r="BL31" s="2703"/>
      <c r="BM31" s="2703"/>
      <c r="BN31" s="540"/>
      <c r="BO31" s="2665" t="s">
        <v>777</v>
      </c>
      <c r="BP31" s="2665"/>
      <c r="BQ31" s="2727"/>
      <c r="BR31" s="2677"/>
      <c r="BS31" s="2678"/>
      <c r="BT31" s="2746" t="s">
        <v>735</v>
      </c>
      <c r="BU31" s="2747"/>
      <c r="BV31" s="2747"/>
      <c r="BW31" s="511"/>
      <c r="BX31" s="511"/>
      <c r="BY31" s="543"/>
      <c r="BZ31" s="543"/>
      <c r="CA31" s="543"/>
      <c r="CB31" s="543"/>
      <c r="CC31" s="543"/>
      <c r="CD31" s="542"/>
    </row>
    <row r="32" spans="2:82" s="444" customFormat="1" ht="6" customHeight="1">
      <c r="B32" s="546"/>
      <c r="C32" s="537"/>
      <c r="D32" s="537"/>
      <c r="E32" s="537"/>
      <c r="F32" s="537"/>
      <c r="G32" s="537"/>
      <c r="H32" s="537"/>
      <c r="I32" s="537"/>
      <c r="J32" s="537"/>
      <c r="K32" s="537"/>
      <c r="L32" s="537"/>
      <c r="M32" s="537"/>
      <c r="N32" s="537"/>
      <c r="O32" s="545"/>
      <c r="P32" s="545"/>
      <c r="Q32" s="545"/>
      <c r="R32" s="544"/>
      <c r="S32" s="544"/>
      <c r="T32" s="544"/>
      <c r="U32" s="544"/>
      <c r="V32" s="544"/>
      <c r="W32" s="544"/>
      <c r="X32" s="544"/>
      <c r="Y32" s="544"/>
      <c r="Z32" s="544"/>
      <c r="AA32" s="544"/>
      <c r="AB32" s="544"/>
      <c r="AC32" s="544"/>
      <c r="AD32" s="544"/>
      <c r="AE32" s="544"/>
      <c r="AF32" s="544"/>
      <c r="AG32" s="544"/>
      <c r="AH32" s="544"/>
      <c r="AI32" s="544"/>
      <c r="AJ32" s="544"/>
      <c r="AK32" s="544"/>
      <c r="AL32" s="544"/>
      <c r="AM32" s="544"/>
      <c r="AN32" s="544"/>
      <c r="AO32" s="544"/>
      <c r="AP32" s="543"/>
      <c r="AQ32" s="543"/>
      <c r="AR32" s="543"/>
      <c r="AS32" s="543"/>
      <c r="AT32" s="543"/>
      <c r="AU32" s="543"/>
      <c r="AV32" s="543"/>
      <c r="AW32" s="543"/>
      <c r="AX32" s="473"/>
      <c r="AY32" s="47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2"/>
    </row>
    <row r="33" spans="2:84" s="444" customFormat="1" ht="15.75" customHeight="1">
      <c r="B33" s="551"/>
      <c r="C33" s="550"/>
      <c r="D33" s="549"/>
      <c r="E33" s="549"/>
      <c r="F33" s="549"/>
      <c r="G33" s="549"/>
      <c r="H33" s="549"/>
      <c r="I33" s="541"/>
      <c r="J33" s="540"/>
      <c r="K33" s="540"/>
      <c r="L33" s="2675"/>
      <c r="M33" s="2675"/>
      <c r="N33" s="2675"/>
      <c r="O33" s="2675"/>
      <c r="P33" s="2675"/>
      <c r="Q33" s="2675"/>
      <c r="R33" s="2675"/>
      <c r="S33" s="2675"/>
      <c r="T33" s="2675"/>
      <c r="U33" s="2675"/>
      <c r="V33" s="2675"/>
      <c r="W33" s="2675"/>
      <c r="X33" s="2675"/>
      <c r="Y33" s="2675"/>
      <c r="Z33" s="2675"/>
      <c r="AA33" s="2675"/>
      <c r="AB33" s="2675"/>
      <c r="AC33" s="2675"/>
      <c r="AD33" s="2675"/>
      <c r="AE33" s="2675"/>
      <c r="AF33" s="2675"/>
      <c r="AG33" s="2675"/>
      <c r="AH33" s="2675"/>
      <c r="AI33" s="2675"/>
      <c r="AJ33" s="2675"/>
      <c r="AK33" s="2675"/>
      <c r="AL33" s="2675"/>
      <c r="AM33" s="2675"/>
      <c r="AN33" s="2675"/>
      <c r="AO33" s="2675"/>
      <c r="AP33" s="2675"/>
      <c r="AQ33" s="2675"/>
      <c r="AR33" s="2675"/>
      <c r="AS33" s="2675"/>
      <c r="AT33" s="2675"/>
      <c r="AU33" s="2675"/>
      <c r="AV33" s="2675"/>
      <c r="AW33" s="2675"/>
      <c r="AX33" s="464"/>
      <c r="AY33" s="464"/>
      <c r="AZ33" s="2705" t="s">
        <v>631</v>
      </c>
      <c r="BA33" s="2705"/>
      <c r="BB33" s="2705"/>
      <c r="BC33" s="531" t="s">
        <v>776</v>
      </c>
      <c r="BD33" s="531"/>
      <c r="BE33" s="531"/>
      <c r="BF33" s="531"/>
      <c r="BG33" s="531"/>
      <c r="BH33" s="531"/>
      <c r="BI33" s="531"/>
      <c r="BJ33" s="531"/>
      <c r="BK33" s="531"/>
      <c r="BL33" s="531"/>
      <c r="BM33" s="531"/>
      <c r="BN33" s="531"/>
      <c r="BO33" s="533"/>
      <c r="BP33" s="533" t="s">
        <v>775</v>
      </c>
      <c r="BQ33" s="533"/>
      <c r="BR33" s="2676"/>
      <c r="BS33" s="2676"/>
      <c r="BT33" s="2676"/>
      <c r="BU33" s="531"/>
      <c r="BV33" s="531"/>
      <c r="BW33" s="531"/>
      <c r="BX33" s="531"/>
      <c r="BY33" s="531"/>
      <c r="BZ33" s="531"/>
      <c r="CA33" s="531"/>
      <c r="CB33" s="531"/>
      <c r="CC33" s="531"/>
      <c r="CD33" s="534"/>
      <c r="CE33" s="518"/>
      <c r="CF33" s="518"/>
    </row>
    <row r="34" spans="2:84" s="444" customFormat="1" ht="6" customHeight="1">
      <c r="B34" s="539"/>
      <c r="C34" s="538"/>
      <c r="D34" s="538"/>
      <c r="E34" s="537"/>
      <c r="F34" s="536"/>
      <c r="G34" s="536"/>
      <c r="H34" s="536"/>
      <c r="I34" s="536"/>
      <c r="J34" s="536"/>
      <c r="K34" s="536"/>
      <c r="L34" s="536"/>
      <c r="M34" s="536"/>
      <c r="N34" s="536"/>
      <c r="O34" s="535"/>
      <c r="P34" s="535"/>
      <c r="Q34" s="535"/>
      <c r="R34" s="531"/>
      <c r="S34" s="531"/>
      <c r="T34" s="531"/>
      <c r="U34" s="531"/>
      <c r="V34" s="531"/>
      <c r="W34" s="531"/>
      <c r="X34" s="531"/>
      <c r="Y34" s="531"/>
      <c r="Z34" s="531"/>
      <c r="AA34" s="531"/>
      <c r="AB34" s="531"/>
      <c r="AC34" s="531"/>
      <c r="AD34" s="531"/>
      <c r="AE34" s="531"/>
      <c r="AF34" s="531"/>
      <c r="AG34" s="531"/>
      <c r="AH34" s="531"/>
      <c r="AI34" s="531"/>
      <c r="AJ34" s="531"/>
      <c r="AK34" s="531"/>
      <c r="AL34" s="531"/>
      <c r="AM34" s="531"/>
      <c r="AN34" s="531"/>
      <c r="AO34" s="531"/>
      <c r="AP34" s="531"/>
      <c r="AQ34" s="531"/>
      <c r="AR34" s="531"/>
      <c r="AS34" s="531"/>
      <c r="AT34" s="531"/>
      <c r="AU34" s="531"/>
      <c r="AV34" s="531"/>
      <c r="AW34" s="531"/>
      <c r="AX34" s="464"/>
      <c r="AY34" s="464"/>
      <c r="AZ34" s="531"/>
      <c r="BA34" s="531"/>
      <c r="BB34" s="531"/>
      <c r="BC34" s="531"/>
      <c r="BD34" s="531"/>
      <c r="BE34" s="531"/>
      <c r="BF34" s="531"/>
      <c r="BG34" s="531"/>
      <c r="BH34" s="531"/>
      <c r="BI34" s="531"/>
      <c r="BJ34" s="531"/>
      <c r="BK34" s="531"/>
      <c r="BL34" s="531"/>
      <c r="BM34" s="531"/>
      <c r="BN34" s="531"/>
      <c r="BO34" s="531"/>
      <c r="BP34" s="531"/>
      <c r="BQ34" s="531"/>
      <c r="BR34" s="531"/>
      <c r="BS34" s="531"/>
      <c r="BT34" s="531"/>
      <c r="BU34" s="531"/>
      <c r="BV34" s="531"/>
      <c r="BW34" s="531"/>
      <c r="BX34" s="531"/>
      <c r="BY34" s="531"/>
      <c r="BZ34" s="531"/>
      <c r="CA34" s="531"/>
      <c r="CB34" s="531"/>
      <c r="CC34" s="531"/>
      <c r="CD34" s="534"/>
      <c r="CE34" s="518"/>
      <c r="CF34" s="518"/>
    </row>
    <row r="35" spans="2:84" s="444" customFormat="1" ht="15.75" customHeight="1">
      <c r="B35" s="551" t="s">
        <v>625</v>
      </c>
      <c r="C35" s="550"/>
      <c r="D35" s="549" t="s">
        <v>774</v>
      </c>
      <c r="E35" s="549"/>
      <c r="F35" s="549"/>
      <c r="G35" s="549"/>
      <c r="H35" s="549"/>
      <c r="I35" s="549"/>
      <c r="J35" s="549"/>
      <c r="K35" s="549"/>
      <c r="L35" s="549"/>
      <c r="M35" s="2671" t="s">
        <v>773</v>
      </c>
      <c r="N35" s="2671"/>
      <c r="O35" s="2671"/>
      <c r="P35" s="2672"/>
      <c r="Q35" s="2738"/>
      <c r="R35" s="2739"/>
      <c r="S35" s="2740"/>
      <c r="T35" s="531" t="s">
        <v>772</v>
      </c>
      <c r="U35" s="531"/>
      <c r="V35" s="531"/>
      <c r="W35" s="531"/>
      <c r="X35" s="531"/>
      <c r="Y35" s="531"/>
      <c r="Z35" s="531"/>
      <c r="AA35" s="531"/>
      <c r="AB35" s="531"/>
      <c r="AC35" s="531"/>
      <c r="AD35" s="533" t="s">
        <v>771</v>
      </c>
      <c r="AE35" s="531"/>
      <c r="AF35" s="531"/>
      <c r="AG35" s="532"/>
      <c r="AH35" s="2741"/>
      <c r="AI35" s="2742"/>
      <c r="AJ35" s="2743"/>
      <c r="AK35" s="531"/>
      <c r="AL35" s="531" t="s">
        <v>726</v>
      </c>
      <c r="AM35" s="531"/>
      <c r="AN35" s="531"/>
      <c r="AO35" s="531"/>
      <c r="AP35" s="531"/>
      <c r="AQ35" s="531"/>
      <c r="AR35" s="531"/>
      <c r="AS35" s="531"/>
      <c r="AT35" s="531"/>
      <c r="AU35" s="531"/>
      <c r="AV35" s="531"/>
      <c r="AW35" s="531"/>
      <c r="AX35" s="464"/>
      <c r="AY35" s="464"/>
      <c r="AZ35" s="464"/>
      <c r="BA35" s="464"/>
      <c r="BB35" s="464"/>
      <c r="BC35" s="464"/>
      <c r="BD35" s="464"/>
      <c r="BE35" s="464"/>
      <c r="BF35" s="464"/>
      <c r="BG35" s="464"/>
      <c r="BH35" s="464"/>
      <c r="BI35" s="464"/>
      <c r="BJ35" s="464"/>
      <c r="BK35" s="464"/>
      <c r="BL35" s="464"/>
      <c r="BM35" s="464"/>
      <c r="BN35" s="464"/>
      <c r="BO35" s="464"/>
      <c r="BP35" s="464"/>
      <c r="BQ35" s="464"/>
      <c r="BR35" s="464"/>
      <c r="BS35" s="464"/>
      <c r="BT35" s="464"/>
      <c r="BU35" s="464"/>
      <c r="BV35" s="464"/>
      <c r="BW35" s="464"/>
      <c r="BX35" s="464"/>
      <c r="BY35" s="464"/>
      <c r="BZ35" s="464"/>
      <c r="CA35" s="464"/>
      <c r="CB35" s="464"/>
      <c r="CC35" s="464"/>
      <c r="CD35" s="463"/>
      <c r="CE35" s="518"/>
      <c r="CF35" s="518"/>
    </row>
    <row r="36" spans="2:84" s="444" customFormat="1" ht="9.75" customHeight="1" thickBot="1">
      <c r="B36" s="462"/>
      <c r="C36" s="461"/>
      <c r="D36" s="530"/>
      <c r="E36" s="530"/>
      <c r="F36" s="530"/>
      <c r="G36" s="530"/>
      <c r="H36" s="530"/>
      <c r="I36" s="530"/>
      <c r="J36" s="530"/>
      <c r="K36" s="530"/>
      <c r="L36" s="529"/>
      <c r="M36" s="529"/>
      <c r="N36" s="529"/>
      <c r="O36" s="528"/>
      <c r="P36" s="528"/>
      <c r="Q36" s="527"/>
      <c r="R36" s="457"/>
      <c r="S36" s="457"/>
      <c r="T36" s="457"/>
      <c r="U36" s="457"/>
      <c r="V36" s="457"/>
      <c r="W36" s="457"/>
      <c r="X36" s="457"/>
      <c r="Y36" s="457"/>
      <c r="Z36" s="457"/>
      <c r="AA36" s="457"/>
      <c r="AB36" s="457"/>
      <c r="AC36" s="457"/>
      <c r="AD36" s="526"/>
      <c r="AE36" s="457"/>
      <c r="AF36" s="457"/>
      <c r="AG36" s="457"/>
      <c r="AH36" s="457"/>
      <c r="AI36" s="457"/>
      <c r="AJ36" s="457"/>
      <c r="AK36" s="457"/>
      <c r="AL36" s="457"/>
      <c r="AM36" s="457"/>
      <c r="AN36" s="457"/>
      <c r="AO36" s="457"/>
      <c r="AP36" s="457"/>
      <c r="AQ36" s="457"/>
      <c r="AR36" s="457"/>
      <c r="AS36" s="457"/>
      <c r="AT36" s="457"/>
      <c r="AU36" s="457"/>
      <c r="AV36" s="457"/>
      <c r="AW36" s="457"/>
      <c r="AX36" s="457"/>
      <c r="AY36" s="457"/>
      <c r="AZ36" s="457"/>
      <c r="BA36" s="457"/>
      <c r="BB36" s="457"/>
      <c r="BC36" s="457"/>
      <c r="BD36" s="457"/>
      <c r="BE36" s="457"/>
      <c r="BF36" s="457"/>
      <c r="BG36" s="457"/>
      <c r="BH36" s="457"/>
      <c r="BI36" s="457"/>
      <c r="BJ36" s="457"/>
      <c r="BK36" s="457"/>
      <c r="BL36" s="457"/>
      <c r="BM36" s="457"/>
      <c r="BN36" s="457"/>
      <c r="BO36" s="457"/>
      <c r="BP36" s="457"/>
      <c r="BQ36" s="457"/>
      <c r="BR36" s="457"/>
      <c r="BS36" s="457"/>
      <c r="BT36" s="457"/>
      <c r="BU36" s="457"/>
      <c r="BV36" s="457"/>
      <c r="BW36" s="457"/>
      <c r="BX36" s="457"/>
      <c r="BY36" s="457"/>
      <c r="BZ36" s="457"/>
      <c r="CA36" s="457"/>
      <c r="CB36" s="457"/>
      <c r="CC36" s="457"/>
      <c r="CD36" s="456"/>
      <c r="CE36" s="518"/>
      <c r="CF36" s="518"/>
    </row>
    <row r="37" spans="2:84" s="444" customFormat="1" ht="24" customHeight="1">
      <c r="B37" s="2668" t="s">
        <v>770</v>
      </c>
      <c r="C37" s="2668"/>
      <c r="D37" s="2668"/>
      <c r="E37" s="2668"/>
      <c r="F37" s="2668"/>
      <c r="G37" s="2668"/>
      <c r="H37" s="2668"/>
      <c r="I37" s="2668"/>
      <c r="J37" s="2668"/>
      <c r="K37" s="2668"/>
      <c r="L37" s="2668"/>
      <c r="M37" s="2668"/>
      <c r="N37" s="2668"/>
      <c r="O37" s="2668"/>
      <c r="P37" s="2668"/>
      <c r="Q37" s="2668"/>
      <c r="R37" s="2668"/>
      <c r="S37" s="2668"/>
      <c r="T37" s="2668"/>
      <c r="U37" s="2668"/>
      <c r="V37" s="2668"/>
      <c r="W37" s="2668"/>
      <c r="X37" s="2668"/>
      <c r="Y37" s="2668"/>
      <c r="Z37" s="2668"/>
      <c r="AA37" s="2668"/>
      <c r="AB37" s="2668"/>
      <c r="AC37" s="2668"/>
      <c r="AD37" s="2668"/>
      <c r="AE37" s="2668"/>
      <c r="AF37" s="2668"/>
      <c r="AG37" s="2668"/>
      <c r="AH37" s="2668"/>
      <c r="AI37" s="2668"/>
      <c r="AJ37" s="2668"/>
      <c r="AK37" s="2668"/>
      <c r="AL37" s="2668"/>
      <c r="AM37" s="2668"/>
      <c r="AN37" s="2668"/>
      <c r="AO37" s="2668"/>
      <c r="AP37" s="2668"/>
      <c r="AQ37" s="2668"/>
      <c r="AR37" s="2668"/>
      <c r="AS37" s="2668"/>
      <c r="AT37" s="2668"/>
      <c r="AU37" s="2668"/>
      <c r="AV37" s="2668"/>
      <c r="AW37" s="2668"/>
      <c r="AX37" s="2668"/>
      <c r="AY37" s="2668"/>
      <c r="AZ37" s="2668"/>
      <c r="BA37" s="2668"/>
      <c r="BB37" s="2668"/>
      <c r="BC37" s="2668"/>
      <c r="BD37" s="2668"/>
      <c r="BE37" s="2668"/>
      <c r="BF37" s="2668"/>
      <c r="BG37" s="2668"/>
      <c r="BH37" s="525"/>
      <c r="BI37" s="525"/>
      <c r="BJ37" s="525"/>
      <c r="BK37" s="525"/>
      <c r="BL37" s="525"/>
      <c r="BM37" s="525"/>
      <c r="BN37" s="525"/>
      <c r="BO37" s="525"/>
      <c r="BP37" s="525"/>
      <c r="BQ37" s="525"/>
      <c r="BR37" s="525"/>
      <c r="BS37" s="525"/>
      <c r="BT37" s="525"/>
      <c r="BU37" s="525"/>
      <c r="BV37" s="525"/>
      <c r="BW37" s="525"/>
      <c r="BX37" s="525"/>
      <c r="BY37" s="525"/>
      <c r="BZ37" s="525"/>
      <c r="CA37" s="525"/>
      <c r="CB37" s="525"/>
      <c r="CC37" s="525"/>
      <c r="CD37" s="518"/>
      <c r="CE37" s="518"/>
      <c r="CF37" s="518"/>
    </row>
    <row r="38" spans="2:84" s="444" customFormat="1" ht="3" customHeight="1">
      <c r="B38" s="524"/>
      <c r="C38" s="524"/>
      <c r="D38" s="523"/>
      <c r="E38" s="523"/>
      <c r="F38" s="523"/>
      <c r="G38" s="523"/>
      <c r="H38" s="523"/>
      <c r="I38" s="521"/>
      <c r="J38" s="522"/>
      <c r="K38" s="522"/>
      <c r="L38" s="522"/>
      <c r="M38" s="521"/>
      <c r="Q38" s="520"/>
      <c r="R38" s="519"/>
      <c r="S38" s="519"/>
      <c r="T38" s="519"/>
      <c r="U38" s="519"/>
      <c r="V38" s="519"/>
      <c r="W38" s="519"/>
      <c r="X38" s="519"/>
      <c r="Y38" s="519"/>
      <c r="Z38" s="519"/>
      <c r="AA38" s="519"/>
      <c r="AB38" s="519"/>
      <c r="AC38" s="519"/>
      <c r="AD38" s="519"/>
      <c r="AE38" s="519"/>
      <c r="AF38" s="519"/>
      <c r="AG38" s="519"/>
      <c r="AH38" s="519"/>
      <c r="AI38" s="519"/>
      <c r="AJ38" s="519"/>
      <c r="AK38" s="519"/>
      <c r="AL38" s="519"/>
      <c r="AM38" s="519"/>
      <c r="AN38" s="519"/>
      <c r="AO38" s="519"/>
      <c r="AP38" s="519"/>
      <c r="AQ38" s="519"/>
      <c r="AR38" s="519"/>
      <c r="AS38" s="519"/>
      <c r="AT38" s="519"/>
      <c r="AU38" s="519"/>
      <c r="AV38" s="519"/>
      <c r="AW38" s="519"/>
      <c r="AX38" s="519"/>
      <c r="AY38" s="519"/>
      <c r="AZ38" s="519"/>
      <c r="BA38" s="519"/>
      <c r="BB38" s="519"/>
      <c r="BC38" s="519"/>
      <c r="BD38" s="519"/>
      <c r="BE38" s="519"/>
      <c r="BF38" s="519"/>
      <c r="BG38" s="519"/>
      <c r="BH38" s="519"/>
      <c r="BI38" s="519"/>
      <c r="BJ38" s="519"/>
      <c r="BK38" s="519"/>
      <c r="BL38" s="519"/>
      <c r="BM38" s="519"/>
      <c r="BN38" s="519"/>
      <c r="BO38" s="519"/>
      <c r="BP38" s="519"/>
      <c r="BQ38" s="519"/>
      <c r="BR38" s="519"/>
      <c r="BS38" s="519"/>
      <c r="BT38" s="519"/>
      <c r="BU38" s="519"/>
      <c r="BV38" s="519"/>
      <c r="BW38" s="519"/>
      <c r="BX38" s="519"/>
      <c r="BY38" s="519"/>
      <c r="BZ38" s="519"/>
      <c r="CA38" s="519"/>
      <c r="CB38" s="519"/>
      <c r="CC38" s="519"/>
      <c r="CD38" s="518"/>
      <c r="CE38" s="518"/>
      <c r="CF38" s="518"/>
    </row>
    <row r="39" spans="2:84" s="449" customFormat="1" ht="19" customHeight="1">
      <c r="B39" s="2709" t="s">
        <v>340</v>
      </c>
      <c r="C39" s="2710"/>
      <c r="D39" s="2710"/>
      <c r="E39" s="2710"/>
      <c r="F39" s="2710"/>
      <c r="G39" s="2710"/>
      <c r="H39" s="2710"/>
      <c r="I39" s="2710"/>
      <c r="J39" s="2710"/>
      <c r="K39" s="2710"/>
      <c r="L39" s="2710"/>
      <c r="M39" s="2710"/>
      <c r="N39" s="2710"/>
      <c r="O39" s="2710"/>
      <c r="P39" s="2710"/>
      <c r="Q39" s="2710"/>
      <c r="R39" s="2710"/>
      <c r="S39" s="2710"/>
      <c r="T39" s="2710"/>
      <c r="U39" s="2710"/>
      <c r="V39" s="2710"/>
      <c r="W39" s="2710"/>
      <c r="X39" s="2710"/>
      <c r="Y39" s="2710"/>
      <c r="Z39" s="2710"/>
      <c r="AA39" s="2710"/>
      <c r="AB39" s="2710"/>
      <c r="AC39" s="2710"/>
      <c r="AD39" s="2710"/>
      <c r="AE39" s="2710"/>
      <c r="AF39" s="2710"/>
      <c r="AG39" s="2710"/>
      <c r="AH39" s="2710"/>
      <c r="AI39" s="2710"/>
      <c r="AJ39" s="2710"/>
      <c r="AK39" s="2710"/>
      <c r="AL39" s="2710"/>
      <c r="AM39" s="2710"/>
      <c r="AN39" s="2710"/>
      <c r="AO39" s="2710"/>
      <c r="AP39" s="2710"/>
      <c r="AQ39" s="2710"/>
      <c r="AR39" s="2710"/>
      <c r="AS39" s="2710"/>
      <c r="AT39" s="2710"/>
      <c r="AU39" s="2710"/>
      <c r="AV39" s="2710"/>
      <c r="AW39" s="2710"/>
      <c r="AX39" s="2710"/>
      <c r="AY39" s="2710"/>
      <c r="AZ39" s="2710"/>
      <c r="BA39" s="2710"/>
      <c r="BB39" s="2710"/>
      <c r="BC39" s="2710"/>
      <c r="BD39" s="2710"/>
      <c r="BE39" s="2710"/>
      <c r="BF39" s="2710"/>
      <c r="BG39" s="2710"/>
      <c r="BH39" s="2710"/>
      <c r="BI39" s="2710"/>
      <c r="BJ39" s="2710"/>
      <c r="BK39" s="2710"/>
      <c r="BL39" s="2710"/>
      <c r="BM39" s="2711"/>
      <c r="BN39" s="2659" t="s">
        <v>769</v>
      </c>
      <c r="BO39" s="2660"/>
      <c r="BP39" s="2660"/>
      <c r="BQ39" s="2660"/>
      <c r="BR39" s="2660"/>
      <c r="BS39" s="2660"/>
      <c r="BT39" s="2660"/>
      <c r="BU39" s="2660"/>
      <c r="BV39" s="2660"/>
      <c r="BW39" s="2660"/>
      <c r="BX39" s="2660"/>
      <c r="BY39" s="2660"/>
      <c r="BZ39" s="2660"/>
      <c r="CA39" s="2660"/>
      <c r="CB39" s="2660"/>
      <c r="CC39" s="2660"/>
      <c r="CD39" s="2661"/>
      <c r="CE39" s="511"/>
      <c r="CF39" s="511"/>
    </row>
    <row r="40" spans="2:84" s="449" customFormat="1" ht="3" customHeight="1">
      <c r="B40" s="517"/>
      <c r="C40" s="516"/>
      <c r="D40" s="516"/>
      <c r="E40" s="516"/>
      <c r="F40" s="516"/>
      <c r="G40" s="516"/>
      <c r="H40" s="516"/>
      <c r="I40" s="516"/>
      <c r="J40" s="516"/>
      <c r="K40" s="516"/>
      <c r="L40" s="516"/>
      <c r="M40" s="516"/>
      <c r="N40" s="516"/>
      <c r="O40" s="516"/>
      <c r="P40" s="516"/>
      <c r="Q40" s="516"/>
      <c r="R40" s="516"/>
      <c r="S40" s="516"/>
      <c r="T40" s="516"/>
      <c r="U40" s="516"/>
      <c r="V40" s="516"/>
      <c r="W40" s="516"/>
      <c r="X40" s="516"/>
      <c r="Y40" s="516"/>
      <c r="Z40" s="516"/>
      <c r="AA40" s="516"/>
      <c r="AB40" s="516"/>
      <c r="AC40" s="516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4"/>
      <c r="BO40" s="513"/>
      <c r="BP40" s="513"/>
      <c r="BQ40" s="513"/>
      <c r="BR40" s="513"/>
      <c r="BS40" s="513"/>
      <c r="BT40" s="513"/>
      <c r="BU40" s="513"/>
      <c r="BV40" s="513"/>
      <c r="BW40" s="513"/>
      <c r="BX40" s="513"/>
      <c r="BY40" s="513"/>
      <c r="BZ40" s="513"/>
      <c r="CA40" s="513"/>
      <c r="CB40" s="513"/>
      <c r="CC40" s="513"/>
      <c r="CD40" s="512"/>
      <c r="CE40" s="511"/>
      <c r="CF40" s="511"/>
    </row>
    <row r="41" spans="2:84" s="500" customFormat="1" ht="17.25" customHeight="1">
      <c r="B41" s="2713" t="s">
        <v>768</v>
      </c>
      <c r="C41" s="2714"/>
      <c r="D41" s="2714"/>
      <c r="E41" s="2714"/>
      <c r="F41" s="2714"/>
      <c r="G41" s="2714"/>
      <c r="H41" s="2714"/>
      <c r="I41" s="2714"/>
      <c r="J41" s="2714"/>
      <c r="K41" s="2714"/>
      <c r="L41" s="2714"/>
      <c r="M41" s="510" t="s">
        <v>26</v>
      </c>
      <c r="N41" s="510"/>
      <c r="O41" s="2659"/>
      <c r="P41" s="2660"/>
      <c r="Q41" s="2661"/>
      <c r="R41" s="2712" t="s">
        <v>767</v>
      </c>
      <c r="S41" s="2708"/>
      <c r="T41" s="2708"/>
      <c r="U41" s="2708"/>
      <c r="V41" s="2708"/>
      <c r="W41" s="2708"/>
      <c r="X41" s="2708"/>
      <c r="Y41" s="2708"/>
      <c r="Z41" s="510"/>
      <c r="AA41" s="2659"/>
      <c r="AB41" s="2660"/>
      <c r="AC41" s="2660"/>
      <c r="AD41" s="2661"/>
      <c r="AE41" s="2713" t="s">
        <v>766</v>
      </c>
      <c r="AF41" s="2714"/>
      <c r="AG41" s="2714"/>
      <c r="AH41" s="2714"/>
      <c r="AI41" s="2714"/>
      <c r="AJ41" s="2714"/>
      <c r="AK41" s="2714"/>
      <c r="AL41" s="2714"/>
      <c r="AM41" s="2714"/>
      <c r="AN41" s="2714"/>
      <c r="AV41" s="510"/>
      <c r="AW41" s="510"/>
      <c r="AX41" s="510"/>
      <c r="AY41" s="510"/>
      <c r="AZ41" s="510"/>
      <c r="BA41" s="510"/>
      <c r="BB41" s="510"/>
      <c r="BC41" s="510"/>
      <c r="BD41" s="510"/>
      <c r="BE41" s="510"/>
      <c r="BF41" s="2708"/>
      <c r="BG41" s="2708"/>
      <c r="BH41" s="2708"/>
      <c r="BI41" s="2708"/>
      <c r="BJ41" s="2708"/>
      <c r="BK41" s="2708"/>
      <c r="BL41" s="2708"/>
      <c r="BM41" s="2708"/>
      <c r="BN41" s="2662"/>
      <c r="BO41" s="2663"/>
      <c r="BP41" s="2663"/>
      <c r="BQ41" s="2663"/>
      <c r="BR41" s="2663"/>
      <c r="BS41" s="2663"/>
      <c r="BT41" s="2663"/>
      <c r="BU41" s="2663"/>
      <c r="BV41" s="2663"/>
      <c r="BW41" s="2663"/>
      <c r="BX41" s="2663"/>
      <c r="BY41" s="2663"/>
      <c r="BZ41" s="2663"/>
      <c r="CA41" s="2663"/>
      <c r="CB41" s="2663"/>
      <c r="CC41" s="2663"/>
      <c r="CD41" s="2664"/>
      <c r="CE41" s="501"/>
      <c r="CF41" s="501"/>
    </row>
    <row r="42" spans="2:84" s="500" customFormat="1" ht="3" customHeight="1">
      <c r="B42" s="509"/>
      <c r="C42" s="508"/>
      <c r="D42" s="508"/>
      <c r="E42" s="508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8"/>
      <c r="AI42" s="508"/>
      <c r="AJ42" s="508"/>
      <c r="AK42" s="508"/>
      <c r="AL42" s="508"/>
      <c r="AM42" s="508"/>
      <c r="AN42" s="508"/>
      <c r="AO42" s="508"/>
      <c r="AP42" s="508"/>
      <c r="AQ42" s="508"/>
      <c r="AR42" s="508"/>
      <c r="AS42" s="508"/>
      <c r="AT42" s="508"/>
      <c r="AU42" s="508"/>
      <c r="AV42" s="508"/>
      <c r="AW42" s="508"/>
      <c r="AX42" s="508"/>
      <c r="AY42" s="508"/>
      <c r="AZ42" s="508"/>
      <c r="BA42" s="508"/>
      <c r="BB42" s="508"/>
      <c r="BC42" s="508"/>
      <c r="BD42" s="508"/>
      <c r="BE42" s="508"/>
      <c r="BF42" s="508"/>
      <c r="BG42" s="507"/>
      <c r="BH42" s="507"/>
      <c r="BI42" s="507"/>
      <c r="BJ42" s="507"/>
      <c r="BK42" s="507"/>
      <c r="BL42" s="507"/>
      <c r="BM42" s="507"/>
      <c r="BN42" s="506"/>
      <c r="BO42" s="505"/>
      <c r="BP42" s="505"/>
      <c r="BQ42" s="505"/>
      <c r="BR42" s="505"/>
      <c r="BS42" s="505"/>
      <c r="BT42" s="505"/>
      <c r="BU42" s="505"/>
      <c r="BV42" s="505"/>
      <c r="BW42" s="505"/>
      <c r="BX42" s="505"/>
      <c r="BY42" s="505"/>
      <c r="BZ42" s="505"/>
      <c r="CA42" s="505"/>
      <c r="CB42" s="505"/>
      <c r="CC42" s="505"/>
      <c r="CD42" s="504"/>
      <c r="CE42" s="501"/>
      <c r="CF42" s="501"/>
    </row>
    <row r="43" spans="2:84" s="500" customFormat="1" ht="20.15" customHeight="1">
      <c r="B43" s="2744" t="s">
        <v>765</v>
      </c>
      <c r="C43" s="2745"/>
      <c r="D43" s="2745"/>
      <c r="E43" s="2745"/>
      <c r="F43" s="2745"/>
      <c r="G43" s="2745"/>
      <c r="H43" s="2745"/>
      <c r="I43" s="2745"/>
      <c r="J43" s="2745"/>
      <c r="K43" s="2745"/>
      <c r="L43" s="2745"/>
      <c r="M43" s="2745"/>
      <c r="N43" s="2745"/>
      <c r="O43" s="2745"/>
      <c r="P43" s="2745"/>
      <c r="Q43" s="2745"/>
      <c r="R43" s="2745"/>
      <c r="S43" s="2745"/>
      <c r="T43" s="2745"/>
      <c r="U43" s="503"/>
      <c r="V43" s="503"/>
      <c r="W43" s="503"/>
      <c r="X43" s="503"/>
      <c r="Y43" s="503"/>
      <c r="Z43" s="503"/>
      <c r="AA43" s="503"/>
      <c r="AB43" s="503"/>
      <c r="AC43" s="503"/>
      <c r="AD43" s="503"/>
      <c r="AE43" s="503"/>
      <c r="AF43" s="503"/>
      <c r="AG43" s="503"/>
      <c r="AH43" s="503"/>
      <c r="AI43" s="503"/>
      <c r="AJ43" s="503"/>
      <c r="AK43" s="503"/>
      <c r="AL43" s="503"/>
      <c r="AM43" s="503"/>
      <c r="AN43" s="503"/>
      <c r="AO43" s="503"/>
      <c r="AP43" s="503"/>
      <c r="AQ43" s="503"/>
      <c r="AR43" s="503"/>
      <c r="AS43" s="503"/>
      <c r="AT43" s="503"/>
      <c r="AU43" s="503"/>
      <c r="AV43" s="503"/>
      <c r="AW43" s="503"/>
      <c r="AX43" s="503"/>
      <c r="AY43" s="503"/>
      <c r="AZ43" s="503"/>
      <c r="BA43" s="503"/>
      <c r="BB43" s="503"/>
      <c r="BC43" s="503"/>
      <c r="BD43" s="503"/>
      <c r="BE43" s="503"/>
      <c r="BF43" s="503"/>
      <c r="BG43" s="502"/>
      <c r="BH43" s="502"/>
      <c r="BI43" s="502"/>
      <c r="BJ43" s="502"/>
      <c r="BK43" s="502"/>
      <c r="BL43" s="502"/>
      <c r="BM43" s="502"/>
      <c r="BN43" s="2735"/>
      <c r="BO43" s="2736"/>
      <c r="BP43" s="2736"/>
      <c r="BQ43" s="2736"/>
      <c r="BR43" s="2736"/>
      <c r="BS43" s="2736"/>
      <c r="BT43" s="2736"/>
      <c r="BU43" s="2736"/>
      <c r="BV43" s="2736"/>
      <c r="BW43" s="2736"/>
      <c r="BX43" s="2736"/>
      <c r="BY43" s="2736"/>
      <c r="BZ43" s="2736"/>
      <c r="CA43" s="2736"/>
      <c r="CB43" s="2736"/>
      <c r="CC43" s="2736"/>
      <c r="CD43" s="2737"/>
      <c r="CE43" s="501"/>
      <c r="CF43" s="501"/>
    </row>
    <row r="44" spans="2:84" s="449" customFormat="1" ht="20.15" customHeight="1">
      <c r="B44" s="2681" t="s">
        <v>621</v>
      </c>
      <c r="C44" s="2682"/>
      <c r="D44" s="2666" t="s">
        <v>764</v>
      </c>
      <c r="E44" s="490"/>
      <c r="F44" s="490"/>
      <c r="G44" s="490"/>
      <c r="H44" s="490"/>
      <c r="I44" s="490"/>
      <c r="J44" s="490"/>
      <c r="K44" s="490"/>
      <c r="L44" s="490"/>
      <c r="M44" s="490"/>
      <c r="N44" s="490"/>
      <c r="O44" s="490"/>
      <c r="P44" s="490"/>
      <c r="Q44" s="490"/>
      <c r="R44" s="490"/>
      <c r="S44" s="490"/>
      <c r="T44" s="490"/>
      <c r="U44" s="490"/>
      <c r="V44" s="490"/>
      <c r="W44" s="490"/>
      <c r="X44" s="490"/>
      <c r="Y44" s="490"/>
      <c r="Z44" s="490"/>
      <c r="AA44" s="490"/>
      <c r="AB44" s="490"/>
      <c r="AC44" s="490"/>
      <c r="AD44" s="490"/>
      <c r="AE44" s="490"/>
      <c r="AF44" s="490"/>
      <c r="AG44" s="490"/>
      <c r="AH44" s="490"/>
      <c r="AI44" s="490"/>
      <c r="AJ44" s="490"/>
      <c r="AK44" s="490"/>
      <c r="AL44" s="490"/>
      <c r="AM44" s="490"/>
      <c r="AN44" s="490"/>
      <c r="AO44" s="490"/>
      <c r="AP44" s="490"/>
      <c r="AQ44" s="490"/>
      <c r="AR44" s="490"/>
      <c r="AS44" s="490"/>
      <c r="AT44" s="490"/>
      <c r="AU44" s="490"/>
      <c r="AV44" s="490"/>
      <c r="AW44" s="490"/>
      <c r="AX44" s="490"/>
      <c r="AY44" s="490"/>
      <c r="AZ44" s="490"/>
      <c r="BA44" s="490"/>
      <c r="BB44" s="490"/>
      <c r="BC44" s="490"/>
      <c r="BD44" s="490"/>
      <c r="BE44" s="490"/>
      <c r="BF44" s="490"/>
      <c r="BG44" s="490"/>
      <c r="BH44" s="490"/>
      <c r="BI44" s="490"/>
      <c r="BJ44" s="490"/>
      <c r="BK44" s="490"/>
      <c r="BL44" s="490"/>
      <c r="BM44" s="2667"/>
      <c r="BN44" s="2633" t="str">
        <f>'GENERAL INFO'!Q118</f>
        <v> </v>
      </c>
      <c r="BO44" s="2634"/>
      <c r="BP44" s="2634"/>
      <c r="BQ44" s="2634"/>
      <c r="BR44" s="2634"/>
      <c r="BS44" s="2634"/>
      <c r="BT44" s="2634"/>
      <c r="BU44" s="2634"/>
      <c r="BV44" s="2634"/>
      <c r="BW44" s="2634"/>
      <c r="BX44" s="2634"/>
      <c r="BY44" s="2634"/>
      <c r="BZ44" s="2634"/>
      <c r="CA44" s="2634"/>
      <c r="CB44" s="2634"/>
      <c r="CC44" s="2634"/>
      <c r="CD44" s="610"/>
      <c r="CE44" s="450"/>
      <c r="CF44" s="450"/>
    </row>
    <row r="45" spans="2:84" s="449" customFormat="1" ht="20.15" customHeight="1">
      <c r="B45" s="2681" t="s">
        <v>622</v>
      </c>
      <c r="C45" s="2682"/>
      <c r="D45" s="2684" t="s">
        <v>763</v>
      </c>
      <c r="E45" s="491"/>
      <c r="F45" s="491"/>
      <c r="G45" s="491"/>
      <c r="H45" s="491"/>
      <c r="I45" s="491"/>
      <c r="J45" s="491"/>
      <c r="K45" s="491"/>
      <c r="L45" s="491"/>
      <c r="M45" s="491"/>
      <c r="N45" s="491"/>
      <c r="O45" s="491"/>
      <c r="P45" s="491"/>
      <c r="Q45" s="491"/>
      <c r="R45" s="491"/>
      <c r="S45" s="491"/>
      <c r="T45" s="491"/>
      <c r="U45" s="491"/>
      <c r="V45" s="491"/>
      <c r="W45" s="491"/>
      <c r="X45" s="491"/>
      <c r="Y45" s="491"/>
      <c r="Z45" s="491"/>
      <c r="AA45" s="491"/>
      <c r="AB45" s="491"/>
      <c r="AC45" s="491"/>
      <c r="AD45" s="491"/>
      <c r="AE45" s="491"/>
      <c r="AF45" s="491"/>
      <c r="AG45" s="491"/>
      <c r="AH45" s="491"/>
      <c r="AI45" s="491"/>
      <c r="AJ45" s="491"/>
      <c r="AK45" s="491"/>
      <c r="AL45" s="491"/>
      <c r="AM45" s="491"/>
      <c r="AN45" s="495"/>
      <c r="AO45" s="495"/>
      <c r="AP45" s="495"/>
      <c r="AQ45" s="495"/>
      <c r="AR45" s="495"/>
      <c r="AS45" s="495"/>
      <c r="AT45" s="495"/>
      <c r="AU45" s="495"/>
      <c r="AV45" s="495"/>
      <c r="AW45" s="495"/>
      <c r="AX45" s="495"/>
      <c r="AY45" s="495"/>
      <c r="AZ45" s="495"/>
      <c r="BA45" s="495"/>
      <c r="BB45" s="495"/>
      <c r="BC45" s="495"/>
      <c r="BD45" s="495"/>
      <c r="BE45" s="495"/>
      <c r="BF45" s="495"/>
      <c r="BG45" s="495"/>
      <c r="BH45" s="495"/>
      <c r="BI45" s="495"/>
      <c r="BJ45" s="495"/>
      <c r="BK45" s="495"/>
      <c r="BL45" s="495"/>
      <c r="BM45" s="495"/>
      <c r="BN45" s="2633">
        <f>'GENERAL INFO'!Q119</f>
        <v>0</v>
      </c>
      <c r="BO45" s="2634"/>
      <c r="BP45" s="2634"/>
      <c r="BQ45" s="2634"/>
      <c r="BR45" s="2634"/>
      <c r="BS45" s="2634"/>
      <c r="BT45" s="2634"/>
      <c r="BU45" s="2634"/>
      <c r="BV45" s="2634"/>
      <c r="BW45" s="2634"/>
      <c r="BX45" s="2634"/>
      <c r="BY45" s="2634"/>
      <c r="BZ45" s="2634"/>
      <c r="CA45" s="2634"/>
      <c r="CB45" s="2634"/>
      <c r="CC45" s="2634"/>
      <c r="CD45" s="611"/>
      <c r="CE45" s="450"/>
      <c r="CF45" s="450"/>
    </row>
    <row r="46" spans="2:84" s="449" customFormat="1" ht="20.15" customHeight="1">
      <c r="B46" s="2681" t="s">
        <v>623</v>
      </c>
      <c r="C46" s="2682"/>
      <c r="D46" s="2684" t="s">
        <v>762</v>
      </c>
      <c r="E46" s="491"/>
      <c r="F46" s="491"/>
      <c r="G46" s="491"/>
      <c r="H46" s="491"/>
      <c r="I46" s="491"/>
      <c r="J46" s="491"/>
      <c r="K46" s="491"/>
      <c r="L46" s="491"/>
      <c r="M46" s="491"/>
      <c r="N46" s="491"/>
      <c r="O46" s="491"/>
      <c r="P46" s="491"/>
      <c r="Q46" s="491"/>
      <c r="R46" s="491"/>
      <c r="S46" s="491"/>
      <c r="T46" s="491"/>
      <c r="U46" s="491"/>
      <c r="V46" s="491"/>
      <c r="W46" s="491"/>
      <c r="X46" s="491"/>
      <c r="Y46" s="491"/>
      <c r="Z46" s="491"/>
      <c r="AA46" s="491"/>
      <c r="AB46" s="491"/>
      <c r="AC46" s="491"/>
      <c r="AD46" s="491"/>
      <c r="AE46" s="491"/>
      <c r="AF46" s="491"/>
      <c r="AG46" s="491"/>
      <c r="AH46" s="491"/>
      <c r="AI46" s="491"/>
      <c r="AJ46" s="491"/>
      <c r="AK46" s="491"/>
      <c r="AL46" s="491"/>
      <c r="AM46" s="491"/>
      <c r="AN46" s="491"/>
      <c r="AO46" s="491"/>
      <c r="AP46" s="491"/>
      <c r="AQ46" s="491"/>
      <c r="AR46" s="491"/>
      <c r="AS46" s="491"/>
      <c r="AT46" s="491"/>
      <c r="AU46" s="491"/>
      <c r="AV46" s="491"/>
      <c r="AW46" s="499"/>
      <c r="AX46" s="495"/>
      <c r="AY46" s="495"/>
      <c r="AZ46" s="495"/>
      <c r="BA46" s="495"/>
      <c r="BB46" s="495"/>
      <c r="BC46" s="495"/>
      <c r="BD46" s="495"/>
      <c r="BE46" s="495"/>
      <c r="BF46" s="495"/>
      <c r="BG46" s="495"/>
      <c r="BH46" s="495"/>
      <c r="BI46" s="495"/>
      <c r="BJ46" s="495"/>
      <c r="BK46" s="495"/>
      <c r="BL46" s="495"/>
      <c r="BM46" s="495"/>
      <c r="BN46" s="2633">
        <f>'GENERAL INFO'!Q120</f>
        <v>0</v>
      </c>
      <c r="BO46" s="2634"/>
      <c r="BP46" s="2634"/>
      <c r="BQ46" s="2634"/>
      <c r="BR46" s="2634"/>
      <c r="BS46" s="2634"/>
      <c r="BT46" s="2634"/>
      <c r="BU46" s="2634"/>
      <c r="BV46" s="2634"/>
      <c r="BW46" s="2634"/>
      <c r="BX46" s="2634"/>
      <c r="BY46" s="2634"/>
      <c r="BZ46" s="2634"/>
      <c r="CA46" s="2634"/>
      <c r="CB46" s="2634"/>
      <c r="CC46" s="2634"/>
      <c r="CD46" s="611"/>
      <c r="CE46" s="450"/>
      <c r="CF46" s="450"/>
    </row>
    <row r="47" spans="2:84" s="449" customFormat="1" ht="20.15" customHeight="1">
      <c r="B47" s="2681" t="s">
        <v>624</v>
      </c>
      <c r="C47" s="2682"/>
      <c r="D47" s="2684" t="s">
        <v>761</v>
      </c>
      <c r="E47" s="491"/>
      <c r="F47" s="491"/>
      <c r="G47" s="491"/>
      <c r="H47" s="491"/>
      <c r="I47" s="491"/>
      <c r="J47" s="491"/>
      <c r="K47" s="491"/>
      <c r="L47" s="491"/>
      <c r="M47" s="491"/>
      <c r="N47" s="491"/>
      <c r="O47" s="491"/>
      <c r="P47" s="491"/>
      <c r="Q47" s="491"/>
      <c r="R47" s="491"/>
      <c r="S47" s="491"/>
      <c r="T47" s="491"/>
      <c r="U47" s="491"/>
      <c r="V47" s="491"/>
      <c r="W47" s="491"/>
      <c r="X47" s="491"/>
      <c r="Y47" s="491"/>
      <c r="Z47" s="491"/>
      <c r="AA47" s="491"/>
      <c r="AB47" s="491"/>
      <c r="AC47" s="491"/>
      <c r="AD47" s="491"/>
      <c r="AE47" s="491"/>
      <c r="AF47" s="491"/>
      <c r="AG47" s="491"/>
      <c r="AH47" s="491"/>
      <c r="AI47" s="491"/>
      <c r="AJ47" s="491"/>
      <c r="AK47" s="491"/>
      <c r="AL47" s="491"/>
      <c r="AM47" s="491"/>
      <c r="AN47" s="491"/>
      <c r="AO47" s="491"/>
      <c r="AP47" s="491"/>
      <c r="AQ47" s="491"/>
      <c r="AR47" s="491"/>
      <c r="AS47" s="491"/>
      <c r="AT47" s="491"/>
      <c r="AU47" s="491"/>
      <c r="AV47" s="491"/>
      <c r="AW47" s="491"/>
      <c r="AX47" s="491"/>
      <c r="AY47" s="491"/>
      <c r="AZ47" s="491"/>
      <c r="BA47" s="491"/>
      <c r="BB47" s="491"/>
      <c r="BC47" s="491"/>
      <c r="BD47" s="491"/>
      <c r="BE47" s="491"/>
      <c r="BF47" s="491"/>
      <c r="BG47" s="491"/>
      <c r="BH47" s="491"/>
      <c r="BI47" s="491"/>
      <c r="BJ47" s="491"/>
      <c r="BK47" s="491"/>
      <c r="BL47" s="491"/>
      <c r="BM47" s="2687"/>
      <c r="BN47" s="2633">
        <f>'GENERAL INFO'!Q121</f>
        <v>0</v>
      </c>
      <c r="BO47" s="2634"/>
      <c r="BP47" s="2634"/>
      <c r="BQ47" s="2634"/>
      <c r="BR47" s="2634"/>
      <c r="BS47" s="2634"/>
      <c r="BT47" s="2634"/>
      <c r="BU47" s="2634"/>
      <c r="BV47" s="2634"/>
      <c r="BW47" s="2634"/>
      <c r="BX47" s="2634"/>
      <c r="BY47" s="2634"/>
      <c r="BZ47" s="2634"/>
      <c r="CA47" s="2634"/>
      <c r="CB47" s="2634"/>
      <c r="CC47" s="2634"/>
      <c r="CD47" s="611"/>
      <c r="CE47" s="450"/>
      <c r="CF47" s="450"/>
    </row>
    <row r="48" spans="2:84" s="449" customFormat="1" ht="20.15" customHeight="1">
      <c r="B48" s="2681" t="s">
        <v>625</v>
      </c>
      <c r="C48" s="2682"/>
      <c r="D48" s="2684" t="s">
        <v>760</v>
      </c>
      <c r="E48" s="491"/>
      <c r="F48" s="491"/>
      <c r="G48" s="491"/>
      <c r="H48" s="491"/>
      <c r="I48" s="491"/>
      <c r="J48" s="491"/>
      <c r="K48" s="491"/>
      <c r="L48" s="491"/>
      <c r="M48" s="491"/>
      <c r="N48" s="491"/>
      <c r="O48" s="491"/>
      <c r="P48" s="491"/>
      <c r="Q48" s="491"/>
      <c r="R48" s="491"/>
      <c r="S48" s="491"/>
      <c r="T48" s="491"/>
      <c r="U48" s="491"/>
      <c r="V48" s="491"/>
      <c r="W48" s="491"/>
      <c r="X48" s="491"/>
      <c r="Y48" s="491"/>
      <c r="Z48" s="491"/>
      <c r="AA48" s="491"/>
      <c r="AB48" s="491"/>
      <c r="AC48" s="491"/>
      <c r="AD48" s="491"/>
      <c r="AE48" s="491"/>
      <c r="AF48" s="491"/>
      <c r="AG48" s="491"/>
      <c r="AH48" s="491"/>
      <c r="AI48" s="491"/>
      <c r="AJ48" s="491"/>
      <c r="AK48" s="491"/>
      <c r="AL48" s="491"/>
      <c r="AM48" s="491"/>
      <c r="AN48" s="491"/>
      <c r="AO48" s="491"/>
      <c r="AP48" s="491"/>
      <c r="AQ48" s="491"/>
      <c r="AR48" s="491"/>
      <c r="AS48" s="491"/>
      <c r="AT48" s="491"/>
      <c r="AU48" s="491"/>
      <c r="AV48" s="491"/>
      <c r="AW48" s="491"/>
      <c r="AX48" s="491"/>
      <c r="AY48" s="491"/>
      <c r="AZ48" s="491"/>
      <c r="BA48" s="491"/>
      <c r="BB48" s="491"/>
      <c r="BC48" s="491"/>
      <c r="BD48" s="491"/>
      <c r="BE48" s="491"/>
      <c r="BF48" s="491"/>
      <c r="BG48" s="491"/>
      <c r="BH48" s="491"/>
      <c r="BI48" s="491"/>
      <c r="BJ48" s="491"/>
      <c r="BK48" s="491"/>
      <c r="BL48" s="491"/>
      <c r="BM48" s="2687"/>
      <c r="BN48" s="2633">
        <f>'GENERAL INFO'!Q122</f>
        <v>0</v>
      </c>
      <c r="BO48" s="2634"/>
      <c r="BP48" s="2634"/>
      <c r="BQ48" s="2634"/>
      <c r="BR48" s="2634"/>
      <c r="BS48" s="2634"/>
      <c r="BT48" s="2634"/>
      <c r="BU48" s="2634"/>
      <c r="BV48" s="2634"/>
      <c r="BW48" s="2634"/>
      <c r="BX48" s="2634"/>
      <c r="BY48" s="2634"/>
      <c r="BZ48" s="2634"/>
      <c r="CA48" s="2634"/>
      <c r="CB48" s="2634"/>
      <c r="CC48" s="2634"/>
      <c r="CD48" s="611"/>
      <c r="CE48" s="450"/>
      <c r="CF48" s="450"/>
    </row>
    <row r="49" spans="2:84" s="449" customFormat="1" ht="20.15" customHeight="1">
      <c r="B49" s="2681" t="s">
        <v>626</v>
      </c>
      <c r="C49" s="2682"/>
      <c r="D49" s="2684" t="s">
        <v>759</v>
      </c>
      <c r="E49" s="2685"/>
      <c r="F49" s="2685"/>
      <c r="G49" s="2685"/>
      <c r="H49" s="2685"/>
      <c r="I49" s="2685"/>
      <c r="J49" s="2685"/>
      <c r="K49" s="2685"/>
      <c r="L49" s="2685"/>
      <c r="M49" s="2685"/>
      <c r="N49" s="2685"/>
      <c r="O49" s="2685"/>
      <c r="P49" s="2685"/>
      <c r="Q49" s="2685"/>
      <c r="R49" s="2685"/>
      <c r="S49" s="2685"/>
      <c r="T49" s="2685"/>
      <c r="U49" s="2685"/>
      <c r="V49" s="2685"/>
      <c r="W49" s="2685"/>
      <c r="X49" s="2685"/>
      <c r="Y49" s="2685"/>
      <c r="Z49" s="2685"/>
      <c r="AA49" s="2685"/>
      <c r="AB49" s="2685"/>
      <c r="AC49" s="2685"/>
      <c r="AD49" s="2685"/>
      <c r="AE49" s="2685"/>
      <c r="AF49" s="2685"/>
      <c r="AG49" s="2685"/>
      <c r="AH49" s="2685"/>
      <c r="AI49" s="2685"/>
      <c r="AJ49" s="2685"/>
      <c r="AK49" s="2685"/>
      <c r="AL49" s="2685"/>
      <c r="AM49" s="2685"/>
      <c r="AN49" s="2685"/>
      <c r="AO49" s="2685"/>
      <c r="AP49" s="2685"/>
      <c r="AQ49" s="2685"/>
      <c r="AR49" s="2685"/>
      <c r="AS49" s="2685"/>
      <c r="AT49" s="2685"/>
      <c r="AU49" s="2685"/>
      <c r="AV49" s="2685"/>
      <c r="AW49" s="2685"/>
      <c r="AX49" s="2685"/>
      <c r="AY49" s="2685"/>
      <c r="AZ49" s="2685"/>
      <c r="BA49" s="2685"/>
      <c r="BB49" s="2685"/>
      <c r="BC49" s="2685"/>
      <c r="BD49" s="2685"/>
      <c r="BE49" s="2685"/>
      <c r="BF49" s="2685"/>
      <c r="BG49" s="2685"/>
      <c r="BH49" s="2685"/>
      <c r="BI49" s="2685"/>
      <c r="BJ49" s="2685"/>
      <c r="BK49" s="2685"/>
      <c r="BL49" s="2685"/>
      <c r="BM49" s="2686"/>
      <c r="BN49" s="2633">
        <f>'GENERAL INFO'!Q123</f>
        <v>0</v>
      </c>
      <c r="BO49" s="2634"/>
      <c r="BP49" s="2634"/>
      <c r="BQ49" s="2634"/>
      <c r="BR49" s="2634"/>
      <c r="BS49" s="2634"/>
      <c r="BT49" s="2634"/>
      <c r="BU49" s="2634"/>
      <c r="BV49" s="2634"/>
      <c r="BW49" s="2634"/>
      <c r="BX49" s="2634"/>
      <c r="BY49" s="2634"/>
      <c r="BZ49" s="2634"/>
      <c r="CA49" s="2634"/>
      <c r="CB49" s="2634"/>
      <c r="CC49" s="2634"/>
      <c r="CD49" s="611"/>
      <c r="CE49" s="450"/>
      <c r="CF49" s="450"/>
    </row>
    <row r="50" spans="2:84" s="449" customFormat="1" ht="25.5" customHeight="1">
      <c r="B50" s="2681" t="s">
        <v>629</v>
      </c>
      <c r="C50" s="2682"/>
      <c r="D50" s="2666" t="s">
        <v>758</v>
      </c>
      <c r="E50" s="490"/>
      <c r="F50" s="490"/>
      <c r="G50" s="490"/>
      <c r="H50" s="490"/>
      <c r="I50" s="490"/>
      <c r="J50" s="490"/>
      <c r="K50" s="490"/>
      <c r="L50" s="490"/>
      <c r="M50" s="490"/>
      <c r="N50" s="490"/>
      <c r="O50" s="490"/>
      <c r="P50" s="490"/>
      <c r="Q50" s="490"/>
      <c r="R50" s="490"/>
      <c r="S50" s="490"/>
      <c r="T50" s="490"/>
      <c r="U50" s="490"/>
      <c r="V50" s="490"/>
      <c r="W50" s="490"/>
      <c r="X50" s="490"/>
      <c r="Y50" s="490"/>
      <c r="Z50" s="490"/>
      <c r="AA50" s="490"/>
      <c r="AB50" s="490"/>
      <c r="AC50" s="490"/>
      <c r="AD50" s="490"/>
      <c r="AE50" s="490"/>
      <c r="AF50" s="490"/>
      <c r="AG50" s="490"/>
      <c r="AH50" s="490"/>
      <c r="AI50" s="490"/>
      <c r="AJ50" s="490"/>
      <c r="AK50" s="490"/>
      <c r="AL50" s="490"/>
      <c r="AM50" s="490"/>
      <c r="AN50" s="490"/>
      <c r="AO50" s="490"/>
      <c r="AP50" s="490"/>
      <c r="AQ50" s="490"/>
      <c r="AR50" s="490"/>
      <c r="AS50" s="490"/>
      <c r="AT50" s="490"/>
      <c r="AU50" s="490"/>
      <c r="AV50" s="490"/>
      <c r="AW50" s="490"/>
      <c r="AX50" s="490"/>
      <c r="AY50" s="490"/>
      <c r="AZ50" s="495"/>
      <c r="BA50" s="495"/>
      <c r="BB50" s="495"/>
      <c r="BC50" s="495"/>
      <c r="BD50" s="495"/>
      <c r="BE50" s="495"/>
      <c r="BF50" s="498"/>
      <c r="BG50" s="495"/>
      <c r="BH50" s="495"/>
      <c r="BI50" s="495"/>
      <c r="BJ50" s="495"/>
      <c r="BK50" s="498"/>
      <c r="BL50" s="495"/>
      <c r="BM50" s="495"/>
      <c r="BN50" s="2633">
        <f>'GENERAL INFO'!Q124</f>
        <v>0</v>
      </c>
      <c r="BO50" s="2634"/>
      <c r="BP50" s="2634"/>
      <c r="BQ50" s="2634"/>
      <c r="BR50" s="2634"/>
      <c r="BS50" s="2634"/>
      <c r="BT50" s="2634"/>
      <c r="BU50" s="2634"/>
      <c r="BV50" s="2634"/>
      <c r="BW50" s="2634"/>
      <c r="BX50" s="2634"/>
      <c r="BY50" s="2634"/>
      <c r="BZ50" s="2634"/>
      <c r="CA50" s="2634"/>
      <c r="CB50" s="2634"/>
      <c r="CC50" s="2634"/>
      <c r="CD50" s="611"/>
      <c r="CE50" s="450"/>
      <c r="CF50" s="450"/>
    </row>
    <row r="51" spans="2:84" s="449" customFormat="1" ht="20.15" customHeight="1">
      <c r="B51" s="2690" t="s">
        <v>630</v>
      </c>
      <c r="C51" s="2691"/>
      <c r="D51" s="2666" t="s">
        <v>757</v>
      </c>
      <c r="E51" s="490"/>
      <c r="F51" s="490"/>
      <c r="G51" s="490"/>
      <c r="H51" s="490"/>
      <c r="I51" s="490"/>
      <c r="J51" s="490"/>
      <c r="K51" s="490"/>
      <c r="L51" s="490"/>
      <c r="M51" s="490"/>
      <c r="N51" s="490"/>
      <c r="O51" s="490"/>
      <c r="P51" s="490"/>
      <c r="Q51" s="490"/>
      <c r="R51" s="490"/>
      <c r="S51" s="490"/>
      <c r="T51" s="490"/>
      <c r="U51" s="490"/>
      <c r="V51" s="490"/>
      <c r="W51" s="490"/>
      <c r="X51" s="490"/>
      <c r="Y51" s="490"/>
      <c r="Z51" s="490"/>
      <c r="AA51" s="490"/>
      <c r="AB51" s="490"/>
      <c r="AC51" s="490"/>
      <c r="AD51" s="490"/>
      <c r="AE51" s="490"/>
      <c r="AF51" s="490"/>
      <c r="AG51" s="490"/>
      <c r="AH51" s="490"/>
      <c r="AI51" s="490"/>
      <c r="AJ51" s="490"/>
      <c r="AK51" s="490"/>
      <c r="AL51" s="490"/>
      <c r="AM51" s="490"/>
      <c r="AN51" s="490"/>
      <c r="AO51" s="490"/>
      <c r="AP51" s="490"/>
      <c r="AQ51" s="490"/>
      <c r="AR51" s="490"/>
      <c r="AS51" s="492"/>
      <c r="AT51" s="492"/>
      <c r="AU51" s="492"/>
      <c r="AV51" s="492"/>
      <c r="AW51" s="495"/>
      <c r="AX51" s="495"/>
      <c r="AY51" s="496"/>
      <c r="AZ51" s="496"/>
      <c r="BA51" s="496"/>
      <c r="BB51" s="496"/>
      <c r="BC51" s="496"/>
      <c r="BD51" s="496"/>
      <c r="BE51" s="496"/>
      <c r="BF51" s="496"/>
      <c r="BG51" s="496"/>
      <c r="BH51" s="496"/>
      <c r="BI51" s="496"/>
      <c r="BJ51" s="496"/>
      <c r="BK51" s="495"/>
      <c r="BL51" s="495"/>
      <c r="BM51" s="495"/>
      <c r="BN51" s="2633">
        <f>'GENERAL INFO'!Q125</f>
        <v>0</v>
      </c>
      <c r="BO51" s="2634"/>
      <c r="BP51" s="2634"/>
      <c r="BQ51" s="2634"/>
      <c r="BR51" s="2634"/>
      <c r="BS51" s="2634"/>
      <c r="BT51" s="2634"/>
      <c r="BU51" s="2634"/>
      <c r="BV51" s="2634"/>
      <c r="BW51" s="2634"/>
      <c r="BX51" s="2634"/>
      <c r="BY51" s="2634"/>
      <c r="BZ51" s="2634"/>
      <c r="CA51" s="2634"/>
      <c r="CB51" s="2634"/>
      <c r="CC51" s="2634"/>
      <c r="CD51" s="611"/>
      <c r="CE51" s="450"/>
      <c r="CF51" s="450"/>
    </row>
    <row r="52" spans="2:84" s="449" customFormat="1" ht="20.15" customHeight="1">
      <c r="B52" s="2688" t="s">
        <v>756</v>
      </c>
      <c r="C52" s="2689"/>
      <c r="D52" s="2689"/>
      <c r="E52" s="2689"/>
      <c r="F52" s="2689"/>
      <c r="G52" s="2689"/>
      <c r="H52" s="2689"/>
      <c r="I52" s="2689"/>
      <c r="J52" s="2689"/>
      <c r="K52" s="2689"/>
      <c r="L52" s="2689"/>
      <c r="M52" s="2689"/>
      <c r="N52" s="2689"/>
      <c r="O52" s="2689"/>
      <c r="P52" s="497"/>
      <c r="Q52" s="497"/>
      <c r="R52" s="497"/>
      <c r="S52" s="497"/>
      <c r="T52" s="497"/>
      <c r="U52" s="497"/>
      <c r="V52" s="497"/>
      <c r="W52" s="497"/>
      <c r="X52" s="497"/>
      <c r="Y52" s="497"/>
      <c r="Z52" s="497"/>
      <c r="AA52" s="497"/>
      <c r="AB52" s="497"/>
      <c r="AC52" s="497"/>
      <c r="AD52" s="497"/>
      <c r="AE52" s="497"/>
      <c r="AF52" s="497"/>
      <c r="AG52" s="497"/>
      <c r="AH52" s="497"/>
      <c r="AI52" s="497"/>
      <c r="AJ52" s="497"/>
      <c r="AK52" s="497"/>
      <c r="AL52" s="497"/>
      <c r="AM52" s="497"/>
      <c r="AN52" s="495"/>
      <c r="AO52" s="495"/>
      <c r="AP52" s="495"/>
      <c r="AQ52" s="495"/>
      <c r="AR52" s="495"/>
      <c r="AS52" s="495"/>
      <c r="AT52" s="495"/>
      <c r="AU52" s="495"/>
      <c r="AV52" s="495"/>
      <c r="AW52" s="495"/>
      <c r="AX52" s="495"/>
      <c r="AY52" s="496"/>
      <c r="AZ52" s="496"/>
      <c r="BA52" s="496"/>
      <c r="BB52" s="496"/>
      <c r="BC52" s="496"/>
      <c r="BD52" s="496"/>
      <c r="BE52" s="496"/>
      <c r="BF52" s="496"/>
      <c r="BG52" s="496"/>
      <c r="BH52" s="496"/>
      <c r="BI52" s="496"/>
      <c r="BJ52" s="496"/>
      <c r="BK52" s="495"/>
      <c r="BL52" s="495"/>
      <c r="BM52" s="495"/>
      <c r="BN52" s="2645"/>
      <c r="BO52" s="2646"/>
      <c r="BP52" s="2646"/>
      <c r="BQ52" s="2646"/>
      <c r="BR52" s="2646"/>
      <c r="BS52" s="2646"/>
      <c r="BT52" s="2646"/>
      <c r="BU52" s="2646"/>
      <c r="BV52" s="2646"/>
      <c r="BW52" s="2646"/>
      <c r="BX52" s="2646"/>
      <c r="BY52" s="2646"/>
      <c r="BZ52" s="2646"/>
      <c r="CA52" s="2646"/>
      <c r="CB52" s="2646"/>
      <c r="CC52" s="2646"/>
      <c r="CD52" s="2647"/>
      <c r="CE52" s="450"/>
      <c r="CF52" s="450"/>
    </row>
    <row r="53" spans="2:84" s="449" customFormat="1" ht="20.15" customHeight="1">
      <c r="B53" s="2681" t="s">
        <v>631</v>
      </c>
      <c r="C53" s="2682"/>
      <c r="D53" s="2666" t="s">
        <v>755</v>
      </c>
      <c r="E53" s="490"/>
      <c r="F53" s="490"/>
      <c r="G53" s="490"/>
      <c r="H53" s="490"/>
      <c r="I53" s="490"/>
      <c r="J53" s="490"/>
      <c r="K53" s="490"/>
      <c r="L53" s="490"/>
      <c r="M53" s="490"/>
      <c r="N53" s="490"/>
      <c r="O53" s="490"/>
      <c r="P53" s="490"/>
      <c r="Q53" s="490"/>
      <c r="R53" s="490"/>
      <c r="S53" s="490"/>
      <c r="T53" s="490"/>
      <c r="U53" s="490"/>
      <c r="V53" s="490"/>
      <c r="W53" s="490"/>
      <c r="X53" s="490"/>
      <c r="Y53" s="490"/>
      <c r="Z53" s="490"/>
      <c r="AA53" s="490"/>
      <c r="AB53" s="490"/>
      <c r="AC53" s="490"/>
      <c r="AD53" s="490"/>
      <c r="AE53" s="490"/>
      <c r="AF53" s="490"/>
      <c r="AG53" s="490"/>
      <c r="AH53" s="490"/>
      <c r="AI53" s="490"/>
      <c r="AJ53" s="490"/>
      <c r="AK53" s="490"/>
      <c r="AL53" s="490"/>
      <c r="AM53" s="490"/>
      <c r="AN53" s="490"/>
      <c r="AO53" s="490"/>
      <c r="AP53" s="490"/>
      <c r="AQ53" s="490"/>
      <c r="AR53" s="490"/>
      <c r="AS53" s="490"/>
      <c r="AT53" s="495"/>
      <c r="AU53" s="495"/>
      <c r="AV53" s="495"/>
      <c r="AW53" s="495"/>
      <c r="AX53" s="495"/>
      <c r="AY53" s="495"/>
      <c r="AZ53" s="495"/>
      <c r="BA53" s="495"/>
      <c r="BB53" s="495"/>
      <c r="BC53" s="495"/>
      <c r="BD53" s="495"/>
      <c r="BE53" s="495"/>
      <c r="BF53" s="495"/>
      <c r="BG53" s="495"/>
      <c r="BH53" s="495"/>
      <c r="BI53" s="495"/>
      <c r="BJ53" s="495"/>
      <c r="BK53" s="495"/>
      <c r="BL53" s="495"/>
      <c r="BM53" s="495"/>
      <c r="BN53" s="2633">
        <f>'GENERAL INFO'!Q128</f>
        <v>0</v>
      </c>
      <c r="BO53" s="2634"/>
      <c r="BP53" s="2634"/>
      <c r="BQ53" s="2634"/>
      <c r="BR53" s="2634"/>
      <c r="BS53" s="2634"/>
      <c r="BT53" s="2634"/>
      <c r="BU53" s="2634"/>
      <c r="BV53" s="2634"/>
      <c r="BW53" s="2634"/>
      <c r="BX53" s="2634"/>
      <c r="BY53" s="2634"/>
      <c r="BZ53" s="2634"/>
      <c r="CA53" s="2634"/>
      <c r="CB53" s="2634"/>
      <c r="CC53" s="2634"/>
      <c r="CD53" s="612"/>
      <c r="CE53" s="450"/>
      <c r="CF53" s="450"/>
    </row>
    <row r="54" spans="2:84" s="449" customFormat="1" ht="20.15" customHeight="1">
      <c r="B54" s="2681" t="s">
        <v>632</v>
      </c>
      <c r="C54" s="2682"/>
      <c r="D54" s="2666" t="s">
        <v>754</v>
      </c>
      <c r="E54" s="490"/>
      <c r="F54" s="490"/>
      <c r="G54" s="490"/>
      <c r="H54" s="490"/>
      <c r="I54" s="490"/>
      <c r="J54" s="490"/>
      <c r="K54" s="490"/>
      <c r="L54" s="490"/>
      <c r="M54" s="490"/>
      <c r="N54" s="490"/>
      <c r="O54" s="490"/>
      <c r="P54" s="490"/>
      <c r="Q54" s="490"/>
      <c r="R54" s="490"/>
      <c r="S54" s="490"/>
      <c r="T54" s="490"/>
      <c r="U54" s="490"/>
      <c r="V54" s="490"/>
      <c r="W54" s="490"/>
      <c r="X54" s="490"/>
      <c r="Y54" s="490"/>
      <c r="Z54" s="490"/>
      <c r="AA54" s="490"/>
      <c r="AB54" s="490"/>
      <c r="AC54" s="490"/>
      <c r="AD54" s="490"/>
      <c r="AE54" s="490"/>
      <c r="AF54" s="490"/>
      <c r="AG54" s="490"/>
      <c r="AH54" s="490"/>
      <c r="AI54" s="490"/>
      <c r="AJ54" s="490"/>
      <c r="AK54" s="490"/>
      <c r="AL54" s="490"/>
      <c r="AM54" s="490"/>
      <c r="AN54" s="490"/>
      <c r="AO54" s="490"/>
      <c r="AP54" s="490"/>
      <c r="AQ54" s="491"/>
      <c r="AR54" s="491"/>
      <c r="AS54" s="491"/>
      <c r="AT54" s="491"/>
      <c r="AU54" s="491"/>
      <c r="AV54" s="491"/>
      <c r="AW54" s="491"/>
      <c r="AX54" s="491"/>
      <c r="AY54" s="491"/>
      <c r="AZ54" s="491"/>
      <c r="BA54" s="491"/>
      <c r="BB54" s="491"/>
      <c r="BC54" s="491"/>
      <c r="BD54" s="491"/>
      <c r="BE54" s="491"/>
      <c r="BF54" s="494"/>
      <c r="BG54" s="494"/>
      <c r="BH54" s="494"/>
      <c r="BI54" s="494"/>
      <c r="BJ54" s="494"/>
      <c r="BK54" s="494"/>
      <c r="BL54" s="494"/>
      <c r="BM54" s="494"/>
      <c r="BN54" s="2633">
        <f>'GENERAL INFO'!Q130</f>
        <v>0</v>
      </c>
      <c r="BO54" s="2634"/>
      <c r="BP54" s="2634"/>
      <c r="BQ54" s="2634"/>
      <c r="BR54" s="2634"/>
      <c r="BS54" s="2634"/>
      <c r="BT54" s="2634"/>
      <c r="BU54" s="2634"/>
      <c r="BV54" s="2634"/>
      <c r="BW54" s="2634"/>
      <c r="BX54" s="2634"/>
      <c r="BY54" s="2634"/>
      <c r="BZ54" s="2634"/>
      <c r="CA54" s="2634"/>
      <c r="CB54" s="2634"/>
      <c r="CC54" s="2634"/>
      <c r="CD54" s="612"/>
      <c r="CE54" s="450"/>
      <c r="CF54" s="450"/>
    </row>
    <row r="55" spans="2:84" s="449" customFormat="1" ht="20.15" customHeight="1">
      <c r="B55" s="2681" t="s">
        <v>633</v>
      </c>
      <c r="C55" s="2682"/>
      <c r="D55" s="2666" t="s">
        <v>753</v>
      </c>
      <c r="E55" s="490"/>
      <c r="F55" s="490"/>
      <c r="G55" s="490"/>
      <c r="H55" s="490"/>
      <c r="I55" s="490"/>
      <c r="J55" s="490"/>
      <c r="K55" s="490"/>
      <c r="L55" s="490"/>
      <c r="M55" s="490"/>
      <c r="N55" s="490"/>
      <c r="O55" s="490"/>
      <c r="P55" s="490"/>
      <c r="Q55" s="490"/>
      <c r="R55" s="490"/>
      <c r="S55" s="490"/>
      <c r="T55" s="490"/>
      <c r="U55" s="490"/>
      <c r="V55" s="490"/>
      <c r="W55" s="490"/>
      <c r="X55" s="490"/>
      <c r="Y55" s="490"/>
      <c r="Z55" s="490"/>
      <c r="AA55" s="490"/>
      <c r="AB55" s="490"/>
      <c r="AC55" s="490"/>
      <c r="AD55" s="490"/>
      <c r="AE55" s="490"/>
      <c r="AF55" s="490"/>
      <c r="AG55" s="490"/>
      <c r="AH55" s="490"/>
      <c r="AI55" s="490"/>
      <c r="AJ55" s="490"/>
      <c r="AK55" s="490"/>
      <c r="AL55" s="490"/>
      <c r="AM55" s="490"/>
      <c r="AN55" s="490"/>
      <c r="AO55" s="490"/>
      <c r="AP55" s="490"/>
      <c r="AQ55" s="490"/>
      <c r="AR55" s="490"/>
      <c r="AS55" s="490"/>
      <c r="AT55" s="490"/>
      <c r="AU55" s="490"/>
      <c r="AV55" s="490"/>
      <c r="AW55" s="490"/>
      <c r="AX55" s="490"/>
      <c r="AY55" s="490"/>
      <c r="AZ55" s="490"/>
      <c r="BA55" s="490"/>
      <c r="BB55" s="490"/>
      <c r="BC55" s="490"/>
      <c r="BD55" s="490"/>
      <c r="BE55" s="490"/>
      <c r="BF55" s="493"/>
      <c r="BG55" s="493"/>
      <c r="BH55" s="493"/>
      <c r="BI55" s="493"/>
      <c r="BJ55" s="493"/>
      <c r="BK55" s="493"/>
      <c r="BL55" s="493"/>
      <c r="BM55" s="493"/>
      <c r="BN55" s="2633">
        <f>'GENERAL INFO'!Q131</f>
        <v>0</v>
      </c>
      <c r="BO55" s="2634"/>
      <c r="BP55" s="2634"/>
      <c r="BQ55" s="2634"/>
      <c r="BR55" s="2634"/>
      <c r="BS55" s="2634"/>
      <c r="BT55" s="2634"/>
      <c r="BU55" s="2634"/>
      <c r="BV55" s="2634"/>
      <c r="BW55" s="2634"/>
      <c r="BX55" s="2634"/>
      <c r="BY55" s="2634"/>
      <c r="BZ55" s="2634"/>
      <c r="CA55" s="2634"/>
      <c r="CB55" s="2634"/>
      <c r="CC55" s="2634"/>
      <c r="CD55" s="612"/>
      <c r="CE55" s="450"/>
      <c r="CF55" s="450"/>
    </row>
    <row r="56" spans="2:84" s="449" customFormat="1" ht="20.15" customHeight="1">
      <c r="B56" s="2688" t="s">
        <v>752</v>
      </c>
      <c r="C56" s="2689"/>
      <c r="D56" s="2689"/>
      <c r="E56" s="2689"/>
      <c r="F56" s="2689"/>
      <c r="G56" s="2689"/>
      <c r="H56" s="2689"/>
      <c r="I56" s="2689"/>
      <c r="J56" s="2689"/>
      <c r="K56" s="2689"/>
      <c r="L56" s="2689"/>
      <c r="M56" s="2689"/>
      <c r="N56" s="2689"/>
      <c r="O56" s="2689"/>
      <c r="P56" s="2689"/>
      <c r="Q56" s="2689"/>
      <c r="R56" s="2689"/>
      <c r="S56" s="2689"/>
      <c r="T56" s="2689"/>
      <c r="U56" s="2689"/>
      <c r="V56" s="2689"/>
      <c r="W56" s="2689"/>
      <c r="X56" s="492"/>
      <c r="Y56" s="492"/>
      <c r="Z56" s="492"/>
      <c r="AA56" s="492"/>
      <c r="AB56" s="492"/>
      <c r="AC56" s="492"/>
      <c r="AD56" s="492"/>
      <c r="AE56" s="492"/>
      <c r="AF56" s="492"/>
      <c r="AG56" s="492"/>
      <c r="AH56" s="492"/>
      <c r="AI56" s="492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  <c r="BA56" s="492"/>
      <c r="BB56" s="492"/>
      <c r="BC56" s="492"/>
      <c r="BD56" s="492"/>
      <c r="BE56" s="492"/>
      <c r="BF56" s="492"/>
      <c r="BG56" s="492"/>
      <c r="BH56" s="492"/>
      <c r="BI56" s="492"/>
      <c r="BJ56" s="492"/>
      <c r="BK56" s="492"/>
      <c r="BL56" s="492"/>
      <c r="BM56" s="492"/>
      <c r="BN56" s="2645"/>
      <c r="BO56" s="2646"/>
      <c r="BP56" s="2646"/>
      <c r="BQ56" s="2646"/>
      <c r="BR56" s="2646"/>
      <c r="BS56" s="2646"/>
      <c r="BT56" s="2646"/>
      <c r="BU56" s="2646"/>
      <c r="BV56" s="2646"/>
      <c r="BW56" s="2646"/>
      <c r="BX56" s="2646"/>
      <c r="BY56" s="2646"/>
      <c r="BZ56" s="2646"/>
      <c r="CA56" s="2646"/>
      <c r="CB56" s="2646"/>
      <c r="CC56" s="2646"/>
      <c r="CD56" s="2647"/>
      <c r="CE56" s="450"/>
      <c r="CF56" s="450"/>
    </row>
    <row r="57" spans="2:84" s="449" customFormat="1" ht="20.15" customHeight="1">
      <c r="B57" s="2681" t="s">
        <v>634</v>
      </c>
      <c r="C57" s="2682"/>
      <c r="D57" s="2666" t="s">
        <v>751</v>
      </c>
      <c r="E57" s="490"/>
      <c r="F57" s="490"/>
      <c r="G57" s="490"/>
      <c r="H57" s="490"/>
      <c r="I57" s="490"/>
      <c r="J57" s="490"/>
      <c r="K57" s="490"/>
      <c r="L57" s="490"/>
      <c r="M57" s="490"/>
      <c r="N57" s="490"/>
      <c r="O57" s="490"/>
      <c r="P57" s="490"/>
      <c r="Q57" s="490"/>
      <c r="R57" s="490"/>
      <c r="S57" s="490"/>
      <c r="T57" s="490"/>
      <c r="U57" s="490"/>
      <c r="V57" s="490"/>
      <c r="W57" s="490"/>
      <c r="X57" s="490"/>
      <c r="Y57" s="490"/>
      <c r="Z57" s="490"/>
      <c r="AA57" s="490"/>
      <c r="AB57" s="490"/>
      <c r="AC57" s="490"/>
      <c r="AD57" s="490"/>
      <c r="AE57" s="490"/>
      <c r="AF57" s="490"/>
      <c r="AG57" s="490"/>
      <c r="AH57" s="490"/>
      <c r="AI57" s="490"/>
      <c r="AJ57" s="490"/>
      <c r="AK57" s="490"/>
      <c r="AL57" s="490"/>
      <c r="AM57" s="490"/>
      <c r="AN57" s="490"/>
      <c r="AO57" s="490"/>
      <c r="AP57" s="490"/>
      <c r="AQ57" s="490"/>
      <c r="AR57" s="490"/>
      <c r="AS57" s="490"/>
      <c r="AT57" s="490"/>
      <c r="AU57" s="490"/>
      <c r="AV57" s="490"/>
      <c r="AW57" s="490"/>
      <c r="AX57" s="490"/>
      <c r="AY57" s="490"/>
      <c r="AZ57" s="490"/>
      <c r="BA57" s="490"/>
      <c r="BB57" s="490"/>
      <c r="BC57" s="490"/>
      <c r="BD57" s="490"/>
      <c r="BE57" s="490"/>
      <c r="BF57" s="491"/>
      <c r="BG57" s="491"/>
      <c r="BH57" s="491"/>
      <c r="BI57" s="491"/>
      <c r="BJ57" s="491"/>
      <c r="BK57" s="491"/>
      <c r="BL57" s="491"/>
      <c r="BM57" s="491"/>
      <c r="BN57" s="2649">
        <f>'GENERAL INFO'!Q133</f>
        <v>0</v>
      </c>
      <c r="BO57" s="2650"/>
      <c r="BP57" s="2650"/>
      <c r="BQ57" s="2650"/>
      <c r="BR57" s="2650"/>
      <c r="BS57" s="2650"/>
      <c r="BT57" s="2650"/>
      <c r="BU57" s="2650"/>
      <c r="BV57" s="2650"/>
      <c r="BW57" s="2650"/>
      <c r="BX57" s="2650"/>
      <c r="BY57" s="2650"/>
      <c r="BZ57" s="2650"/>
      <c r="CA57" s="2650"/>
      <c r="CB57" s="2650"/>
      <c r="CC57" s="2650"/>
      <c r="CD57" s="611"/>
      <c r="CE57" s="450"/>
      <c r="CF57" s="450"/>
    </row>
    <row r="58" spans="2:84" s="449" customFormat="1" ht="20.15" customHeight="1">
      <c r="B58" s="2681" t="s">
        <v>635</v>
      </c>
      <c r="C58" s="2682"/>
      <c r="D58" s="2666" t="s">
        <v>750</v>
      </c>
      <c r="E58" s="490"/>
      <c r="F58" s="490"/>
      <c r="G58" s="490"/>
      <c r="H58" s="490"/>
      <c r="I58" s="490"/>
      <c r="J58" s="490"/>
      <c r="K58" s="490"/>
      <c r="L58" s="490"/>
      <c r="M58" s="490"/>
      <c r="N58" s="490"/>
      <c r="O58" s="490"/>
      <c r="P58" s="490"/>
      <c r="Q58" s="490"/>
      <c r="R58" s="490"/>
      <c r="S58" s="490"/>
      <c r="T58" s="490"/>
      <c r="U58" s="490"/>
      <c r="V58" s="490"/>
      <c r="W58" s="490"/>
      <c r="X58" s="490"/>
      <c r="Y58" s="490"/>
      <c r="Z58" s="490"/>
      <c r="AA58" s="490"/>
      <c r="AB58" s="490"/>
      <c r="AC58" s="490"/>
      <c r="AD58" s="490"/>
      <c r="AE58" s="490"/>
      <c r="AF58" s="490"/>
      <c r="AG58" s="490"/>
      <c r="AH58" s="490"/>
      <c r="AI58" s="490"/>
      <c r="AJ58" s="490"/>
      <c r="AK58" s="490"/>
      <c r="AL58" s="490"/>
      <c r="AM58" s="490"/>
      <c r="AN58" s="490"/>
      <c r="AO58" s="490"/>
      <c r="AP58" s="490"/>
      <c r="AQ58" s="490"/>
      <c r="AR58" s="490"/>
      <c r="AS58" s="490"/>
      <c r="AT58" s="490"/>
      <c r="AU58" s="490"/>
      <c r="AV58" s="490"/>
      <c r="AW58" s="490"/>
      <c r="AX58" s="490"/>
      <c r="AY58" s="490"/>
      <c r="AZ58" s="490"/>
      <c r="BA58" s="490"/>
      <c r="BB58" s="490"/>
      <c r="BC58" s="490"/>
      <c r="BD58" s="490"/>
      <c r="BE58" s="490"/>
      <c r="BF58" s="490"/>
      <c r="BG58" s="491"/>
      <c r="BH58" s="491"/>
      <c r="BI58" s="491"/>
      <c r="BJ58" s="491"/>
      <c r="BK58" s="491"/>
      <c r="BL58" s="491"/>
      <c r="BM58" s="491"/>
      <c r="BN58" s="2649">
        <f>'GENERAL INFO'!Q136</f>
        <v>0</v>
      </c>
      <c r="BO58" s="2650"/>
      <c r="BP58" s="2650"/>
      <c r="BQ58" s="2650"/>
      <c r="BR58" s="2650"/>
      <c r="BS58" s="2650"/>
      <c r="BT58" s="2650"/>
      <c r="BU58" s="2650"/>
      <c r="BV58" s="2650"/>
      <c r="BW58" s="2650"/>
      <c r="BX58" s="2650"/>
      <c r="BY58" s="2650"/>
      <c r="BZ58" s="2650"/>
      <c r="CA58" s="2650"/>
      <c r="CB58" s="2650"/>
      <c r="CC58" s="2650"/>
      <c r="CD58" s="611"/>
      <c r="CE58" s="450"/>
      <c r="CF58" s="450"/>
    </row>
    <row r="59" spans="2:84" s="449" customFormat="1" ht="20.15" customHeight="1">
      <c r="B59" s="2681" t="s">
        <v>636</v>
      </c>
      <c r="C59" s="2682"/>
      <c r="D59" s="2666" t="s">
        <v>749</v>
      </c>
      <c r="E59" s="490"/>
      <c r="F59" s="490"/>
      <c r="G59" s="490"/>
      <c r="H59" s="490"/>
      <c r="I59" s="490"/>
      <c r="J59" s="490"/>
      <c r="K59" s="490"/>
      <c r="L59" s="490"/>
      <c r="M59" s="490"/>
      <c r="N59" s="490"/>
      <c r="O59" s="490"/>
      <c r="P59" s="490"/>
      <c r="Q59" s="490"/>
      <c r="R59" s="490"/>
      <c r="S59" s="490"/>
      <c r="T59" s="490"/>
      <c r="U59" s="490"/>
      <c r="V59" s="490"/>
      <c r="W59" s="490"/>
      <c r="X59" s="490"/>
      <c r="Y59" s="490"/>
      <c r="Z59" s="490"/>
      <c r="AA59" s="490"/>
      <c r="AB59" s="490"/>
      <c r="AC59" s="490"/>
      <c r="AD59" s="490"/>
      <c r="AE59" s="490"/>
      <c r="AF59" s="490"/>
      <c r="AG59" s="490"/>
      <c r="AH59" s="490"/>
      <c r="AI59" s="490"/>
      <c r="AJ59" s="490"/>
      <c r="AK59" s="490"/>
      <c r="AL59" s="490"/>
      <c r="AM59" s="490"/>
      <c r="AN59" s="490"/>
      <c r="AO59" s="490"/>
      <c r="AP59" s="490"/>
      <c r="AQ59" s="490"/>
      <c r="AR59" s="490"/>
      <c r="AS59" s="490"/>
      <c r="AT59" s="490"/>
      <c r="AU59" s="490"/>
      <c r="AV59" s="490"/>
      <c r="AW59" s="490"/>
      <c r="AX59" s="490"/>
      <c r="AY59" s="490"/>
      <c r="AZ59" s="490"/>
      <c r="BA59" s="490"/>
      <c r="BB59" s="490"/>
      <c r="BC59" s="490"/>
      <c r="BD59" s="490"/>
      <c r="BE59" s="490"/>
      <c r="BF59" s="490"/>
      <c r="BG59" s="490"/>
      <c r="BH59" s="490"/>
      <c r="BI59" s="490"/>
      <c r="BJ59" s="490"/>
      <c r="BK59" s="490"/>
      <c r="BL59" s="490"/>
      <c r="BM59" s="2667"/>
      <c r="BN59" s="2649">
        <f>+'GENERAL INFO'!Q141</f>
        <v>0</v>
      </c>
      <c r="BO59" s="2650"/>
      <c r="BP59" s="2650"/>
      <c r="BQ59" s="2650"/>
      <c r="BR59" s="2650"/>
      <c r="BS59" s="2650"/>
      <c r="BT59" s="2650"/>
      <c r="BU59" s="2650"/>
      <c r="BV59" s="2650"/>
      <c r="BW59" s="2650"/>
      <c r="BX59" s="2650"/>
      <c r="BY59" s="2650"/>
      <c r="BZ59" s="2650"/>
      <c r="CA59" s="2650"/>
      <c r="CB59" s="2650"/>
      <c r="CC59" s="2650"/>
      <c r="CD59" s="611"/>
      <c r="CE59" s="450"/>
      <c r="CF59" s="450"/>
    </row>
    <row r="60" spans="2:84" s="449" customFormat="1" ht="20.15" customHeight="1">
      <c r="B60" s="2681" t="s">
        <v>637</v>
      </c>
      <c r="C60" s="2682"/>
      <c r="D60" s="2656" t="s">
        <v>748</v>
      </c>
      <c r="E60" s="2657"/>
      <c r="F60" s="2657"/>
      <c r="G60" s="2657"/>
      <c r="H60" s="2657"/>
      <c r="I60" s="2657"/>
      <c r="J60" s="2657"/>
      <c r="K60" s="2657"/>
      <c r="L60" s="2657"/>
      <c r="M60" s="2657"/>
      <c r="N60" s="2657"/>
      <c r="O60" s="2657"/>
      <c r="P60" s="2657"/>
      <c r="Q60" s="2657"/>
      <c r="R60" s="2657"/>
      <c r="S60" s="2657"/>
      <c r="T60" s="2657"/>
      <c r="U60" s="2657"/>
      <c r="V60" s="2657"/>
      <c r="W60" s="2657"/>
      <c r="X60" s="2657"/>
      <c r="Y60" s="2657"/>
      <c r="Z60" s="2657"/>
      <c r="AA60" s="2657"/>
      <c r="AB60" s="2657"/>
      <c r="AC60" s="2657"/>
      <c r="AD60" s="2657"/>
      <c r="AE60" s="2657"/>
      <c r="AF60" s="2657"/>
      <c r="AG60" s="2657"/>
      <c r="AH60" s="2657"/>
      <c r="AI60" s="2657"/>
      <c r="AJ60" s="2657"/>
      <c r="AK60" s="2657"/>
      <c r="AL60" s="2657"/>
      <c r="AM60" s="2657"/>
      <c r="AN60" s="2657"/>
      <c r="AO60" s="2657"/>
      <c r="AP60" s="2657"/>
      <c r="AQ60" s="2657"/>
      <c r="AR60" s="2657"/>
      <c r="AS60" s="2657"/>
      <c r="AT60" s="2657"/>
      <c r="AU60" s="2657"/>
      <c r="AV60" s="2657"/>
      <c r="AW60" s="2657"/>
      <c r="AX60" s="2657"/>
      <c r="AY60" s="2657"/>
      <c r="AZ60" s="2657"/>
      <c r="BA60" s="2657"/>
      <c r="BB60" s="2657"/>
      <c r="BC60" s="2657"/>
      <c r="BD60" s="2657"/>
      <c r="BE60" s="2657"/>
      <c r="BF60" s="2657"/>
      <c r="BG60" s="2657"/>
      <c r="BH60" s="2657"/>
      <c r="BI60" s="2657"/>
      <c r="BJ60" s="2657"/>
      <c r="BK60" s="2657"/>
      <c r="BL60" s="2657"/>
      <c r="BM60" s="2658"/>
      <c r="BN60" s="2649">
        <f>personalreliefs</f>
        <v>0</v>
      </c>
      <c r="BO60" s="2650"/>
      <c r="BP60" s="2650"/>
      <c r="BQ60" s="2650"/>
      <c r="BR60" s="2650"/>
      <c r="BS60" s="2650"/>
      <c r="BT60" s="2650"/>
      <c r="BU60" s="2650"/>
      <c r="BV60" s="2650"/>
      <c r="BW60" s="2650"/>
      <c r="BX60" s="2650"/>
      <c r="BY60" s="2650"/>
      <c r="BZ60" s="2650"/>
      <c r="CA60" s="2650"/>
      <c r="CB60" s="2650"/>
      <c r="CC60" s="2650"/>
      <c r="CD60" s="613"/>
      <c r="CE60" s="450"/>
      <c r="CF60" s="450"/>
    </row>
    <row r="61" spans="2:84" s="449" customFormat="1" ht="20.15" customHeight="1">
      <c r="B61" s="2681" t="s">
        <v>638</v>
      </c>
      <c r="C61" s="2682"/>
      <c r="D61" s="2666" t="s">
        <v>747</v>
      </c>
      <c r="E61" s="490"/>
      <c r="F61" s="490"/>
      <c r="G61" s="490"/>
      <c r="H61" s="490"/>
      <c r="I61" s="490"/>
      <c r="J61" s="490"/>
      <c r="K61" s="490"/>
      <c r="L61" s="490"/>
      <c r="M61" s="490"/>
      <c r="N61" s="490"/>
      <c r="O61" s="490"/>
      <c r="P61" s="490"/>
      <c r="Q61" s="490"/>
      <c r="R61" s="490"/>
      <c r="S61" s="490"/>
      <c r="T61" s="490"/>
      <c r="U61" s="490"/>
      <c r="V61" s="490"/>
      <c r="W61" s="490"/>
      <c r="X61" s="490"/>
      <c r="Y61" s="490"/>
      <c r="Z61" s="490"/>
      <c r="AA61" s="490"/>
      <c r="AB61" s="490"/>
      <c r="AC61" s="490"/>
      <c r="AD61" s="490"/>
      <c r="AE61" s="490"/>
      <c r="AF61" s="490"/>
      <c r="AG61" s="490"/>
      <c r="AH61" s="490"/>
      <c r="AI61" s="490"/>
      <c r="AJ61" s="490"/>
      <c r="AK61" s="490"/>
      <c r="AL61" s="490"/>
      <c r="AM61" s="490"/>
      <c r="AN61" s="490"/>
      <c r="AO61" s="490"/>
      <c r="AP61" s="490"/>
      <c r="AQ61" s="490"/>
      <c r="AR61" s="490"/>
      <c r="AS61" s="490"/>
      <c r="AT61" s="490"/>
      <c r="AU61" s="490"/>
      <c r="AV61" s="490"/>
      <c r="AW61" s="490"/>
      <c r="AX61" s="490"/>
      <c r="AY61" s="490"/>
      <c r="AZ61" s="490"/>
      <c r="BA61" s="490"/>
      <c r="BB61" s="490"/>
      <c r="BC61" s="490"/>
      <c r="BD61" s="490"/>
      <c r="BE61" s="490"/>
      <c r="BF61" s="490"/>
      <c r="BG61" s="490"/>
      <c r="BH61" s="490"/>
      <c r="BI61" s="490"/>
      <c r="BJ61" s="490"/>
      <c r="BK61" s="490"/>
      <c r="BL61" s="490"/>
      <c r="BM61" s="490"/>
      <c r="BN61" s="2649">
        <f>BN59-BN60</f>
        <v>0</v>
      </c>
      <c r="BO61" s="2650"/>
      <c r="BP61" s="2650"/>
      <c r="BQ61" s="2650"/>
      <c r="BR61" s="2650"/>
      <c r="BS61" s="2650"/>
      <c r="BT61" s="2650"/>
      <c r="BU61" s="2650"/>
      <c r="BV61" s="2650"/>
      <c r="BW61" s="2650"/>
      <c r="BX61" s="2650"/>
      <c r="BY61" s="2650"/>
      <c r="BZ61" s="2650"/>
      <c r="CA61" s="2650"/>
      <c r="CB61" s="2650"/>
      <c r="CC61" s="2650"/>
      <c r="CD61" s="613"/>
      <c r="CE61" s="450"/>
      <c r="CF61" s="450"/>
    </row>
    <row r="62" spans="2:84" s="449" customFormat="1" ht="20.15" customHeight="1">
      <c r="B62" s="2681" t="s">
        <v>639</v>
      </c>
      <c r="C62" s="2682"/>
      <c r="D62" s="2666" t="s">
        <v>746</v>
      </c>
      <c r="E62" s="490"/>
      <c r="F62" s="490"/>
      <c r="G62" s="490"/>
      <c r="H62" s="490"/>
      <c r="I62" s="490"/>
      <c r="J62" s="490"/>
      <c r="K62" s="490"/>
      <c r="L62" s="490"/>
      <c r="M62" s="490"/>
      <c r="N62" s="490"/>
      <c r="O62" s="490"/>
      <c r="P62" s="490"/>
      <c r="Q62" s="490"/>
      <c r="R62" s="490"/>
      <c r="S62" s="490"/>
      <c r="T62" s="490"/>
      <c r="U62" s="490"/>
      <c r="V62" s="490"/>
      <c r="W62" s="490"/>
      <c r="X62" s="490"/>
      <c r="Y62" s="490"/>
      <c r="Z62" s="490"/>
      <c r="AA62" s="490"/>
      <c r="AB62" s="490"/>
      <c r="AC62" s="490"/>
      <c r="AD62" s="490"/>
      <c r="AE62" s="490"/>
      <c r="AF62" s="490"/>
      <c r="AG62" s="490"/>
      <c r="AH62" s="490"/>
      <c r="AI62" s="490"/>
      <c r="AJ62" s="490"/>
      <c r="AK62" s="490"/>
      <c r="AL62" s="490"/>
      <c r="AM62" s="490"/>
      <c r="AN62" s="490"/>
      <c r="AO62" s="490"/>
      <c r="AP62" s="490"/>
      <c r="AQ62" s="490"/>
      <c r="AR62" s="490"/>
      <c r="AS62" s="490"/>
      <c r="AT62" s="490"/>
      <c r="AU62" s="490"/>
      <c r="AV62" s="490"/>
      <c r="AW62" s="490"/>
      <c r="AX62" s="490"/>
      <c r="AY62" s="490"/>
      <c r="AZ62" s="490"/>
      <c r="BA62" s="490"/>
      <c r="BB62" s="490"/>
      <c r="BC62" s="490"/>
      <c r="BD62" s="490"/>
      <c r="BE62" s="490"/>
      <c r="BF62" s="490"/>
      <c r="BG62" s="490"/>
      <c r="BH62" s="490"/>
      <c r="BI62" s="490"/>
      <c r="BJ62" s="490"/>
      <c r="BK62" s="490"/>
      <c r="BL62" s="489"/>
      <c r="BM62" s="489"/>
      <c r="BN62" s="2649">
        <f>+'GENERAL INFO'!Q145</f>
        <v>0</v>
      </c>
      <c r="BO62" s="2650"/>
      <c r="BP62" s="2650"/>
      <c r="BQ62" s="2650"/>
      <c r="BR62" s="2650"/>
      <c r="BS62" s="2650"/>
      <c r="BT62" s="2650"/>
      <c r="BU62" s="2650"/>
      <c r="BV62" s="2650"/>
      <c r="BW62" s="2650"/>
      <c r="BX62" s="2650"/>
      <c r="BY62" s="2650"/>
      <c r="BZ62" s="2650"/>
      <c r="CA62" s="2650"/>
      <c r="CB62" s="2650"/>
      <c r="CC62" s="2650"/>
      <c r="CD62" s="613"/>
      <c r="CE62" s="450"/>
      <c r="CF62" s="450"/>
    </row>
    <row r="63" spans="2:84" s="449" customFormat="1" ht="20.15" customHeight="1">
      <c r="B63" s="2681" t="s">
        <v>640</v>
      </c>
      <c r="C63" s="2682"/>
      <c r="D63" s="2666" t="s">
        <v>745</v>
      </c>
      <c r="E63" s="490"/>
      <c r="F63" s="490"/>
      <c r="G63" s="490"/>
      <c r="H63" s="490"/>
      <c r="I63" s="490"/>
      <c r="J63" s="490"/>
      <c r="K63" s="490"/>
      <c r="L63" s="490"/>
      <c r="M63" s="490"/>
      <c r="N63" s="490"/>
      <c r="O63" s="490"/>
      <c r="P63" s="490"/>
      <c r="Q63" s="490"/>
      <c r="R63" s="490"/>
      <c r="S63" s="490"/>
      <c r="T63" s="490"/>
      <c r="U63" s="490"/>
      <c r="V63" s="490"/>
      <c r="W63" s="490"/>
      <c r="X63" s="490"/>
      <c r="Y63" s="490"/>
      <c r="Z63" s="490"/>
      <c r="AA63" s="490"/>
      <c r="AB63" s="490"/>
      <c r="AC63" s="490"/>
      <c r="AD63" s="490"/>
      <c r="AE63" s="490"/>
      <c r="AF63" s="490"/>
      <c r="AG63" s="490"/>
      <c r="AH63" s="490"/>
      <c r="AI63" s="490"/>
      <c r="AJ63" s="490"/>
      <c r="AK63" s="490"/>
      <c r="AL63" s="490"/>
      <c r="AM63" s="490"/>
      <c r="AN63" s="490"/>
      <c r="AO63" s="490"/>
      <c r="AP63" s="490"/>
      <c r="AQ63" s="490"/>
      <c r="AR63" s="490"/>
      <c r="AS63" s="490"/>
      <c r="AT63" s="490"/>
      <c r="AU63" s="490"/>
      <c r="AV63" s="490"/>
      <c r="AW63" s="490"/>
      <c r="AX63" s="490"/>
      <c r="AY63" s="490"/>
      <c r="AZ63" s="490"/>
      <c r="BA63" s="490"/>
      <c r="BB63" s="490"/>
      <c r="BC63" s="490"/>
      <c r="BD63" s="490"/>
      <c r="BE63" s="490"/>
      <c r="BF63" s="490"/>
      <c r="BG63" s="490"/>
      <c r="BH63" s="490"/>
      <c r="BI63" s="490"/>
      <c r="BJ63" s="490"/>
      <c r="BK63" s="490"/>
      <c r="BL63" s="489"/>
      <c r="BM63" s="489"/>
      <c r="BN63" s="2649">
        <f>'GENERAL INFO'!Q137</f>
        <v>0</v>
      </c>
      <c r="BO63" s="2650"/>
      <c r="BP63" s="2650"/>
      <c r="BQ63" s="2650"/>
      <c r="BR63" s="2650"/>
      <c r="BS63" s="2650"/>
      <c r="BT63" s="2650"/>
      <c r="BU63" s="2650"/>
      <c r="BV63" s="2650"/>
      <c r="BW63" s="2650"/>
      <c r="BX63" s="2650"/>
      <c r="BY63" s="2650"/>
      <c r="BZ63" s="2650"/>
      <c r="CA63" s="2650"/>
      <c r="CB63" s="2650"/>
      <c r="CC63" s="2650"/>
      <c r="CD63" s="613"/>
      <c r="CE63" s="450"/>
      <c r="CF63" s="450"/>
    </row>
    <row r="64" spans="2:84" s="449" customFormat="1" ht="20.15" customHeight="1">
      <c r="B64" s="2681" t="s">
        <v>729</v>
      </c>
      <c r="C64" s="2682"/>
      <c r="D64" s="2666" t="s">
        <v>744</v>
      </c>
      <c r="E64" s="490"/>
      <c r="F64" s="490"/>
      <c r="G64" s="490"/>
      <c r="H64" s="490"/>
      <c r="I64" s="490"/>
      <c r="J64" s="490"/>
      <c r="K64" s="490"/>
      <c r="L64" s="490"/>
      <c r="M64" s="490"/>
      <c r="N64" s="490"/>
      <c r="O64" s="490"/>
      <c r="P64" s="490"/>
      <c r="Q64" s="490"/>
      <c r="R64" s="490"/>
      <c r="S64" s="490"/>
      <c r="T64" s="490"/>
      <c r="U64" s="490"/>
      <c r="V64" s="490"/>
      <c r="W64" s="490"/>
      <c r="X64" s="490"/>
      <c r="Y64" s="490"/>
      <c r="Z64" s="490"/>
      <c r="AA64" s="490"/>
      <c r="AB64" s="490"/>
      <c r="AC64" s="490"/>
      <c r="AD64" s="490"/>
      <c r="AE64" s="490"/>
      <c r="AF64" s="490"/>
      <c r="AG64" s="490"/>
      <c r="AH64" s="490"/>
      <c r="AI64" s="490"/>
      <c r="AJ64" s="490"/>
      <c r="AK64" s="490"/>
      <c r="AL64" s="490"/>
      <c r="AM64" s="490"/>
      <c r="AN64" s="490"/>
      <c r="AO64" s="490"/>
      <c r="AP64" s="490"/>
      <c r="AQ64" s="490"/>
      <c r="AR64" s="490"/>
      <c r="AS64" s="490"/>
      <c r="AT64" s="490"/>
      <c r="AU64" s="490"/>
      <c r="AV64" s="490"/>
      <c r="AW64" s="490"/>
      <c r="AX64" s="490"/>
      <c r="AY64" s="490"/>
      <c r="AZ64" s="490"/>
      <c r="BA64" s="490"/>
      <c r="BB64" s="490"/>
      <c r="BC64" s="490"/>
      <c r="BD64" s="490"/>
      <c r="BE64" s="490"/>
      <c r="BF64" s="490"/>
      <c r="BG64" s="490"/>
      <c r="BH64" s="490"/>
      <c r="BI64" s="490"/>
      <c r="BJ64" s="490"/>
      <c r="BK64" s="490"/>
      <c r="BL64" s="489"/>
      <c r="BM64" s="489"/>
      <c r="BN64" s="2649">
        <f>+'GENERAL INFO'!Q147</f>
        <v>0</v>
      </c>
      <c r="BO64" s="2650"/>
      <c r="BP64" s="2650"/>
      <c r="BQ64" s="2650"/>
      <c r="BR64" s="2650"/>
      <c r="BS64" s="2650"/>
      <c r="BT64" s="2650"/>
      <c r="BU64" s="2650"/>
      <c r="BV64" s="2650"/>
      <c r="BW64" s="2650"/>
      <c r="BX64" s="2650"/>
      <c r="BY64" s="2650"/>
      <c r="BZ64" s="2650"/>
      <c r="CA64" s="2650"/>
      <c r="CB64" s="2650"/>
      <c r="CC64" s="2650"/>
      <c r="CD64" s="613"/>
      <c r="CE64" s="450"/>
      <c r="CF64" s="450"/>
    </row>
    <row r="65" spans="2:84" s="449" customFormat="1" ht="20.15" customHeight="1">
      <c r="B65" s="2681" t="s">
        <v>730</v>
      </c>
      <c r="C65" s="2682"/>
      <c r="D65" s="2666" t="s">
        <v>743</v>
      </c>
      <c r="E65" s="490"/>
      <c r="F65" s="490"/>
      <c r="G65" s="490"/>
      <c r="H65" s="490"/>
      <c r="I65" s="490"/>
      <c r="J65" s="490"/>
      <c r="K65" s="490"/>
      <c r="L65" s="490"/>
      <c r="M65" s="490"/>
      <c r="N65" s="490"/>
      <c r="O65" s="490"/>
      <c r="P65" s="490"/>
      <c r="Q65" s="490"/>
      <c r="R65" s="490"/>
      <c r="S65" s="490"/>
      <c r="T65" s="490"/>
      <c r="U65" s="490"/>
      <c r="V65" s="490"/>
      <c r="W65" s="490"/>
      <c r="X65" s="490"/>
      <c r="Y65" s="490"/>
      <c r="Z65" s="490"/>
      <c r="AA65" s="490"/>
      <c r="AB65" s="490"/>
      <c r="AC65" s="490"/>
      <c r="AD65" s="490"/>
      <c r="AE65" s="490"/>
      <c r="AF65" s="490"/>
      <c r="AG65" s="490"/>
      <c r="AH65" s="490"/>
      <c r="AI65" s="490"/>
      <c r="AJ65" s="490"/>
      <c r="AK65" s="490"/>
      <c r="AL65" s="490"/>
      <c r="AM65" s="490"/>
      <c r="AN65" s="490"/>
      <c r="AO65" s="490"/>
      <c r="AP65" s="490"/>
      <c r="AQ65" s="490"/>
      <c r="AR65" s="490"/>
      <c r="AS65" s="490"/>
      <c r="AT65" s="490"/>
      <c r="AU65" s="490"/>
      <c r="AV65" s="490"/>
      <c r="AW65" s="490"/>
      <c r="AX65" s="490"/>
      <c r="AY65" s="490"/>
      <c r="AZ65" s="490"/>
      <c r="BA65" s="490"/>
      <c r="BB65" s="490"/>
      <c r="BC65" s="490"/>
      <c r="BD65" s="490"/>
      <c r="BE65" s="490"/>
      <c r="BF65" s="490"/>
      <c r="BG65" s="490"/>
      <c r="BH65" s="490"/>
      <c r="BI65" s="489"/>
      <c r="BJ65" s="489"/>
      <c r="BK65" s="489"/>
      <c r="BL65" s="489"/>
      <c r="BM65" s="488"/>
      <c r="BN65" s="2649">
        <f>BN64</f>
        <v>0</v>
      </c>
      <c r="BO65" s="2650"/>
      <c r="BP65" s="2650"/>
      <c r="BQ65" s="2650"/>
      <c r="BR65" s="2650"/>
      <c r="BS65" s="2650"/>
      <c r="BT65" s="2650"/>
      <c r="BU65" s="2650"/>
      <c r="BV65" s="2650"/>
      <c r="BW65" s="2650"/>
      <c r="BX65" s="2650"/>
      <c r="BY65" s="2650"/>
      <c r="BZ65" s="2650"/>
      <c r="CA65" s="2650"/>
      <c r="CB65" s="2650"/>
      <c r="CC65" s="2650"/>
      <c r="CD65" s="613"/>
      <c r="CE65" s="450"/>
      <c r="CF65" s="450"/>
    </row>
    <row r="66" spans="2:84" s="449" customFormat="1" ht="24" customHeight="1">
      <c r="B66" s="2683" t="s">
        <v>742</v>
      </c>
      <c r="C66" s="2683"/>
      <c r="D66" s="2683"/>
      <c r="E66" s="2683"/>
      <c r="F66" s="2683"/>
      <c r="G66" s="2683"/>
      <c r="H66" s="2683"/>
      <c r="I66" s="2683"/>
      <c r="J66" s="2683"/>
      <c r="K66" s="2683"/>
      <c r="L66" s="2683"/>
      <c r="M66" s="2683"/>
      <c r="N66" s="2683"/>
      <c r="O66" s="2683"/>
      <c r="P66" s="2683"/>
      <c r="Q66" s="2683"/>
      <c r="R66" s="2683"/>
      <c r="S66" s="2683"/>
      <c r="T66" s="2683"/>
      <c r="U66" s="2683"/>
      <c r="V66" s="2683"/>
      <c r="W66" s="2683"/>
      <c r="X66" s="2683"/>
      <c r="Y66" s="2683"/>
      <c r="Z66" s="2683"/>
      <c r="AA66" s="2683"/>
      <c r="AB66" s="2683"/>
      <c r="AC66" s="2683"/>
      <c r="AD66" s="2683"/>
      <c r="AE66" s="2683"/>
      <c r="AF66" s="2683"/>
      <c r="AG66" s="2683"/>
      <c r="AH66" s="487"/>
      <c r="AI66" s="487"/>
      <c r="AJ66" s="487"/>
      <c r="AK66" s="487"/>
      <c r="AL66" s="487"/>
      <c r="AM66" s="487"/>
      <c r="AN66" s="487"/>
      <c r="AO66" s="487"/>
      <c r="AP66" s="487"/>
      <c r="AQ66" s="487"/>
      <c r="AR66" s="487"/>
      <c r="AS66" s="487"/>
      <c r="AT66" s="487"/>
      <c r="AU66" s="487"/>
      <c r="AV66" s="487"/>
      <c r="AW66" s="487"/>
      <c r="AX66" s="487"/>
      <c r="AY66" s="487"/>
      <c r="AZ66" s="487"/>
      <c r="BA66" s="487"/>
      <c r="BB66" s="487"/>
      <c r="BC66" s="487"/>
      <c r="BD66" s="487"/>
      <c r="BE66" s="487"/>
      <c r="BF66" s="487"/>
      <c r="BG66" s="487"/>
      <c r="BH66" s="487"/>
      <c r="BI66" s="487"/>
      <c r="BJ66" s="487"/>
      <c r="BK66" s="487"/>
      <c r="BL66" s="487"/>
      <c r="BM66" s="487"/>
      <c r="BN66" s="487"/>
      <c r="BO66" s="487"/>
      <c r="BP66" s="487"/>
      <c r="BQ66" s="487"/>
      <c r="BR66" s="487"/>
      <c r="BS66" s="487"/>
      <c r="BT66" s="487"/>
      <c r="BU66" s="487"/>
      <c r="BV66" s="487"/>
      <c r="BW66" s="487"/>
      <c r="BX66" s="487"/>
      <c r="BY66" s="487"/>
      <c r="BZ66" s="487"/>
      <c r="CA66" s="487"/>
      <c r="CB66" s="487"/>
      <c r="CC66" s="487"/>
      <c r="CD66" s="487"/>
      <c r="CE66" s="450"/>
      <c r="CF66" s="450"/>
    </row>
    <row r="67" spans="2:84" s="449" customFormat="1" ht="4.5" customHeight="1" thickBot="1">
      <c r="B67" s="455"/>
      <c r="C67" s="455"/>
      <c r="D67" s="455"/>
      <c r="E67" s="454"/>
      <c r="F67" s="453"/>
      <c r="G67" s="452"/>
      <c r="H67" s="452"/>
      <c r="I67" s="452"/>
      <c r="J67" s="452"/>
      <c r="K67" s="451"/>
      <c r="L67" s="451"/>
      <c r="M67" s="451"/>
      <c r="N67" s="451"/>
      <c r="O67" s="451"/>
      <c r="P67" s="451"/>
      <c r="Q67" s="451"/>
      <c r="R67" s="451"/>
      <c r="S67" s="451"/>
      <c r="T67" s="451"/>
      <c r="U67" s="451"/>
      <c r="V67" s="451"/>
      <c r="W67" s="451"/>
      <c r="X67" s="451"/>
      <c r="Y67" s="451"/>
      <c r="Z67" s="451"/>
      <c r="AA67" s="451"/>
      <c r="AB67" s="451"/>
      <c r="AC67" s="451"/>
      <c r="AD67" s="451"/>
      <c r="AE67" s="451"/>
      <c r="AF67" s="451"/>
      <c r="AG67" s="451"/>
      <c r="AH67" s="451"/>
      <c r="AI67" s="451"/>
      <c r="AJ67" s="451"/>
      <c r="AK67" s="451"/>
      <c r="AL67" s="451"/>
      <c r="AM67" s="451"/>
      <c r="AN67" s="451"/>
      <c r="AO67" s="451"/>
      <c r="AP67" s="451"/>
      <c r="AQ67" s="451"/>
      <c r="AR67" s="451"/>
      <c r="AS67" s="451"/>
      <c r="AT67" s="451"/>
      <c r="AU67" s="451"/>
      <c r="AV67" s="451"/>
      <c r="AW67" s="451"/>
      <c r="AX67" s="451"/>
      <c r="AY67" s="451"/>
      <c r="AZ67" s="451"/>
      <c r="BA67" s="451"/>
      <c r="BB67" s="451"/>
      <c r="BC67" s="451"/>
      <c r="BD67" s="451"/>
      <c r="BE67" s="451"/>
      <c r="BF67" s="451"/>
      <c r="BG67" s="451"/>
      <c r="BH67" s="451"/>
      <c r="BI67" s="451"/>
      <c r="BJ67" s="451"/>
      <c r="BK67" s="451"/>
      <c r="BL67" s="451"/>
      <c r="BM67" s="451"/>
      <c r="BN67" s="451"/>
      <c r="BO67" s="451"/>
      <c r="BP67" s="451"/>
      <c r="BQ67" s="451"/>
      <c r="BR67" s="451"/>
      <c r="BS67" s="451"/>
      <c r="BT67" s="451"/>
      <c r="BU67" s="451"/>
      <c r="BV67" s="451"/>
      <c r="BW67" s="451"/>
      <c r="BX67" s="451"/>
      <c r="BY67" s="451"/>
      <c r="BZ67" s="451"/>
      <c r="CA67" s="451"/>
      <c r="CB67" s="451"/>
      <c r="CC67" s="451"/>
      <c r="CD67" s="451"/>
      <c r="CE67" s="450"/>
      <c r="CF67" s="450"/>
    </row>
    <row r="68" spans="2:84" s="449" customFormat="1" ht="10" customHeight="1">
      <c r="B68" s="486"/>
      <c r="C68" s="485"/>
      <c r="D68" s="485"/>
      <c r="E68" s="485"/>
      <c r="F68" s="485"/>
      <c r="G68" s="485"/>
      <c r="H68" s="485"/>
      <c r="I68" s="485"/>
      <c r="J68" s="485"/>
      <c r="K68" s="485"/>
      <c r="L68" s="485"/>
      <c r="M68" s="485"/>
      <c r="N68" s="485"/>
      <c r="O68" s="484"/>
      <c r="P68" s="484"/>
      <c r="Q68" s="484"/>
      <c r="R68" s="484"/>
      <c r="S68" s="484"/>
      <c r="T68" s="484"/>
      <c r="U68" s="484"/>
      <c r="V68" s="484"/>
      <c r="W68" s="484"/>
      <c r="X68" s="484"/>
      <c r="Y68" s="484"/>
      <c r="Z68" s="484"/>
      <c r="AA68" s="484"/>
      <c r="AB68" s="484"/>
      <c r="AC68" s="484"/>
      <c r="AD68" s="484"/>
      <c r="AE68" s="484"/>
      <c r="AF68" s="484"/>
      <c r="AG68" s="484"/>
      <c r="AH68" s="484"/>
      <c r="AI68" s="484"/>
      <c r="AJ68" s="484"/>
      <c r="AK68" s="484"/>
      <c r="AL68" s="484"/>
      <c r="AM68" s="484"/>
      <c r="AN68" s="484"/>
      <c r="AO68" s="484"/>
      <c r="AP68" s="483"/>
      <c r="AQ68" s="483"/>
      <c r="AR68" s="483"/>
      <c r="AS68" s="483"/>
      <c r="AT68" s="483"/>
      <c r="AU68" s="483"/>
      <c r="AV68" s="483"/>
      <c r="AW68" s="483"/>
      <c r="AX68" s="483"/>
      <c r="AY68" s="483"/>
      <c r="AZ68" s="483"/>
      <c r="BA68" s="483"/>
      <c r="BB68" s="483"/>
      <c r="BC68" s="483"/>
      <c r="BD68" s="483"/>
      <c r="BE68" s="483"/>
      <c r="BF68" s="483"/>
      <c r="BG68" s="483"/>
      <c r="BH68" s="483"/>
      <c r="BI68" s="483"/>
      <c r="BJ68" s="483"/>
      <c r="BK68" s="483"/>
      <c r="BL68" s="483"/>
      <c r="BM68" s="483"/>
      <c r="BN68" s="483"/>
      <c r="BO68" s="483"/>
      <c r="BP68" s="483"/>
      <c r="BQ68" s="483"/>
      <c r="BR68" s="483"/>
      <c r="BS68" s="483"/>
      <c r="BT68" s="483"/>
      <c r="BU68" s="483"/>
      <c r="BV68" s="483"/>
      <c r="BW68" s="483"/>
      <c r="BX68" s="483"/>
      <c r="BY68" s="483"/>
      <c r="BZ68" s="483"/>
      <c r="CA68" s="483"/>
      <c r="CB68" s="483"/>
      <c r="CC68" s="483"/>
      <c r="CD68" s="482"/>
      <c r="CE68" s="450"/>
      <c r="CF68" s="450"/>
    </row>
    <row r="69" spans="2:84" s="449" customFormat="1" ht="13.5" customHeight="1">
      <c r="B69" s="471" t="s">
        <v>621</v>
      </c>
      <c r="C69" s="470"/>
      <c r="D69" s="2700" t="s">
        <v>741</v>
      </c>
      <c r="E69" s="2700"/>
      <c r="F69" s="2700"/>
      <c r="G69" s="2700"/>
      <c r="H69" s="481" t="s">
        <v>26</v>
      </c>
      <c r="I69" s="467" t="s">
        <v>740</v>
      </c>
      <c r="J69" s="467"/>
      <c r="K69" s="467"/>
      <c r="L69" s="2641" t="s">
        <v>30</v>
      </c>
      <c r="M69" s="2641"/>
      <c r="N69" s="2641"/>
      <c r="O69" s="2641"/>
      <c r="P69" s="2641"/>
      <c r="Q69" s="2641"/>
      <c r="R69" s="2641"/>
      <c r="S69" s="2641"/>
      <c r="T69" s="2641"/>
      <c r="U69" s="2641"/>
      <c r="V69" s="2641"/>
      <c r="W69" s="2641"/>
      <c r="X69" s="2641"/>
      <c r="Y69" s="2641"/>
      <c r="Z69" s="2641"/>
      <c r="AA69" s="2641"/>
      <c r="AB69" s="2641"/>
      <c r="AC69" s="2641"/>
      <c r="AD69" s="2641"/>
      <c r="AE69" s="2641"/>
      <c r="AF69" s="2641"/>
      <c r="AG69" s="2641"/>
      <c r="AH69" s="2641"/>
      <c r="AI69" s="2641"/>
      <c r="AJ69" s="2641"/>
      <c r="AK69" s="2641"/>
      <c r="AL69" s="2641"/>
      <c r="AM69" s="2641"/>
      <c r="AN69" s="2641"/>
      <c r="AO69" s="2641"/>
      <c r="AP69" s="2641"/>
      <c r="AQ69" s="2641"/>
      <c r="AR69" s="2641"/>
      <c r="AS69" s="479"/>
      <c r="AT69" s="479"/>
      <c r="AU69" s="478"/>
      <c r="AV69" s="2648" t="s">
        <v>739</v>
      </c>
      <c r="AW69" s="2648"/>
      <c r="AX69" s="2648"/>
      <c r="AY69" s="2648"/>
      <c r="AZ69" s="2648"/>
      <c r="BA69" s="2648"/>
      <c r="BB69" s="2648"/>
      <c r="BC69" s="2648"/>
      <c r="BD69" s="2648"/>
      <c r="BE69" s="2648"/>
      <c r="BF69" s="2648"/>
      <c r="BG69" s="2648"/>
      <c r="BH69" s="2648"/>
      <c r="BI69" s="2648"/>
      <c r="BJ69" s="2648"/>
      <c r="BK69" s="2648"/>
      <c r="BL69" s="2648"/>
      <c r="BM69" s="2648"/>
      <c r="BN69" s="2648"/>
      <c r="BO69" s="478"/>
      <c r="BP69" s="478"/>
      <c r="BQ69" s="2635"/>
      <c r="BR69" s="2636"/>
      <c r="BS69" s="2636"/>
      <c r="BT69" s="2636"/>
      <c r="BU69" s="2636"/>
      <c r="BV69" s="2636"/>
      <c r="BW69" s="2636"/>
      <c r="BX69" s="2636"/>
      <c r="BY69" s="2636"/>
      <c r="BZ69" s="2636"/>
      <c r="CA69" s="2636"/>
      <c r="CB69" s="2636"/>
      <c r="CC69" s="2637"/>
      <c r="CD69" s="472"/>
      <c r="CE69" s="450"/>
      <c r="CF69" s="450"/>
    </row>
    <row r="70" spans="2:84" s="449" customFormat="1" ht="10" customHeight="1">
      <c r="B70" s="477"/>
      <c r="C70" s="468"/>
      <c r="D70" s="468"/>
      <c r="E70" s="468"/>
      <c r="F70" s="468"/>
      <c r="G70" s="468"/>
      <c r="H70" s="468"/>
      <c r="I70" s="468"/>
      <c r="J70" s="476"/>
      <c r="K70" s="476"/>
      <c r="L70" s="476"/>
      <c r="M70" s="468"/>
      <c r="N70" s="468"/>
      <c r="O70" s="475"/>
      <c r="P70" s="475"/>
      <c r="Q70" s="475"/>
      <c r="R70" s="474"/>
      <c r="S70" s="474"/>
      <c r="T70" s="474"/>
      <c r="U70" s="474"/>
      <c r="V70" s="474"/>
      <c r="W70" s="474"/>
      <c r="X70" s="474"/>
      <c r="Y70" s="474"/>
      <c r="Z70" s="474"/>
      <c r="AA70" s="474"/>
      <c r="AB70" s="474"/>
      <c r="AC70" s="474"/>
      <c r="AD70" s="474"/>
      <c r="AE70" s="474"/>
      <c r="AF70" s="474"/>
      <c r="AG70" s="474"/>
      <c r="AH70" s="474"/>
      <c r="AI70" s="474"/>
      <c r="AJ70" s="474"/>
      <c r="AK70" s="474"/>
      <c r="AL70" s="474"/>
      <c r="AM70" s="474"/>
      <c r="AN70" s="474"/>
      <c r="AO70" s="474"/>
      <c r="AP70" s="473"/>
      <c r="AQ70" s="473"/>
      <c r="AR70" s="473"/>
      <c r="AS70" s="473"/>
      <c r="AT70" s="473"/>
      <c r="AU70" s="473"/>
      <c r="AV70" s="473"/>
      <c r="AW70" s="473"/>
      <c r="AX70" s="473"/>
      <c r="AY70" s="473"/>
      <c r="AZ70" s="473"/>
      <c r="BA70" s="473"/>
      <c r="BB70" s="473"/>
      <c r="BC70" s="473"/>
      <c r="BD70" s="473"/>
      <c r="BE70" s="473"/>
      <c r="BF70" s="473"/>
      <c r="BG70" s="473"/>
      <c r="BH70" s="473"/>
      <c r="BI70" s="473"/>
      <c r="BJ70" s="473"/>
      <c r="BK70" s="473"/>
      <c r="BL70" s="473"/>
      <c r="BM70" s="473"/>
      <c r="BN70" s="473"/>
      <c r="BO70" s="473"/>
      <c r="BP70" s="473"/>
      <c r="BQ70" s="2638"/>
      <c r="BR70" s="480"/>
      <c r="BS70" s="480"/>
      <c r="BT70" s="480"/>
      <c r="BU70" s="480"/>
      <c r="BV70" s="480"/>
      <c r="BW70" s="480"/>
      <c r="BX70" s="480"/>
      <c r="BY70" s="480"/>
      <c r="BZ70" s="480"/>
      <c r="CA70" s="480"/>
      <c r="CB70" s="480"/>
      <c r="CC70" s="2639"/>
      <c r="CD70" s="472"/>
      <c r="CE70" s="450"/>
      <c r="CF70" s="450"/>
    </row>
    <row r="71" spans="2:84" s="449" customFormat="1" ht="13.5" customHeight="1">
      <c r="B71" s="471" t="s">
        <v>622</v>
      </c>
      <c r="C71" s="470"/>
      <c r="D71" s="469" t="s">
        <v>607</v>
      </c>
      <c r="E71" s="469"/>
      <c r="F71" s="469"/>
      <c r="G71" s="469"/>
      <c r="H71" s="468" t="s">
        <v>26</v>
      </c>
      <c r="I71" s="467" t="s">
        <v>738</v>
      </c>
      <c r="J71" s="467"/>
      <c r="K71" s="467"/>
      <c r="L71" s="2643"/>
      <c r="M71" s="2643"/>
      <c r="N71" s="2643"/>
      <c r="O71" s="2643"/>
      <c r="P71" s="2643"/>
      <c r="Q71" s="2643"/>
      <c r="R71" s="2643"/>
      <c r="S71" s="2643"/>
      <c r="T71" s="2643"/>
      <c r="U71" s="2643"/>
      <c r="V71" s="2643"/>
      <c r="W71" s="2643"/>
      <c r="X71" s="2643"/>
      <c r="Y71" s="2643"/>
      <c r="Z71" s="2643"/>
      <c r="AA71" s="2643"/>
      <c r="AB71" s="2643"/>
      <c r="AC71" s="2643"/>
      <c r="AD71" s="2643"/>
      <c r="AE71" s="2643"/>
      <c r="AF71" s="2643"/>
      <c r="AG71" s="2643"/>
      <c r="AH71" s="2643"/>
      <c r="AI71" s="2643"/>
      <c r="AJ71" s="2643"/>
      <c r="AK71" s="2643"/>
      <c r="AL71" s="2643"/>
      <c r="AM71" s="2643"/>
      <c r="AN71" s="2643"/>
      <c r="AO71" s="2643"/>
      <c r="AP71" s="2643"/>
      <c r="AQ71" s="2643"/>
      <c r="AR71" s="2643"/>
      <c r="AS71" s="2644" t="s">
        <v>737</v>
      </c>
      <c r="AT71" s="2644"/>
      <c r="AU71" s="2644"/>
      <c r="AV71" s="2651" t="str">
        <f>'GENERAL INFO'!Q113</f>
        <v>-</v>
      </c>
      <c r="AW71" s="2651"/>
      <c r="AX71" s="2651"/>
      <c r="AY71" s="2651"/>
      <c r="AZ71" s="2651"/>
      <c r="BA71" s="2651"/>
      <c r="BB71" s="2651"/>
      <c r="BC71" s="2651"/>
      <c r="BD71" s="2651"/>
      <c r="BE71" s="2651"/>
      <c r="BF71" s="2651"/>
      <c r="BG71" s="2651"/>
      <c r="BH71" s="2651"/>
      <c r="BI71" s="2651"/>
      <c r="BJ71" s="2651"/>
      <c r="BK71" s="2651"/>
      <c r="BL71" s="2651"/>
      <c r="BM71" s="2651"/>
      <c r="BN71" s="2651"/>
      <c r="BO71" s="2651"/>
      <c r="BP71" s="464"/>
      <c r="BQ71" s="2638"/>
      <c r="BR71" s="480"/>
      <c r="BS71" s="480"/>
      <c r="BT71" s="480"/>
      <c r="BU71" s="480"/>
      <c r="BV71" s="480"/>
      <c r="BW71" s="480"/>
      <c r="BX71" s="480"/>
      <c r="BY71" s="480"/>
      <c r="BZ71" s="480"/>
      <c r="CA71" s="480"/>
      <c r="CB71" s="480"/>
      <c r="CC71" s="2639"/>
      <c r="CD71" s="463"/>
      <c r="CE71" s="450"/>
      <c r="CF71" s="450"/>
    </row>
    <row r="72" spans="2:84" s="449" customFormat="1" ht="13.5" customHeight="1">
      <c r="B72" s="471"/>
      <c r="C72" s="470"/>
      <c r="D72" s="469"/>
      <c r="E72" s="469"/>
      <c r="F72" s="469"/>
      <c r="G72" s="469"/>
      <c r="H72" s="468"/>
      <c r="I72" s="467"/>
      <c r="J72" s="467"/>
      <c r="K72" s="467"/>
      <c r="L72" s="467"/>
      <c r="M72" s="449"/>
      <c r="N72" s="449"/>
      <c r="O72" s="449"/>
      <c r="P72" s="466"/>
      <c r="Q72" s="466"/>
      <c r="R72" s="464"/>
      <c r="S72" s="464"/>
      <c r="T72" s="464"/>
      <c r="U72" s="464"/>
      <c r="V72" s="464"/>
      <c r="W72" s="464"/>
      <c r="X72" s="464"/>
      <c r="Y72" s="464"/>
      <c r="Z72" s="464"/>
      <c r="AA72" s="464"/>
      <c r="AB72" s="464"/>
      <c r="AC72" s="464"/>
      <c r="AD72" s="464"/>
      <c r="AE72" s="464"/>
      <c r="AF72" s="464"/>
      <c r="AG72" s="464"/>
      <c r="AH72" s="464"/>
      <c r="AI72" s="464"/>
      <c r="AJ72" s="464"/>
      <c r="AK72" s="464"/>
      <c r="AL72" s="464"/>
      <c r="AM72" s="464"/>
      <c r="AN72" s="464"/>
      <c r="AO72" s="464"/>
      <c r="AP72" s="464"/>
      <c r="AQ72" s="464"/>
      <c r="AR72" s="464"/>
      <c r="AS72" s="464"/>
      <c r="AT72" s="465"/>
      <c r="AU72" s="465"/>
      <c r="AV72" s="2693" t="s">
        <v>736</v>
      </c>
      <c r="AW72" s="2693"/>
      <c r="AX72" s="2693"/>
      <c r="AY72" s="2693"/>
      <c r="AZ72" s="2693"/>
      <c r="BA72" s="2693"/>
      <c r="BB72" s="2693"/>
      <c r="BC72" s="2693"/>
      <c r="BD72" s="2693"/>
      <c r="BE72" s="2693"/>
      <c r="BF72" s="2693"/>
      <c r="BG72" s="2693"/>
      <c r="BH72" s="2693"/>
      <c r="BI72" s="464"/>
      <c r="BJ72" s="464"/>
      <c r="BK72" s="464"/>
      <c r="BL72" s="464"/>
      <c r="BM72" s="464"/>
      <c r="BN72" s="464"/>
      <c r="BO72" s="464"/>
      <c r="BP72" s="464"/>
      <c r="BQ72" s="2640"/>
      <c r="BR72" s="2641"/>
      <c r="BS72" s="2641"/>
      <c r="BT72" s="2641"/>
      <c r="BU72" s="2641"/>
      <c r="BV72" s="2641"/>
      <c r="BW72" s="2641"/>
      <c r="BX72" s="2641"/>
      <c r="BY72" s="2641"/>
      <c r="BZ72" s="2641"/>
      <c r="CA72" s="2641"/>
      <c r="CB72" s="2641"/>
      <c r="CC72" s="2642"/>
      <c r="CD72" s="463"/>
      <c r="CE72" s="450"/>
      <c r="CF72" s="450"/>
    </row>
    <row r="73" spans="2:84" s="449" customFormat="1" ht="10" customHeight="1" thickBot="1">
      <c r="B73" s="462"/>
      <c r="C73" s="461"/>
      <c r="D73" s="459"/>
      <c r="E73" s="459"/>
      <c r="F73" s="459"/>
      <c r="G73" s="459"/>
      <c r="H73" s="459"/>
      <c r="I73" s="459"/>
      <c r="J73" s="460"/>
      <c r="K73" s="460"/>
      <c r="L73" s="460"/>
      <c r="M73" s="459"/>
      <c r="N73" s="458"/>
      <c r="O73" s="458"/>
      <c r="P73" s="458"/>
      <c r="Q73" s="458"/>
      <c r="R73" s="457"/>
      <c r="S73" s="457"/>
      <c r="T73" s="457"/>
      <c r="U73" s="457"/>
      <c r="V73" s="457"/>
      <c r="W73" s="457"/>
      <c r="X73" s="457"/>
      <c r="Y73" s="457"/>
      <c r="Z73" s="457"/>
      <c r="AA73" s="457"/>
      <c r="AB73" s="457"/>
      <c r="AC73" s="457"/>
      <c r="AD73" s="457"/>
      <c r="AE73" s="457"/>
      <c r="AF73" s="457"/>
      <c r="AG73" s="457"/>
      <c r="AH73" s="457"/>
      <c r="AI73" s="457"/>
      <c r="AJ73" s="457"/>
      <c r="AK73" s="457"/>
      <c r="AL73" s="457"/>
      <c r="AM73" s="457"/>
      <c r="AN73" s="457"/>
      <c r="AO73" s="457"/>
      <c r="AP73" s="457"/>
      <c r="AQ73" s="457"/>
      <c r="AR73" s="457"/>
      <c r="AS73" s="457"/>
      <c r="AT73" s="457"/>
      <c r="AU73" s="457"/>
      <c r="AV73" s="457"/>
      <c r="AW73" s="457"/>
      <c r="AX73" s="457"/>
      <c r="AY73" s="457"/>
      <c r="AZ73" s="457"/>
      <c r="BA73" s="457"/>
      <c r="BB73" s="457"/>
      <c r="BC73" s="457"/>
      <c r="BD73" s="457"/>
      <c r="BE73" s="457"/>
      <c r="BF73" s="457"/>
      <c r="BG73" s="457"/>
      <c r="BH73" s="457"/>
      <c r="BI73" s="457"/>
      <c r="BJ73" s="457"/>
      <c r="BK73" s="457"/>
      <c r="BL73" s="457"/>
      <c r="BM73" s="457"/>
      <c r="BN73" s="457"/>
      <c r="BO73" s="457"/>
      <c r="BP73" s="457"/>
      <c r="BQ73" s="457"/>
      <c r="BR73" s="457"/>
      <c r="BS73" s="457"/>
      <c r="BT73" s="457"/>
      <c r="BU73" s="457"/>
      <c r="BV73" s="457"/>
      <c r="BW73" s="457"/>
      <c r="BX73" s="457"/>
      <c r="BY73" s="457"/>
      <c r="BZ73" s="457"/>
      <c r="CA73" s="457"/>
      <c r="CB73" s="457"/>
      <c r="CC73" s="457"/>
      <c r="CD73" s="456"/>
      <c r="CE73" s="450"/>
      <c r="CF73" s="450"/>
    </row>
    <row r="74" spans="2:84" s="449" customFormat="1" ht="13.5" customHeight="1">
      <c r="B74" s="455"/>
      <c r="C74" s="455"/>
      <c r="D74" s="455"/>
      <c r="E74" s="454"/>
      <c r="F74" s="453"/>
      <c r="G74" s="452"/>
      <c r="H74" s="452"/>
      <c r="I74" s="452"/>
      <c r="J74" s="452"/>
      <c r="K74" s="451"/>
      <c r="L74" s="451"/>
      <c r="M74" s="451"/>
      <c r="N74" s="451"/>
      <c r="O74" s="451"/>
      <c r="P74" s="451"/>
      <c r="Q74" s="451"/>
      <c r="R74" s="451"/>
      <c r="S74" s="451"/>
      <c r="T74" s="451"/>
      <c r="U74" s="451"/>
      <c r="V74" s="451"/>
      <c r="W74" s="451"/>
      <c r="X74" s="451"/>
      <c r="Y74" s="451"/>
      <c r="Z74" s="451"/>
      <c r="AA74" s="451"/>
      <c r="AB74" s="451"/>
      <c r="AC74" s="451"/>
      <c r="AD74" s="451"/>
      <c r="AE74" s="451"/>
      <c r="AF74" s="451"/>
      <c r="AG74" s="451"/>
      <c r="AH74" s="451"/>
      <c r="AI74" s="451"/>
      <c r="AJ74" s="451"/>
      <c r="AK74" s="451"/>
      <c r="AL74" s="451"/>
      <c r="AM74" s="451"/>
      <c r="AN74" s="451"/>
      <c r="AO74" s="451"/>
      <c r="AP74" s="451"/>
      <c r="AQ74" s="451"/>
      <c r="AR74" s="451"/>
      <c r="AS74" s="451"/>
      <c r="AT74" s="451"/>
      <c r="AU74" s="451"/>
      <c r="AV74" s="451"/>
      <c r="AW74" s="451"/>
      <c r="AX74" s="451"/>
      <c r="AY74" s="451"/>
      <c r="AZ74" s="451"/>
      <c r="BA74" s="451"/>
      <c r="BB74" s="451"/>
      <c r="BC74" s="451"/>
      <c r="BD74" s="451"/>
      <c r="BE74" s="451"/>
      <c r="BF74" s="451"/>
      <c r="BG74" s="451"/>
      <c r="BH74" s="451"/>
      <c r="BI74" s="451"/>
      <c r="BJ74" s="451"/>
      <c r="BK74" s="451"/>
      <c r="BL74" s="451"/>
      <c r="BM74" s="451"/>
      <c r="BN74" s="451"/>
      <c r="BO74" s="451"/>
      <c r="BP74" s="451"/>
      <c r="BQ74" s="451"/>
      <c r="BR74" s="451"/>
      <c r="BS74" s="451"/>
      <c r="BT74" s="451"/>
      <c r="BU74" s="451"/>
      <c r="BV74" s="451"/>
      <c r="BW74" s="451"/>
      <c r="BX74" s="451"/>
      <c r="BY74" s="451"/>
      <c r="BZ74" s="451"/>
      <c r="CA74" s="451"/>
      <c r="CB74" s="451"/>
      <c r="CC74" s="451"/>
      <c r="CD74" s="451"/>
      <c r="CE74" s="450"/>
      <c r="CF74" s="450"/>
    </row>
    <row r="75" ht="4.5" customHeight="1"/>
    <row r="76" spans="1:84" ht="9" customHeight="1">
      <c r="A76" s="445"/>
      <c r="B76" s="448"/>
      <c r="C76" s="448"/>
      <c r="BU76" s="2692"/>
      <c r="BV76" s="2692"/>
      <c r="BW76" s="2692"/>
      <c r="BX76" s="2692"/>
      <c r="BY76" s="2692"/>
      <c r="BZ76" s="2692"/>
      <c r="CA76" s="2692"/>
      <c r="CB76" s="2692"/>
      <c r="CC76" s="447"/>
      <c r="CD76" s="447"/>
      <c r="CE76" s="446"/>
      <c r="CF76" s="445"/>
    </row>
    <row r="77" ht="6" customHeight="1"/>
  </sheetData>
  <sheetProtection password="BDAF" sheet="1" objects="1" scenarios="1" selectLockedCells="1" selectUnlockedCells="1"/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G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19685039370078741" right="0.19685039370078741" top="0.23622047244094491" bottom="0.23622047244094491" header="0.31496062992125984" footer="0.31496062992125984"/>
  <pageSetup paperSize="201" scale="71" orientation="portrait" r:id="rId1"/>
  <drawing r:id="rId2"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</sheetPr>
  <dimension ref="B1:AZ489"/>
  <sheetViews>
    <sheetView topLeftCell="A88" showGridLines="0" zoomScaleNormal="130" zoomScaleSheetLayoutView="100" view="pageBreakPreview" workbookViewId="0">
      <selection pane="topLeft" activeCell="AB113" sqref="AB113"/>
    </sheetView>
  </sheetViews>
  <sheetFormatPr defaultRowHeight="12.5" baseColWidth="0"/>
  <cols>
    <col min="1" max="1" width="1.42578125" customWidth="1"/>
    <col min="2" max="2" width="3.7109375" customWidth="1"/>
    <col min="3" max="3" width="2.8515625" customWidth="1"/>
    <col min="4" max="4" width="2.28125" customWidth="1"/>
    <col min="5" max="7" width="2.8515625" customWidth="1"/>
    <col min="8" max="9" width="3.28125" customWidth="1"/>
    <col min="10" max="17" width="2.8515625" customWidth="1"/>
    <col min="18" max="18" width="3.421875" customWidth="1"/>
    <col min="19" max="25" width="2.8515625" customWidth="1"/>
    <col min="26" max="26" width="3.7109375" customWidth="1"/>
    <col min="27" max="27" width="2.8515625" customWidth="1"/>
    <col min="28" max="28" width="3.28125" customWidth="1"/>
    <col min="29" max="29" width="3.8515625" customWidth="1"/>
    <col min="30" max="30" width="3.56640625" customWidth="1"/>
    <col min="31" max="31" width="3.28125" customWidth="1"/>
    <col min="32" max="32" width="3.99609375" customWidth="1"/>
    <col min="33" max="35" width="2.8515625" customWidth="1"/>
    <col min="36" max="36" width="4.7109375" customWidth="1"/>
    <col min="37" max="37" width="2.8515625" customWidth="1"/>
    <col min="38" max="38" width="3.28125" customWidth="1"/>
    <col min="39" max="39" width="2.8515625" customWidth="1"/>
    <col min="40" max="40" width="3.56640625" customWidth="1"/>
    <col min="41" max="43" width="2.8515625" customWidth="1"/>
    <col min="44" max="44" width="4.8515625" customWidth="1"/>
    <col min="45" max="45" width="3.7109375" customWidth="1"/>
    <col min="46" max="100" width="2.8515625" customWidth="1"/>
    <col min="101" max="194" width="3.8515625" customWidth="1"/>
  </cols>
  <sheetData>
    <row r="1" spans="2:45" ht="10" customHeight="1">
      <c r="B1" s="1"/>
      <c r="C1"/>
      <c r="D1"/>
      <c r="E1"/>
      <c r="F1"/>
      <c r="AS1" s="1"/>
    </row>
    <row r="2" spans="2:45" ht="20.15" customHeight="1">
      <c r="B2" s="2094" t="s">
        <v>38</v>
      </c>
      <c r="C2" s="64"/>
      <c r="D2" s="2139" t="s">
        <v>15</v>
      </c>
      <c r="E2" s="2139"/>
      <c r="F2" s="2139"/>
      <c r="G2" s="2139"/>
      <c r="H2" s="2139"/>
      <c r="I2" s="2139"/>
      <c r="J2" s="2139"/>
      <c r="K2" s="2139"/>
      <c r="L2" s="2139"/>
      <c r="M2" s="87"/>
      <c r="N2" s="2136" t="s">
        <v>78</v>
      </c>
      <c r="O2" s="2137"/>
      <c r="P2" s="2137"/>
      <c r="Q2" s="2137"/>
      <c r="R2" s="2137"/>
      <c r="S2" s="2137"/>
      <c r="T2" s="2137"/>
      <c r="U2" s="2137"/>
      <c r="V2" s="2137"/>
      <c r="W2" s="2137"/>
      <c r="X2" s="2137"/>
      <c r="Y2" s="2137"/>
      <c r="Z2" s="2137"/>
      <c r="AA2" s="2137"/>
      <c r="AB2" s="2137"/>
      <c r="AC2" s="2137"/>
      <c r="AD2" s="2137"/>
      <c r="AE2" s="2137"/>
      <c r="AF2" s="2137"/>
      <c r="AG2" s="2137"/>
      <c r="AH2" s="2137"/>
      <c r="AI2" s="2138"/>
      <c r="AJ2" s="2092" t="s">
        <v>29</v>
      </c>
      <c r="AK2" s="40"/>
      <c r="AM2" s="27">
        <v>2007</v>
      </c>
      <c r="AN2" s="2096"/>
      <c r="AO2" s="2096"/>
      <c r="AP2" s="2096"/>
      <c r="AQ2" s="2096"/>
      <c r="AR2" s="2096"/>
      <c r="AS2" s="27"/>
    </row>
    <row r="3" spans="2:45" ht="20.15" customHeight="1" thickBot="1">
      <c r="B3" s="2094"/>
      <c r="C3" s="64"/>
      <c r="D3" s="2139"/>
      <c r="E3" s="2139"/>
      <c r="F3" s="2139"/>
      <c r="G3" s="2139"/>
      <c r="H3" s="2139"/>
      <c r="I3" s="2139"/>
      <c r="J3" s="2139"/>
      <c r="K3" s="2139"/>
      <c r="L3" s="2139"/>
      <c r="M3" s="87"/>
      <c r="N3" s="2140" t="s">
        <v>100</v>
      </c>
      <c r="O3" s="2141"/>
      <c r="P3" s="2141"/>
      <c r="Q3" s="2141"/>
      <c r="R3" s="2141"/>
      <c r="S3" s="2141"/>
      <c r="T3" s="2141"/>
      <c r="U3" s="2141"/>
      <c r="V3" s="2141"/>
      <c r="W3" s="2141"/>
      <c r="X3" s="2141"/>
      <c r="Y3" s="2141"/>
      <c r="Z3" s="2141"/>
      <c r="AA3" s="2141"/>
      <c r="AB3" s="2141"/>
      <c r="AC3" s="2141"/>
      <c r="AD3" s="2141"/>
      <c r="AE3" s="2141"/>
      <c r="AF3" s="2141"/>
      <c r="AG3" s="2141"/>
      <c r="AH3" s="2141"/>
      <c r="AI3" s="2142"/>
      <c r="AJ3" s="2092"/>
      <c r="AK3" s="2270">
        <f>'FE-1770S'!AK3:AL5</f>
        <v>0</v>
      </c>
      <c r="AL3" s="2270"/>
      <c r="AM3" s="2080">
        <f>'FE-1770S'!AM3:AN5</f>
        <v>0</v>
      </c>
      <c r="AN3" s="2080"/>
      <c r="AO3" s="2080">
        <f>'FE-1770S'!AO3:AP5</f>
        <v>0</v>
      </c>
      <c r="AP3" s="2080"/>
      <c r="AQ3" s="2080">
        <f>'FE-1770S'!AQ3:AR5</f>
        <v>0</v>
      </c>
      <c r="AR3" s="2080"/>
      <c r="AS3" s="27"/>
    </row>
    <row r="4" spans="2:45" ht="14.25" customHeight="1">
      <c r="B4" s="2094"/>
      <c r="D4" s="2139"/>
      <c r="E4" s="2139"/>
      <c r="F4" s="2139"/>
      <c r="G4" s="2139"/>
      <c r="H4" s="2139"/>
      <c r="I4" s="2139"/>
      <c r="J4" s="2139"/>
      <c r="K4" s="2139"/>
      <c r="L4" s="2139"/>
      <c r="M4" s="87"/>
      <c r="N4" s="1316" t="s">
        <v>1323</v>
      </c>
      <c r="O4"/>
      <c r="P4"/>
      <c r="Q4" s="15"/>
      <c r="R4"/>
      <c r="S4"/>
      <c r="T4"/>
      <c r="U4"/>
      <c r="V4"/>
      <c r="W4"/>
      <c r="X4"/>
      <c r="Y4"/>
      <c r="Z4" s="34"/>
      <c r="AA4"/>
      <c r="AB4"/>
      <c r="AC4"/>
      <c r="AD4"/>
      <c r="AE4"/>
      <c r="AF4"/>
      <c r="AG4"/>
      <c r="AH4"/>
      <c r="AI4"/>
      <c r="AJ4" s="2092"/>
      <c r="AK4" s="2270"/>
      <c r="AL4" s="2270"/>
      <c r="AM4" s="2080"/>
      <c r="AN4" s="2080"/>
      <c r="AO4" s="2080"/>
      <c r="AP4" s="2080"/>
      <c r="AQ4" s="2080"/>
      <c r="AR4" s="2080"/>
      <c r="AS4" s="27"/>
    </row>
    <row r="5" spans="2:45" ht="14.25" customHeight="1">
      <c r="B5" s="2094"/>
      <c r="C5" s="32" t="s">
        <v>712</v>
      </c>
      <c r="D5" s="32"/>
      <c r="E5" s="32"/>
      <c r="F5" s="32"/>
      <c r="G5" s="32"/>
      <c r="H5" s="32"/>
      <c r="I5" s="32"/>
      <c r="J5" s="32"/>
      <c r="K5" s="32"/>
      <c r="L5" s="32"/>
      <c r="M5" s="2144"/>
      <c r="N5" s="106" t="s">
        <v>23</v>
      </c>
      <c r="O5" s="93" t="s">
        <v>1324</v>
      </c>
      <c r="P5"/>
      <c r="Q5" s="1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2092"/>
      <c r="AK5"/>
      <c r="AL5"/>
      <c r="AM5"/>
      <c r="AN5"/>
      <c r="AO5"/>
      <c r="AP5"/>
      <c r="AQ5"/>
      <c r="AR5"/>
      <c r="AS5" s="27"/>
    </row>
    <row r="6" spans="2:45" ht="14.25" customHeight="1">
      <c r="B6" s="2094"/>
      <c r="C6" s="32" t="s">
        <v>31</v>
      </c>
      <c r="D6" s="32"/>
      <c r="E6" s="32"/>
      <c r="F6" s="32"/>
      <c r="G6" s="32"/>
      <c r="H6" s="32"/>
      <c r="I6" s="32"/>
      <c r="J6" s="32"/>
      <c r="K6" s="32"/>
      <c r="L6" s="32"/>
      <c r="M6" s="2144"/>
      <c r="N6" s="106" t="s">
        <v>23</v>
      </c>
      <c r="O6" s="93" t="s">
        <v>1325</v>
      </c>
      <c r="P6"/>
      <c r="Q6" s="15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2092"/>
      <c r="AK6" s="1372" t="str">
        <f>'FE-1770S'!AK6</f>
        <v/>
      </c>
      <c r="AL6" s="104" t="s">
        <v>617</v>
      </c>
      <c r="AM6" s="217"/>
      <c r="AN6" s="217"/>
      <c r="AO6" s="218"/>
      <c r="AP6" s="218"/>
      <c r="AQ6" s="218"/>
      <c r="AR6" s="218"/>
      <c r="AS6" s="437" t="str">
        <f>IF('GENERAL INFO'!T33&gt;0,'GENERAL INFO'!T33,"")</f>
        <v/>
      </c>
    </row>
    <row r="7" spans="2:45" ht="14.25" customHeight="1" thickBot="1">
      <c r="B7" s="2095"/>
      <c r="C7" s="2"/>
      <c r="D7" s="219"/>
      <c r="E7" s="53"/>
      <c r="F7" s="53"/>
      <c r="G7" s="53"/>
      <c r="H7" s="53"/>
      <c r="I7" s="53"/>
      <c r="J7" s="53"/>
      <c r="K7" s="53"/>
      <c r="L7" s="53"/>
      <c r="M7" s="63"/>
      <c r="N7" s="107" t="s">
        <v>23</v>
      </c>
      <c r="O7" s="108" t="s">
        <v>1326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093"/>
      <c r="AK7" s="2"/>
      <c r="AL7" s="2"/>
      <c r="AM7" s="29"/>
      <c r="AN7" s="29"/>
      <c r="AO7" s="29"/>
      <c r="AP7" s="29"/>
      <c r="AQ7" s="29"/>
      <c r="AR7" s="29"/>
      <c r="AS7" s="27"/>
    </row>
    <row r="8" spans="6:45" ht="2.15" customHeight="1">
      <c r="F8" s="30"/>
      <c r="G8" s="27"/>
      <c r="H8" s="27"/>
      <c r="I8" s="27"/>
      <c r="J8" s="27"/>
      <c r="K8" s="27"/>
      <c r="L8" s="27"/>
      <c r="M8" s="28"/>
      <c r="N8" s="26"/>
      <c r="O8"/>
      <c r="P8"/>
      <c r="Q8" s="15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33"/>
      <c r="AL8" s="30"/>
      <c r="AM8" s="27"/>
      <c r="AN8" s="27"/>
      <c r="AO8" s="27"/>
      <c r="AP8" s="27"/>
      <c r="AQ8" s="27"/>
      <c r="AR8" s="27"/>
      <c r="AS8" s="27"/>
    </row>
    <row r="9" spans="2:52" ht="14.25" customHeight="1">
      <c r="B9" s="73"/>
      <c r="C9" s="202" t="s">
        <v>618</v>
      </c>
      <c r="D9" s="202"/>
      <c r="E9" s="202"/>
      <c r="F9" s="202"/>
      <c r="G9" s="3036" t="s">
        <v>23</v>
      </c>
      <c r="H9" s="404" t="s">
        <v>35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09" t="s">
        <v>23</v>
      </c>
      <c r="T9" s="128" t="s">
        <v>36</v>
      </c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10" t="s">
        <v>23</v>
      </c>
      <c r="AF9" s="128" t="s">
        <v>37</v>
      </c>
      <c r="AG9" s="125"/>
      <c r="AH9" s="125"/>
      <c r="AI9" s="125"/>
      <c r="AJ9" s="125"/>
      <c r="AK9" s="39"/>
      <c r="AL9" s="128" t="s">
        <v>142</v>
      </c>
      <c r="AM9" s="128"/>
      <c r="AN9" s="128"/>
      <c r="AO9" s="128"/>
      <c r="AP9" s="128"/>
      <c r="AQ9" s="128"/>
      <c r="AR9" s="128"/>
      <c r="AS9" s="5"/>
      <c r="AY9" s="6"/>
      <c r="AZ9" s="6"/>
    </row>
    <row r="10" spans="2:45" ht="5.25" customHeight="1" thickBot="1">
      <c r="B10" s="2"/>
      <c r="C10" s="108"/>
      <c r="D10" s="108"/>
      <c r="E10" s="108"/>
      <c r="F10" s="31"/>
      <c r="G10" s="111"/>
      <c r="H10" s="111"/>
      <c r="I10" s="111"/>
      <c r="J10" s="111"/>
      <c r="K10" s="111"/>
      <c r="L10" s="111"/>
      <c r="M10" s="111"/>
      <c r="N10" s="112"/>
      <c r="O10" s="108"/>
      <c r="P10" s="108"/>
      <c r="Q10" s="113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31"/>
      <c r="AM10" s="21"/>
      <c r="AN10" s="10"/>
      <c r="AO10" s="10"/>
      <c r="AP10" s="10"/>
      <c r="AQ10" s="10"/>
      <c r="AR10" s="10"/>
      <c r="AS10" s="9"/>
    </row>
    <row r="11" spans="2:45" ht="2.25" customHeight="1">
      <c r="B11" s="2086" t="s">
        <v>0</v>
      </c>
      <c r="C11" s="2087"/>
      <c r="D11" s="94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13"/>
      <c r="AS11"/>
    </row>
    <row r="12" spans="2:44" ht="20.15" customHeight="1">
      <c r="B12" s="2088"/>
      <c r="C12" s="2089"/>
      <c r="D12" s="95"/>
      <c r="E12" s="4" t="s">
        <v>25</v>
      </c>
      <c r="G12" s="4"/>
      <c r="H12" s="4"/>
      <c r="I12" s="4"/>
      <c r="J12" s="4"/>
      <c r="K12" s="4" t="s">
        <v>26</v>
      </c>
      <c r="L12" s="1386" t="str">
        <f>taxId1</f>
        <v/>
      </c>
      <c r="M12" s="1386" t="str">
        <f>taxId2</f>
        <v/>
      </c>
      <c r="N12" s="1001"/>
      <c r="O12" s="1386" t="str">
        <f>taxId3</f>
        <v/>
      </c>
      <c r="P12" s="1386" t="str">
        <f>taxId4</f>
        <v/>
      </c>
      <c r="Q12" s="1386" t="str">
        <f>taxId5</f>
        <v/>
      </c>
      <c r="R12" s="1001"/>
      <c r="S12" s="1386" t="str">
        <f>taxId6</f>
        <v/>
      </c>
      <c r="T12" s="1386" t="str">
        <f>taxId7</f>
        <v/>
      </c>
      <c r="U12" s="1386" t="str">
        <f>taxId8</f>
        <v/>
      </c>
      <c r="V12" s="1001"/>
      <c r="W12" s="1386" t="str">
        <f>taxId9</f>
        <v/>
      </c>
      <c r="X12" s="1001"/>
      <c r="Y12" s="1386" t="str">
        <f>taxId10</f>
        <v/>
      </c>
      <c r="Z12" s="1386" t="str">
        <f>taxId11</f>
        <v/>
      </c>
      <c r="AA12" s="1386" t="str">
        <f>taxId12</f>
        <v/>
      </c>
      <c r="AB12" s="1001"/>
      <c r="AC12" s="1386" t="str">
        <f>taxId13</f>
        <v/>
      </c>
      <c r="AD12" s="1386" t="str">
        <f>taxId14</f>
        <v/>
      </c>
      <c r="AE12" s="1386" t="str">
        <f>taxId15</f>
        <v/>
      </c>
      <c r="AF12"/>
      <c r="AG12" s="11"/>
      <c r="AH12" s="11"/>
      <c r="AI12" s="11"/>
      <c r="AJ12"/>
      <c r="AK12"/>
      <c r="AL12"/>
      <c r="AM12"/>
      <c r="AN12"/>
      <c r="AO12"/>
      <c r="AP12"/>
      <c r="AQ12"/>
      <c r="AR12" s="54"/>
    </row>
    <row r="13" spans="2:44" ht="4" customHeight="1">
      <c r="B13" s="2088"/>
      <c r="C13" s="2089"/>
      <c r="D13" s="95"/>
      <c r="E13" s="4"/>
      <c r="G13" s="4"/>
      <c r="H13" s="4"/>
      <c r="I13" s="4"/>
      <c r="J13" s="4"/>
      <c r="K13" s="4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/>
      <c r="AG13" s="11"/>
      <c r="AH13" s="11"/>
      <c r="AI13" s="11"/>
      <c r="AJ13"/>
      <c r="AK13"/>
      <c r="AL13"/>
      <c r="AM13"/>
      <c r="AN13"/>
      <c r="AO13"/>
      <c r="AP13"/>
      <c r="AQ13"/>
      <c r="AR13" s="54"/>
    </row>
    <row r="14" spans="2:45" ht="20.15" customHeight="1">
      <c r="B14" s="2088"/>
      <c r="C14" s="2089"/>
      <c r="D14" s="95"/>
      <c r="E14" s="46" t="s">
        <v>27</v>
      </c>
      <c r="F14" s="93"/>
      <c r="G14" s="46"/>
      <c r="H14" s="46"/>
      <c r="I14" s="46"/>
      <c r="J14" s="46"/>
      <c r="K14" s="46" t="s">
        <v>26</v>
      </c>
      <c r="L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429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54"/>
      <c r="AS14"/>
    </row>
    <row r="15" spans="2:44" ht="4" customHeight="1">
      <c r="B15" s="2088"/>
      <c r="C15" s="2089"/>
      <c r="D15" s="95"/>
      <c r="E15" s="46"/>
      <c r="F15" s="93"/>
      <c r="G15" s="46"/>
      <c r="H15" s="46"/>
      <c r="I15" s="46"/>
      <c r="J15" s="46"/>
      <c r="K15" s="4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/>
      <c r="AG15" s="11"/>
      <c r="AH15" s="11"/>
      <c r="AI15" s="11"/>
      <c r="AJ15"/>
      <c r="AK15"/>
      <c r="AL15"/>
      <c r="AM15"/>
      <c r="AN15"/>
      <c r="AO15"/>
      <c r="AP15"/>
      <c r="AQ15"/>
      <c r="AR15" s="54"/>
    </row>
    <row r="16" spans="2:44" ht="20.15" customHeight="1">
      <c r="B16" s="2088"/>
      <c r="C16" s="2089"/>
      <c r="D16" s="95"/>
      <c r="E16" s="46" t="s">
        <v>28</v>
      </c>
      <c r="F16" s="93"/>
      <c r="G16" s="46"/>
      <c r="H16" s="46"/>
      <c r="I16" s="46"/>
      <c r="J16" s="46"/>
      <c r="K16" s="46" t="s">
        <v>26</v>
      </c>
      <c r="L16" s="1429" t="str">
        <f>UPPER(LEFT(_Occ1,1))</f>
        <v/>
      </c>
      <c r="M16" s="1429" t="str">
        <f>UPPER(MID(_Occ1,2,1))</f>
        <v/>
      </c>
      <c r="N16" s="1429" t="str">
        <f>UPPER(MID(_Occ1,3,1))</f>
        <v/>
      </c>
      <c r="O16" s="1429" t="str">
        <f>UPPER(MID(_Occ1,4,1))</f>
        <v/>
      </c>
      <c r="P16" s="1429" t="str">
        <f>UPPER(MID(_Occ1,5,1))</f>
        <v/>
      </c>
      <c r="Q16" s="1429" t="str">
        <f>UPPER(MID(_Occ1,6,1))</f>
        <v/>
      </c>
      <c r="R16" s="1429" t="str">
        <f>UPPER(MID(_Occ1,7,1))</f>
        <v/>
      </c>
      <c r="S16" s="1429" t="str">
        <f>UPPER(MID(_Occ1,8,1))</f>
        <v/>
      </c>
      <c r="T16" s="1429" t="str">
        <f>UPPER(MID(_Occ1,9,1))</f>
        <v/>
      </c>
      <c r="U16" s="1429" t="str">
        <f>UPPER(MID(_Occ1,10,1))</f>
        <v/>
      </c>
      <c r="V16" s="1429" t="str">
        <f>UPPER(MID(_Occ1,11,1))</f>
        <v/>
      </c>
      <c r="W16" s="1429" t="str">
        <f>UPPER(MID(_Occ1,12,1))</f>
        <v/>
      </c>
      <c r="X16" s="1429" t="str">
        <f>UPPER(MID(_Occ1,13,1))</f>
        <v/>
      </c>
      <c r="Y16" s="1429" t="str">
        <f>UPPER(MID(_Occ1,14,1))</f>
        <v/>
      </c>
      <c r="Z16" s="1429" t="str">
        <f>UPPER(MID(_Occ1,15,1))</f>
        <v/>
      </c>
      <c r="AA16" s="1429" t="str">
        <f>UPPER(MID(_Occ1,16,1))</f>
        <v/>
      </c>
      <c r="AB16" s="1429" t="str">
        <f>UPPER(MID(_Occ1,17,1))</f>
        <v/>
      </c>
      <c r="AC16" s="1429" t="str">
        <f>UPPER(MID(_Occ1,18,1))</f>
        <v/>
      </c>
      <c r="AD16" s="1429" t="str">
        <f>UPPER(MID(_Occ1,19,1))</f>
        <v/>
      </c>
      <c r="AE16" s="1429" t="str">
        <f>UPPER(MID(_Occ1,20,1))</f>
        <v/>
      </c>
      <c r="AF16" s="1429" t="str">
        <f>UPPER(MID(_Occ1,21,1))</f>
        <v/>
      </c>
      <c r="AG16" s="1429" t="str">
        <f>UPPER(MID(_Occ1,22,1))</f>
        <v/>
      </c>
      <c r="AH16" s="1429" t="str">
        <f>UPPER(MID(_Occ1,23,1))</f>
        <v/>
      </c>
      <c r="AI16"/>
      <c r="AJ16" s="46" t="s">
        <v>120</v>
      </c>
      <c r="AK16" s="11"/>
      <c r="AL16" s="1430">
        <f>IF('FE-1770S'!AL16&lt;&gt;"",'FE-1770S'!AL16,"")</f>
        <v>9</v>
      </c>
      <c r="AM16" s="1430">
        <f>IF('FE-1770S'!AM16&lt;&gt;"",'FE-1770S'!AM16,"")</f>
        <v>6</v>
      </c>
      <c r="AN16" s="1430">
        <f>IF('FE-1770S'!AN16&lt;&gt;"",'FE-1770S'!AN16,"")</f>
        <v>3</v>
      </c>
      <c r="AO16" s="1430">
        <f>IF('FE-1770S'!AO16&lt;&gt;"",'FE-1770S'!AO16,"")</f>
        <v>0</v>
      </c>
      <c r="AP16" s="1430">
        <f>IF('FE-1770S'!AP16&lt;&gt;"",'FE-1770S'!AP16,"")</f>
        <v>4</v>
      </c>
      <c r="AQ16" s="1430" t="str">
        <f>IF('FE-1770S'!AQ16&lt;&gt;"",'FE-1770S'!AQ16,"")</f>
        <v/>
      </c>
      <c r="AR16" s="54"/>
    </row>
    <row r="17" spans="2:44" ht="4" customHeight="1">
      <c r="B17" s="2088"/>
      <c r="C17" s="2089"/>
      <c r="D17" s="95"/>
      <c r="E17" s="46"/>
      <c r="F17" s="93"/>
      <c r="G17" s="46"/>
      <c r="H17" s="46"/>
      <c r="I17" s="46"/>
      <c r="J17" s="46"/>
      <c r="K17" s="4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/>
      <c r="AG17" s="11"/>
      <c r="AH17" s="11"/>
      <c r="AI17" s="11"/>
      <c r="AJ17"/>
      <c r="AK17"/>
      <c r="AL17"/>
      <c r="AM17"/>
      <c r="AN17"/>
      <c r="AO17"/>
      <c r="AP17"/>
      <c r="AQ17"/>
      <c r="AR17" s="54"/>
    </row>
    <row r="18" spans="2:44" ht="20.15" customHeight="1">
      <c r="B18" s="2088"/>
      <c r="C18" s="2089"/>
      <c r="D18" s="95"/>
      <c r="E18" s="46" t="s">
        <v>157</v>
      </c>
      <c r="F18" s="93"/>
      <c r="G18" s="46"/>
      <c r="H18" s="46"/>
      <c r="I18" s="46"/>
      <c r="J18" s="46"/>
      <c r="K18" s="46" t="s">
        <v>26</v>
      </c>
      <c r="L18" s="1376" t="str">
        <f>LEFT(phone01,1)</f>
        <v/>
      </c>
      <c r="M18" s="1376" t="str">
        <f>MID(phone01,2,1)</f>
        <v/>
      </c>
      <c r="N18" s="1376" t="str">
        <f>MID(phone01,3,1)</f>
        <v/>
      </c>
      <c r="O18" s="1376" t="str">
        <f>MID(phone01,4,1)</f>
        <v/>
      </c>
      <c r="P18" s="322" t="s">
        <v>30</v>
      </c>
      <c r="Q18" s="1376" t="str">
        <f>LEFT(phone02,1)</f>
        <v/>
      </c>
      <c r="R18" s="1376" t="str">
        <f>MID(phone02,2,1)</f>
        <v/>
      </c>
      <c r="S18" s="1376" t="str">
        <f>MID(phone02,3,1)</f>
        <v/>
      </c>
      <c r="T18" s="1376" t="str">
        <f>MID(phone02,4,1)</f>
        <v/>
      </c>
      <c r="U18" s="1376" t="str">
        <f>MID(phone02,5,1)</f>
        <v/>
      </c>
      <c r="V18" s="1376" t="str">
        <f>MID(phone02,6,1)</f>
        <v/>
      </c>
      <c r="W18" s="1376" t="str">
        <f>MID(phone02,7,1)</f>
        <v/>
      </c>
      <c r="X18" s="1376" t="str">
        <f>MID(phone02,8,1)</f>
        <v/>
      </c>
      <c r="Y18" s="301"/>
      <c r="Z18" s="319"/>
      <c r="AA18" s="320" t="s">
        <v>158</v>
      </c>
      <c r="AB18" s="301"/>
      <c r="AC18" s="319"/>
      <c r="AD18" s="321" t="s">
        <v>26</v>
      </c>
      <c r="AE18" s="1376" t="str">
        <f>LEFT(faxNo01,1)</f>
        <v/>
      </c>
      <c r="AF18" s="1376" t="str">
        <f>MID(faxNo01,2,1)</f>
        <v/>
      </c>
      <c r="AG18" s="1376" t="str">
        <f>MID(faxNo01,3,1)</f>
        <v/>
      </c>
      <c r="AH18" s="1376" t="str">
        <f>MID(faxNo01,4,1)</f>
        <v/>
      </c>
      <c r="AI18" s="322" t="s">
        <v>30</v>
      </c>
      <c r="AJ18" s="1376" t="str">
        <f>LEFT(faxNo02,1)</f>
        <v/>
      </c>
      <c r="AK18" s="1376" t="str">
        <f>MID(faxNo02,2,1)</f>
        <v/>
      </c>
      <c r="AL18" s="1376" t="str">
        <f>MID(faxNo02,3,1)</f>
        <v/>
      </c>
      <c r="AM18" s="1376" t="str">
        <f>MID(faxNo02,4,1)</f>
        <v/>
      </c>
      <c r="AN18" s="1376" t="str">
        <f>MID(faxNo02,5,1)</f>
        <v/>
      </c>
      <c r="AO18" s="1376" t="str">
        <f>MID(faxNo02,6,1)</f>
        <v/>
      </c>
      <c r="AP18" s="1376" t="str">
        <f>MID(faxNo02,7,1)</f>
        <v/>
      </c>
      <c r="AQ18" s="1376" t="str">
        <f>MID(faxNo02,8,1)</f>
        <v/>
      </c>
      <c r="AR18" s="49"/>
    </row>
    <row r="19" spans="2:44" ht="6.75" customHeight="1">
      <c r="B19" s="2088"/>
      <c r="C19" s="2089"/>
      <c r="D19" s="95"/>
      <c r="E19" s="46"/>
      <c r="F19" s="93"/>
      <c r="G19" s="46"/>
      <c r="H19" s="46"/>
      <c r="I19" s="46"/>
      <c r="J19" s="46"/>
      <c r="K19" s="46"/>
      <c r="L19" s="76"/>
      <c r="M19" s="76"/>
      <c r="N19" s="76"/>
      <c r="O19" s="76"/>
      <c r="P19" s="322"/>
      <c r="Q19" s="76"/>
      <c r="R19" s="76"/>
      <c r="S19" s="76"/>
      <c r="T19" s="76"/>
      <c r="U19" s="76"/>
      <c r="V19" s="76"/>
      <c r="W19" s="76"/>
      <c r="X19" s="76"/>
      <c r="Y19" s="301"/>
      <c r="Z19" s="319"/>
      <c r="AA19" s="320"/>
      <c r="AB19" s="301"/>
      <c r="AC19" s="319"/>
      <c r="AD19" s="321"/>
      <c r="AE19" s="76"/>
      <c r="AF19" s="76"/>
      <c r="AG19" s="76"/>
      <c r="AH19" s="76"/>
      <c r="AI19" s="322"/>
      <c r="AJ19" s="76"/>
      <c r="AK19" s="76"/>
      <c r="AL19" s="76"/>
      <c r="AM19" s="76"/>
      <c r="AN19" s="76"/>
      <c r="AO19" s="76"/>
      <c r="AP19" s="76"/>
      <c r="AQ19" s="76"/>
      <c r="AR19" s="49"/>
    </row>
    <row r="20" spans="2:44" ht="23.25" customHeight="1">
      <c r="B20" s="2088"/>
      <c r="C20" s="2089"/>
      <c r="D20" s="95"/>
      <c r="E20" s="2762" t="s">
        <v>812</v>
      </c>
      <c r="F20" s="2762"/>
      <c r="G20" s="2762"/>
      <c r="H20" s="2762"/>
      <c r="I20" s="2762"/>
      <c r="J20" s="2762"/>
      <c r="K20" s="4" t="s">
        <v>26</v>
      </c>
      <c r="L20" s="1431" t="str">
        <f>'FE-1770S'!L20</f>
        <v/>
      </c>
      <c r="M20" s="116" t="s">
        <v>808</v>
      </c>
      <c r="N20" s="322"/>
      <c r="O20" s="1431" t="str">
        <f>'FE-1770S'!O20</f>
        <v/>
      </c>
      <c r="P20" s="116" t="s">
        <v>809</v>
      </c>
      <c r="Q20" s="322"/>
      <c r="R20" s="1431" t="str">
        <f>'FE-1770S'!R20</f>
        <v/>
      </c>
      <c r="S20" s="116" t="s">
        <v>810</v>
      </c>
      <c r="T20" s="322"/>
      <c r="U20" s="1431" t="str">
        <f>'FE-1770S'!U20</f>
        <v/>
      </c>
      <c r="V20" s="116" t="s">
        <v>811</v>
      </c>
      <c r="W20" s="76"/>
      <c r="X20" s="76"/>
      <c r="Y20" s="11"/>
      <c r="Z20" s="4"/>
      <c r="AA20" s="220"/>
      <c r="AB20" s="11"/>
      <c r="AD20" s="11"/>
      <c r="AE20" s="76"/>
      <c r="AF20" s="76"/>
      <c r="AG20" s="76"/>
      <c r="AH20" s="76"/>
      <c r="AI20" s="322"/>
      <c r="AJ20" s="76"/>
      <c r="AK20" s="76"/>
      <c r="AL20" s="76"/>
      <c r="AM20" s="76"/>
      <c r="AN20" s="76"/>
      <c r="AO20" s="76"/>
      <c r="AP20" s="76"/>
      <c r="AQ20" s="76"/>
      <c r="AR20" s="49"/>
    </row>
    <row r="21" spans="2:44" ht="4" customHeight="1">
      <c r="B21" s="2088"/>
      <c r="C21" s="2089"/>
      <c r="D21" s="95"/>
      <c r="E21" s="46"/>
      <c r="F21" s="93"/>
      <c r="G21" s="46"/>
      <c r="H21" s="46"/>
      <c r="I21" s="46"/>
      <c r="J21" s="46"/>
      <c r="K21" s="4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/>
      <c r="AG21" s="11"/>
      <c r="AH21" s="11"/>
      <c r="AI21" s="11"/>
      <c r="AJ21"/>
      <c r="AK21"/>
      <c r="AL21"/>
      <c r="AM21"/>
      <c r="AN21"/>
      <c r="AO21"/>
      <c r="AP21"/>
      <c r="AQ21"/>
      <c r="AR21" s="54"/>
    </row>
    <row r="22" spans="2:44" ht="20.15" customHeight="1">
      <c r="B22" s="2088"/>
      <c r="C22" s="2089"/>
      <c r="D22" s="95"/>
      <c r="E22" s="4" t="s">
        <v>814</v>
      </c>
      <c r="F22"/>
      <c r="G22" s="4"/>
      <c r="H22" s="4"/>
      <c r="I22" s="4"/>
      <c r="J22" s="4"/>
      <c r="K22" s="4" t="s">
        <v>26</v>
      </c>
      <c r="L22" s="1376" t="str">
        <f>LEFT(spouseNpwp,1)</f>
        <v/>
      </c>
      <c r="M22" s="1376" t="str">
        <f>MID(spouseNpwp,2,1)</f>
        <v/>
      </c>
      <c r="N22" s="70"/>
      <c r="O22" s="1376" t="str">
        <f>MID(spouseNpwp,3,1)</f>
        <v/>
      </c>
      <c r="P22" s="1376" t="str">
        <f>MID(spouseNpwp,4,1)</f>
        <v/>
      </c>
      <c r="Q22" s="1376" t="str">
        <f>MID(spouseNpwp,5,1)</f>
        <v/>
      </c>
      <c r="R22" s="70"/>
      <c r="S22" s="1376" t="str">
        <f>MID(spouseNpwp,6,1)</f>
        <v/>
      </c>
      <c r="T22" s="1376" t="str">
        <f>MID(spouseNpwp,7,1)</f>
        <v/>
      </c>
      <c r="U22" s="1376" t="str">
        <f>MID(spouseNpwp,8,1)</f>
        <v/>
      </c>
      <c r="V22" s="70"/>
      <c r="W22" s="1376" t="str">
        <f>MID(spouseNpwp,9,1)</f>
        <v/>
      </c>
      <c r="X22" s="70"/>
      <c r="Y22" s="1376" t="str">
        <f>MID(spouseNpwp,10,1)</f>
        <v/>
      </c>
      <c r="Z22" s="1376" t="str">
        <f>MID(spouseNpwp,11,1)</f>
        <v/>
      </c>
      <c r="AA22" s="1376" t="str">
        <f>MID(spouseNpwp,12,1)</f>
        <v/>
      </c>
      <c r="AB22" s="70"/>
      <c r="AC22" s="1376" t="str">
        <f>MID(spouseNpwp,13,1)</f>
        <v/>
      </c>
      <c r="AD22" s="1376" t="str">
        <f>MID(spouseNpwp,14,1)</f>
        <v/>
      </c>
      <c r="AE22" s="1376" t="str">
        <f>MID(spouseNpwp,15,1)</f>
        <v/>
      </c>
      <c r="AF22"/>
      <c r="AG22" s="11"/>
      <c r="AH22" s="11"/>
      <c r="AI22" s="11"/>
      <c r="AJ22"/>
      <c r="AK22"/>
      <c r="AL22"/>
      <c r="AM22"/>
      <c r="AN22"/>
      <c r="AO22"/>
      <c r="AP22"/>
      <c r="AQ22"/>
      <c r="AR22" s="54"/>
    </row>
    <row r="23" spans="2:44" ht="3.75" customHeight="1" thickBot="1">
      <c r="B23" s="2088"/>
      <c r="C23" s="2089"/>
      <c r="D23" s="96"/>
      <c r="E23" s="57"/>
      <c r="F23" s="2"/>
      <c r="G23" s="57"/>
      <c r="H23" s="57"/>
      <c r="I23" s="57"/>
      <c r="J23" s="57"/>
      <c r="K23" s="57"/>
      <c r="L23" s="619"/>
      <c r="M23" s="619"/>
      <c r="N23" s="57"/>
      <c r="O23" s="619"/>
      <c r="P23" s="619"/>
      <c r="Q23" s="619"/>
      <c r="R23" s="57"/>
      <c r="S23" s="619"/>
      <c r="T23" s="619"/>
      <c r="U23" s="619"/>
      <c r="V23" s="57"/>
      <c r="W23" s="619"/>
      <c r="X23" s="23"/>
      <c r="Y23" s="619"/>
      <c r="Z23" s="619"/>
      <c r="AA23" s="619"/>
      <c r="AB23" s="23"/>
      <c r="AC23" s="619"/>
      <c r="AD23" s="619"/>
      <c r="AE23" s="619"/>
      <c r="AF23" s="2"/>
      <c r="AG23" s="23"/>
      <c r="AH23" s="23"/>
      <c r="AI23" s="23"/>
      <c r="AJ23" s="2"/>
      <c r="AK23" s="2"/>
      <c r="AL23" s="2"/>
      <c r="AM23" s="2"/>
      <c r="AN23" s="2"/>
      <c r="AO23" s="2"/>
      <c r="AP23" s="2"/>
      <c r="AQ23" s="2"/>
      <c r="AR23" s="14"/>
    </row>
    <row r="24" spans="2:44" ht="11.25" customHeight="1">
      <c r="B24" s="2088"/>
      <c r="C24" s="2089"/>
      <c r="D24" s="2757" t="s">
        <v>816</v>
      </c>
      <c r="E24" s="2758"/>
      <c r="F24" s="2758"/>
      <c r="G24" s="2758"/>
      <c r="H24" s="2758"/>
      <c r="I24" s="2758"/>
      <c r="J24" s="2758"/>
      <c r="K24" s="2758"/>
      <c r="L24" s="2758"/>
      <c r="M24" s="2758"/>
      <c r="N24" s="2758"/>
      <c r="O24" s="2758"/>
      <c r="P24" s="2758"/>
      <c r="Q24" s="2758"/>
      <c r="R24" s="2758"/>
      <c r="S24" s="2758"/>
      <c r="T24" s="2758"/>
      <c r="U24" s="2758"/>
      <c r="V24" s="2758"/>
      <c r="W24" s="2758"/>
      <c r="X24" s="2758"/>
      <c r="Y24" s="2758"/>
      <c r="Z24" s="2758"/>
      <c r="AA24" s="2758"/>
      <c r="AB24" s="2758"/>
      <c r="AC24" s="2758"/>
      <c r="AD24" s="2758"/>
      <c r="AE24" s="2758"/>
      <c r="AF24" s="2758"/>
      <c r="AG24" s="2758"/>
      <c r="AH24" s="2758"/>
      <c r="AI24" s="2758"/>
      <c r="AJ24" s="2758"/>
      <c r="AK24" s="2758"/>
      <c r="AL24" s="2758"/>
      <c r="AM24" s="2758"/>
      <c r="AN24" s="2758"/>
      <c r="AO24" s="2758"/>
      <c r="AP24" s="2758"/>
      <c r="AQ24" s="2758"/>
      <c r="AR24" s="2759"/>
    </row>
    <row r="25" spans="2:44" ht="9.75" customHeight="1">
      <c r="B25" s="2088"/>
      <c r="C25" s="2089"/>
      <c r="D25" s="2754" t="s">
        <v>817</v>
      </c>
      <c r="E25" s="2755"/>
      <c r="F25" s="2755"/>
      <c r="G25" s="2755"/>
      <c r="H25" s="2755"/>
      <c r="I25" s="2755"/>
      <c r="J25" s="2755"/>
      <c r="K25" s="2755"/>
      <c r="L25" s="2755"/>
      <c r="M25" s="2755"/>
      <c r="N25" s="2755"/>
      <c r="O25" s="2755"/>
      <c r="P25" s="2755"/>
      <c r="Q25" s="2755"/>
      <c r="R25" s="2755"/>
      <c r="S25" s="2755"/>
      <c r="T25" s="2755"/>
      <c r="U25" s="2755"/>
      <c r="V25" s="2755"/>
      <c r="W25" s="2755"/>
      <c r="X25" s="2755"/>
      <c r="Y25" s="2755"/>
      <c r="Z25" s="2755"/>
      <c r="AA25" s="2755"/>
      <c r="AB25" s="2755"/>
      <c r="AC25" s="2755"/>
      <c r="AD25" s="2755"/>
      <c r="AE25" s="2755"/>
      <c r="AF25" s="2755"/>
      <c r="AG25" s="2755"/>
      <c r="AH25" s="2755"/>
      <c r="AI25" s="2755"/>
      <c r="AJ25" s="2755"/>
      <c r="AK25" s="2755"/>
      <c r="AL25" s="2755"/>
      <c r="AM25" s="2755"/>
      <c r="AN25" s="2755"/>
      <c r="AO25" s="2755"/>
      <c r="AP25" s="2755"/>
      <c r="AQ25" s="2755"/>
      <c r="AR25" s="2756"/>
    </row>
    <row r="26" spans="2:44" ht="6.75" customHeight="1" thickBot="1">
      <c r="B26" s="2090"/>
      <c r="C26" s="2091"/>
      <c r="D26" s="96"/>
      <c r="E26" s="5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3"/>
      <c r="AA26" s="23"/>
      <c r="AB26" s="23"/>
      <c r="AC26" s="23"/>
      <c r="AD26" s="23"/>
      <c r="AE26" s="23"/>
      <c r="AF26" s="2"/>
      <c r="AG26" s="23"/>
      <c r="AH26" s="23"/>
      <c r="AI26" s="23"/>
      <c r="AJ26" s="2"/>
      <c r="AK26" s="2"/>
      <c r="AL26" s="2"/>
      <c r="AM26" s="2"/>
      <c r="AN26" s="2"/>
      <c r="AO26" s="2"/>
      <c r="AP26" s="2"/>
      <c r="AQ26" s="2"/>
      <c r="AR26" s="14"/>
    </row>
    <row r="27" spans="2:45" ht="5.15" customHeight="1">
      <c r="B27" s="2085"/>
      <c r="C27" s="2085"/>
      <c r="D27" s="2085"/>
      <c r="E27" s="2085"/>
      <c r="F27" s="2085"/>
      <c r="G27" s="2085"/>
      <c r="H27" s="2085"/>
      <c r="I27" s="2085"/>
      <c r="J27" s="2085"/>
      <c r="K27" s="2085"/>
      <c r="L27" s="2085"/>
      <c r="M27" s="2085"/>
      <c r="N27" s="2085"/>
      <c r="O27" s="2085"/>
      <c r="P27" s="2085"/>
      <c r="Q27" s="2085"/>
      <c r="R27" s="2085"/>
      <c r="S27" s="2085"/>
      <c r="T27" s="2085"/>
      <c r="U27" s="2085"/>
      <c r="V27" s="2085"/>
      <c r="W27" s="2085"/>
      <c r="X27" s="2085"/>
      <c r="Y27" s="2085"/>
      <c r="Z27" s="2085"/>
      <c r="AA27" s="2085"/>
      <c r="AB27" s="2085"/>
      <c r="AC27" s="2085"/>
      <c r="AD27" s="2085"/>
      <c r="AE27" s="2085"/>
      <c r="AF27" s="2085"/>
      <c r="AG27" s="2085"/>
      <c r="AH27" s="2085"/>
      <c r="AI27" s="2085"/>
      <c r="AJ27" s="2085"/>
      <c r="AK27" s="2085"/>
      <c r="AL27" s="2085"/>
      <c r="AM27" s="2085"/>
      <c r="AN27" s="2085"/>
      <c r="AO27" s="2085"/>
      <c r="AP27" s="2085"/>
      <c r="AQ27" s="2085"/>
      <c r="AR27" s="2085"/>
      <c r="AS27" s="11"/>
    </row>
    <row r="28" spans="2:45" s="16" customFormat="1" ht="12" customHeight="1">
      <c r="B28" s="213" t="s">
        <v>166</v>
      </c>
      <c r="C28" s="208"/>
      <c r="D28" s="208"/>
      <c r="E28" s="209"/>
      <c r="F28" s="210"/>
      <c r="G28" s="211"/>
      <c r="H28" s="211"/>
      <c r="I28" s="211"/>
      <c r="J28" s="211"/>
      <c r="K28" s="211"/>
      <c r="L28" s="211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2"/>
      <c r="AG28" s="2097" t="s">
        <v>165</v>
      </c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8"/>
      <c r="AS28" s="34"/>
    </row>
    <row r="29" spans="2:45" s="16" customFormat="1" ht="2.15" customHeight="1">
      <c r="B29" s="214"/>
      <c r="C29" s="215"/>
      <c r="D29" s="215"/>
      <c r="E29" s="51"/>
      <c r="F29" s="16"/>
      <c r="G29" s="11"/>
      <c r="H29" s="11"/>
      <c r="I29" s="11"/>
      <c r="J29" s="11"/>
      <c r="K29" s="11"/>
      <c r="L29" s="11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216"/>
      <c r="AS29" s="34"/>
    </row>
    <row r="30" spans="2:45" s="11" customFormat="1" ht="15" customHeight="1">
      <c r="B30" s="2132" t="s">
        <v>89</v>
      </c>
      <c r="C30" s="2133"/>
      <c r="D30" s="2134"/>
      <c r="E30" s="43" t="s">
        <v>621</v>
      </c>
      <c r="F30" s="12" t="s">
        <v>98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 t="s">
        <v>989</v>
      </c>
      <c r="Z30" s="12"/>
      <c r="AA30" s="12"/>
      <c r="AB30" s="12"/>
      <c r="AC30" s="12"/>
      <c r="AD30" s="12"/>
      <c r="AE30" s="12"/>
      <c r="AF30" s="11"/>
      <c r="AG30" s="86">
        <v>1</v>
      </c>
      <c r="AH30" s="2750">
        <f>'FE-1770S'!AH30:AR31</f>
        <v>0</v>
      </c>
      <c r="AI30" s="2751"/>
      <c r="AJ30" s="2751"/>
      <c r="AK30" s="2751"/>
      <c r="AL30" s="2751"/>
      <c r="AM30" s="2751"/>
      <c r="AN30" s="2751"/>
      <c r="AO30" s="2751"/>
      <c r="AP30" s="2751"/>
      <c r="AQ30" s="2751"/>
      <c r="AR30" s="325"/>
      <c r="AS30" s="11"/>
    </row>
    <row r="31" spans="2:45" s="11" customFormat="1" ht="9" customHeight="1">
      <c r="B31" s="2126"/>
      <c r="C31" s="2127"/>
      <c r="D31" s="2128"/>
      <c r="E31" s="17"/>
      <c r="F31" s="37" t="s">
        <v>619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11"/>
      <c r="Y31" s="24"/>
      <c r="Z31" s="24"/>
      <c r="AA31" s="24"/>
      <c r="AB31" s="24"/>
      <c r="AC31" s="24"/>
      <c r="AD31" s="24"/>
      <c r="AE31" s="24"/>
      <c r="AF31" s="24"/>
      <c r="AG31" s="2109"/>
      <c r="AH31" s="2752"/>
      <c r="AI31" s="2753"/>
      <c r="AJ31" s="2753"/>
      <c r="AK31" s="2753"/>
      <c r="AL31" s="2753"/>
      <c r="AM31" s="2753"/>
      <c r="AN31" s="2753"/>
      <c r="AO31" s="2753"/>
      <c r="AP31" s="2753"/>
      <c r="AQ31" s="2753"/>
      <c r="AR31" s="335"/>
      <c r="AS31" s="11"/>
    </row>
    <row r="32" spans="2:45" s="11" customFormat="1" ht="3" customHeight="1">
      <c r="B32" s="2126"/>
      <c r="C32" s="2127"/>
      <c r="D32" s="2128"/>
      <c r="E32" s="1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24"/>
      <c r="Y32" s="24"/>
      <c r="Z32" s="24"/>
      <c r="AA32" s="24"/>
      <c r="AB32" s="24"/>
      <c r="AC32" s="24"/>
      <c r="AD32" s="24"/>
      <c r="AE32" s="24"/>
      <c r="AF32" s="24"/>
      <c r="AG32" s="36"/>
      <c r="AH32" s="378"/>
      <c r="AI32" s="378"/>
      <c r="AJ32" s="378"/>
      <c r="AK32" s="378"/>
      <c r="AL32" s="378"/>
      <c r="AM32" s="378"/>
      <c r="AN32" s="378"/>
      <c r="AO32" s="378"/>
      <c r="AP32" s="378"/>
      <c r="AQ32" s="378"/>
      <c r="AR32" s="266"/>
      <c r="AS32" s="11"/>
    </row>
    <row r="33" spans="2:45" s="11" customFormat="1" ht="15" customHeight="1">
      <c r="B33" s="2126"/>
      <c r="C33" s="2127"/>
      <c r="D33" s="2128"/>
      <c r="E33" s="43" t="s">
        <v>622</v>
      </c>
      <c r="F33" s="4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2" t="s">
        <v>80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1"/>
      <c r="AG33" s="86">
        <v>2</v>
      </c>
      <c r="AH33" s="2750">
        <f>'FE-1770S'!AH33:AR34</f>
        <v>0</v>
      </c>
      <c r="AI33" s="2751"/>
      <c r="AJ33" s="2751"/>
      <c r="AK33" s="2751"/>
      <c r="AL33" s="2751"/>
      <c r="AM33" s="2751"/>
      <c r="AN33" s="2751"/>
      <c r="AO33" s="2751"/>
      <c r="AP33" s="2751"/>
      <c r="AQ33" s="2751"/>
      <c r="AR33" s="325"/>
      <c r="AS33" s="11"/>
    </row>
    <row r="34" spans="2:45" s="11" customFormat="1" ht="9" customHeight="1">
      <c r="B34" s="2126"/>
      <c r="C34" s="2127"/>
      <c r="D34" s="2128"/>
      <c r="E34" s="17"/>
      <c r="F34" s="37" t="s">
        <v>111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24"/>
      <c r="S34" s="11"/>
      <c r="T34" s="24"/>
      <c r="U34" s="24"/>
      <c r="V34" s="24"/>
      <c r="W34" s="24"/>
      <c r="X34" s="24"/>
      <c r="Y34" s="24"/>
      <c r="Z34" s="4"/>
      <c r="AA34" s="4"/>
      <c r="AB34" s="4"/>
      <c r="AC34" s="4"/>
      <c r="AD34" s="4"/>
      <c r="AE34" s="4"/>
      <c r="AF34" s="4"/>
      <c r="AG34" s="2109"/>
      <c r="AH34" s="2752"/>
      <c r="AI34" s="2753"/>
      <c r="AJ34" s="2753"/>
      <c r="AK34" s="2753"/>
      <c r="AL34" s="2753"/>
      <c r="AM34" s="2753"/>
      <c r="AN34" s="2753"/>
      <c r="AO34" s="2753"/>
      <c r="AP34" s="2753"/>
      <c r="AQ34" s="2753"/>
      <c r="AR34" s="335"/>
      <c r="AS34" s="11"/>
    </row>
    <row r="35" spans="2:45" s="11" customFormat="1" ht="3" customHeight="1">
      <c r="B35" s="2126"/>
      <c r="C35" s="2127"/>
      <c r="D35" s="2128"/>
      <c r="E35" s="17"/>
      <c r="F35" s="37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1"/>
      <c r="AA35" s="11"/>
      <c r="AB35" s="11"/>
      <c r="AC35" s="11"/>
      <c r="AD35" s="11"/>
      <c r="AE35" s="11"/>
      <c r="AF35" s="11"/>
      <c r="AG35" s="36"/>
      <c r="AH35" s="378"/>
      <c r="AI35" s="378"/>
      <c r="AJ35" s="378"/>
      <c r="AK35" s="378"/>
      <c r="AL35" s="378"/>
      <c r="AM35" s="378"/>
      <c r="AN35" s="378"/>
      <c r="AO35" s="378"/>
      <c r="AP35" s="378"/>
      <c r="AQ35" s="378"/>
      <c r="AR35" s="266"/>
      <c r="AS35" s="11"/>
    </row>
    <row r="36" spans="2:45" s="11" customFormat="1" ht="15" customHeight="1">
      <c r="B36" s="2126"/>
      <c r="C36" s="2127"/>
      <c r="D36" s="2128"/>
      <c r="E36" s="43" t="s">
        <v>623</v>
      </c>
      <c r="F36" s="4" t="s">
        <v>1</v>
      </c>
      <c r="G36" s="4"/>
      <c r="H36" s="4"/>
      <c r="I36" s="4"/>
      <c r="J36" s="4"/>
      <c r="K36" s="4"/>
      <c r="L36" s="4"/>
      <c r="M36" s="4"/>
      <c r="N36" s="4"/>
      <c r="O36" s="43" t="s">
        <v>154</v>
      </c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99"/>
      <c r="AG36" s="86">
        <v>3</v>
      </c>
      <c r="AH36" s="2750">
        <f>'FE-1770S'!AH36:AR37</f>
        <v>0</v>
      </c>
      <c r="AI36" s="2751"/>
      <c r="AJ36" s="2751"/>
      <c r="AK36" s="2751"/>
      <c r="AL36" s="2751"/>
      <c r="AM36" s="2751"/>
      <c r="AN36" s="2751"/>
      <c r="AO36" s="2751"/>
      <c r="AP36" s="2751"/>
      <c r="AQ36" s="2751"/>
      <c r="AR36" s="325"/>
      <c r="AS36" s="11"/>
    </row>
    <row r="37" spans="2:45" s="11" customFormat="1" ht="9" customHeight="1">
      <c r="B37" s="2126"/>
      <c r="C37" s="2127"/>
      <c r="D37" s="2128"/>
      <c r="E37" s="17"/>
      <c r="F37" s="37" t="s">
        <v>156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99"/>
      <c r="AG37" s="2109"/>
      <c r="AH37" s="2752"/>
      <c r="AI37" s="2753"/>
      <c r="AJ37" s="2753"/>
      <c r="AK37" s="2753"/>
      <c r="AL37" s="2753"/>
      <c r="AM37" s="2753"/>
      <c r="AN37" s="2753"/>
      <c r="AO37" s="2753"/>
      <c r="AP37" s="2753"/>
      <c r="AQ37" s="2753"/>
      <c r="AR37" s="335"/>
      <c r="AS37" s="11"/>
    </row>
    <row r="38" spans="2:45" s="11" customFormat="1" ht="3" customHeight="1">
      <c r="B38" s="2126"/>
      <c r="C38" s="2127"/>
      <c r="D38" s="2128"/>
      <c r="E38" s="17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11"/>
      <c r="AE38" s="11"/>
      <c r="AF38" s="11"/>
      <c r="AG38" s="36"/>
      <c r="AH38" s="378"/>
      <c r="AI38" s="378"/>
      <c r="AJ38" s="378"/>
      <c r="AK38" s="378"/>
      <c r="AL38" s="378"/>
      <c r="AM38" s="378"/>
      <c r="AN38" s="378"/>
      <c r="AO38" s="378"/>
      <c r="AP38" s="378"/>
      <c r="AQ38" s="378"/>
      <c r="AR38" s="266"/>
      <c r="AS38" s="11"/>
    </row>
    <row r="39" spans="2:45" s="11" customFormat="1" ht="15" customHeight="1">
      <c r="B39" s="2126"/>
      <c r="C39" s="2127"/>
      <c r="D39" s="2128"/>
      <c r="E39" s="43" t="s">
        <v>624</v>
      </c>
      <c r="F39" s="4" t="s">
        <v>17</v>
      </c>
      <c r="G39" s="4"/>
      <c r="H39" s="4"/>
      <c r="I39" s="4"/>
      <c r="J39" s="4"/>
      <c r="K39" s="4"/>
      <c r="L39" s="4"/>
      <c r="M39" s="4"/>
      <c r="N39" s="4"/>
      <c r="O39" s="4"/>
      <c r="P39" s="12" t="s">
        <v>988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999"/>
      <c r="AG39" s="86">
        <v>4</v>
      </c>
      <c r="AH39" s="2750">
        <f>'FE-1770S'!AH39:AR40</f>
        <v>0</v>
      </c>
      <c r="AI39" s="2751"/>
      <c r="AJ39" s="2751"/>
      <c r="AK39" s="2751"/>
      <c r="AL39" s="2751"/>
      <c r="AM39" s="2751"/>
      <c r="AN39" s="2751"/>
      <c r="AO39" s="2751"/>
      <c r="AP39" s="2751"/>
      <c r="AQ39" s="2751"/>
      <c r="AR39" s="325"/>
      <c r="AS39" s="11"/>
    </row>
    <row r="40" spans="2:45" s="11" customFormat="1" ht="10.5" customHeight="1">
      <c r="B40" s="2126"/>
      <c r="C40" s="2127"/>
      <c r="D40" s="2128"/>
      <c r="E40" s="1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998"/>
      <c r="Y40" s="998"/>
      <c r="Z40" s="998"/>
      <c r="AA40" s="998"/>
      <c r="AB40" s="998"/>
      <c r="AC40" s="998"/>
      <c r="AD40" s="998"/>
      <c r="AE40" s="998"/>
      <c r="AF40" s="999"/>
      <c r="AG40" s="2109"/>
      <c r="AH40" s="2752"/>
      <c r="AI40" s="2753"/>
      <c r="AJ40" s="2753"/>
      <c r="AK40" s="2753"/>
      <c r="AL40" s="2753"/>
      <c r="AM40" s="2753"/>
      <c r="AN40" s="2753"/>
      <c r="AO40" s="2753"/>
      <c r="AP40" s="2753"/>
      <c r="AQ40" s="2753"/>
      <c r="AR40" s="335"/>
      <c r="AS40" s="11"/>
    </row>
    <row r="41" spans="2:45" s="11" customFormat="1" ht="3" customHeight="1">
      <c r="B41" s="2126"/>
      <c r="C41" s="2127"/>
      <c r="D41" s="2128"/>
      <c r="E41" s="17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36"/>
      <c r="AH41" s="378"/>
      <c r="AI41" s="378"/>
      <c r="AJ41" s="378"/>
      <c r="AK41" s="378"/>
      <c r="AL41" s="378"/>
      <c r="AM41" s="378"/>
      <c r="AN41" s="378"/>
      <c r="AO41" s="378"/>
      <c r="AP41" s="378"/>
      <c r="AQ41" s="378"/>
      <c r="AR41" s="266"/>
      <c r="AS41" s="11"/>
    </row>
    <row r="42" spans="2:45" s="11" customFormat="1" ht="15" customHeight="1">
      <c r="B42" s="2126"/>
      <c r="C42" s="2127"/>
      <c r="D42" s="2128"/>
      <c r="E42" s="43" t="s">
        <v>625</v>
      </c>
      <c r="F42" s="4" t="s">
        <v>620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V42" s="12" t="s">
        <v>986</v>
      </c>
      <c r="W42" s="12"/>
      <c r="X42" s="12"/>
      <c r="Y42" s="12"/>
      <c r="Z42" s="12"/>
      <c r="AA42" s="12"/>
      <c r="AB42" s="12"/>
      <c r="AC42" s="12"/>
      <c r="AD42" s="12"/>
      <c r="AE42" s="12"/>
      <c r="AF42" s="11"/>
      <c r="AG42" s="86">
        <v>5</v>
      </c>
      <c r="AH42" s="2750">
        <f>'FE-1770S'!AH42:AR43</f>
        <v>0</v>
      </c>
      <c r="AI42" s="2751"/>
      <c r="AJ42" s="2751"/>
      <c r="AK42" s="2751"/>
      <c r="AL42" s="2751"/>
      <c r="AM42" s="2751"/>
      <c r="AN42" s="2751"/>
      <c r="AO42" s="2751"/>
      <c r="AP42" s="2751"/>
      <c r="AQ42" s="2751"/>
      <c r="AR42" s="325"/>
      <c r="AS42" s="11"/>
    </row>
    <row r="43" spans="2:45" s="11" customFormat="1" ht="9" customHeight="1">
      <c r="B43" s="2126"/>
      <c r="C43" s="2127"/>
      <c r="D43" s="2128"/>
      <c r="E43" s="17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2109"/>
      <c r="AH43" s="2752"/>
      <c r="AI43" s="2753"/>
      <c r="AJ43" s="2753"/>
      <c r="AK43" s="2753"/>
      <c r="AL43" s="2753"/>
      <c r="AM43" s="2753"/>
      <c r="AN43" s="2753"/>
      <c r="AO43" s="2753"/>
      <c r="AP43" s="2753"/>
      <c r="AQ43" s="2753"/>
      <c r="AR43" s="335"/>
      <c r="AS43" s="11"/>
    </row>
    <row r="44" spans="2:45" s="11" customFormat="1" ht="3" customHeight="1">
      <c r="B44" s="2126"/>
      <c r="C44" s="2127"/>
      <c r="D44" s="2128"/>
      <c r="E44" s="1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36"/>
      <c r="AH44" s="378"/>
      <c r="AI44" s="378"/>
      <c r="AJ44" s="378"/>
      <c r="AK44" s="378"/>
      <c r="AL44" s="378"/>
      <c r="AM44" s="378"/>
      <c r="AN44" s="378"/>
      <c r="AO44" s="378"/>
      <c r="AP44" s="378"/>
      <c r="AQ44" s="378"/>
      <c r="AR44" s="266"/>
      <c r="AS44" s="11"/>
    </row>
    <row r="45" spans="2:45" s="11" customFormat="1" ht="15" customHeight="1">
      <c r="B45" s="2126"/>
      <c r="C45" s="2127"/>
      <c r="D45" s="2128"/>
      <c r="E45" s="43" t="s">
        <v>626</v>
      </c>
      <c r="F45" s="4" t="s">
        <v>628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1"/>
      <c r="AA45" s="11"/>
      <c r="AB45" s="11"/>
      <c r="AD45" s="11"/>
      <c r="AE45" s="11"/>
      <c r="AF45" s="11"/>
      <c r="AG45" s="86">
        <v>6</v>
      </c>
      <c r="AH45" s="2750">
        <f>'FE-1770S'!AH45:AR46</f>
        <v>0</v>
      </c>
      <c r="AI45" s="2751"/>
      <c r="AJ45" s="2751"/>
      <c r="AK45" s="2751"/>
      <c r="AL45" s="2751"/>
      <c r="AM45" s="2751"/>
      <c r="AN45" s="2751"/>
      <c r="AO45" s="2751"/>
      <c r="AP45" s="2751"/>
      <c r="AQ45" s="2751"/>
      <c r="AR45" s="325"/>
      <c r="AS45" s="11"/>
    </row>
    <row r="46" spans="2:45" s="11" customFormat="1" ht="12" customHeight="1">
      <c r="B46" s="2126"/>
      <c r="C46" s="2127"/>
      <c r="D46" s="2128"/>
      <c r="E46" s="43"/>
      <c r="F46" s="4" t="s">
        <v>627</v>
      </c>
      <c r="G46" s="4"/>
      <c r="H46" s="4"/>
      <c r="I46" s="4"/>
      <c r="J46" s="4"/>
      <c r="K46" s="4"/>
      <c r="L46" s="4"/>
      <c r="M46" s="4"/>
      <c r="N46" s="2773" t="s">
        <v>987</v>
      </c>
      <c r="O46" s="2773"/>
      <c r="P46" s="2773"/>
      <c r="Q46" s="2773"/>
      <c r="R46" s="2773"/>
      <c r="S46" s="2773"/>
      <c r="T46" s="2773"/>
      <c r="U46" s="2773"/>
      <c r="V46" s="2773"/>
      <c r="W46" s="2773"/>
      <c r="X46" s="2773"/>
      <c r="Y46" s="2773"/>
      <c r="Z46" s="2773"/>
      <c r="AA46" s="2773"/>
      <c r="AB46" s="2773"/>
      <c r="AC46" s="2773"/>
      <c r="AD46" s="2773"/>
      <c r="AE46" s="2773"/>
      <c r="AF46" s="11"/>
      <c r="AG46" s="2109"/>
      <c r="AH46" s="2752"/>
      <c r="AI46" s="2753"/>
      <c r="AJ46" s="2753"/>
      <c r="AK46" s="2753"/>
      <c r="AL46" s="2753"/>
      <c r="AM46" s="2753"/>
      <c r="AN46" s="2753"/>
      <c r="AO46" s="2753"/>
      <c r="AP46" s="2753"/>
      <c r="AQ46" s="2753"/>
      <c r="AR46" s="335"/>
      <c r="AS46" s="11"/>
    </row>
    <row r="47" spans="2:45" s="11" customFormat="1" ht="4" customHeight="1">
      <c r="B47" s="2129"/>
      <c r="C47" s="2130"/>
      <c r="D47" s="2131"/>
      <c r="E47" s="138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9"/>
      <c r="AH47" s="379"/>
      <c r="AI47" s="379"/>
      <c r="AJ47" s="379"/>
      <c r="AK47" s="379"/>
      <c r="AL47" s="379"/>
      <c r="AM47" s="379"/>
      <c r="AN47" s="379"/>
      <c r="AO47" s="379"/>
      <c r="AP47" s="379"/>
      <c r="AQ47" s="379"/>
      <c r="AR47" s="268"/>
      <c r="AS47" s="11"/>
    </row>
    <row r="48" spans="2:45" s="11" customFormat="1" ht="4" customHeight="1">
      <c r="B48" s="2099" t="s">
        <v>90</v>
      </c>
      <c r="C48" s="2100"/>
      <c r="D48" s="2101"/>
      <c r="E48" s="140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2"/>
      <c r="AH48" s="380"/>
      <c r="AI48" s="380"/>
      <c r="AJ48" s="380"/>
      <c r="AK48" s="380"/>
      <c r="AL48" s="380"/>
      <c r="AM48" s="380"/>
      <c r="AN48" s="380"/>
      <c r="AO48" s="380"/>
      <c r="AP48" s="380"/>
      <c r="AQ48" s="380"/>
      <c r="AR48" s="269"/>
      <c r="AS48" s="11"/>
    </row>
    <row r="49" spans="2:45" s="11" customFormat="1" ht="7" customHeight="1">
      <c r="B49" s="2102"/>
      <c r="C49" s="2103"/>
      <c r="D49" s="2104"/>
      <c r="E49" s="51"/>
      <c r="F49" s="11"/>
      <c r="G49" s="11"/>
      <c r="H49" s="11"/>
      <c r="I49" s="11"/>
      <c r="J49" s="11"/>
      <c r="K49" s="11"/>
      <c r="L49" s="11"/>
      <c r="M49" s="11"/>
      <c r="N49" s="11"/>
      <c r="O49" s="16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36"/>
      <c r="AH49" s="378"/>
      <c r="AI49" s="378"/>
      <c r="AJ49" s="378"/>
      <c r="AK49" s="378"/>
      <c r="AL49" s="378"/>
      <c r="AM49" s="378"/>
      <c r="AN49" s="378"/>
      <c r="AO49" s="378"/>
      <c r="AP49" s="378"/>
      <c r="AQ49" s="378"/>
      <c r="AR49" s="266"/>
      <c r="AS49" s="11"/>
    </row>
    <row r="50" spans="2:45" s="11" customFormat="1" ht="15" customHeight="1">
      <c r="B50" s="2102"/>
      <c r="C50" s="2103"/>
      <c r="D50" s="2104"/>
      <c r="E50" s="43" t="s">
        <v>629</v>
      </c>
      <c r="F50" s="4" t="s">
        <v>2</v>
      </c>
      <c r="G50" s="4"/>
      <c r="H50" s="4"/>
      <c r="I50" s="4"/>
      <c r="J50" s="4"/>
      <c r="K50" s="4"/>
      <c r="L50" s="4"/>
      <c r="M50" s="4"/>
      <c r="N50" s="4"/>
      <c r="P50" s="203" t="s">
        <v>159</v>
      </c>
      <c r="Q50" s="298" t="str">
        <f>'FE-1770S'!P50</f>
        <v/>
      </c>
      <c r="R50" s="203"/>
      <c r="S50" s="203" t="s">
        <v>160</v>
      </c>
      <c r="T50" s="1432" t="str">
        <f>'FE-1770S'!S50</f>
        <v/>
      </c>
      <c r="U50" s="203"/>
      <c r="V50" s="203" t="s">
        <v>161</v>
      </c>
      <c r="W50" s="1432" t="str">
        <f>'FE-1770S'!V50</f>
        <v/>
      </c>
      <c r="X50" s="203"/>
      <c r="Y50" s="620"/>
      <c r="Z50" s="203"/>
      <c r="AA50" s="203"/>
      <c r="AB50" s="620"/>
      <c r="AC50" s="4"/>
      <c r="AD50" s="4"/>
      <c r="AE50" s="11"/>
      <c r="AF50" s="11"/>
      <c r="AG50" s="86">
        <v>7</v>
      </c>
      <c r="AH50" s="2750">
        <f>'FE-1770S'!AH50:AR51</f>
        <v>0</v>
      </c>
      <c r="AI50" s="2751"/>
      <c r="AJ50" s="2751"/>
      <c r="AK50" s="2751"/>
      <c r="AL50" s="2751"/>
      <c r="AM50" s="2751"/>
      <c r="AN50" s="2751"/>
      <c r="AO50" s="2751"/>
      <c r="AP50" s="2751"/>
      <c r="AQ50" s="2751"/>
      <c r="AR50" s="325"/>
      <c r="AS50" s="11"/>
    </row>
    <row r="51" spans="2:45" s="11" customFormat="1" ht="9" customHeight="1">
      <c r="B51" s="2102"/>
      <c r="C51" s="2103"/>
      <c r="D51" s="2104"/>
      <c r="E51" s="17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2109"/>
      <c r="AH51" s="2752"/>
      <c r="AI51" s="2753"/>
      <c r="AJ51" s="2753"/>
      <c r="AK51" s="2753"/>
      <c r="AL51" s="2753"/>
      <c r="AM51" s="2753"/>
      <c r="AN51" s="2753"/>
      <c r="AO51" s="2753"/>
      <c r="AP51" s="2753"/>
      <c r="AQ51" s="2753"/>
      <c r="AR51" s="335"/>
      <c r="AS51" s="11"/>
    </row>
    <row r="52" spans="2:45" s="11" customFormat="1" ht="3" customHeight="1">
      <c r="B52" s="2102"/>
      <c r="C52" s="2103"/>
      <c r="D52" s="2104"/>
      <c r="E52" s="1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36"/>
      <c r="AH52" s="378"/>
      <c r="AI52" s="378"/>
      <c r="AJ52" s="378"/>
      <c r="AK52" s="378"/>
      <c r="AL52" s="378"/>
      <c r="AM52" s="378"/>
      <c r="AN52" s="378"/>
      <c r="AO52" s="378"/>
      <c r="AP52" s="378"/>
      <c r="AQ52" s="378"/>
      <c r="AR52" s="266"/>
      <c r="AS52" s="11"/>
    </row>
    <row r="53" spans="2:45" s="11" customFormat="1" ht="15" customHeight="1">
      <c r="B53" s="2102"/>
      <c r="C53" s="2103"/>
      <c r="D53" s="2104"/>
      <c r="E53" s="43" t="s">
        <v>630</v>
      </c>
      <c r="F53" s="4" t="s">
        <v>18</v>
      </c>
      <c r="G53" s="4"/>
      <c r="H53" s="4"/>
      <c r="I53" s="4"/>
      <c r="J53" s="4"/>
      <c r="K53" s="4"/>
      <c r="L53" s="4"/>
      <c r="M53" s="4"/>
      <c r="N53" s="4"/>
      <c r="O53" s="12" t="s">
        <v>985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1"/>
      <c r="AG53" s="86">
        <v>8</v>
      </c>
      <c r="AH53" s="2750">
        <f>'FE-1770S'!AH53:AR54</f>
        <v>0</v>
      </c>
      <c r="AI53" s="2751"/>
      <c r="AJ53" s="2751"/>
      <c r="AK53" s="2751"/>
      <c r="AL53" s="2751"/>
      <c r="AM53" s="2751"/>
      <c r="AN53" s="2751"/>
      <c r="AO53" s="2751"/>
      <c r="AP53" s="2751"/>
      <c r="AQ53" s="2751"/>
      <c r="AR53" s="325"/>
      <c r="AS53" s="11"/>
    </row>
    <row r="54" spans="2:45" s="11" customFormat="1" ht="9" customHeight="1">
      <c r="B54" s="2102"/>
      <c r="C54" s="2103"/>
      <c r="D54" s="2104"/>
      <c r="E54" s="43"/>
      <c r="F54" s="4"/>
      <c r="G54" s="4"/>
      <c r="H54" s="4"/>
      <c r="I54" s="4"/>
      <c r="J54" s="4"/>
      <c r="K54" s="4"/>
      <c r="L54" s="4"/>
      <c r="M54" s="4"/>
      <c r="N54" s="4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88"/>
      <c r="AH54" s="2752"/>
      <c r="AI54" s="2753"/>
      <c r="AJ54" s="2753"/>
      <c r="AK54" s="2753"/>
      <c r="AL54" s="2753"/>
      <c r="AM54" s="2753"/>
      <c r="AN54" s="2753"/>
      <c r="AO54" s="2753"/>
      <c r="AP54" s="2753"/>
      <c r="AQ54" s="2753"/>
      <c r="AR54" s="335"/>
      <c r="AS54" s="11"/>
    </row>
    <row r="55" spans="2:45" s="11" customFormat="1" ht="4" customHeight="1">
      <c r="B55" s="2105"/>
      <c r="C55" s="2106"/>
      <c r="D55" s="2107"/>
      <c r="E55" s="138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9"/>
      <c r="AH55" s="379"/>
      <c r="AI55" s="379"/>
      <c r="AJ55" s="379"/>
      <c r="AK55" s="379"/>
      <c r="AL55" s="379"/>
      <c r="AM55" s="379"/>
      <c r="AN55" s="379"/>
      <c r="AO55" s="379"/>
      <c r="AP55" s="379"/>
      <c r="AQ55" s="379"/>
      <c r="AR55" s="268"/>
      <c r="AS55" s="11"/>
    </row>
    <row r="56" spans="2:45" s="11" customFormat="1" ht="3" customHeight="1">
      <c r="B56" s="168"/>
      <c r="C56" s="43"/>
      <c r="D56" s="129"/>
      <c r="E56" s="17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36"/>
      <c r="AH56" s="378"/>
      <c r="AI56" s="378"/>
      <c r="AJ56" s="378"/>
      <c r="AK56" s="378"/>
      <c r="AL56" s="378"/>
      <c r="AM56" s="378"/>
      <c r="AN56" s="378"/>
      <c r="AO56" s="378"/>
      <c r="AP56" s="378"/>
      <c r="AQ56" s="378"/>
      <c r="AR56" s="266"/>
      <c r="AS56" s="11"/>
    </row>
    <row r="57" spans="2:45" s="11" customFormat="1" ht="7" customHeight="1">
      <c r="B57" s="2126" t="s">
        <v>91</v>
      </c>
      <c r="C57" s="2127"/>
      <c r="D57" s="2128"/>
      <c r="E57" s="51"/>
      <c r="F57" s="11"/>
      <c r="G57" s="11"/>
      <c r="H57" s="11"/>
      <c r="I57" s="11"/>
      <c r="J57" s="11"/>
      <c r="K57" s="16"/>
      <c r="L57" s="1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36"/>
      <c r="AH57" s="378"/>
      <c r="AI57" s="378"/>
      <c r="AJ57" s="378"/>
      <c r="AK57" s="378"/>
      <c r="AL57" s="378"/>
      <c r="AM57" s="378"/>
      <c r="AN57" s="378"/>
      <c r="AO57" s="378"/>
      <c r="AP57" s="378"/>
      <c r="AQ57" s="378"/>
      <c r="AR57" s="266"/>
      <c r="AS57" s="11"/>
    </row>
    <row r="58" spans="2:45" s="11" customFormat="1" ht="15" customHeight="1">
      <c r="B58" s="2126"/>
      <c r="C58" s="2127"/>
      <c r="D58" s="2128"/>
      <c r="E58" s="43" t="s">
        <v>631</v>
      </c>
      <c r="F58" s="4" t="s">
        <v>3</v>
      </c>
      <c r="G58" s="4"/>
      <c r="H58" s="4"/>
      <c r="I58" s="4"/>
      <c r="J58" s="4" t="s">
        <v>133</v>
      </c>
      <c r="K58" s="11"/>
      <c r="L58" s="4"/>
      <c r="M58" s="4"/>
      <c r="N58" s="4"/>
      <c r="O58" s="4"/>
      <c r="P58" s="4"/>
      <c r="Q58" s="4"/>
      <c r="R58" s="4"/>
      <c r="S58" s="4"/>
      <c r="T58" s="12" t="s">
        <v>984</v>
      </c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4"/>
      <c r="AG58" s="86">
        <v>9</v>
      </c>
      <c r="AH58" s="2750" t="e">
        <f>'FE-1770S'!AH58:AR59</f>
        <v>#DIV/0!</v>
      </c>
      <c r="AI58" s="2751"/>
      <c r="AJ58" s="2751"/>
      <c r="AK58" s="2751"/>
      <c r="AL58" s="2751"/>
      <c r="AM58" s="2751"/>
      <c r="AN58" s="2751"/>
      <c r="AO58" s="2751"/>
      <c r="AP58" s="2751"/>
      <c r="AQ58" s="2751"/>
      <c r="AR58" s="325"/>
      <c r="AS58" s="11"/>
    </row>
    <row r="59" spans="2:45" s="11" customFormat="1" ht="9" customHeight="1">
      <c r="B59" s="2126"/>
      <c r="C59" s="2127"/>
      <c r="D59" s="2128"/>
      <c r="E59" s="4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2109"/>
      <c r="AH59" s="2752"/>
      <c r="AI59" s="2753"/>
      <c r="AJ59" s="2753"/>
      <c r="AK59" s="2753"/>
      <c r="AL59" s="2753"/>
      <c r="AM59" s="2753"/>
      <c r="AN59" s="2753"/>
      <c r="AO59" s="2753"/>
      <c r="AP59" s="2753"/>
      <c r="AQ59" s="2753"/>
      <c r="AR59" s="335"/>
      <c r="AS59" s="11"/>
    </row>
    <row r="60" spans="2:45" s="11" customFormat="1" ht="3" customHeight="1">
      <c r="B60" s="2126"/>
      <c r="C60" s="2127"/>
      <c r="D60" s="2128"/>
      <c r="E60" s="4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36"/>
      <c r="AH60" s="378"/>
      <c r="AI60" s="378"/>
      <c r="AJ60" s="378"/>
      <c r="AK60" s="378"/>
      <c r="AL60" s="378"/>
      <c r="AM60" s="378"/>
      <c r="AN60" s="378"/>
      <c r="AO60" s="378"/>
      <c r="AP60" s="378"/>
      <c r="AQ60" s="378"/>
      <c r="AR60" s="266"/>
      <c r="AS60" s="11"/>
    </row>
    <row r="61" spans="2:45" s="11" customFormat="1" ht="15" customHeight="1">
      <c r="B61" s="2126"/>
      <c r="C61" s="2127"/>
      <c r="D61" s="2128"/>
      <c r="E61" s="43" t="s">
        <v>632</v>
      </c>
      <c r="F61" s="4" t="s">
        <v>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 t="s">
        <v>79</v>
      </c>
      <c r="AB61" s="4"/>
      <c r="AC61" s="4"/>
      <c r="AD61" s="4"/>
      <c r="AE61" s="4"/>
      <c r="AF61" s="4"/>
      <c r="AG61" s="86">
        <v>10</v>
      </c>
      <c r="AH61" s="2750">
        <f>'FE-1770S'!AH61:AR62</f>
        <v>0</v>
      </c>
      <c r="AI61" s="2751"/>
      <c r="AJ61" s="2751"/>
      <c r="AK61" s="2751"/>
      <c r="AL61" s="2751"/>
      <c r="AM61" s="2751"/>
      <c r="AN61" s="2751"/>
      <c r="AO61" s="2751"/>
      <c r="AP61" s="2751"/>
      <c r="AQ61" s="2751"/>
      <c r="AR61" s="325"/>
      <c r="AS61" s="11"/>
    </row>
    <row r="62" spans="2:45" s="11" customFormat="1" ht="9" customHeight="1">
      <c r="B62" s="2126"/>
      <c r="C62" s="2127"/>
      <c r="D62" s="2128"/>
      <c r="E62" s="4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2109"/>
      <c r="AH62" s="2752"/>
      <c r="AI62" s="2753"/>
      <c r="AJ62" s="2753"/>
      <c r="AK62" s="2753"/>
      <c r="AL62" s="2753"/>
      <c r="AM62" s="2753"/>
      <c r="AN62" s="2753"/>
      <c r="AO62" s="2753"/>
      <c r="AP62" s="2753"/>
      <c r="AQ62" s="2753"/>
      <c r="AR62" s="335"/>
      <c r="AS62" s="11"/>
    </row>
    <row r="63" spans="2:45" s="11" customFormat="1" ht="3" customHeight="1">
      <c r="B63" s="2126"/>
      <c r="C63" s="2127"/>
      <c r="D63" s="2128"/>
      <c r="E63" s="4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66"/>
      <c r="AH63" s="378"/>
      <c r="AI63" s="378"/>
      <c r="AJ63" s="378"/>
      <c r="AK63" s="378"/>
      <c r="AL63" s="378"/>
      <c r="AM63" s="378"/>
      <c r="AN63" s="378"/>
      <c r="AO63" s="378"/>
      <c r="AP63" s="378"/>
      <c r="AQ63" s="378"/>
      <c r="AR63" s="266"/>
      <c r="AS63" s="11"/>
    </row>
    <row r="64" spans="2:45" s="11" customFormat="1" ht="15" customHeight="1">
      <c r="B64" s="2126"/>
      <c r="C64" s="2127"/>
      <c r="D64" s="2128"/>
      <c r="E64" s="43" t="s">
        <v>633</v>
      </c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12" t="s">
        <v>983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4"/>
      <c r="AG64" s="86">
        <v>11</v>
      </c>
      <c r="AH64" s="2750" t="e">
        <f>'FE-1770S'!AH64:AR65</f>
        <v>#DIV/0!</v>
      </c>
      <c r="AI64" s="2751"/>
      <c r="AJ64" s="2751"/>
      <c r="AK64" s="2751"/>
      <c r="AL64" s="2751"/>
      <c r="AM64" s="2751"/>
      <c r="AN64" s="2751"/>
      <c r="AO64" s="2751"/>
      <c r="AP64" s="2751"/>
      <c r="AQ64" s="2751"/>
      <c r="AR64" s="325"/>
      <c r="AS64" s="11"/>
    </row>
    <row r="65" spans="2:45" s="11" customFormat="1" ht="9" customHeight="1">
      <c r="B65" s="2126"/>
      <c r="C65" s="2127"/>
      <c r="D65" s="2128"/>
      <c r="E65" s="4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2109"/>
      <c r="AH65" s="2752"/>
      <c r="AI65" s="2753"/>
      <c r="AJ65" s="2753"/>
      <c r="AK65" s="2753"/>
      <c r="AL65" s="2753"/>
      <c r="AM65" s="2753"/>
      <c r="AN65" s="2753"/>
      <c r="AO65" s="2753"/>
      <c r="AP65" s="2753"/>
      <c r="AQ65" s="2753"/>
      <c r="AR65" s="335"/>
      <c r="AS65" s="11"/>
    </row>
    <row r="66" spans="2:45" s="11" customFormat="1" ht="4" customHeight="1">
      <c r="B66" s="2129"/>
      <c r="C66" s="2130"/>
      <c r="D66" s="2131"/>
      <c r="E66" s="136"/>
      <c r="F66" s="136"/>
      <c r="G66" s="136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139"/>
      <c r="AH66" s="379"/>
      <c r="AI66" s="379"/>
      <c r="AJ66" s="379"/>
      <c r="AK66" s="379"/>
      <c r="AL66" s="379"/>
      <c r="AM66" s="379"/>
      <c r="AN66" s="379"/>
      <c r="AO66" s="379"/>
      <c r="AP66" s="379"/>
      <c r="AQ66" s="379"/>
      <c r="AR66" s="268"/>
      <c r="AS66" s="11"/>
    </row>
    <row r="67" spans="2:45" s="11" customFormat="1" ht="3" customHeight="1">
      <c r="B67" s="168"/>
      <c r="C67" s="43"/>
      <c r="D67" s="129"/>
      <c r="E67" s="17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36"/>
      <c r="AH67" s="378"/>
      <c r="AI67" s="378"/>
      <c r="AJ67" s="378"/>
      <c r="AK67" s="378"/>
      <c r="AL67" s="378"/>
      <c r="AM67" s="378"/>
      <c r="AN67" s="378"/>
      <c r="AO67" s="378"/>
      <c r="AP67" s="378"/>
      <c r="AQ67" s="378"/>
      <c r="AR67" s="266"/>
      <c r="AS67" s="11"/>
    </row>
    <row r="68" spans="2:45" s="11" customFormat="1" ht="7" customHeight="1">
      <c r="B68" s="2126" t="s">
        <v>92</v>
      </c>
      <c r="C68" s="2127"/>
      <c r="D68" s="2128"/>
      <c r="E68" s="51"/>
      <c r="F68" s="11"/>
      <c r="G68" s="52"/>
      <c r="H68" s="52"/>
      <c r="I68" s="52"/>
      <c r="J68" s="52"/>
      <c r="K68" s="52"/>
      <c r="L68" s="52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36"/>
      <c r="AH68" s="378"/>
      <c r="AI68" s="378"/>
      <c r="AJ68" s="378"/>
      <c r="AK68" s="378"/>
      <c r="AL68" s="378"/>
      <c r="AM68" s="378"/>
      <c r="AN68" s="378"/>
      <c r="AO68" s="378"/>
      <c r="AP68" s="378"/>
      <c r="AQ68" s="378"/>
      <c r="AR68" s="266"/>
      <c r="AS68" s="11"/>
    </row>
    <row r="69" spans="2:45" s="11" customFormat="1" ht="15" customHeight="1">
      <c r="B69" s="2126"/>
      <c r="C69" s="2127"/>
      <c r="D69" s="2128"/>
      <c r="E69" s="43" t="s">
        <v>634</v>
      </c>
      <c r="F69" s="12" t="s">
        <v>174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86">
        <v>12</v>
      </c>
      <c r="AH69" s="2750">
        <f>'FE-1770S'!AH69:AR70</f>
        <v>0</v>
      </c>
      <c r="AI69" s="2751"/>
      <c r="AJ69" s="2751"/>
      <c r="AK69" s="2751"/>
      <c r="AL69" s="2751"/>
      <c r="AM69" s="2751"/>
      <c r="AN69" s="2751"/>
      <c r="AO69" s="2751"/>
      <c r="AP69" s="2751"/>
      <c r="AQ69" s="2751"/>
      <c r="AR69" s="325"/>
      <c r="AS69" s="11"/>
    </row>
    <row r="70" spans="2:45" s="11" customFormat="1" ht="10" customHeight="1">
      <c r="B70" s="2126"/>
      <c r="C70" s="2127"/>
      <c r="D70" s="2128"/>
      <c r="E70" s="17"/>
      <c r="F70" s="4" t="s">
        <v>169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67"/>
      <c r="AG70" s="2109"/>
      <c r="AH70" s="2752"/>
      <c r="AI70" s="2753"/>
      <c r="AJ70" s="2753"/>
      <c r="AK70" s="2753"/>
      <c r="AL70" s="2753"/>
      <c r="AM70" s="2753"/>
      <c r="AN70" s="2753"/>
      <c r="AO70" s="2753"/>
      <c r="AP70" s="2753"/>
      <c r="AQ70" s="2753"/>
      <c r="AR70" s="335"/>
      <c r="AS70" s="11"/>
    </row>
    <row r="71" spans="2:45" s="11" customFormat="1" ht="3" customHeight="1">
      <c r="B71" s="2126"/>
      <c r="C71" s="2127"/>
      <c r="D71" s="2128"/>
      <c r="E71" s="17"/>
      <c r="F71" s="3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36"/>
      <c r="AH71" s="378"/>
      <c r="AI71" s="378"/>
      <c r="AJ71" s="378"/>
      <c r="AK71" s="378"/>
      <c r="AL71" s="378"/>
      <c r="AM71" s="378"/>
      <c r="AN71" s="378"/>
      <c r="AO71" s="378"/>
      <c r="AP71" s="378"/>
      <c r="AQ71" s="378"/>
      <c r="AR71" s="266"/>
      <c r="AS71" s="11"/>
    </row>
    <row r="72" spans="2:45" s="11" customFormat="1" ht="3.75" customHeight="1">
      <c r="B72" s="2126"/>
      <c r="C72" s="2127"/>
      <c r="D72" s="2128"/>
      <c r="E72" s="17"/>
      <c r="F72" s="35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36"/>
      <c r="AH72" s="378"/>
      <c r="AI72" s="378"/>
      <c r="AJ72" s="378"/>
      <c r="AK72" s="378"/>
      <c r="AL72" s="378"/>
      <c r="AM72" s="378"/>
      <c r="AN72" s="378"/>
      <c r="AO72" s="378"/>
      <c r="AP72" s="378"/>
      <c r="AQ72" s="378"/>
      <c r="AR72" s="266"/>
      <c r="AS72" s="11"/>
    </row>
    <row r="73" spans="2:45" s="11" customFormat="1" ht="12" customHeight="1">
      <c r="B73" s="2126"/>
      <c r="C73" s="2127"/>
      <c r="D73" s="2128"/>
      <c r="E73" s="43" t="s">
        <v>635</v>
      </c>
      <c r="F73" s="46" t="s">
        <v>6</v>
      </c>
      <c r="G73" s="270" t="e">
        <f>'FE-1770S'!G73</f>
        <v>#DIV/0!</v>
      </c>
      <c r="H73" s="11"/>
      <c r="I73" s="114" t="s">
        <v>20</v>
      </c>
      <c r="J73" s="45"/>
      <c r="K73" s="45"/>
      <c r="L73" s="45"/>
      <c r="M73" s="45"/>
      <c r="N73" s="45"/>
      <c r="O73" s="45"/>
      <c r="P73" s="45"/>
      <c r="Q73" s="45"/>
      <c r="R73" s="45"/>
      <c r="T73" s="36" t="s">
        <v>63</v>
      </c>
      <c r="U73" s="36"/>
      <c r="V73" s="11"/>
      <c r="W73" s="11"/>
      <c r="X73" s="4"/>
      <c r="Y73" s="4"/>
      <c r="Z73" s="4"/>
      <c r="AA73" s="4"/>
      <c r="AB73" s="4"/>
      <c r="AC73" s="4"/>
      <c r="AD73" s="4"/>
      <c r="AE73" s="4"/>
      <c r="AF73" s="4"/>
      <c r="AG73" s="86">
        <v>13</v>
      </c>
      <c r="AH73" s="2750" t="e">
        <f>'FE-1770S'!AH73:AR75</f>
        <v>#DIV/0!</v>
      </c>
      <c r="AI73" s="2751"/>
      <c r="AJ73" s="2751"/>
      <c r="AK73" s="2751"/>
      <c r="AL73" s="2751"/>
      <c r="AM73" s="2751"/>
      <c r="AN73" s="2751"/>
      <c r="AO73" s="2751"/>
      <c r="AP73" s="2751"/>
      <c r="AQ73" s="2751"/>
      <c r="AR73" s="325"/>
      <c r="AS73" s="11"/>
    </row>
    <row r="74" spans="2:45" s="11" customFormat="1" ht="3" customHeight="1">
      <c r="B74" s="2126"/>
      <c r="C74" s="2127"/>
      <c r="D74" s="2128"/>
      <c r="E74" s="43"/>
      <c r="F74" s="4"/>
      <c r="G74" s="36"/>
      <c r="H74" s="11"/>
      <c r="I74" s="46"/>
      <c r="J74" s="4"/>
      <c r="K74" s="47"/>
      <c r="L74" s="47"/>
      <c r="M74" s="47"/>
      <c r="N74" s="47"/>
      <c r="O74" s="47"/>
      <c r="P74" s="47"/>
      <c r="Q74" s="47"/>
      <c r="R74" s="47"/>
      <c r="S74" s="46"/>
      <c r="T74" s="36"/>
      <c r="U74" s="36"/>
      <c r="V74" s="11"/>
      <c r="W74" s="11"/>
      <c r="X74" s="46"/>
      <c r="Y74" s="4"/>
      <c r="Z74" s="4"/>
      <c r="AA74" s="4"/>
      <c r="AB74" s="4"/>
      <c r="AC74" s="4"/>
      <c r="AD74" s="4"/>
      <c r="AE74" s="4"/>
      <c r="AF74" s="4"/>
      <c r="AG74" s="2147"/>
      <c r="AH74" s="2760"/>
      <c r="AI74" s="2761"/>
      <c r="AJ74" s="2761"/>
      <c r="AK74" s="2761"/>
      <c r="AL74" s="2761"/>
      <c r="AM74" s="2761"/>
      <c r="AN74" s="2761"/>
      <c r="AO74" s="2761"/>
      <c r="AP74" s="2761"/>
      <c r="AQ74" s="2761"/>
      <c r="AR74" s="300"/>
      <c r="AS74" s="11"/>
    </row>
    <row r="75" spans="2:45" s="11" customFormat="1" ht="12" customHeight="1">
      <c r="B75" s="2126"/>
      <c r="C75" s="2127"/>
      <c r="D75" s="2128"/>
      <c r="E75" s="43"/>
      <c r="F75" s="46" t="s">
        <v>7</v>
      </c>
      <c r="G75" s="270" t="e">
        <f>'FE-1770S'!G75</f>
        <v>#DIV/0!</v>
      </c>
      <c r="H75" s="11"/>
      <c r="I75" s="46" t="s">
        <v>5</v>
      </c>
      <c r="J75" s="4"/>
      <c r="K75" s="24"/>
      <c r="L75" s="24"/>
      <c r="M75" s="24"/>
      <c r="N75" s="24"/>
      <c r="O75" s="24"/>
      <c r="P75" s="24"/>
      <c r="Q75" s="24"/>
      <c r="R75" s="24"/>
      <c r="S75" s="46"/>
      <c r="T75" s="36"/>
      <c r="U75" s="36"/>
      <c r="V75" s="11"/>
      <c r="W75" s="11"/>
      <c r="X75" s="46"/>
      <c r="Y75" s="4"/>
      <c r="Z75" s="4"/>
      <c r="AA75" s="4"/>
      <c r="AB75" s="4"/>
      <c r="AC75" s="4"/>
      <c r="AD75" s="4"/>
      <c r="AE75" s="4"/>
      <c r="AF75" s="4"/>
      <c r="AG75" s="2109"/>
      <c r="AH75" s="2752"/>
      <c r="AI75" s="2753"/>
      <c r="AJ75" s="2753"/>
      <c r="AK75" s="2753"/>
      <c r="AL75" s="2753"/>
      <c r="AM75" s="2753"/>
      <c r="AN75" s="2753"/>
      <c r="AO75" s="2753"/>
      <c r="AP75" s="2753"/>
      <c r="AQ75" s="2753"/>
      <c r="AR75" s="335"/>
      <c r="AS75" s="11"/>
    </row>
    <row r="76" spans="2:45" s="11" customFormat="1" ht="9" customHeight="1">
      <c r="B76" s="2126"/>
      <c r="C76" s="2127"/>
      <c r="D76" s="2128"/>
      <c r="E76" s="43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46"/>
      <c r="S76" s="46"/>
      <c r="T76" s="46"/>
      <c r="U76" s="11"/>
      <c r="V76" s="11"/>
      <c r="W76" s="11"/>
      <c r="X76" s="46"/>
      <c r="Y76" s="4"/>
      <c r="Z76" s="4"/>
      <c r="AA76" s="4"/>
      <c r="AB76" s="4"/>
      <c r="AC76" s="4"/>
      <c r="AD76" s="4"/>
      <c r="AE76" s="4"/>
      <c r="AF76" s="4"/>
      <c r="AG76" s="61"/>
      <c r="AH76" s="378"/>
      <c r="AI76" s="378"/>
      <c r="AJ76" s="378"/>
      <c r="AK76" s="378"/>
      <c r="AL76" s="378"/>
      <c r="AM76" s="378"/>
      <c r="AN76" s="378"/>
      <c r="AO76" s="378"/>
      <c r="AP76" s="378"/>
      <c r="AQ76" s="378"/>
      <c r="AR76" s="266"/>
      <c r="AS76" s="11"/>
    </row>
    <row r="77" spans="2:45" s="11" customFormat="1" ht="3" customHeight="1">
      <c r="B77" s="2126"/>
      <c r="C77" s="2127"/>
      <c r="D77" s="2128"/>
      <c r="E77" s="43"/>
      <c r="F77" s="46"/>
      <c r="G77" s="4"/>
      <c r="H77" s="4"/>
      <c r="I77" s="24"/>
      <c r="J77" s="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36"/>
      <c r="V77" s="36"/>
      <c r="W77" s="36"/>
      <c r="X77" s="46"/>
      <c r="Y77" s="4"/>
      <c r="Z77" s="4"/>
      <c r="AA77" s="4"/>
      <c r="AB77" s="4"/>
      <c r="AC77" s="4"/>
      <c r="AD77" s="4"/>
      <c r="AE77" s="4"/>
      <c r="AF77" s="4"/>
      <c r="AG77" s="7"/>
      <c r="AH77" s="378"/>
      <c r="AI77" s="378"/>
      <c r="AJ77" s="378"/>
      <c r="AK77" s="378"/>
      <c r="AL77" s="378"/>
      <c r="AM77" s="378"/>
      <c r="AN77" s="378"/>
      <c r="AO77" s="378"/>
      <c r="AP77" s="378"/>
      <c r="AQ77" s="378"/>
      <c r="AR77" s="266"/>
      <c r="AS77" s="11"/>
    </row>
    <row r="78" spans="2:45" s="11" customFormat="1" ht="15" customHeight="1">
      <c r="B78" s="2126"/>
      <c r="C78" s="2127"/>
      <c r="D78" s="2128"/>
      <c r="E78" s="43" t="s">
        <v>636</v>
      </c>
      <c r="F78" s="12" t="s">
        <v>19</v>
      </c>
      <c r="G78" s="12"/>
      <c r="H78" s="12"/>
      <c r="I78" s="12"/>
      <c r="J78" s="12"/>
      <c r="K78" s="12"/>
      <c r="L78" s="12"/>
      <c r="M78" s="12"/>
      <c r="N78" s="4" t="s">
        <v>6</v>
      </c>
      <c r="O78" s="4" t="s">
        <v>21</v>
      </c>
      <c r="P78" s="4"/>
      <c r="Q78" s="4"/>
      <c r="R78" s="4"/>
      <c r="S78" s="12" t="s">
        <v>982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4"/>
      <c r="AG78" s="86" t="s">
        <v>53</v>
      </c>
      <c r="AH78" s="2750">
        <f>'FE-1770S'!AH78:AR79</f>
        <v>0</v>
      </c>
      <c r="AI78" s="2751"/>
      <c r="AJ78" s="2751"/>
      <c r="AK78" s="2751"/>
      <c r="AL78" s="2751"/>
      <c r="AM78" s="2751"/>
      <c r="AN78" s="2751"/>
      <c r="AO78" s="2751"/>
      <c r="AP78" s="2751"/>
      <c r="AQ78" s="2751"/>
      <c r="AR78" s="325"/>
      <c r="AS78" s="11"/>
    </row>
    <row r="79" spans="2:45" s="11" customFormat="1" ht="9" customHeight="1">
      <c r="B79" s="2126"/>
      <c r="C79" s="2127"/>
      <c r="D79" s="2128"/>
      <c r="E79" s="43"/>
      <c r="F79" s="4"/>
      <c r="G79" s="4"/>
      <c r="H79" s="4"/>
      <c r="I79" s="4"/>
      <c r="J79" s="4"/>
      <c r="K79" s="4"/>
      <c r="L79" s="4"/>
      <c r="M79" s="1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2109"/>
      <c r="AH79" s="2752"/>
      <c r="AI79" s="2753"/>
      <c r="AJ79" s="2753"/>
      <c r="AK79" s="2753"/>
      <c r="AL79" s="2753"/>
      <c r="AM79" s="2753"/>
      <c r="AN79" s="2753"/>
      <c r="AO79" s="2753"/>
      <c r="AP79" s="2753"/>
      <c r="AQ79" s="2753"/>
      <c r="AR79" s="335"/>
      <c r="AS79" s="11"/>
    </row>
    <row r="80" spans="2:45" s="11" customFormat="1" ht="3" customHeight="1">
      <c r="B80" s="2126"/>
      <c r="C80" s="2127"/>
      <c r="D80" s="2128"/>
      <c r="E80" s="43"/>
      <c r="F80" s="4"/>
      <c r="G80" s="4"/>
      <c r="H80" s="4"/>
      <c r="I80" s="4"/>
      <c r="J80" s="4"/>
      <c r="K80" s="4"/>
      <c r="L80" s="4"/>
      <c r="M80" s="1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7"/>
      <c r="AH80" s="378"/>
      <c r="AI80" s="378"/>
      <c r="AJ80" s="378"/>
      <c r="AK80" s="378"/>
      <c r="AL80" s="378"/>
      <c r="AM80" s="378"/>
      <c r="AN80" s="378"/>
      <c r="AO80" s="378"/>
      <c r="AP80" s="378"/>
      <c r="AQ80" s="378"/>
      <c r="AR80" s="266"/>
      <c r="AS80" s="11"/>
    </row>
    <row r="81" spans="2:45" s="11" customFormat="1" ht="15" customHeight="1">
      <c r="B81" s="2126"/>
      <c r="C81" s="2127"/>
      <c r="D81" s="2128"/>
      <c r="E81" s="43"/>
      <c r="F81" s="4"/>
      <c r="G81" s="4"/>
      <c r="H81" s="4"/>
      <c r="I81" s="4"/>
      <c r="J81" s="4"/>
      <c r="K81" s="4"/>
      <c r="L81" s="4"/>
      <c r="M81" s="11"/>
      <c r="N81" s="4" t="s">
        <v>7</v>
      </c>
      <c r="O81" s="4" t="s">
        <v>22</v>
      </c>
      <c r="P81" s="4"/>
      <c r="Q81" s="4"/>
      <c r="R81" s="4"/>
      <c r="S81" s="4"/>
      <c r="T81" s="4"/>
      <c r="U81" s="4"/>
      <c r="V81" s="4"/>
      <c r="W81" s="4"/>
      <c r="X81" s="4"/>
      <c r="Y81" s="4" t="s">
        <v>981</v>
      </c>
      <c r="Z81" s="4"/>
      <c r="AA81" s="4"/>
      <c r="AB81" s="4"/>
      <c r="AC81" s="4"/>
      <c r="AD81" s="4"/>
      <c r="AE81" s="4"/>
      <c r="AF81" s="4"/>
      <c r="AG81" s="86" t="s">
        <v>54</v>
      </c>
      <c r="AH81" s="2750">
        <f>'FE-1770S'!AH81:AR82</f>
        <v>0</v>
      </c>
      <c r="AI81" s="2751"/>
      <c r="AJ81" s="2751"/>
      <c r="AK81" s="2751"/>
      <c r="AL81" s="2751"/>
      <c r="AM81" s="2751"/>
      <c r="AN81" s="2751"/>
      <c r="AO81" s="2751"/>
      <c r="AP81" s="2751"/>
      <c r="AQ81" s="2751"/>
      <c r="AR81" s="325"/>
      <c r="AS81" s="11"/>
    </row>
    <row r="82" spans="2:45" s="11" customFormat="1" ht="9" customHeight="1">
      <c r="B82" s="2126"/>
      <c r="C82" s="2127"/>
      <c r="D82" s="2128"/>
      <c r="E82" s="43"/>
      <c r="F82" s="4"/>
      <c r="G82" s="4"/>
      <c r="H82" s="4"/>
      <c r="I82" s="4"/>
      <c r="J82" s="4"/>
      <c r="K82" s="4"/>
      <c r="L82" s="4"/>
      <c r="M82" s="1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2109"/>
      <c r="AH82" s="2752"/>
      <c r="AI82" s="2753"/>
      <c r="AJ82" s="2753"/>
      <c r="AK82" s="2753"/>
      <c r="AL82" s="2753"/>
      <c r="AM82" s="2753"/>
      <c r="AN82" s="2753"/>
      <c r="AO82" s="2753"/>
      <c r="AP82" s="2753"/>
      <c r="AQ82" s="2753"/>
      <c r="AR82" s="335"/>
      <c r="AS82" s="11"/>
    </row>
    <row r="83" spans="2:45" s="11" customFormat="1" ht="3" customHeight="1">
      <c r="B83" s="2126"/>
      <c r="C83" s="2127"/>
      <c r="D83" s="2128"/>
      <c r="E83" s="43"/>
      <c r="F83" s="4"/>
      <c r="G83" s="4"/>
      <c r="H83" s="4"/>
      <c r="I83" s="4"/>
      <c r="J83" s="4"/>
      <c r="K83" s="4"/>
      <c r="L83" s="4"/>
      <c r="M83" s="1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7"/>
      <c r="AH83" s="378"/>
      <c r="AI83" s="378"/>
      <c r="AJ83" s="378"/>
      <c r="AK83" s="378"/>
      <c r="AL83" s="378"/>
      <c r="AM83" s="378"/>
      <c r="AN83" s="378"/>
      <c r="AO83" s="378"/>
      <c r="AP83" s="378"/>
      <c r="AQ83" s="378"/>
      <c r="AR83" s="266"/>
      <c r="AS83" s="11"/>
    </row>
    <row r="84" spans="2:45" s="11" customFormat="1" ht="3" customHeight="1">
      <c r="B84" s="2126"/>
      <c r="C84" s="2127"/>
      <c r="D84" s="2128"/>
      <c r="E84" s="43"/>
      <c r="F84" s="4"/>
      <c r="G84" s="4"/>
      <c r="H84" s="4"/>
      <c r="I84" s="4"/>
      <c r="J84" s="4"/>
      <c r="K84" s="4"/>
      <c r="L84" s="4"/>
      <c r="M84" s="1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7"/>
      <c r="AH84" s="378"/>
      <c r="AI84" s="378"/>
      <c r="AJ84" s="378"/>
      <c r="AK84" s="378"/>
      <c r="AL84" s="378"/>
      <c r="AM84" s="378"/>
      <c r="AN84" s="378"/>
      <c r="AO84" s="378"/>
      <c r="AP84" s="378"/>
      <c r="AQ84" s="378"/>
      <c r="AR84" s="266"/>
      <c r="AS84" s="11"/>
    </row>
    <row r="85" spans="2:45" s="11" customFormat="1" ht="15" customHeight="1">
      <c r="B85" s="2126"/>
      <c r="C85" s="2127"/>
      <c r="D85" s="2128"/>
      <c r="E85" s="43" t="s">
        <v>637</v>
      </c>
      <c r="F85" s="4" t="s">
        <v>827</v>
      </c>
      <c r="G85" s="4"/>
      <c r="H85" s="4"/>
      <c r="I85" s="4"/>
      <c r="J85" s="4"/>
      <c r="K85" s="4"/>
      <c r="L85" s="4"/>
      <c r="M85" s="4"/>
      <c r="N85" s="4"/>
      <c r="O85" s="2774" t="s">
        <v>980</v>
      </c>
      <c r="P85" s="2774"/>
      <c r="Q85" s="2774"/>
      <c r="R85" s="2774"/>
      <c r="S85" s="2774"/>
      <c r="T85" s="2774"/>
      <c r="U85" s="2774"/>
      <c r="V85" s="2774"/>
      <c r="W85" s="2774"/>
      <c r="X85" s="2774"/>
      <c r="Y85" s="2774"/>
      <c r="Z85" s="2774"/>
      <c r="AA85" s="2774"/>
      <c r="AB85" s="2774"/>
      <c r="AC85" s="2774"/>
      <c r="AD85" s="2774"/>
      <c r="AE85" s="2774"/>
      <c r="AF85" s="400"/>
      <c r="AG85" s="86">
        <v>15</v>
      </c>
      <c r="AH85" s="2750">
        <f>'FE-1770S'!AH85:AR86</f>
        <v>0</v>
      </c>
      <c r="AI85" s="2751"/>
      <c r="AJ85" s="2751"/>
      <c r="AK85" s="2751"/>
      <c r="AL85" s="2751"/>
      <c r="AM85" s="2751"/>
      <c r="AN85" s="2751"/>
      <c r="AO85" s="2751"/>
      <c r="AP85" s="2751"/>
      <c r="AQ85" s="2751"/>
      <c r="AR85" s="325"/>
      <c r="AS85" s="11"/>
    </row>
    <row r="86" spans="2:45" s="11" customFormat="1" ht="9" customHeight="1">
      <c r="B86" s="2126"/>
      <c r="C86" s="2127"/>
      <c r="D86" s="2128"/>
      <c r="E86" s="43"/>
      <c r="F86" s="4"/>
      <c r="G86" s="4"/>
      <c r="H86" s="4"/>
      <c r="I86" s="4"/>
      <c r="J86" s="4"/>
      <c r="K86" s="4"/>
      <c r="L86" s="4"/>
      <c r="M86" s="1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2109"/>
      <c r="AH86" s="2752"/>
      <c r="AI86" s="2753"/>
      <c r="AJ86" s="2753"/>
      <c r="AK86" s="2753"/>
      <c r="AL86" s="2753"/>
      <c r="AM86" s="2753"/>
      <c r="AN86" s="2753"/>
      <c r="AO86" s="2753"/>
      <c r="AP86" s="2753"/>
      <c r="AQ86" s="2753"/>
      <c r="AR86" s="335"/>
      <c r="AS86" s="11"/>
    </row>
    <row r="87" spans="2:45" s="11" customFormat="1" ht="4" customHeight="1">
      <c r="B87" s="2129"/>
      <c r="C87" s="2130"/>
      <c r="D87" s="2131"/>
      <c r="E87" s="138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14"/>
      <c r="AH87" s="379"/>
      <c r="AI87" s="379"/>
      <c r="AJ87" s="379"/>
      <c r="AK87" s="379"/>
      <c r="AL87" s="379"/>
      <c r="AM87" s="379"/>
      <c r="AN87" s="379"/>
      <c r="AO87" s="379"/>
      <c r="AP87" s="379"/>
      <c r="AQ87" s="379"/>
      <c r="AR87" s="268"/>
      <c r="AS87" s="11"/>
    </row>
    <row r="88" spans="2:44" s="11" customFormat="1" ht="3" customHeight="1">
      <c r="B88" s="2099" t="s">
        <v>146</v>
      </c>
      <c r="C88" s="2100"/>
      <c r="D88" s="210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380"/>
      <c r="AI88" s="380"/>
      <c r="AJ88" s="380"/>
      <c r="AK88" s="380"/>
      <c r="AL88" s="380"/>
      <c r="AM88" s="380"/>
      <c r="AN88" s="380"/>
      <c r="AO88" s="380"/>
      <c r="AP88" s="380"/>
      <c r="AQ88" s="380"/>
      <c r="AR88" s="269"/>
    </row>
    <row r="89" spans="2:45" s="11" customFormat="1" ht="4" customHeight="1">
      <c r="B89" s="2102"/>
      <c r="C89" s="2103"/>
      <c r="D89" s="2104"/>
      <c r="E89" s="5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6"/>
      <c r="R89" s="11"/>
      <c r="S89" s="11"/>
      <c r="T89" s="11"/>
      <c r="U89" s="11"/>
      <c r="V89" s="11"/>
      <c r="W89" s="11"/>
      <c r="X89" s="48" t="s">
        <v>143</v>
      </c>
      <c r="Y89" s="48"/>
      <c r="Z89" s="48"/>
      <c r="AA89" s="48"/>
      <c r="AB89" s="48"/>
      <c r="AC89" s="48"/>
      <c r="AD89" s="48"/>
      <c r="AE89" s="48"/>
      <c r="AF89" s="11"/>
      <c r="AG89" s="7"/>
      <c r="AH89" s="378"/>
      <c r="AI89" s="378"/>
      <c r="AJ89" s="378"/>
      <c r="AK89" s="378"/>
      <c r="AL89" s="378"/>
      <c r="AM89" s="378"/>
      <c r="AN89" s="378"/>
      <c r="AO89" s="378"/>
      <c r="AP89" s="378"/>
      <c r="AQ89" s="378"/>
      <c r="AR89" s="266"/>
      <c r="AS89" s="11"/>
    </row>
    <row r="90" spans="2:45" s="11" customFormat="1" ht="3" customHeight="1">
      <c r="B90" s="2102"/>
      <c r="C90" s="2103"/>
      <c r="D90" s="2104"/>
      <c r="E90" s="32"/>
      <c r="F90" s="34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1"/>
      <c r="S90" s="11"/>
      <c r="T90" s="11"/>
      <c r="U90" s="11"/>
      <c r="V90" s="11"/>
      <c r="W90" s="11"/>
      <c r="X90" s="48"/>
      <c r="Y90" s="48"/>
      <c r="Z90" s="48"/>
      <c r="AA90" s="48"/>
      <c r="AB90" s="48"/>
      <c r="AC90" s="48"/>
      <c r="AD90" s="48"/>
      <c r="AE90" s="48"/>
      <c r="AF90" s="11"/>
      <c r="AG90" s="7"/>
      <c r="AH90" s="378"/>
      <c r="AI90" s="378"/>
      <c r="AJ90" s="378"/>
      <c r="AK90" s="378"/>
      <c r="AL90" s="378"/>
      <c r="AM90" s="378"/>
      <c r="AN90" s="378"/>
      <c r="AO90" s="378"/>
      <c r="AP90" s="378"/>
      <c r="AQ90" s="378"/>
      <c r="AR90" s="266"/>
      <c r="AS90" s="11"/>
    </row>
    <row r="91" spans="2:45" s="11" customFormat="1" ht="7" customHeight="1">
      <c r="B91" s="2102"/>
      <c r="C91" s="2103"/>
      <c r="D91" s="2104"/>
      <c r="E91" s="32"/>
      <c r="F91" s="3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1"/>
      <c r="S91" s="11"/>
      <c r="T91" s="11"/>
      <c r="U91" s="11"/>
      <c r="V91" s="11"/>
      <c r="W91" s="11"/>
      <c r="X91" s="48"/>
      <c r="Y91" s="48"/>
      <c r="Z91" s="48"/>
      <c r="AA91" s="48"/>
      <c r="AB91" s="48"/>
      <c r="AC91" s="48"/>
      <c r="AD91" s="48"/>
      <c r="AE91" s="48"/>
      <c r="AF91" s="11"/>
      <c r="AG91" s="7"/>
      <c r="AH91" s="378"/>
      <c r="AI91" s="378"/>
      <c r="AJ91" s="378"/>
      <c r="AK91" s="378"/>
      <c r="AL91" s="378"/>
      <c r="AM91" s="378"/>
      <c r="AN91" s="378"/>
      <c r="AO91" s="378"/>
      <c r="AP91" s="378"/>
      <c r="AQ91" s="378"/>
      <c r="AR91" s="266"/>
      <c r="AS91" s="11"/>
    </row>
    <row r="92" spans="2:45" s="11" customFormat="1" ht="15" customHeight="1">
      <c r="B92" s="2102"/>
      <c r="C92" s="2103"/>
      <c r="D92" s="2104"/>
      <c r="E92" s="43" t="s">
        <v>638</v>
      </c>
      <c r="F92" s="270" t="e">
        <f>'FE-1770S'!F92</f>
        <v>#DIV/0!</v>
      </c>
      <c r="G92" s="11"/>
      <c r="H92" s="46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11"/>
      <c r="U92" s="36" t="s">
        <v>112</v>
      </c>
      <c r="V92" s="36"/>
      <c r="W92" s="4"/>
      <c r="X92" s="1433" t="str">
        <f>'FE-1770S'!X92</f>
        <v> </v>
      </c>
      <c r="Y92" s="1433" t="str">
        <f>'FE-1770S'!Y92</f>
        <v> </v>
      </c>
      <c r="Z92" s="52"/>
      <c r="AA92" s="1433" t="str">
        <f>'FE-1770S'!AA92</f>
        <v> </v>
      </c>
      <c r="AB92" s="1433" t="str">
        <f>'FE-1770S'!AB92</f>
        <v> </v>
      </c>
      <c r="AC92" s="81"/>
      <c r="AD92" s="1433" t="str">
        <f>'FE-1770S'!AD92</f>
        <v> </v>
      </c>
      <c r="AE92" s="1433" t="str">
        <f>'FE-1770S'!AE92</f>
        <v> </v>
      </c>
      <c r="AF92" s="4"/>
      <c r="AG92" s="86">
        <v>16</v>
      </c>
      <c r="AH92" s="2081" t="e">
        <f>IF('FE-1770S'!AH92:AR94="NIL  ","NIHIL",'FE-1770S'!AH92:AR94)</f>
        <v>#DIV/0!</v>
      </c>
      <c r="AI92" s="2082"/>
      <c r="AJ92" s="2082"/>
      <c r="AK92" s="2082"/>
      <c r="AL92" s="2082"/>
      <c r="AM92" s="2082"/>
      <c r="AN92" s="2082"/>
      <c r="AO92" s="2082"/>
      <c r="AP92" s="2082"/>
      <c r="AQ92" s="2082"/>
      <c r="AR92" s="325"/>
      <c r="AS92" s="11"/>
    </row>
    <row r="93" spans="2:44" s="11" customFormat="1" ht="3" customHeight="1">
      <c r="B93" s="2102"/>
      <c r="C93" s="2103"/>
      <c r="D93" s="2104"/>
      <c r="E93" s="43"/>
      <c r="F93" s="406"/>
      <c r="H93" s="114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U93" s="36"/>
      <c r="V93" s="36"/>
      <c r="W93" s="4"/>
      <c r="X93" s="2108" t="s">
        <v>56</v>
      </c>
      <c r="Y93" s="2108"/>
      <c r="Z93" s="46"/>
      <c r="AA93" s="2108" t="s">
        <v>57</v>
      </c>
      <c r="AB93" s="2108"/>
      <c r="AC93" s="46"/>
      <c r="AD93" s="2108" t="s">
        <v>58</v>
      </c>
      <c r="AE93" s="2108"/>
      <c r="AF93" s="4"/>
      <c r="AG93" s="2147"/>
      <c r="AH93" s="2145"/>
      <c r="AI93" s="2146"/>
      <c r="AJ93" s="2146"/>
      <c r="AK93" s="2146"/>
      <c r="AL93" s="2146"/>
      <c r="AM93" s="2146"/>
      <c r="AN93" s="2146"/>
      <c r="AO93" s="2146"/>
      <c r="AP93" s="2146"/>
      <c r="AQ93" s="2146"/>
      <c r="AR93" s="300"/>
    </row>
    <row r="94" spans="2:45" s="11" customFormat="1" ht="15" customHeight="1">
      <c r="B94" s="2102"/>
      <c r="C94" s="2103"/>
      <c r="D94" s="2104"/>
      <c r="E94" s="43"/>
      <c r="F94" s="270" t="e">
        <f>'FE-1770S'!F94</f>
        <v>#DIV/0!</v>
      </c>
      <c r="G94" s="11"/>
      <c r="H94" s="46" t="s">
        <v>10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11"/>
      <c r="U94" s="36"/>
      <c r="V94" s="36"/>
      <c r="W94" s="4"/>
      <c r="X94" s="2108"/>
      <c r="Y94" s="2108"/>
      <c r="Z94" s="46"/>
      <c r="AA94" s="2108"/>
      <c r="AB94" s="2108"/>
      <c r="AC94" s="46"/>
      <c r="AD94" s="2108"/>
      <c r="AE94" s="2108"/>
      <c r="AF94" s="4"/>
      <c r="AG94" s="2109"/>
      <c r="AH94" s="2083"/>
      <c r="AI94" s="2084"/>
      <c r="AJ94" s="2084"/>
      <c r="AK94" s="2084"/>
      <c r="AL94" s="2084"/>
      <c r="AM94" s="2084"/>
      <c r="AN94" s="2084"/>
      <c r="AO94" s="2084"/>
      <c r="AP94" s="2084"/>
      <c r="AQ94" s="2084"/>
      <c r="AR94" s="335"/>
      <c r="AS94" s="11"/>
    </row>
    <row r="95" spans="2:45" s="11" customFormat="1" ht="10" customHeight="1">
      <c r="B95" s="2102"/>
      <c r="C95" s="2103"/>
      <c r="D95" s="2104"/>
      <c r="E95" s="43"/>
      <c r="F95" s="4"/>
      <c r="G95" s="2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6"/>
      <c r="T95" s="36"/>
      <c r="U95" s="46"/>
      <c r="V95" s="4"/>
      <c r="W95" s="4"/>
      <c r="X95" s="59"/>
      <c r="Y95" s="59"/>
      <c r="Z95" s="4"/>
      <c r="AA95" s="59"/>
      <c r="AB95" s="59"/>
      <c r="AC95" s="4"/>
      <c r="AD95" s="59"/>
      <c r="AE95" s="59"/>
      <c r="AF95" s="4"/>
      <c r="AG95" s="36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266"/>
      <c r="AS95" s="11"/>
    </row>
    <row r="96" spans="2:45" s="11" customFormat="1" ht="10" customHeight="1">
      <c r="B96" s="2102"/>
      <c r="C96" s="2103"/>
      <c r="D96" s="2104"/>
      <c r="E96" s="43" t="s">
        <v>639</v>
      </c>
      <c r="F96" s="4" t="s">
        <v>641</v>
      </c>
      <c r="G96" s="4"/>
      <c r="H96" s="4"/>
      <c r="I96" s="4"/>
      <c r="J96" s="4"/>
      <c r="K96" s="4"/>
      <c r="L96" s="4"/>
      <c r="M96" s="4"/>
      <c r="N96" s="4"/>
      <c r="O96" s="4"/>
      <c r="P96" s="60"/>
      <c r="Q96" s="4"/>
      <c r="R96" s="4"/>
      <c r="S96" s="36"/>
      <c r="T96" s="36"/>
      <c r="U96" s="46"/>
      <c r="V96" s="4"/>
      <c r="W96" s="4"/>
      <c r="X96" s="59"/>
      <c r="Y96" s="59"/>
      <c r="Z96" s="4"/>
      <c r="AA96" s="59"/>
      <c r="AB96" s="59"/>
      <c r="AC96" s="4"/>
      <c r="AD96" s="59"/>
      <c r="AE96" s="59"/>
      <c r="AF96" s="4"/>
      <c r="AG96" s="36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266"/>
      <c r="AS96" s="11"/>
    </row>
    <row r="97" spans="2:45" s="11" customFormat="1" ht="12" customHeight="1">
      <c r="B97" s="2102"/>
      <c r="C97" s="2103"/>
      <c r="D97" s="2104"/>
      <c r="F97" s="36" t="s">
        <v>6</v>
      </c>
      <c r="G97" s="98" t="str">
        <f>'FE-1770S'!G97</f>
        <v> </v>
      </c>
      <c r="H97" s="46" t="s">
        <v>52</v>
      </c>
      <c r="I97" s="4"/>
      <c r="J97" s="4"/>
      <c r="K97" s="59"/>
      <c r="L97" s="59"/>
      <c r="M97" s="4"/>
      <c r="N97" s="59"/>
      <c r="O97" s="59"/>
      <c r="P97" s="4"/>
      <c r="Q97" s="59"/>
      <c r="R97" s="59"/>
      <c r="S97" s="4" t="s">
        <v>644</v>
      </c>
      <c r="T97" s="405" t="str">
        <f>'FE-1770S'!T97</f>
        <v> </v>
      </c>
      <c r="U97" s="46" t="s">
        <v>818</v>
      </c>
      <c r="AA97" s="80"/>
      <c r="AB97" s="80"/>
      <c r="AC97" s="80"/>
      <c r="AD97" s="80"/>
      <c r="AE97" s="80"/>
      <c r="AF97" s="80"/>
      <c r="AG97" s="80"/>
      <c r="AH97" s="80"/>
      <c r="AI97" s="80"/>
      <c r="AQ97" s="80"/>
      <c r="AR97" s="266"/>
      <c r="AS97" s="11"/>
    </row>
    <row r="98" spans="2:45" s="11" customFormat="1" ht="3" customHeight="1">
      <c r="B98" s="2102"/>
      <c r="C98" s="2103"/>
      <c r="D98" s="2104"/>
      <c r="E98" s="43"/>
      <c r="F98" s="4"/>
      <c r="G98" s="46"/>
      <c r="H98" s="4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U98" s="61"/>
      <c r="AA98" s="80"/>
      <c r="AB98" s="80"/>
      <c r="AC98" s="80"/>
      <c r="AD98" s="80"/>
      <c r="AE98" s="80"/>
      <c r="AF98" s="80"/>
      <c r="AG98" s="80"/>
      <c r="AH98" s="80"/>
      <c r="AI98" s="80"/>
      <c r="AQ98" s="80"/>
      <c r="AR98" s="266"/>
      <c r="AS98" s="11"/>
    </row>
    <row r="99" spans="2:45" s="11" customFormat="1" ht="12" customHeight="1">
      <c r="B99" s="2102"/>
      <c r="C99" s="2103"/>
      <c r="D99" s="2104"/>
      <c r="E99" s="43"/>
      <c r="F99" s="43" t="s">
        <v>7</v>
      </c>
      <c r="G99" s="622" t="str">
        <f>'FE-1770S'!G99</f>
        <v> </v>
      </c>
      <c r="H99" s="126" t="s">
        <v>647</v>
      </c>
      <c r="I99" s="4"/>
      <c r="J99" s="4"/>
      <c r="K99" s="4"/>
      <c r="L99" s="4"/>
      <c r="M99" s="4"/>
      <c r="N99" s="4"/>
      <c r="O99" s="4"/>
      <c r="P99" s="4"/>
      <c r="Q99" s="4"/>
      <c r="S99" s="4" t="s">
        <v>645</v>
      </c>
      <c r="T99" s="405" t="str">
        <f>'FE-1770S'!T99</f>
        <v> </v>
      </c>
      <c r="U99" s="46" t="s">
        <v>819</v>
      </c>
      <c r="AA99" s="80"/>
      <c r="AB99" s="80"/>
      <c r="AC99" s="80"/>
      <c r="AD99" s="80"/>
      <c r="AE99" s="80"/>
      <c r="AF99" s="80"/>
      <c r="AG99" s="80"/>
      <c r="AH99" s="80"/>
      <c r="AI99" s="80"/>
      <c r="AQ99" s="80"/>
      <c r="AR99" s="266"/>
      <c r="AS99" s="11"/>
    </row>
    <row r="100" spans="2:45" s="11" customFormat="1" ht="10.5" customHeight="1">
      <c r="B100" s="2102"/>
      <c r="C100" s="2103"/>
      <c r="D100" s="2104"/>
      <c r="E100" s="43"/>
      <c r="F100" s="4"/>
      <c r="G100" s="24"/>
      <c r="H100" s="4" t="s">
        <v>646</v>
      </c>
      <c r="I100" s="4"/>
      <c r="J100" s="4"/>
      <c r="M100" s="43"/>
      <c r="N100" s="3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11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266"/>
      <c r="AS100" s="11"/>
    </row>
    <row r="101" spans="2:45" s="11" customFormat="1" ht="3.75" customHeight="1">
      <c r="B101" s="2105"/>
      <c r="C101" s="2106"/>
      <c r="D101" s="2107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5"/>
      <c r="V101" s="144"/>
      <c r="W101" s="144"/>
      <c r="X101" s="144"/>
      <c r="Y101" s="144"/>
      <c r="Z101" s="144"/>
      <c r="AA101" s="144"/>
      <c r="AB101" s="144"/>
      <c r="AC101" s="144"/>
      <c r="AD101" s="145"/>
      <c r="AE101" s="136"/>
      <c r="AF101" s="136"/>
      <c r="AG101" s="146"/>
      <c r="AH101" s="384"/>
      <c r="AI101" s="384"/>
      <c r="AJ101" s="384"/>
      <c r="AK101" s="384"/>
      <c r="AL101" s="384"/>
      <c r="AM101" s="384"/>
      <c r="AN101" s="384"/>
      <c r="AO101" s="384"/>
      <c r="AP101" s="384"/>
      <c r="AQ101" s="384"/>
      <c r="AR101" s="268"/>
      <c r="AS101" s="11"/>
    </row>
    <row r="102" spans="2:45" s="11" customFormat="1" ht="8.25" customHeight="1">
      <c r="B102" s="2099" t="s">
        <v>93</v>
      </c>
      <c r="C102" s="2100"/>
      <c r="D102" s="2101"/>
      <c r="E102" s="140"/>
      <c r="F102" s="141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8"/>
      <c r="AH102" s="385"/>
      <c r="AI102" s="385"/>
      <c r="AJ102" s="385"/>
      <c r="AK102" s="385"/>
      <c r="AL102" s="385"/>
      <c r="AM102" s="385"/>
      <c r="AN102" s="385"/>
      <c r="AO102" s="385"/>
      <c r="AP102" s="385"/>
      <c r="AQ102" s="385"/>
      <c r="AR102" s="269"/>
      <c r="AS102" s="11"/>
    </row>
    <row r="103" spans="2:45" s="11" customFormat="1" ht="15.75" customHeight="1">
      <c r="B103" s="2102"/>
      <c r="C103" s="2103"/>
      <c r="D103" s="2104"/>
      <c r="E103" s="43" t="s">
        <v>640</v>
      </c>
      <c r="F103" s="4" t="s">
        <v>77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X103" s="4" t="s">
        <v>116</v>
      </c>
      <c r="Y103" s="43"/>
      <c r="Z103" s="43"/>
      <c r="AA103" s="43"/>
      <c r="AB103" s="43"/>
      <c r="AC103" s="43"/>
      <c r="AD103" s="43"/>
      <c r="AE103" s="43"/>
      <c r="AF103" s="129"/>
      <c r="AG103" s="86">
        <v>18</v>
      </c>
      <c r="AH103" s="2750" t="e">
        <f>'FE-1770S'!AH103</f>
        <v>#VALUE!</v>
      </c>
      <c r="AI103" s="2751"/>
      <c r="AJ103" s="2751"/>
      <c r="AK103" s="2751"/>
      <c r="AL103" s="2751"/>
      <c r="AM103" s="2751"/>
      <c r="AN103" s="2751"/>
      <c r="AO103" s="2751"/>
      <c r="AP103" s="2751"/>
      <c r="AQ103" s="2751"/>
      <c r="AR103" s="325"/>
      <c r="AS103" s="11"/>
    </row>
    <row r="104" spans="2:45" s="11" customFormat="1" ht="3.75" customHeight="1">
      <c r="B104" s="2102"/>
      <c r="C104" s="2103"/>
      <c r="D104" s="2104"/>
      <c r="E104" s="17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2109"/>
      <c r="AH104" s="2752"/>
      <c r="AI104" s="2753"/>
      <c r="AJ104" s="2753"/>
      <c r="AK104" s="2753"/>
      <c r="AL104" s="2753"/>
      <c r="AM104" s="2753"/>
      <c r="AN104" s="2753"/>
      <c r="AO104" s="2753"/>
      <c r="AP104" s="2753"/>
      <c r="AQ104" s="2753"/>
      <c r="AR104" s="335"/>
      <c r="AS104" s="11"/>
    </row>
    <row r="105" spans="2:45" s="11" customFormat="1" ht="12" customHeight="1">
      <c r="B105" s="2102"/>
      <c r="C105" s="2103"/>
      <c r="D105" s="2104"/>
      <c r="E105" s="43"/>
      <c r="F105" s="4" t="s">
        <v>648</v>
      </c>
      <c r="G105" s="5"/>
      <c r="H105" s="5"/>
      <c r="I105" s="5"/>
      <c r="J105" s="5"/>
      <c r="K105" s="81"/>
      <c r="L105" s="4"/>
      <c r="M105" s="4"/>
      <c r="N105" s="4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1"/>
      <c r="AB105" s="11"/>
      <c r="AC105" s="11"/>
      <c r="AD105" s="11"/>
      <c r="AE105" s="11"/>
      <c r="AF105" s="11"/>
      <c r="AG105" s="48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30"/>
      <c r="AS105" s="11"/>
    </row>
    <row r="106" spans="2:45" s="11" customFormat="1" ht="14.25" customHeight="1">
      <c r="B106" s="2102"/>
      <c r="C106" s="2103"/>
      <c r="D106" s="2104"/>
      <c r="E106" s="43"/>
      <c r="F106" s="43" t="s">
        <v>6</v>
      </c>
      <c r="G106" s="298" t="e">
        <f>'FE-1770S'!G106</f>
        <v>#DIV/0!</v>
      </c>
      <c r="H106" s="46" t="s">
        <v>101</v>
      </c>
      <c r="I106" s="4"/>
      <c r="J106" s="4"/>
      <c r="K106" s="4"/>
      <c r="L106" s="4"/>
      <c r="M106" s="4"/>
      <c r="N106" s="4"/>
      <c r="O106" s="4"/>
      <c r="P106" s="16"/>
      <c r="Q106" s="16"/>
      <c r="R106" s="16"/>
      <c r="S106" s="16"/>
      <c r="T106" s="16"/>
      <c r="U106" s="16"/>
      <c r="V106" s="16"/>
      <c r="AR106" s="130"/>
      <c r="AS106" s="11"/>
    </row>
    <row r="107" spans="2:45" s="11" customFormat="1" ht="3" customHeight="1">
      <c r="B107" s="2102"/>
      <c r="C107" s="2103"/>
      <c r="D107" s="2104"/>
      <c r="E107" s="51"/>
      <c r="F107" s="89"/>
      <c r="G107" s="52"/>
      <c r="H107" s="104"/>
      <c r="I107" s="52"/>
      <c r="J107" s="52"/>
      <c r="K107" s="5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8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30"/>
      <c r="AS107" s="11"/>
    </row>
    <row r="108" spans="2:44" s="11" customFormat="1" ht="14.25" customHeight="1">
      <c r="B108" s="2102"/>
      <c r="C108" s="2103"/>
      <c r="D108" s="2104"/>
      <c r="E108" s="11"/>
      <c r="F108" s="43" t="s">
        <v>7</v>
      </c>
      <c r="G108" s="298" t="e">
        <f>'FE-1770S'!G108</f>
        <v>#DIV/0!</v>
      </c>
      <c r="H108" s="46" t="s">
        <v>11</v>
      </c>
      <c r="I108" s="5"/>
      <c r="J108" s="5"/>
      <c r="K108" s="5"/>
      <c r="L108" s="5"/>
      <c r="M108" s="5"/>
      <c r="N108" s="5"/>
      <c r="O108" s="5"/>
      <c r="P108" s="5"/>
      <c r="Q108" s="5"/>
      <c r="R108" s="11"/>
      <c r="S108" s="11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2123"/>
      <c r="AI108" s="2123"/>
      <c r="AJ108" s="2123"/>
      <c r="AK108" s="2123"/>
      <c r="AL108" s="2123"/>
      <c r="AM108" s="4"/>
      <c r="AN108" s="4"/>
      <c r="AO108" s="11"/>
      <c r="AP108" s="11"/>
      <c r="AQ108" s="11"/>
      <c r="AR108" s="130"/>
    </row>
    <row r="109" spans="2:44" s="11" customFormat="1" ht="4" customHeight="1">
      <c r="B109" s="2105"/>
      <c r="C109" s="2106"/>
      <c r="D109" s="2107"/>
      <c r="E109" s="138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136"/>
      <c r="AQ109" s="136"/>
      <c r="AR109" s="137"/>
    </row>
    <row r="110" spans="2:44" s="11" customFormat="1" ht="3" customHeight="1">
      <c r="B110" s="2763" t="s">
        <v>94</v>
      </c>
      <c r="C110" s="2764"/>
      <c r="D110" s="2765"/>
      <c r="E110" s="140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1"/>
      <c r="AQ110" s="141"/>
      <c r="AR110" s="143"/>
    </row>
    <row r="111" spans="2:51" s="11" customFormat="1" ht="17.25" customHeight="1">
      <c r="B111" s="2766"/>
      <c r="C111" s="2767"/>
      <c r="D111" s="2768"/>
      <c r="E111" s="43" t="s">
        <v>6</v>
      </c>
      <c r="F111" s="298" t="str">
        <f>'FE-1770S'!F111</f>
        <v/>
      </c>
      <c r="G111" s="46" t="s">
        <v>147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1"/>
      <c r="Y111" s="11"/>
      <c r="Z111" s="43" t="s">
        <v>140</v>
      </c>
      <c r="AA111" s="298" t="str">
        <f>'FE-1770S'!AA111</f>
        <v> </v>
      </c>
      <c r="AB111" s="2154" t="s">
        <v>823</v>
      </c>
      <c r="AC111" s="2154"/>
      <c r="AD111" s="2154"/>
      <c r="AE111" s="2154"/>
      <c r="AF111" s="2154"/>
      <c r="AG111" s="2154"/>
      <c r="AH111" s="2154"/>
      <c r="AI111" s="2154"/>
      <c r="AJ111" s="2154"/>
      <c r="AK111" s="2154"/>
      <c r="AL111" s="2154"/>
      <c r="AM111" s="2154"/>
      <c r="AN111" s="2154"/>
      <c r="AO111" s="2154"/>
      <c r="AP111" s="2154"/>
      <c r="AQ111" s="2154"/>
      <c r="AR111" s="2772"/>
      <c r="AY111" s="11"/>
    </row>
    <row r="112" spans="2:51" s="11" customFormat="1" ht="3.75" customHeight="1">
      <c r="B112" s="2766"/>
      <c r="C112" s="2767"/>
      <c r="D112" s="2768"/>
      <c r="E112" s="43"/>
      <c r="F112" s="89"/>
      <c r="G112" s="4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1"/>
      <c r="Y112" s="11"/>
      <c r="Z112" s="43"/>
      <c r="AA112" s="89"/>
      <c r="AB112" s="2154"/>
      <c r="AC112" s="2154"/>
      <c r="AD112" s="2154"/>
      <c r="AE112" s="2154"/>
      <c r="AF112" s="2154"/>
      <c r="AG112" s="2154"/>
      <c r="AH112" s="2154"/>
      <c r="AI112" s="2154"/>
      <c r="AJ112" s="2154"/>
      <c r="AK112" s="2154"/>
      <c r="AL112" s="2154"/>
      <c r="AM112" s="2154"/>
      <c r="AN112" s="2154"/>
      <c r="AO112" s="2154"/>
      <c r="AP112" s="2154"/>
      <c r="AQ112" s="2154"/>
      <c r="AR112" s="2772"/>
      <c r="AY112" s="11"/>
    </row>
    <row r="113" spans="2:51" s="11" customFormat="1" ht="15" customHeight="1">
      <c r="B113" s="2766"/>
      <c r="C113" s="2767"/>
      <c r="D113" s="2768"/>
      <c r="E113" s="43" t="s">
        <v>7</v>
      </c>
      <c r="F113" s="298" t="str">
        <f>'FE-1770S'!F113</f>
        <v>x</v>
      </c>
      <c r="G113" s="46" t="s">
        <v>167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1"/>
      <c r="Y113" s="11"/>
      <c r="Z113" s="43" t="s">
        <v>141</v>
      </c>
      <c r="AA113" s="298" t="str">
        <f>'FE-1770S'!AA113</f>
        <v/>
      </c>
      <c r="AB113" s="2154" t="str">
        <f>IF('GENERAL INFO'!S52=0,"", 'GENERAL INFO'!S52)</f>
        <v/>
      </c>
      <c r="AC113" s="2154"/>
      <c r="AD113" s="2154"/>
      <c r="AE113" s="2154"/>
      <c r="AF113" s="2154"/>
      <c r="AG113" s="2154"/>
      <c r="AH113" s="2154"/>
      <c r="AI113" s="2154"/>
      <c r="AJ113" s="2154"/>
      <c r="AK113" s="2154"/>
      <c r="AL113" s="2154"/>
      <c r="AM113" s="2154"/>
      <c r="AN113" s="2154"/>
      <c r="AO113" s="2154"/>
      <c r="AP113" s="2154"/>
      <c r="AQ113" s="2154"/>
      <c r="AR113" s="2772"/>
      <c r="AV113" s="11" t="s">
        <v>1339</v>
      </c>
      <c r="AY113" s="11"/>
    </row>
    <row r="114" spans="2:44" s="11" customFormat="1" ht="2.15" customHeight="1">
      <c r="B114" s="2766"/>
      <c r="C114" s="2767"/>
      <c r="D114" s="2768"/>
      <c r="E114" s="43"/>
      <c r="F114" s="89"/>
      <c r="G114" s="4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1"/>
      <c r="Y114" s="11"/>
      <c r="Z114" s="43"/>
      <c r="AA114" s="52"/>
      <c r="AB114" s="46"/>
      <c r="AC114" s="4"/>
      <c r="AD114" s="4"/>
      <c r="AE114" s="4"/>
      <c r="AF114" s="4"/>
      <c r="AG114" s="4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30"/>
    </row>
    <row r="115" spans="2:48" s="11" customFormat="1" ht="15" customHeight="1">
      <c r="B115" s="2766"/>
      <c r="C115" s="2767"/>
      <c r="D115" s="2768"/>
      <c r="E115" s="129" t="s">
        <v>8</v>
      </c>
      <c r="F115" s="298" t="str">
        <f>'FE-1770S'!F115</f>
        <v> </v>
      </c>
      <c r="G115" s="46" t="s">
        <v>24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6"/>
      <c r="T115" s="36"/>
      <c r="U115" s="4"/>
      <c r="V115" s="36"/>
      <c r="W115" s="36"/>
      <c r="X115" s="36"/>
      <c r="Y115" s="36"/>
      <c r="Z115" s="36"/>
      <c r="AA115" s="36"/>
      <c r="AB115" s="2154" t="str">
        <f>IF('GENERAL INFO'!S54&lt;&gt;"", 'GENERAL INFO'!S54,"")</f>
        <v/>
      </c>
      <c r="AC115" s="2154"/>
      <c r="AD115" s="2154"/>
      <c r="AE115" s="2154"/>
      <c r="AF115" s="2154"/>
      <c r="AG115" s="2154"/>
      <c r="AH115" s="2154"/>
      <c r="AI115" s="2154"/>
      <c r="AJ115" s="2154"/>
      <c r="AK115" s="2154"/>
      <c r="AL115" s="2154"/>
      <c r="AM115" s="2154"/>
      <c r="AN115" s="2154"/>
      <c r="AO115" s="2154"/>
      <c r="AP115" s="2154"/>
      <c r="AQ115" s="2154"/>
      <c r="AR115" s="2772"/>
      <c r="AV115" s="11" t="s">
        <v>1340</v>
      </c>
    </row>
    <row r="116" spans="2:44" s="11" customFormat="1" ht="4" customHeight="1">
      <c r="B116" s="2769"/>
      <c r="C116" s="2770"/>
      <c r="D116" s="2771"/>
      <c r="E116" s="138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7"/>
    </row>
    <row r="117" spans="2:44" s="11" customFormat="1" ht="13.5" customHeight="1">
      <c r="B117" s="2110" t="s">
        <v>88</v>
      </c>
      <c r="C117" s="2111"/>
      <c r="D117" s="2111"/>
      <c r="E117" s="2111"/>
      <c r="F117" s="2111"/>
      <c r="G117" s="2111"/>
      <c r="H117" s="2111"/>
      <c r="I117" s="2111"/>
      <c r="J117" s="2111"/>
      <c r="K117" s="2111"/>
      <c r="L117" s="2111"/>
      <c r="M117" s="2111"/>
      <c r="N117" s="2111"/>
      <c r="O117" s="2111"/>
      <c r="P117" s="2111"/>
      <c r="Q117" s="2111"/>
      <c r="R117" s="2111"/>
      <c r="S117" s="2111"/>
      <c r="T117" s="2111"/>
      <c r="U117" s="2111"/>
      <c r="V117" s="2111"/>
      <c r="W117" s="2111"/>
      <c r="X117" s="2111"/>
      <c r="Y117" s="2111"/>
      <c r="Z117" s="2111"/>
      <c r="AA117" s="2111"/>
      <c r="AB117" s="2111"/>
      <c r="AC117" s="2111"/>
      <c r="AD117" s="2111"/>
      <c r="AE117" s="2111"/>
      <c r="AF117" s="2111"/>
      <c r="AG117" s="2111"/>
      <c r="AH117" s="2111"/>
      <c r="AI117" s="2111"/>
      <c r="AJ117" s="2111"/>
      <c r="AK117" s="2111"/>
      <c r="AL117" s="2111"/>
      <c r="AM117" s="2111"/>
      <c r="AN117" s="2111"/>
      <c r="AO117" s="2111"/>
      <c r="AP117" s="2111"/>
      <c r="AQ117" s="2111"/>
      <c r="AR117" s="2112"/>
    </row>
    <row r="118" spans="2:45" s="11" customFormat="1" ht="13" customHeight="1">
      <c r="B118" s="131" t="s">
        <v>129</v>
      </c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  <c r="AA118" s="90"/>
      <c r="AB118" s="90"/>
      <c r="AC118" s="2755" t="s">
        <v>12</v>
      </c>
      <c r="AD118" s="2755"/>
      <c r="AE118" s="2755"/>
      <c r="AF118" s="2755"/>
      <c r="AG118" s="2755"/>
      <c r="AH118" s="2755"/>
      <c r="AI118" s="2755"/>
      <c r="AJ118" s="2755"/>
      <c r="AK118" s="2755"/>
      <c r="AL118" s="2755"/>
      <c r="AM118" s="2755"/>
      <c r="AN118" s="2755"/>
      <c r="AO118" s="2755"/>
      <c r="AP118" s="2755"/>
      <c r="AQ118" s="2755"/>
      <c r="AR118" s="67"/>
      <c r="AS118" s="4"/>
    </row>
    <row r="119" spans="2:45" s="11" customFormat="1" ht="13" customHeight="1">
      <c r="B119" s="131" t="s">
        <v>652</v>
      </c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  <c r="AA119" s="90"/>
      <c r="AB119" s="90"/>
      <c r="AC119" s="2755"/>
      <c r="AD119" s="2755"/>
      <c r="AE119" s="2755"/>
      <c r="AF119" s="2755"/>
      <c r="AG119" s="2755"/>
      <c r="AH119" s="2755"/>
      <c r="AI119" s="2755"/>
      <c r="AJ119" s="2755"/>
      <c r="AK119" s="2755"/>
      <c r="AL119" s="2755"/>
      <c r="AM119" s="2755"/>
      <c r="AN119" s="2755"/>
      <c r="AO119" s="2755"/>
      <c r="AP119" s="2755"/>
      <c r="AQ119" s="2755"/>
      <c r="AR119" s="67"/>
      <c r="AS119" s="4"/>
    </row>
    <row r="120" spans="2:45" s="11" customFormat="1" ht="13" customHeight="1">
      <c r="B120" s="131" t="s">
        <v>651</v>
      </c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  <c r="AA120" s="90"/>
      <c r="AB120" s="90"/>
      <c r="AC120" s="1380"/>
      <c r="AD120" s="141"/>
      <c r="AE120" s="141"/>
      <c r="AF120" s="141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381"/>
      <c r="AR120" s="132"/>
      <c r="AS120" s="4"/>
    </row>
    <row r="121" spans="2:45" s="11" customFormat="1" ht="6.75" customHeight="1">
      <c r="B121" s="6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60"/>
      <c r="AD121" s="4"/>
      <c r="AE121" s="4"/>
      <c r="AF121" s="4"/>
      <c r="AG121" s="4"/>
      <c r="AH121" s="11"/>
      <c r="AI121" s="11"/>
      <c r="AJ121" s="11"/>
      <c r="AK121" s="11"/>
      <c r="AL121" s="4"/>
      <c r="AM121" s="4"/>
      <c r="AN121" s="4"/>
      <c r="AO121" s="4"/>
      <c r="AP121" s="4"/>
      <c r="AQ121" s="67"/>
      <c r="AR121" s="67"/>
      <c r="AS121" s="4"/>
    </row>
    <row r="122" spans="2:45" s="11" customFormat="1" ht="20.15" customHeight="1">
      <c r="B122" s="133"/>
      <c r="C122" s="270">
        <f>'FE-1770S'!C122</f>
        <v>0</v>
      </c>
      <c r="D122" s="46" t="s">
        <v>13</v>
      </c>
      <c r="E122" s="11"/>
      <c r="F122" s="11"/>
      <c r="G122" s="11"/>
      <c r="H122" s="11"/>
      <c r="I122" s="332" t="e">
        <f>IF(C122="X"," ",X)</f>
        <v>#NAME?</v>
      </c>
      <c r="J122" s="46" t="s">
        <v>14</v>
      </c>
      <c r="K122" s="65"/>
      <c r="L122" s="65"/>
      <c r="M122" s="65"/>
      <c r="N122" s="46" t="s">
        <v>50</v>
      </c>
      <c r="O122" s="65"/>
      <c r="P122" s="11"/>
      <c r="Q122" s="11"/>
      <c r="R122" s="405"/>
      <c r="S122" s="405"/>
      <c r="T122" s="11"/>
      <c r="U122" s="405"/>
      <c r="V122" s="405"/>
      <c r="W122" s="11"/>
      <c r="X122" s="405"/>
      <c r="Y122" s="405"/>
      <c r="Z122" s="405"/>
      <c r="AA122" s="405"/>
      <c r="AB122" s="11"/>
      <c r="AC122" s="133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30"/>
      <c r="AR122" s="130"/>
      <c r="AS122" s="11"/>
    </row>
    <row r="123" spans="2:45" s="11" customFormat="1" ht="13" customHeight="1">
      <c r="B123" s="13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108" t="s">
        <v>56</v>
      </c>
      <c r="S123" s="2108"/>
      <c r="T123" s="65"/>
      <c r="U123" s="2108" t="s">
        <v>57</v>
      </c>
      <c r="V123" s="2108"/>
      <c r="W123" s="65"/>
      <c r="X123" s="2108" t="s">
        <v>58</v>
      </c>
      <c r="Y123" s="2108"/>
      <c r="Z123" s="2108"/>
      <c r="AA123" s="2108"/>
      <c r="AB123" s="11"/>
      <c r="AC123" s="1382"/>
      <c r="AD123" s="5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30"/>
      <c r="AR123" s="130"/>
      <c r="AS123" s="11"/>
    </row>
    <row r="124" spans="2:45" s="11" customFormat="1" ht="20.15" customHeight="1">
      <c r="B124" s="126" t="s">
        <v>34</v>
      </c>
      <c r="C124" s="46"/>
      <c r="D124" s="46"/>
      <c r="E124" s="46"/>
      <c r="F124" s="65"/>
      <c r="G124" s="65" t="s">
        <v>26</v>
      </c>
      <c r="H124" s="1434">
        <f>'FE-1770S'!H124</f>
        <v>0</v>
      </c>
      <c r="I124" s="1429"/>
      <c r="J124" s="1429"/>
      <c r="K124" s="1429"/>
      <c r="L124" s="1429"/>
      <c r="M124" s="1429"/>
      <c r="N124" s="1429"/>
      <c r="O124" s="1429"/>
      <c r="P124" s="1429"/>
      <c r="Q124" s="1429"/>
      <c r="R124" s="1429"/>
      <c r="S124" s="1429"/>
      <c r="T124" s="1429"/>
      <c r="U124" s="1429"/>
      <c r="V124" s="1429"/>
      <c r="W124" s="1429"/>
      <c r="X124" s="1429"/>
      <c r="Y124" s="1429"/>
      <c r="Z124" s="1429"/>
      <c r="AA124" s="1429"/>
      <c r="AB124" s="11"/>
      <c r="AC124" s="133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30"/>
      <c r="AR124" s="130"/>
      <c r="AS124" s="11"/>
    </row>
    <row r="125" spans="2:45" s="11" customFormat="1" ht="4" customHeight="1">
      <c r="B125" s="134"/>
      <c r="C125" s="65"/>
      <c r="D125" s="65"/>
      <c r="E125" s="65"/>
      <c r="F125" s="65"/>
      <c r="G125" s="6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11"/>
      <c r="AC125" s="133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30"/>
      <c r="AR125" s="130"/>
      <c r="AS125" s="11"/>
    </row>
    <row r="126" spans="2:45" s="11" customFormat="1" ht="20.15" customHeight="1">
      <c r="B126" s="126" t="s">
        <v>33</v>
      </c>
      <c r="C126" s="46"/>
      <c r="D126" s="46"/>
      <c r="E126" s="46"/>
      <c r="F126" s="65"/>
      <c r="G126" s="65" t="s">
        <v>26</v>
      </c>
      <c r="H126" s="1376" t="str">
        <f>'FE-1770S'!H126</f>
        <v/>
      </c>
      <c r="I126" s="1376" t="str">
        <f>'FE-1770S'!I126</f>
        <v/>
      </c>
      <c r="J126" s="76"/>
      <c r="K126" s="1376" t="str">
        <f>'FE-1770S'!K126</f>
        <v/>
      </c>
      <c r="L126" s="1376" t="str">
        <f>'FE-1770S'!L126</f>
        <v/>
      </c>
      <c r="M126" s="1376" t="str">
        <f>'FE-1770S'!M126</f>
        <v/>
      </c>
      <c r="N126" s="76"/>
      <c r="O126" s="1376" t="str">
        <f>'FE-1770S'!O126</f>
        <v/>
      </c>
      <c r="P126" s="1376" t="str">
        <f>'FE-1770S'!P126</f>
        <v/>
      </c>
      <c r="Q126" s="1376" t="str">
        <f>'FE-1770S'!Q126</f>
        <v/>
      </c>
      <c r="R126" s="76"/>
      <c r="S126" s="1376" t="str">
        <f>'FE-1770S'!S126</f>
        <v/>
      </c>
      <c r="T126" s="76"/>
      <c r="U126" s="1376" t="str">
        <f>'FE-1770S'!U126</f>
        <v/>
      </c>
      <c r="V126" s="1376" t="str">
        <f>'FE-1770S'!V126</f>
        <v/>
      </c>
      <c r="W126" s="1376" t="str">
        <f>'FE-1770S'!W126</f>
        <v/>
      </c>
      <c r="X126" s="76"/>
      <c r="Y126" s="1376" t="str">
        <f>'FE-1770S'!Y126</f>
        <v/>
      </c>
      <c r="Z126" s="1376" t="str">
        <f>'FE-1770S'!Z126</f>
        <v/>
      </c>
      <c r="AA126" s="1376" t="str">
        <f>'FE-1770S'!AA126</f>
        <v/>
      </c>
      <c r="AB126" s="11"/>
      <c r="AC126" s="1383"/>
      <c r="AD126" s="136"/>
      <c r="AE126" s="136"/>
      <c r="AF126" s="136"/>
      <c r="AG126" s="136"/>
      <c r="AH126" s="136"/>
      <c r="AI126" s="136"/>
      <c r="AJ126" s="136"/>
      <c r="AK126" s="136"/>
      <c r="AL126" s="136"/>
      <c r="AM126" s="136"/>
      <c r="AN126" s="136"/>
      <c r="AO126" s="136"/>
      <c r="AP126" s="136"/>
      <c r="AQ126" s="137"/>
      <c r="AR126" s="130"/>
      <c r="AS126" s="11"/>
    </row>
    <row r="127" spans="2:45" s="11" customFormat="1" ht="15" customHeight="1">
      <c r="B127" s="135"/>
      <c r="C127" s="45"/>
      <c r="D127" s="45"/>
      <c r="E127" s="45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/>
      <c r="AD127" s="136"/>
      <c r="AE127" s="136"/>
      <c r="AF127" s="136"/>
      <c r="AG127" s="136"/>
      <c r="AH127" s="136"/>
      <c r="AI127" s="136"/>
      <c r="AJ127" s="136"/>
      <c r="AK127" s="136"/>
      <c r="AL127" s="136"/>
      <c r="AM127" s="136"/>
      <c r="AN127" s="136"/>
      <c r="AO127" s="136"/>
      <c r="AP127" s="136"/>
      <c r="AQ127" s="136"/>
      <c r="AR127" s="137"/>
      <c r="AS127" s="11"/>
    </row>
    <row r="128" spans="2:45" s="11" customFormat="1" ht="12" customHeight="1">
      <c r="B128" s="37" t="s">
        <v>87</v>
      </c>
      <c r="C128" s="37"/>
      <c r="D128" s="37"/>
      <c r="E128" s="4"/>
      <c r="H128" s="11"/>
      <c r="I128" s="11"/>
      <c r="K128" s="11"/>
      <c r="L128" s="11"/>
      <c r="M128" s="11"/>
      <c r="O128" s="11"/>
      <c r="P128" s="11"/>
      <c r="Q128" s="11"/>
      <c r="S128" s="11"/>
      <c r="U128" s="11"/>
      <c r="V128" s="11"/>
      <c r="W128" s="11"/>
      <c r="Y128" s="11"/>
      <c r="Z128" s="11"/>
      <c r="AA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2:45" s="11" customFormat="1" ht="10" customHeight="1">
      <c r="B129" s="20"/>
      <c r="C129" s="11"/>
      <c r="D129" s="11"/>
      <c r="E129" s="11"/>
      <c r="F129" s="11"/>
      <c r="AS129" s="18"/>
    </row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</sheetData>
  <sheetProtection password="BDAF" sheet="1" objects="1" scenarios="1" selectLockedCells="1" selectUnlockedCells="1"/>
  <mergeCells count="94">
    <mergeCell ref="O53:AE53"/>
    <mergeCell ref="V42:AE42"/>
    <mergeCell ref="N46:AE46"/>
    <mergeCell ref="O36:AE36"/>
    <mergeCell ref="O85:AE85"/>
    <mergeCell ref="S78:AE78"/>
    <mergeCell ref="T73:U75"/>
    <mergeCell ref="O64:AE64"/>
    <mergeCell ref="T58:AE58"/>
    <mergeCell ref="AH92:AQ94"/>
    <mergeCell ref="AG92:AG94"/>
    <mergeCell ref="AG103:AG104"/>
    <mergeCell ref="AH81:AQ82"/>
    <mergeCell ref="AH42:AQ43"/>
    <mergeCell ref="AH50:AQ51"/>
    <mergeCell ref="AH53:AQ54"/>
    <mergeCell ref="AG64:AG65"/>
    <mergeCell ref="AG85:AG86"/>
    <mergeCell ref="AG69:AG70"/>
    <mergeCell ref="AG73:AG75"/>
    <mergeCell ref="AG78:AG79"/>
    <mergeCell ref="AG81:AG82"/>
    <mergeCell ref="AH58:AQ59"/>
    <mergeCell ref="AH61:AQ62"/>
    <mergeCell ref="AH64:AQ65"/>
    <mergeCell ref="B88:D101"/>
    <mergeCell ref="AD93:AE94"/>
    <mergeCell ref="AA93:AB94"/>
    <mergeCell ref="X93:Y94"/>
    <mergeCell ref="X89:AE91"/>
    <mergeCell ref="U92:V94"/>
    <mergeCell ref="R123:S123"/>
    <mergeCell ref="U123:V123"/>
    <mergeCell ref="B110:D116"/>
    <mergeCell ref="S115:T115"/>
    <mergeCell ref="AH103:AQ104"/>
    <mergeCell ref="AB111:AR112"/>
    <mergeCell ref="X123:AA123"/>
    <mergeCell ref="AC118:AQ119"/>
    <mergeCell ref="B117:AR117"/>
    <mergeCell ref="B102:D109"/>
    <mergeCell ref="T108:AG108"/>
    <mergeCell ref="AH108:AL108"/>
    <mergeCell ref="AB113:AR113"/>
    <mergeCell ref="AB115:AR115"/>
    <mergeCell ref="B68:D87"/>
    <mergeCell ref="B57:D66"/>
    <mergeCell ref="AG50:AG51"/>
    <mergeCell ref="AG39:AG40"/>
    <mergeCell ref="AG42:AG43"/>
    <mergeCell ref="B48:D55"/>
    <mergeCell ref="AG45:AG46"/>
    <mergeCell ref="B30:D47"/>
    <mergeCell ref="F30:X30"/>
    <mergeCell ref="AG30:AG31"/>
    <mergeCell ref="F78:M78"/>
    <mergeCell ref="F69:AF69"/>
    <mergeCell ref="AG61:AG62"/>
    <mergeCell ref="AG58:AG59"/>
    <mergeCell ref="AG33:AG34"/>
    <mergeCell ref="R33:AE33"/>
    <mergeCell ref="AN2:AR2"/>
    <mergeCell ref="B27:AR27"/>
    <mergeCell ref="B11:C26"/>
    <mergeCell ref="N2:AI2"/>
    <mergeCell ref="D2:L4"/>
    <mergeCell ref="N3:AI3"/>
    <mergeCell ref="T9:AD9"/>
    <mergeCell ref="AL9:AR9"/>
    <mergeCell ref="AJ2:AJ7"/>
    <mergeCell ref="AK3:AL4"/>
    <mergeCell ref="B2:B7"/>
    <mergeCell ref="C5:M5"/>
    <mergeCell ref="C9:F9"/>
    <mergeCell ref="C6:M6"/>
    <mergeCell ref="E20:J20"/>
    <mergeCell ref="AM3:AN4"/>
    <mergeCell ref="AH85:AQ86"/>
    <mergeCell ref="AH69:AQ70"/>
    <mergeCell ref="AH73:AQ75"/>
    <mergeCell ref="AH78:AQ79"/>
    <mergeCell ref="AH30:AQ31"/>
    <mergeCell ref="AH33:AQ34"/>
    <mergeCell ref="AO3:AP4"/>
    <mergeCell ref="AQ3:AR4"/>
    <mergeCell ref="AG28:AR28"/>
    <mergeCell ref="D25:AR25"/>
    <mergeCell ref="D24:AR24"/>
    <mergeCell ref="Y30:AE30"/>
    <mergeCell ref="P39:AE39"/>
    <mergeCell ref="AH36:AQ37"/>
    <mergeCell ref="AH39:AQ40"/>
    <mergeCell ref="AH45:AQ46"/>
    <mergeCell ref="AG36:AG37"/>
  </mergeCells>
  <pageMargins left="0.43307086614173229" right="0.23622047244094491" top="0.15748031496062992" bottom="0.19685039370078741" header="0.15748031496062992" footer="0.19685039370078741"/>
  <pageSetup paperSize="5" scale="73" orientation="portrait" r:id="rId1"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</sheetPr>
  <dimension ref="A1:BC121"/>
  <sheetViews>
    <sheetView showGridLines="0" zoomScaleNormal="75" zoomScaleSheetLayoutView="100" view="pageBreakPreview" workbookViewId="0">
      <selection pane="topLeft" activeCell="D2" sqref="D2"/>
    </sheetView>
  </sheetViews>
  <sheetFormatPr defaultColWidth="3.7109375" customHeight="1" defaultRowHeight="10" baseColWidth="0"/>
  <cols>
    <col min="1" max="1" width="3.7109375" customWidth="1"/>
    <col min="2" max="2" width="3.99609375" customWidth="1"/>
    <col min="3" max="11" width="3.7109375" customWidth="1"/>
    <col min="12" max="12" width="3.7109375" style="22" customWidth="1"/>
    <col min="31" max="31" width="3.7109375" customWidth="1"/>
    <col min="33" max="33" width="3.8515625" customWidth="1"/>
    <col min="34" max="35" width="3.7109375" customWidth="1"/>
    <col min="36" max="36" width="3.8515625" customWidth="1"/>
    <col min="37" max="37" width="3.99609375" customWidth="1"/>
  </cols>
  <sheetData>
    <row r="1" spans="1:41" customHeight="1">
      <c r="A1" s="1"/>
      <c r="AO1" s="1"/>
    </row>
    <row r="2" spans="1:39" ht="15" customHeight="1">
      <c r="A2"/>
      <c r="B2" s="2094" t="s">
        <v>38</v>
      </c>
      <c r="C2" s="74"/>
      <c r="D2" s="2139" t="s">
        <v>82</v>
      </c>
      <c r="E2" s="2139"/>
      <c r="F2" s="2139"/>
      <c r="G2" s="2139"/>
      <c r="H2" s="2139"/>
      <c r="I2" s="2139"/>
      <c r="J2" s="2139"/>
      <c r="K2" s="2139"/>
      <c r="L2" s="87"/>
      <c r="M2" s="2177" t="s">
        <v>145</v>
      </c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2178"/>
      <c r="AD2" s="2092" t="s">
        <v>29</v>
      </c>
      <c r="AE2" s="2094"/>
      <c r="AM2"/>
    </row>
    <row r="3" spans="2:39" ht="20.15" customHeight="1" thickBot="1">
      <c r="B3" s="2094"/>
      <c r="C3" s="25"/>
      <c r="D3" s="2139"/>
      <c r="E3" s="2139"/>
      <c r="F3" s="2139"/>
      <c r="G3" s="2139"/>
      <c r="H3" s="2139"/>
      <c r="I3" s="2139"/>
      <c r="J3" s="2139"/>
      <c r="K3" s="2139"/>
      <c r="L3" s="87"/>
      <c r="M3" s="2775" t="s">
        <v>55</v>
      </c>
      <c r="N3" s="2776"/>
      <c r="O3" s="2776"/>
      <c r="P3" s="2776"/>
      <c r="Q3" s="2776"/>
      <c r="R3" s="2776"/>
      <c r="S3" s="2776"/>
      <c r="T3" s="2776"/>
      <c r="U3" s="2776"/>
      <c r="V3" s="2776"/>
      <c r="W3" s="2776"/>
      <c r="X3" s="2776"/>
      <c r="Y3" s="2776"/>
      <c r="Z3" s="2776"/>
      <c r="AA3" s="2776"/>
      <c r="AB3" s="2776"/>
      <c r="AC3" s="2777"/>
      <c r="AD3" s="2092"/>
      <c r="AE3" s="2094"/>
      <c r="AF3" s="2778" t="s">
        <v>299</v>
      </c>
      <c r="AG3" s="2158"/>
      <c r="AH3" s="2778" t="s">
        <v>300</v>
      </c>
      <c r="AI3" s="2158"/>
      <c r="AJ3" s="2778">
        <f>'FE-1770S'!AO3</f>
        <v>0</v>
      </c>
      <c r="AK3" s="2158"/>
      <c r="AL3" s="2778">
        <f>'FE-1770S'!AQ3</f>
        <v>0</v>
      </c>
      <c r="AM3" s="2158"/>
    </row>
    <row r="4" spans="2:40" ht="15" customHeight="1">
      <c r="B4" s="2094"/>
      <c r="C4" s="25"/>
      <c r="D4" s="2139"/>
      <c r="E4" s="2139"/>
      <c r="F4" s="2139"/>
      <c r="G4" s="2139"/>
      <c r="H4" s="2139"/>
      <c r="I4" s="2139"/>
      <c r="J4" s="2139"/>
      <c r="K4" s="2139"/>
      <c r="L4" s="87"/>
      <c r="M4" s="122" t="s">
        <v>23</v>
      </c>
      <c r="N4" s="46" t="s">
        <v>16</v>
      </c>
      <c r="O4" s="4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6"/>
      <c r="AC4" s="54"/>
      <c r="AD4" s="2092"/>
      <c r="AE4" s="2094"/>
      <c r="AF4" s="2158"/>
      <c r="AG4" s="2158"/>
      <c r="AH4" s="2158"/>
      <c r="AI4" s="2158"/>
      <c r="AJ4" s="2158"/>
      <c r="AK4" s="2158"/>
      <c r="AL4" s="2158"/>
      <c r="AM4" s="2158"/>
      <c r="AN4" s="25"/>
    </row>
    <row r="5" spans="2:41" ht="15" customHeight="1">
      <c r="B5" s="2094"/>
      <c r="C5" s="2172" t="s">
        <v>712</v>
      </c>
      <c r="D5" s="2172"/>
      <c r="E5" s="2172"/>
      <c r="F5" s="2172"/>
      <c r="G5" s="2172"/>
      <c r="H5" s="2172"/>
      <c r="I5" s="2172"/>
      <c r="J5" s="2172"/>
      <c r="K5" s="2172"/>
      <c r="L5" s="2173"/>
      <c r="M5" s="122" t="s">
        <v>23</v>
      </c>
      <c r="N5" s="46" t="s">
        <v>32</v>
      </c>
      <c r="O5" s="4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"/>
      <c r="AD5" s="2092"/>
      <c r="AE5" s="2094"/>
      <c r="AF5"/>
      <c r="AG5"/>
      <c r="AH5"/>
      <c r="AI5"/>
      <c r="AJ5"/>
      <c r="AK5"/>
      <c r="AL5"/>
      <c r="AM5"/>
      <c r="AN5" s="25"/>
      <c r="AO5"/>
    </row>
    <row r="6" spans="2:41" ht="15" customHeight="1">
      <c r="B6" s="2094"/>
      <c r="C6" s="2172" t="s">
        <v>31</v>
      </c>
      <c r="D6" s="2172"/>
      <c r="E6" s="2172"/>
      <c r="F6" s="2172"/>
      <c r="G6" s="2172"/>
      <c r="H6" s="2172"/>
      <c r="I6" s="2172"/>
      <c r="J6" s="2172"/>
      <c r="K6" s="2172"/>
      <c r="L6" s="2173"/>
      <c r="M6" s="100" t="s">
        <v>23</v>
      </c>
      <c r="N6" s="46" t="s">
        <v>653</v>
      </c>
      <c r="O6" s="4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6"/>
      <c r="AD6" s="2092"/>
      <c r="AE6" s="2094"/>
      <c r="AF6" s="42"/>
      <c r="AG6" s="42"/>
      <c r="AH6" s="42"/>
      <c r="AI6" s="42"/>
      <c r="AJ6" s="25"/>
      <c r="AK6" s="25"/>
      <c r="AL6" s="25"/>
      <c r="AM6" s="25"/>
      <c r="AN6"/>
      <c r="AO6"/>
    </row>
    <row r="7" spans="2:41" ht="15" customHeight="1" thickBot="1">
      <c r="B7" s="2095"/>
      <c r="C7" s="53"/>
      <c r="D7" s="53"/>
      <c r="E7" s="53"/>
      <c r="F7" s="53"/>
      <c r="G7" s="53"/>
      <c r="H7" s="53"/>
      <c r="I7" s="53"/>
      <c r="J7" s="53"/>
      <c r="K7" s="53"/>
      <c r="L7" s="63"/>
      <c r="M7" s="123"/>
      <c r="N7" s="124" t="s">
        <v>654</v>
      </c>
      <c r="O7" s="124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5"/>
      <c r="AD7" s="2093"/>
      <c r="AE7" s="2095"/>
      <c r="AF7" s="53"/>
      <c r="AG7" s="53"/>
      <c r="AH7" s="53"/>
      <c r="AI7" s="53"/>
      <c r="AJ7" s="53"/>
      <c r="AK7" s="53"/>
      <c r="AL7" s="53"/>
      <c r="AM7" s="53"/>
      <c r="AN7" s="2"/>
      <c r="AO7"/>
    </row>
    <row r="8" spans="2:41" ht="8.15" customHeight="1">
      <c r="B8" s="68"/>
      <c r="C8" s="33"/>
      <c r="D8" s="33"/>
      <c r="E8" s="33"/>
      <c r="F8" s="33"/>
      <c r="G8" s="33"/>
      <c r="H8" s="33"/>
      <c r="I8" s="33"/>
      <c r="J8" s="33"/>
      <c r="K8" s="33"/>
      <c r="L8" s="85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13"/>
      <c r="AO8"/>
    </row>
    <row r="9" spans="2:41" ht="20.15" customHeight="1">
      <c r="B9" s="115" t="s">
        <v>33</v>
      </c>
      <c r="C9" s="70"/>
      <c r="D9" s="70"/>
      <c r="E9" s="70"/>
      <c r="F9" s="70"/>
      <c r="G9" s="65"/>
      <c r="H9" s="65"/>
      <c r="I9" s="65"/>
      <c r="J9" s="116" t="s">
        <v>26</v>
      </c>
      <c r="K9" s="1435" t="str">
        <f>'FE-1770 S-1'!K9</f>
        <v/>
      </c>
      <c r="L9" s="1435" t="str">
        <f>'FE-1770 S-1'!L9</f>
        <v/>
      </c>
      <c r="M9" s="434"/>
      <c r="N9" s="1435" t="str">
        <f>'FE-1770 S-1'!N9</f>
        <v/>
      </c>
      <c r="O9" s="1435" t="str">
        <f>'FE-1770 S-1'!O9</f>
        <v/>
      </c>
      <c r="P9" s="1435" t="str">
        <f>'FE-1770 S-1'!P9</f>
        <v/>
      </c>
      <c r="Q9" s="434"/>
      <c r="R9" s="1435" t="str">
        <f>'FE-1770 S-1'!R9</f>
        <v/>
      </c>
      <c r="S9" s="1435" t="str">
        <f>'FE-1770 S-1'!S9</f>
        <v/>
      </c>
      <c r="T9" s="1435" t="str">
        <f>'FE-1770 S-1'!T9</f>
        <v/>
      </c>
      <c r="U9" s="434"/>
      <c r="V9" s="1435" t="str">
        <f>'FE-1770 S-1'!V9</f>
        <v/>
      </c>
      <c r="W9" s="434"/>
      <c r="X9" s="1435" t="str">
        <f>'FE-1770 S-1'!X9</f>
        <v/>
      </c>
      <c r="Y9" s="1435" t="str">
        <f>'FE-1770 S-1'!Y9</f>
        <v/>
      </c>
      <c r="Z9" s="1435" t="str">
        <f>'FE-1770 S-1'!Z9</f>
        <v/>
      </c>
      <c r="AA9" s="434"/>
      <c r="AB9" s="1435" t="str">
        <f>'FE-1770 S-1'!AB9</f>
        <v/>
      </c>
      <c r="AC9" s="1435" t="str">
        <f>'FE-1770 S-1'!AC9</f>
        <v/>
      </c>
      <c r="AD9" s="1435" t="str">
        <f>'FE-1770 S-1'!AD9</f>
        <v/>
      </c>
      <c r="AE9"/>
      <c r="AF9"/>
      <c r="AG9"/>
      <c r="AH9"/>
      <c r="AI9"/>
      <c r="AJ9"/>
      <c r="AK9"/>
      <c r="AL9"/>
      <c r="AM9"/>
      <c r="AN9" s="54"/>
      <c r="AO9"/>
    </row>
    <row r="10" spans="2:41" ht="4" customHeight="1">
      <c r="B10" s="117"/>
      <c r="C10" s="93"/>
      <c r="D10" s="93"/>
      <c r="E10" s="93"/>
      <c r="F10" s="93"/>
      <c r="G10" s="93"/>
      <c r="H10" s="93"/>
      <c r="I10" s="93"/>
      <c r="J10" s="93"/>
      <c r="K10" s="15"/>
      <c r="L10" s="6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/>
      <c r="AF10"/>
      <c r="AG10"/>
      <c r="AH10"/>
      <c r="AI10"/>
      <c r="AJ10"/>
      <c r="AK10"/>
      <c r="AL10"/>
      <c r="AM10"/>
      <c r="AN10" s="54"/>
      <c r="AO10"/>
    </row>
    <row r="11" spans="2:41" ht="20.15" customHeight="1">
      <c r="B11" s="115" t="s">
        <v>61</v>
      </c>
      <c r="C11" s="70"/>
      <c r="D11" s="70"/>
      <c r="E11" s="70"/>
      <c r="F11" s="70"/>
      <c r="G11" s="118"/>
      <c r="H11" s="118"/>
      <c r="I11" s="118"/>
      <c r="J11" s="119" t="s">
        <v>26</v>
      </c>
      <c r="K11" s="1393">
        <f>'FE-1770 S-1'!K11</f>
        <v>0</v>
      </c>
      <c r="L11" s="1436"/>
      <c r="M11" s="1436"/>
      <c r="N11" s="1436"/>
      <c r="O11" s="1436"/>
      <c r="P11" s="1436"/>
      <c r="Q11" s="1436"/>
      <c r="R11" s="1436"/>
      <c r="S11" s="1436"/>
      <c r="T11" s="1436"/>
      <c r="U11" s="1436"/>
      <c r="V11" s="1436"/>
      <c r="W11" s="1436"/>
      <c r="X11" s="1436"/>
      <c r="Y11" s="1436"/>
      <c r="Z11" s="1436"/>
      <c r="AA11" s="1436"/>
      <c r="AB11" s="1436"/>
      <c r="AC11" s="1436"/>
      <c r="AD11" s="1436"/>
      <c r="AE11" s="1436"/>
      <c r="AF11" s="1436"/>
      <c r="AG11" s="1436"/>
      <c r="AH11" s="1436"/>
      <c r="AI11" s="1436"/>
      <c r="AJ11" s="1436"/>
      <c r="AK11" s="1436"/>
      <c r="AL11" s="1436"/>
      <c r="AM11" s="1436"/>
      <c r="AN11" s="54"/>
      <c r="AO11"/>
    </row>
    <row r="12" spans="2:41" ht="3" customHeight="1" thickBot="1">
      <c r="B12" s="84"/>
      <c r="C12" s="2"/>
      <c r="D12" s="2"/>
      <c r="E12" s="2"/>
      <c r="F12" s="2"/>
      <c r="G12" s="2"/>
      <c r="H12" s="2"/>
      <c r="I12" s="2"/>
      <c r="J12" s="2"/>
      <c r="K12" s="2"/>
      <c r="L12" s="6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14"/>
      <c r="AO12"/>
    </row>
    <row r="13" spans="2:41" customHeight="1">
      <c r="B13" s="33"/>
      <c r="C13"/>
      <c r="D13"/>
      <c r="E13"/>
      <c r="F13"/>
      <c r="G13"/>
      <c r="H13"/>
      <c r="I13"/>
      <c r="J13"/>
      <c r="K13"/>
      <c r="L13" s="2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33"/>
      <c r="AO13"/>
    </row>
    <row r="14" spans="2:41" customHeight="1">
      <c r="B14"/>
      <c r="C14"/>
      <c r="D14"/>
      <c r="E14"/>
      <c r="F14"/>
      <c r="G14"/>
      <c r="H14"/>
      <c r="I14"/>
      <c r="J14"/>
      <c r="K14"/>
      <c r="L14" s="2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2:40" s="41" customFormat="1" ht="15" customHeight="1">
      <c r="B15" s="75" t="s">
        <v>39</v>
      </c>
      <c r="C15" s="75"/>
      <c r="D15" s="75"/>
      <c r="E15" s="75" t="s">
        <v>26</v>
      </c>
      <c r="F15" s="75" t="s">
        <v>16</v>
      </c>
      <c r="G15" s="75"/>
      <c r="H15" s="75"/>
      <c r="I15" s="75"/>
      <c r="J15" s="75"/>
      <c r="K15" s="75"/>
      <c r="L15" s="76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52"/>
      <c r="AB15" s="41"/>
      <c r="AC15" s="41"/>
      <c r="AD15" s="41"/>
      <c r="AE15" s="41"/>
      <c r="AF15" s="41"/>
      <c r="AG15" s="41"/>
      <c r="AH15" s="77"/>
      <c r="AI15" s="77"/>
      <c r="AJ15" s="77"/>
      <c r="AK15" s="77"/>
      <c r="AL15" s="77"/>
      <c r="AM15" s="77"/>
      <c r="AN15" s="41"/>
    </row>
    <row r="16" spans="2:40" ht="15" customHeight="1">
      <c r="B16" s="75"/>
      <c r="C16" s="75"/>
      <c r="D16" s="75"/>
      <c r="E16" s="75"/>
      <c r="F16" s="78" t="s">
        <v>170</v>
      </c>
      <c r="G16" s="75"/>
      <c r="H16" s="75"/>
      <c r="I16" s="75"/>
      <c r="J16" s="75"/>
      <c r="K16" s="75"/>
      <c r="L16" s="76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52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customHeight="1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79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2:40" ht="15" customHeight="1">
      <c r="B18" s="151" t="s">
        <v>76</v>
      </c>
      <c r="C18" s="151" t="s">
        <v>40</v>
      </c>
      <c r="D18" s="1444"/>
      <c r="E18" s="1444"/>
      <c r="F18" s="1444"/>
      <c r="G18" s="1444"/>
      <c r="H18" s="1444"/>
      <c r="I18" s="1444"/>
      <c r="J18" s="1444"/>
      <c r="K18" s="1444"/>
      <c r="L18" s="1444"/>
      <c r="M18" s="1444"/>
      <c r="N18" s="1444"/>
      <c r="O18" s="1444"/>
      <c r="P18" s="1444"/>
      <c r="Q18" s="1444"/>
      <c r="R18" s="1444"/>
      <c r="S18" s="1444"/>
      <c r="T18" s="1444"/>
      <c r="U18" s="1444"/>
      <c r="V18" s="1444"/>
      <c r="W18" s="1444"/>
      <c r="X18" s="1444"/>
      <c r="Y18" s="1444"/>
      <c r="Z18" s="1444"/>
      <c r="AA18" s="2161"/>
      <c r="AB18" s="1444" t="s">
        <v>131</v>
      </c>
      <c r="AC18" s="1444"/>
      <c r="AD18" s="1444"/>
      <c r="AE18" s="1444"/>
      <c r="AF18" s="1444"/>
      <c r="AG18" s="1444"/>
      <c r="AH18" s="1444"/>
      <c r="AI18" s="1444"/>
      <c r="AJ18" s="1444"/>
      <c r="AK18" s="1444"/>
      <c r="AL18" s="1444"/>
      <c r="AM18" s="1444"/>
      <c r="AN18" s="2161"/>
    </row>
    <row r="19" spans="2:40" ht="15" customHeight="1">
      <c r="B19" s="149"/>
      <c r="C19" s="149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395"/>
      <c r="AB19" s="71" t="s">
        <v>70</v>
      </c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395"/>
    </row>
    <row r="20" spans="2:40" ht="15" customHeight="1">
      <c r="B20" s="155" t="s">
        <v>65</v>
      </c>
      <c r="C20" s="155" t="s">
        <v>64</v>
      </c>
      <c r="D20" s="2182"/>
      <c r="E20" s="2182"/>
      <c r="F20" s="2182"/>
      <c r="G20" s="2182"/>
      <c r="H20" s="2182"/>
      <c r="I20" s="2182"/>
      <c r="J20" s="2182"/>
      <c r="K20" s="2182"/>
      <c r="L20" s="2182"/>
      <c r="M20" s="2182"/>
      <c r="N20" s="2182"/>
      <c r="O20" s="2182"/>
      <c r="P20" s="2182"/>
      <c r="Q20" s="2182"/>
      <c r="R20" s="2182"/>
      <c r="S20" s="2182"/>
      <c r="T20" s="2182"/>
      <c r="U20" s="2182"/>
      <c r="V20" s="2182"/>
      <c r="W20" s="2182"/>
      <c r="X20" s="2182"/>
      <c r="Y20" s="2182"/>
      <c r="Z20" s="2182"/>
      <c r="AA20" s="2183"/>
      <c r="AB20" s="2182" t="s">
        <v>66</v>
      </c>
      <c r="AC20" s="2182"/>
      <c r="AD20" s="2182"/>
      <c r="AE20" s="2182"/>
      <c r="AF20" s="2182"/>
      <c r="AG20" s="2182"/>
      <c r="AH20" s="2182"/>
      <c r="AI20" s="2182"/>
      <c r="AJ20" s="2182"/>
      <c r="AK20" s="2182"/>
      <c r="AL20" s="2182"/>
      <c r="AM20" s="2182"/>
      <c r="AN20" s="2183"/>
    </row>
    <row r="21" spans="1:41" s="41" customFormat="1" ht="15" customHeight="1">
      <c r="A21" s="4"/>
      <c r="B21" s="151" t="s">
        <v>621</v>
      </c>
      <c r="C21" s="151" t="s">
        <v>41</v>
      </c>
      <c r="D21" s="1444"/>
      <c r="E21" s="2288"/>
      <c r="F21" s="2288"/>
      <c r="G21" s="2288"/>
      <c r="H21" s="2288"/>
      <c r="I21" s="2288"/>
      <c r="J21" s="2288"/>
      <c r="K21" s="2288"/>
      <c r="L21" s="2288"/>
      <c r="M21" s="2288"/>
      <c r="N21" s="2288"/>
      <c r="O21" s="2288"/>
      <c r="P21" s="2288"/>
      <c r="Q21" s="2288"/>
      <c r="R21" s="2288"/>
      <c r="S21" s="2288"/>
      <c r="T21" s="2288"/>
      <c r="U21" s="2288"/>
      <c r="V21" s="2288"/>
      <c r="W21" s="2288"/>
      <c r="X21" s="2288"/>
      <c r="Y21" s="2288"/>
      <c r="Z21" s="2288"/>
      <c r="AA21" s="2289"/>
      <c r="AB21" s="2155">
        <f>'FE-1770 S-1'!AB21</f>
        <v>0</v>
      </c>
      <c r="AC21" s="2156"/>
      <c r="AD21" s="2156"/>
      <c r="AE21" s="2156"/>
      <c r="AF21" s="2156"/>
      <c r="AG21" s="2156"/>
      <c r="AH21" s="2156"/>
      <c r="AI21" s="2156"/>
      <c r="AJ21" s="2156"/>
      <c r="AK21" s="2156"/>
      <c r="AL21" s="2156"/>
      <c r="AM21" s="2156"/>
      <c r="AN21" s="334"/>
      <c r="AO21" s="41"/>
    </row>
    <row r="22" spans="1:41" s="41" customFormat="1" ht="15" customHeight="1">
      <c r="A22" s="4"/>
      <c r="B22" s="1337"/>
      <c r="C22" s="1337"/>
      <c r="D22" s="2187"/>
      <c r="E22" s="2186"/>
      <c r="F22" s="2186"/>
      <c r="G22" s="2186"/>
      <c r="H22" s="2186"/>
      <c r="I22" s="2186"/>
      <c r="J22" s="2186"/>
      <c r="K22" s="2186"/>
      <c r="L22" s="2186"/>
      <c r="M22" s="2186"/>
      <c r="N22" s="2186"/>
      <c r="O22" s="2186"/>
      <c r="P22" s="2186"/>
      <c r="Q22" s="2186"/>
      <c r="R22" s="2186"/>
      <c r="S22" s="2186"/>
      <c r="T22" s="2186"/>
      <c r="U22" s="2186"/>
      <c r="V22" s="2186"/>
      <c r="W22" s="2186"/>
      <c r="X22" s="2186"/>
      <c r="Y22" s="2186"/>
      <c r="Z22" s="2186"/>
      <c r="AA22" s="2188"/>
      <c r="AB22" s="625"/>
      <c r="AC22" s="2157"/>
      <c r="AD22" s="2157"/>
      <c r="AE22" s="2157"/>
      <c r="AF22" s="2157"/>
      <c r="AG22" s="2157"/>
      <c r="AH22" s="2157"/>
      <c r="AI22" s="2157"/>
      <c r="AJ22" s="2157"/>
      <c r="AK22" s="2157"/>
      <c r="AL22" s="2157"/>
      <c r="AM22" s="2157"/>
      <c r="AN22" s="333"/>
      <c r="AO22" s="41"/>
    </row>
    <row r="23" spans="1:41" s="41" customFormat="1" ht="3" customHeight="1">
      <c r="A23" s="4"/>
      <c r="B23" s="149"/>
      <c r="C23" s="153"/>
      <c r="D23" s="70"/>
      <c r="E23" s="70"/>
      <c r="F23" s="70"/>
      <c r="G23" s="70"/>
      <c r="H23" s="70"/>
      <c r="I23" s="70"/>
      <c r="J23" s="70"/>
      <c r="K23" s="70"/>
      <c r="L23" s="71"/>
      <c r="M23" s="70"/>
      <c r="N23" s="70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4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266"/>
      <c r="AO23" s="41"/>
    </row>
    <row r="24" spans="1:41" s="41" customFormat="1" ht="15" customHeight="1">
      <c r="A24" s="4"/>
      <c r="B24" s="149" t="s">
        <v>622</v>
      </c>
      <c r="C24" s="2184" t="s">
        <v>42</v>
      </c>
      <c r="D24" s="396"/>
      <c r="E24" s="396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395"/>
      <c r="AB24" s="810">
        <f>'FE-1770 S-1'!AB24</f>
        <v>0</v>
      </c>
      <c r="AC24" s="302"/>
      <c r="AD24" s="302"/>
      <c r="AE24" s="302"/>
      <c r="AF24" s="302"/>
      <c r="AG24" s="302"/>
      <c r="AH24" s="302"/>
      <c r="AI24" s="302"/>
      <c r="AJ24" s="302"/>
      <c r="AK24" s="302"/>
      <c r="AL24" s="302"/>
      <c r="AM24" s="302"/>
      <c r="AN24" s="327"/>
      <c r="AO24" s="41"/>
    </row>
    <row r="25" spans="1:41" s="41" customFormat="1" ht="15" customHeight="1">
      <c r="A25" s="4"/>
      <c r="B25" s="1337"/>
      <c r="C25" s="2185"/>
      <c r="D25" s="2186"/>
      <c r="E25" s="2186"/>
      <c r="F25" s="2187"/>
      <c r="G25" s="2187"/>
      <c r="H25" s="2187"/>
      <c r="I25" s="2187"/>
      <c r="J25" s="2187"/>
      <c r="K25" s="2187"/>
      <c r="L25" s="2187"/>
      <c r="M25" s="2187"/>
      <c r="N25" s="2187"/>
      <c r="O25" s="2187"/>
      <c r="P25" s="2187"/>
      <c r="Q25" s="2187"/>
      <c r="R25" s="2187"/>
      <c r="S25" s="2187"/>
      <c r="T25" s="2187"/>
      <c r="U25" s="2187"/>
      <c r="V25" s="2187"/>
      <c r="W25" s="2187"/>
      <c r="X25" s="2187"/>
      <c r="Y25" s="2187"/>
      <c r="Z25" s="2187"/>
      <c r="AA25" s="2180"/>
      <c r="AB25" s="625"/>
      <c r="AC25" s="2157"/>
      <c r="AD25" s="2157"/>
      <c r="AE25" s="2157"/>
      <c r="AF25" s="2157"/>
      <c r="AG25" s="2157"/>
      <c r="AH25" s="2157"/>
      <c r="AI25" s="2157"/>
      <c r="AJ25" s="2157"/>
      <c r="AK25" s="2157"/>
      <c r="AL25" s="2157"/>
      <c r="AM25" s="2157"/>
      <c r="AN25" s="333"/>
      <c r="AO25" s="41"/>
    </row>
    <row r="26" spans="1:41" s="41" customFormat="1" ht="3" customHeight="1">
      <c r="A26" s="4"/>
      <c r="B26" s="149"/>
      <c r="C26" s="153"/>
      <c r="D26" s="70"/>
      <c r="E26" s="70"/>
      <c r="F26" s="70"/>
      <c r="G26" s="70"/>
      <c r="H26" s="70"/>
      <c r="I26" s="70"/>
      <c r="J26" s="70"/>
      <c r="K26" s="70"/>
      <c r="L26" s="71"/>
      <c r="M26" s="70"/>
      <c r="N26" s="7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4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266"/>
      <c r="AO26" s="41"/>
    </row>
    <row r="27" spans="1:41" s="41" customFormat="1" ht="15" customHeight="1">
      <c r="A27" s="4"/>
      <c r="B27" s="149" t="s">
        <v>623</v>
      </c>
      <c r="C27" s="2184" t="s">
        <v>43</v>
      </c>
      <c r="D27" s="396"/>
      <c r="E27" s="396"/>
      <c r="F27" s="396"/>
      <c r="G27" s="396"/>
      <c r="H27" s="396"/>
      <c r="I27" s="396"/>
      <c r="J27" s="396"/>
      <c r="K27" s="396"/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402"/>
      <c r="AB27" s="810">
        <f>'FE-1770 S-1'!AB27</f>
        <v>0</v>
      </c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27"/>
      <c r="AO27" s="41"/>
    </row>
    <row r="28" spans="1:41" s="41" customFormat="1" ht="15" customHeight="1">
      <c r="A28" s="4"/>
      <c r="B28" s="1337"/>
      <c r="C28" s="2185"/>
      <c r="D28" s="2186"/>
      <c r="E28" s="2186"/>
      <c r="F28" s="2186"/>
      <c r="G28" s="2186"/>
      <c r="H28" s="2186"/>
      <c r="I28" s="2186"/>
      <c r="J28" s="2186"/>
      <c r="K28" s="2186"/>
      <c r="L28" s="2186"/>
      <c r="M28" s="2186"/>
      <c r="N28" s="2186"/>
      <c r="O28" s="2186"/>
      <c r="P28" s="2186"/>
      <c r="Q28" s="2186"/>
      <c r="R28" s="2186"/>
      <c r="S28" s="2186"/>
      <c r="T28" s="2186"/>
      <c r="U28" s="2186"/>
      <c r="V28" s="2186"/>
      <c r="W28" s="2186"/>
      <c r="X28" s="2186"/>
      <c r="Y28" s="2186"/>
      <c r="Z28" s="2186"/>
      <c r="AA28" s="2188"/>
      <c r="AB28" s="625"/>
      <c r="AC28" s="2157"/>
      <c r="AD28" s="2157"/>
      <c r="AE28" s="2157"/>
      <c r="AF28" s="2157"/>
      <c r="AG28" s="2157"/>
      <c r="AH28" s="2157"/>
      <c r="AI28" s="2157"/>
      <c r="AJ28" s="2157"/>
      <c r="AK28" s="2157"/>
      <c r="AL28" s="2157"/>
      <c r="AM28" s="2157"/>
      <c r="AN28" s="333"/>
      <c r="AO28" s="41"/>
    </row>
    <row r="29" spans="1:41" s="41" customFormat="1" ht="3" customHeight="1">
      <c r="A29" s="4"/>
      <c r="B29" s="149"/>
      <c r="C29" s="153"/>
      <c r="D29" s="70"/>
      <c r="E29" s="70"/>
      <c r="F29" s="70"/>
      <c r="G29" s="70"/>
      <c r="H29" s="70"/>
      <c r="I29" s="70"/>
      <c r="J29" s="70"/>
      <c r="K29" s="70"/>
      <c r="L29" s="71"/>
      <c r="M29" s="70"/>
      <c r="N29" s="70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4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266"/>
      <c r="AO29" s="41"/>
    </row>
    <row r="30" spans="1:41" s="41" customFormat="1" ht="15" customHeight="1">
      <c r="A30" s="4"/>
      <c r="B30" s="149" t="s">
        <v>624</v>
      </c>
      <c r="C30" s="2184" t="s">
        <v>44</v>
      </c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6"/>
      <c r="R30" s="396"/>
      <c r="S30" s="396"/>
      <c r="T30" s="396"/>
      <c r="U30" s="396"/>
      <c r="V30" s="396"/>
      <c r="W30" s="396"/>
      <c r="X30" s="396"/>
      <c r="Y30" s="396"/>
      <c r="Z30" s="396"/>
      <c r="AA30" s="402"/>
      <c r="AB30" s="810">
        <f>'FE-1770 S-1'!AB30</f>
        <v>0</v>
      </c>
      <c r="AC30" s="302"/>
      <c r="AD30" s="302"/>
      <c r="AE30" s="302"/>
      <c r="AF30" s="302"/>
      <c r="AG30" s="302"/>
      <c r="AH30" s="302"/>
      <c r="AI30" s="302"/>
      <c r="AJ30" s="302"/>
      <c r="AK30" s="302"/>
      <c r="AL30" s="302"/>
      <c r="AM30" s="302"/>
      <c r="AN30" s="327"/>
      <c r="AO30" s="41"/>
    </row>
    <row r="31" spans="1:41" s="41" customFormat="1" ht="15" customHeight="1">
      <c r="A31" s="4"/>
      <c r="B31" s="1337"/>
      <c r="C31" s="2185"/>
      <c r="D31" s="2186"/>
      <c r="E31" s="2186"/>
      <c r="F31" s="2186"/>
      <c r="G31" s="2186"/>
      <c r="H31" s="2186"/>
      <c r="I31" s="2186"/>
      <c r="J31" s="2186"/>
      <c r="K31" s="2186"/>
      <c r="L31" s="2186"/>
      <c r="M31" s="2186"/>
      <c r="N31" s="2186"/>
      <c r="O31" s="2186"/>
      <c r="P31" s="2186"/>
      <c r="Q31" s="2186"/>
      <c r="R31" s="2186"/>
      <c r="S31" s="2186"/>
      <c r="T31" s="2186"/>
      <c r="U31" s="2186"/>
      <c r="V31" s="2186"/>
      <c r="W31" s="2186"/>
      <c r="X31" s="2186"/>
      <c r="Y31" s="2186"/>
      <c r="Z31" s="2186"/>
      <c r="AA31" s="2188"/>
      <c r="AB31" s="625"/>
      <c r="AC31" s="2157"/>
      <c r="AD31" s="2157"/>
      <c r="AE31" s="2157"/>
      <c r="AF31" s="2157"/>
      <c r="AG31" s="2157"/>
      <c r="AH31" s="2157"/>
      <c r="AI31" s="2157"/>
      <c r="AJ31" s="2157"/>
      <c r="AK31" s="2157"/>
      <c r="AL31" s="2157"/>
      <c r="AM31" s="2157"/>
      <c r="AN31" s="333"/>
      <c r="AO31" s="41"/>
    </row>
    <row r="32" spans="1:41" s="41" customFormat="1" ht="3" customHeight="1">
      <c r="A32" s="4"/>
      <c r="B32" s="151"/>
      <c r="C32" s="2203" t="s">
        <v>656</v>
      </c>
      <c r="D32" s="2288"/>
      <c r="E32" s="2288"/>
      <c r="F32" s="2288"/>
      <c r="G32" s="2288"/>
      <c r="H32" s="2288"/>
      <c r="I32" s="2288"/>
      <c r="J32" s="2288"/>
      <c r="K32" s="2288"/>
      <c r="L32" s="2288"/>
      <c r="M32" s="2288"/>
      <c r="N32" s="2288"/>
      <c r="O32" s="2288"/>
      <c r="P32" s="2288"/>
      <c r="Q32" s="2288"/>
      <c r="R32" s="2288"/>
      <c r="S32" s="2288"/>
      <c r="T32" s="2288"/>
      <c r="U32" s="2288"/>
      <c r="V32" s="2288"/>
      <c r="W32" s="2288"/>
      <c r="X32" s="2288"/>
      <c r="Y32" s="2288"/>
      <c r="Z32" s="2288"/>
      <c r="AA32" s="2289"/>
      <c r="AB32" s="337"/>
      <c r="AC32" s="337"/>
      <c r="AD32" s="337"/>
      <c r="AE32" s="337"/>
      <c r="AF32" s="337"/>
      <c r="AG32" s="337"/>
      <c r="AH32" s="337"/>
      <c r="AI32" s="337"/>
      <c r="AJ32" s="337"/>
      <c r="AK32" s="337"/>
      <c r="AL32" s="337"/>
      <c r="AM32" s="337"/>
      <c r="AN32" s="269"/>
      <c r="AO32" s="41"/>
    </row>
    <row r="33" spans="1:41" s="41" customFormat="1" ht="15" customHeight="1">
      <c r="A33" s="4"/>
      <c r="B33" s="149" t="s">
        <v>625</v>
      </c>
      <c r="C33" s="2184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6"/>
      <c r="R33" s="396"/>
      <c r="S33" s="396"/>
      <c r="T33" s="396"/>
      <c r="U33" s="396"/>
      <c r="V33" s="396"/>
      <c r="W33" s="396"/>
      <c r="X33" s="396"/>
      <c r="Y33" s="396"/>
      <c r="Z33" s="396"/>
      <c r="AA33" s="402"/>
      <c r="AB33" s="810">
        <f>'FE-1770 S-1'!AB33</f>
        <v>0</v>
      </c>
      <c r="AC33" s="302"/>
      <c r="AD33" s="302"/>
      <c r="AE33" s="302"/>
      <c r="AF33" s="302"/>
      <c r="AG33" s="302"/>
      <c r="AH33" s="302"/>
      <c r="AI33" s="302"/>
      <c r="AJ33" s="302"/>
      <c r="AK33" s="302"/>
      <c r="AL33" s="302"/>
      <c r="AM33" s="302"/>
      <c r="AN33" s="327"/>
      <c r="AO33" s="41"/>
    </row>
    <row r="34" spans="1:41" s="41" customFormat="1" ht="15" customHeight="1">
      <c r="A34" s="4"/>
      <c r="B34" s="1337"/>
      <c r="C34" s="2185"/>
      <c r="D34" s="2186"/>
      <c r="E34" s="2186"/>
      <c r="F34" s="2186"/>
      <c r="G34" s="2186"/>
      <c r="H34" s="2186"/>
      <c r="I34" s="2186"/>
      <c r="J34" s="2186"/>
      <c r="K34" s="2186"/>
      <c r="L34" s="2186"/>
      <c r="M34" s="2186"/>
      <c r="N34" s="2186"/>
      <c r="O34" s="2186"/>
      <c r="P34" s="2186"/>
      <c r="Q34" s="2186"/>
      <c r="R34" s="2186"/>
      <c r="S34" s="2186"/>
      <c r="T34" s="2186"/>
      <c r="U34" s="2186"/>
      <c r="V34" s="2186"/>
      <c r="W34" s="2186"/>
      <c r="X34" s="2186"/>
      <c r="Y34" s="2186"/>
      <c r="Z34" s="2186"/>
      <c r="AA34" s="2188"/>
      <c r="AB34" s="625"/>
      <c r="AC34" s="2157"/>
      <c r="AD34" s="2157"/>
      <c r="AE34" s="2157"/>
      <c r="AF34" s="2157"/>
      <c r="AG34" s="2157"/>
      <c r="AH34" s="2157"/>
      <c r="AI34" s="2157"/>
      <c r="AJ34" s="2157"/>
      <c r="AK34" s="2157"/>
      <c r="AL34" s="2157"/>
      <c r="AM34" s="2157"/>
      <c r="AN34" s="333"/>
      <c r="AO34" s="41"/>
    </row>
    <row r="35" spans="1:41" s="41" customFormat="1" ht="3" customHeight="1">
      <c r="A35" s="4"/>
      <c r="B35" s="149"/>
      <c r="C35" s="153"/>
      <c r="D35" s="70"/>
      <c r="E35" s="70"/>
      <c r="F35" s="70"/>
      <c r="G35" s="70"/>
      <c r="H35" s="70"/>
      <c r="I35" s="70"/>
      <c r="J35" s="70"/>
      <c r="K35" s="70"/>
      <c r="L35" s="71"/>
      <c r="M35" s="70"/>
      <c r="N35" s="70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4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266"/>
      <c r="AO35" s="41"/>
    </row>
    <row r="36" spans="1:41" s="41" customFormat="1" ht="15" customHeight="1">
      <c r="A36" s="4"/>
      <c r="B36" s="149" t="s">
        <v>626</v>
      </c>
      <c r="C36" s="2184" t="s">
        <v>45</v>
      </c>
      <c r="D36" s="396"/>
      <c r="E36" s="396"/>
      <c r="F36" s="396"/>
      <c r="G36" s="396"/>
      <c r="H36" s="396"/>
      <c r="I36" s="396"/>
      <c r="J36" s="396"/>
      <c r="K36" s="396"/>
      <c r="L36" s="396"/>
      <c r="M36" s="396"/>
      <c r="N36" s="396"/>
      <c r="O36" s="396"/>
      <c r="P36" s="396"/>
      <c r="Q36" s="396"/>
      <c r="R36" s="396"/>
      <c r="S36" s="396"/>
      <c r="T36" s="396"/>
      <c r="U36" s="396"/>
      <c r="V36" s="396"/>
      <c r="W36" s="396"/>
      <c r="X36" s="396"/>
      <c r="Y36" s="396"/>
      <c r="Z36" s="396"/>
      <c r="AA36" s="402"/>
      <c r="AB36" s="810">
        <f>'FE-1770 S-1'!AB36</f>
        <v>0</v>
      </c>
      <c r="AC36" s="302"/>
      <c r="AD36" s="302"/>
      <c r="AE36" s="302"/>
      <c r="AF36" s="302"/>
      <c r="AG36" s="302"/>
      <c r="AH36" s="302"/>
      <c r="AI36" s="302"/>
      <c r="AJ36" s="302"/>
      <c r="AK36" s="302"/>
      <c r="AL36" s="302"/>
      <c r="AM36" s="302"/>
      <c r="AN36" s="327"/>
      <c r="AO36" s="41"/>
    </row>
    <row r="37" spans="1:41" s="41" customFormat="1" ht="15" customHeight="1">
      <c r="A37" s="4"/>
      <c r="B37" s="152"/>
      <c r="C37" s="2184"/>
      <c r="D37" s="396"/>
      <c r="E37" s="396"/>
      <c r="F37" s="396"/>
      <c r="G37" s="396"/>
      <c r="H37" s="396"/>
      <c r="I37" s="397"/>
      <c r="J37" s="397"/>
      <c r="K37" s="397"/>
      <c r="L37" s="397"/>
      <c r="M37" s="397"/>
      <c r="N37" s="397"/>
      <c r="O37" s="397"/>
      <c r="P37" s="397"/>
      <c r="Q37" s="397"/>
      <c r="R37" s="397"/>
      <c r="S37" s="397"/>
      <c r="T37" s="397"/>
      <c r="U37" s="397"/>
      <c r="V37" s="397"/>
      <c r="W37" s="397"/>
      <c r="X37" s="397"/>
      <c r="Y37" s="397"/>
      <c r="Z37" s="397"/>
      <c r="AA37" s="2809"/>
      <c r="AB37" s="2159"/>
      <c r="AC37" s="2160"/>
      <c r="AD37" s="2160"/>
      <c r="AE37" s="2160"/>
      <c r="AF37" s="2160"/>
      <c r="AG37" s="2160"/>
      <c r="AH37" s="2160"/>
      <c r="AI37" s="2160"/>
      <c r="AJ37" s="2160"/>
      <c r="AK37" s="2160"/>
      <c r="AL37" s="2160"/>
      <c r="AM37" s="2160"/>
      <c r="AN37" s="330"/>
      <c r="AO37" s="41"/>
    </row>
    <row r="38" spans="1:41" s="41" customFormat="1" ht="3" customHeight="1">
      <c r="A38" s="4"/>
      <c r="B38" s="156"/>
      <c r="C38" s="157"/>
      <c r="D38" s="158"/>
      <c r="E38" s="158"/>
      <c r="F38" s="158"/>
      <c r="G38" s="158"/>
      <c r="H38" s="158"/>
      <c r="I38" s="158"/>
      <c r="J38" s="158"/>
      <c r="K38" s="158"/>
      <c r="L38" s="159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1" t="s">
        <v>107</v>
      </c>
      <c r="AA38" s="2161"/>
      <c r="AB38" s="2155">
        <f>'FE-1770 S-1'!AB39</f>
        <v>0</v>
      </c>
      <c r="AC38" s="2156"/>
      <c r="AD38" s="2156"/>
      <c r="AE38" s="2156"/>
      <c r="AF38" s="2156"/>
      <c r="AG38" s="2156"/>
      <c r="AH38" s="2156"/>
      <c r="AI38" s="2156"/>
      <c r="AJ38" s="2156"/>
      <c r="AK38" s="2156"/>
      <c r="AL38" s="2156"/>
      <c r="AM38" s="2156"/>
      <c r="AN38" s="334"/>
      <c r="AO38" s="41"/>
    </row>
    <row r="39" spans="1:41" s="41" customFormat="1" ht="9" customHeight="1">
      <c r="A39" s="4"/>
      <c r="B39" s="149"/>
      <c r="C39" s="149" t="s">
        <v>108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395"/>
      <c r="Z39" s="149"/>
      <c r="AA39" s="395"/>
      <c r="AB39" s="810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27"/>
      <c r="AO39" s="41"/>
    </row>
    <row r="40" spans="1:41" s="41" customFormat="1" ht="15" customHeight="1">
      <c r="A40" s="4"/>
      <c r="B40" s="1337"/>
      <c r="C40" s="1337"/>
      <c r="D40" s="2187"/>
      <c r="E40" s="2187"/>
      <c r="F40" s="2187"/>
      <c r="G40" s="2187"/>
      <c r="H40" s="2187"/>
      <c r="I40" s="2187"/>
      <c r="J40" s="2187"/>
      <c r="K40" s="2187"/>
      <c r="L40" s="2187"/>
      <c r="M40" s="2187"/>
      <c r="N40" s="2187"/>
      <c r="O40" s="2187"/>
      <c r="P40" s="2187"/>
      <c r="Q40" s="2187"/>
      <c r="R40" s="2187"/>
      <c r="S40" s="2187"/>
      <c r="T40" s="2187"/>
      <c r="U40" s="2187"/>
      <c r="V40" s="2187"/>
      <c r="W40" s="2187"/>
      <c r="X40" s="2187"/>
      <c r="Y40" s="2180"/>
      <c r="Z40" s="1337"/>
      <c r="AA40" s="2180"/>
      <c r="AB40" s="625"/>
      <c r="AC40" s="2157"/>
      <c r="AD40" s="2157"/>
      <c r="AE40" s="2157"/>
      <c r="AF40" s="2157"/>
      <c r="AG40" s="2157"/>
      <c r="AH40" s="2157"/>
      <c r="AI40" s="2157"/>
      <c r="AJ40" s="2157"/>
      <c r="AK40" s="2157"/>
      <c r="AL40" s="2157"/>
      <c r="AM40" s="2157"/>
      <c r="AN40" s="333"/>
      <c r="AO40" s="41"/>
    </row>
    <row r="41" spans="1:41" s="41" customFormat="1" ht="3" customHeight="1">
      <c r="A41" s="4"/>
      <c r="B41" s="141"/>
      <c r="C41" s="11"/>
      <c r="D41" s="11"/>
      <c r="E41" s="11"/>
      <c r="F41" s="11"/>
      <c r="G41" s="11"/>
      <c r="H41" s="11"/>
      <c r="I41" s="11"/>
      <c r="J41" s="11"/>
      <c r="K41" s="11"/>
      <c r="L41" s="1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91"/>
      <c r="AO41" s="4"/>
    </row>
    <row r="42" spans="1:46" s="41" customFormat="1" ht="11.25" customHeight="1">
      <c r="A42" s="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35" t="s">
        <v>134</v>
      </c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5"/>
      <c r="AP42" s="5"/>
      <c r="AQ42" s="5"/>
      <c r="AR42" s="5"/>
      <c r="AS42" s="5"/>
      <c r="AT42" s="5"/>
    </row>
    <row r="43" spans="1:41" s="41" customFormat="1" customHeight="1">
      <c r="A43" s="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35" t="s">
        <v>657</v>
      </c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4"/>
    </row>
    <row r="44" spans="1:41" ht="15" customHeight="1">
      <c r="A44" s="4"/>
      <c r="B44" s="75" t="s">
        <v>46</v>
      </c>
      <c r="C44" s="75"/>
      <c r="D44" s="75"/>
      <c r="E44" s="75" t="s">
        <v>26</v>
      </c>
      <c r="F44" s="75" t="s">
        <v>32</v>
      </c>
      <c r="G44" s="75"/>
      <c r="H44" s="75"/>
      <c r="I44" s="75"/>
      <c r="J44" s="75"/>
      <c r="K44" s="75"/>
      <c r="L44" s="76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4"/>
      <c r="B46" s="151" t="s">
        <v>76</v>
      </c>
      <c r="C46" s="151" t="s">
        <v>40</v>
      </c>
      <c r="D46" s="1444"/>
      <c r="E46" s="1444"/>
      <c r="F46" s="1444"/>
      <c r="G46" s="1444"/>
      <c r="H46" s="1444"/>
      <c r="I46" s="1444"/>
      <c r="J46" s="1444"/>
      <c r="K46" s="1444"/>
      <c r="L46" s="1444"/>
      <c r="M46" s="1444"/>
      <c r="N46" s="1444"/>
      <c r="O46" s="1444"/>
      <c r="P46" s="1444"/>
      <c r="Q46" s="1444"/>
      <c r="R46" s="1444"/>
      <c r="S46" s="1444"/>
      <c r="T46" s="1444"/>
      <c r="U46" s="1444"/>
      <c r="V46" s="1444"/>
      <c r="W46" s="1444"/>
      <c r="X46" s="1444"/>
      <c r="Y46" s="1444"/>
      <c r="Z46" s="1444"/>
      <c r="AA46" s="2161"/>
      <c r="AB46" s="151" t="s">
        <v>131</v>
      </c>
      <c r="AC46" s="1444"/>
      <c r="AD46" s="1444"/>
      <c r="AE46" s="1444"/>
      <c r="AF46" s="1444"/>
      <c r="AG46" s="1444"/>
      <c r="AH46" s="1444"/>
      <c r="AI46" s="1444"/>
      <c r="AJ46" s="1444"/>
      <c r="AK46" s="1444"/>
      <c r="AL46" s="1444"/>
      <c r="AM46" s="1444"/>
      <c r="AN46" s="2161"/>
      <c r="AO46" s="11"/>
    </row>
    <row r="47" spans="1:41" ht="15" customHeight="1">
      <c r="A47" s="4"/>
      <c r="B47" s="149"/>
      <c r="C47" s="149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395"/>
      <c r="AB47" s="149" t="s">
        <v>70</v>
      </c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395"/>
      <c r="AO47" s="11"/>
    </row>
    <row r="48" spans="2:41" s="6" customFormat="1" ht="15" customHeight="1">
      <c r="B48" s="155" t="s">
        <v>65</v>
      </c>
      <c r="C48" s="155" t="s">
        <v>64</v>
      </c>
      <c r="D48" s="2182"/>
      <c r="E48" s="2182"/>
      <c r="F48" s="2182"/>
      <c r="G48" s="2182"/>
      <c r="H48" s="2182"/>
      <c r="I48" s="2182"/>
      <c r="J48" s="2182"/>
      <c r="K48" s="2182"/>
      <c r="L48" s="2182"/>
      <c r="M48" s="2182"/>
      <c r="N48" s="2182"/>
      <c r="O48" s="2182"/>
      <c r="P48" s="2182"/>
      <c r="Q48" s="2182"/>
      <c r="R48" s="2182"/>
      <c r="S48" s="2182"/>
      <c r="T48" s="2182"/>
      <c r="U48" s="2182"/>
      <c r="V48" s="2182"/>
      <c r="W48" s="2182"/>
      <c r="X48" s="2182"/>
      <c r="Y48" s="2182"/>
      <c r="Z48" s="2182"/>
      <c r="AA48" s="2183"/>
      <c r="AB48" s="155" t="s">
        <v>66</v>
      </c>
      <c r="AC48" s="2182"/>
      <c r="AD48" s="2182"/>
      <c r="AE48" s="2182"/>
      <c r="AF48" s="2182"/>
      <c r="AG48" s="2182"/>
      <c r="AH48" s="2182"/>
      <c r="AI48" s="2182"/>
      <c r="AJ48" s="2182"/>
      <c r="AK48" s="2182"/>
      <c r="AL48" s="2182"/>
      <c r="AM48" s="2182"/>
      <c r="AN48" s="2183"/>
      <c r="AO48" s="6"/>
    </row>
    <row r="49" spans="1:41" customFormat="1" ht="3" customHeight="1">
      <c r="A49" s="4"/>
      <c r="B49" s="176"/>
      <c r="C49" s="176"/>
      <c r="D49" s="47"/>
      <c r="E49" s="47"/>
      <c r="F49" s="47"/>
      <c r="G49" s="47"/>
      <c r="H49" s="47"/>
      <c r="I49" s="47"/>
      <c r="J49" s="47"/>
      <c r="K49" s="47"/>
      <c r="L49" s="173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160"/>
      <c r="AB49" s="176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67"/>
      <c r="AO49" s="4"/>
    </row>
    <row r="50" spans="1:40" ht="15" customHeight="1">
      <c r="A50" s="4"/>
      <c r="B50" s="149" t="s">
        <v>621</v>
      </c>
      <c r="C50" s="2184" t="s">
        <v>121</v>
      </c>
      <c r="D50" s="396"/>
      <c r="E50" s="396"/>
      <c r="F50" s="396"/>
      <c r="G50" s="396"/>
      <c r="H50" s="396"/>
      <c r="I50" s="396"/>
      <c r="J50" s="396"/>
      <c r="K50" s="396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395"/>
      <c r="AB50" s="810">
        <f>'FE-1770 S-1'!AB50</f>
        <v>0</v>
      </c>
      <c r="AC50" s="30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27"/>
    </row>
    <row r="51" spans="1:40" ht="15" customHeight="1">
      <c r="A51" s="4"/>
      <c r="B51" s="1337"/>
      <c r="C51" s="2185"/>
      <c r="D51" s="2186"/>
      <c r="E51" s="2186"/>
      <c r="F51" s="2186"/>
      <c r="G51" s="2186"/>
      <c r="H51" s="2186"/>
      <c r="I51" s="2186"/>
      <c r="J51" s="2186"/>
      <c r="K51" s="2186"/>
      <c r="L51" s="2187"/>
      <c r="M51" s="2187"/>
      <c r="N51" s="2187"/>
      <c r="O51" s="2187"/>
      <c r="P51" s="2187"/>
      <c r="Q51" s="2187"/>
      <c r="R51" s="2187"/>
      <c r="S51" s="2187"/>
      <c r="T51" s="2187"/>
      <c r="U51" s="2187"/>
      <c r="V51" s="2187"/>
      <c r="W51" s="2187"/>
      <c r="X51" s="2187"/>
      <c r="Y51" s="2187"/>
      <c r="Z51" s="2187"/>
      <c r="AA51" s="2180"/>
      <c r="AB51" s="625"/>
      <c r="AC51" s="2157"/>
      <c r="AD51" s="2157"/>
      <c r="AE51" s="2157"/>
      <c r="AF51" s="2157"/>
      <c r="AG51" s="2157"/>
      <c r="AH51" s="2157"/>
      <c r="AI51" s="2157"/>
      <c r="AJ51" s="2157"/>
      <c r="AK51" s="2157"/>
      <c r="AL51" s="2157"/>
      <c r="AM51" s="2157"/>
      <c r="AN51" s="333"/>
    </row>
    <row r="52" spans="1:40" ht="3" customHeight="1">
      <c r="A52" s="4"/>
      <c r="B52" s="151"/>
      <c r="C52" s="157"/>
      <c r="D52" s="158"/>
      <c r="E52" s="158"/>
      <c r="F52" s="158"/>
      <c r="G52" s="158"/>
      <c r="H52" s="158"/>
      <c r="I52" s="158"/>
      <c r="J52" s="158"/>
      <c r="K52" s="158"/>
      <c r="L52" s="159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408"/>
      <c r="AB52" s="2155">
        <f>'FE-1770 S-1'!AB52</f>
        <v>0</v>
      </c>
      <c r="AC52" s="2156"/>
      <c r="AD52" s="2156"/>
      <c r="AE52" s="2156"/>
      <c r="AF52" s="2156"/>
      <c r="AG52" s="2156"/>
      <c r="AH52" s="2156"/>
      <c r="AI52" s="2156"/>
      <c r="AJ52" s="2156"/>
      <c r="AK52" s="2156"/>
      <c r="AL52" s="2156"/>
      <c r="AM52" s="2156"/>
      <c r="AN52" s="334"/>
    </row>
    <row r="53" spans="1:40" ht="15" customHeight="1">
      <c r="A53" s="4"/>
      <c r="B53" s="149" t="s">
        <v>622</v>
      </c>
      <c r="C53" s="2184" t="s">
        <v>47</v>
      </c>
      <c r="D53" s="396"/>
      <c r="E53" s="396"/>
      <c r="F53" s="396"/>
      <c r="G53" s="396"/>
      <c r="H53" s="396"/>
      <c r="I53" s="396"/>
      <c r="J53" s="396"/>
      <c r="K53" s="396"/>
      <c r="L53" s="396"/>
      <c r="M53" s="396"/>
      <c r="N53" s="396"/>
      <c r="O53" s="396"/>
      <c r="P53" s="396"/>
      <c r="Q53" s="396"/>
      <c r="R53" s="396"/>
      <c r="S53" s="396"/>
      <c r="T53" s="396"/>
      <c r="U53" s="396"/>
      <c r="V53" s="396"/>
      <c r="W53" s="396"/>
      <c r="X53" s="396"/>
      <c r="Y53" s="396"/>
      <c r="Z53" s="396"/>
      <c r="AA53" s="402"/>
      <c r="AB53" s="810"/>
      <c r="AC53" s="302"/>
      <c r="AD53" s="302"/>
      <c r="AE53" s="302"/>
      <c r="AF53" s="302"/>
      <c r="AG53" s="302"/>
      <c r="AH53" s="302"/>
      <c r="AI53" s="302"/>
      <c r="AJ53" s="302"/>
      <c r="AK53" s="302"/>
      <c r="AL53" s="302"/>
      <c r="AM53" s="302"/>
      <c r="AN53" s="327"/>
    </row>
    <row r="54" spans="1:40" ht="15" customHeight="1">
      <c r="A54" s="4"/>
      <c r="B54" s="1337"/>
      <c r="C54" s="2185"/>
      <c r="D54" s="2186"/>
      <c r="E54" s="2186"/>
      <c r="F54" s="2186"/>
      <c r="G54" s="2186"/>
      <c r="H54" s="2186"/>
      <c r="I54" s="2186"/>
      <c r="J54" s="2186"/>
      <c r="K54" s="2186"/>
      <c r="L54" s="2186"/>
      <c r="M54" s="2186"/>
      <c r="N54" s="2186"/>
      <c r="O54" s="2186"/>
      <c r="P54" s="2186"/>
      <c r="Q54" s="2186"/>
      <c r="R54" s="2186"/>
      <c r="S54" s="2186"/>
      <c r="T54" s="2186"/>
      <c r="U54" s="2186"/>
      <c r="V54" s="2186"/>
      <c r="W54" s="2186"/>
      <c r="X54" s="2186"/>
      <c r="Y54" s="2186"/>
      <c r="Z54" s="2186"/>
      <c r="AA54" s="2188"/>
      <c r="AB54" s="625"/>
      <c r="AC54" s="2157"/>
      <c r="AD54" s="2157"/>
      <c r="AE54" s="2157"/>
      <c r="AF54" s="2157"/>
      <c r="AG54" s="2157"/>
      <c r="AH54" s="2157"/>
      <c r="AI54" s="2157"/>
      <c r="AJ54" s="2157"/>
      <c r="AK54" s="2157"/>
      <c r="AL54" s="2157"/>
      <c r="AM54" s="2157"/>
      <c r="AN54" s="333"/>
    </row>
    <row r="55" spans="1:40" ht="3" customHeight="1">
      <c r="A55" s="4"/>
      <c r="B55" s="151"/>
      <c r="C55" s="157"/>
      <c r="D55" s="158"/>
      <c r="E55" s="158"/>
      <c r="F55" s="158"/>
      <c r="G55" s="158"/>
      <c r="H55" s="158"/>
      <c r="I55" s="158"/>
      <c r="J55" s="158"/>
      <c r="K55" s="158"/>
      <c r="L55" s="159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408"/>
      <c r="AB55" s="2155">
        <f>'FE-1770 S-1'!AB55</f>
        <v>0</v>
      </c>
      <c r="AC55" s="2156"/>
      <c r="AD55" s="2156"/>
      <c r="AE55" s="2156"/>
      <c r="AF55" s="2156"/>
      <c r="AG55" s="2156"/>
      <c r="AH55" s="2156"/>
      <c r="AI55" s="2156"/>
      <c r="AJ55" s="2156"/>
      <c r="AK55" s="2156"/>
      <c r="AL55" s="2156"/>
      <c r="AM55" s="2156"/>
      <c r="AN55" s="334"/>
    </row>
    <row r="56" spans="1:40" ht="15" customHeight="1">
      <c r="A56" s="4"/>
      <c r="B56" s="398" t="s">
        <v>623</v>
      </c>
      <c r="C56" s="163" t="s">
        <v>122</v>
      </c>
      <c r="D56" s="15"/>
      <c r="E56" s="15"/>
      <c r="F56" s="15"/>
      <c r="G56" s="15"/>
      <c r="H56" s="15"/>
      <c r="I56" s="15"/>
      <c r="J56" s="15"/>
      <c r="K56" s="15"/>
      <c r="L56" s="6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4"/>
      <c r="AB56" s="810"/>
      <c r="AC56" s="302"/>
      <c r="AD56" s="302"/>
      <c r="AE56" s="302"/>
      <c r="AF56" s="302"/>
      <c r="AG56" s="302"/>
      <c r="AH56" s="302"/>
      <c r="AI56" s="302"/>
      <c r="AJ56" s="302"/>
      <c r="AK56" s="302"/>
      <c r="AL56" s="302"/>
      <c r="AM56" s="302"/>
      <c r="AN56" s="327"/>
    </row>
    <row r="57" spans="1:40" ht="15" customHeight="1">
      <c r="A57" s="4"/>
      <c r="B57" s="2211"/>
      <c r="C57" s="165" t="s">
        <v>81</v>
      </c>
      <c r="D57" s="630"/>
      <c r="E57" s="630"/>
      <c r="F57" s="630"/>
      <c r="G57" s="630"/>
      <c r="H57" s="630"/>
      <c r="I57" s="630"/>
      <c r="J57" s="630"/>
      <c r="K57" s="2186"/>
      <c r="L57" s="2186"/>
      <c r="M57" s="2186"/>
      <c r="N57" s="2186"/>
      <c r="O57" s="2186"/>
      <c r="P57" s="2186"/>
      <c r="Q57" s="2186"/>
      <c r="R57" s="2186"/>
      <c r="S57" s="2186"/>
      <c r="T57" s="2186"/>
      <c r="U57" s="2186"/>
      <c r="V57" s="2186"/>
      <c r="W57" s="2186"/>
      <c r="X57" s="2186"/>
      <c r="Y57" s="2186"/>
      <c r="Z57" s="2186"/>
      <c r="AA57" s="2188"/>
      <c r="AB57" s="625"/>
      <c r="AC57" s="2157"/>
      <c r="AD57" s="2157"/>
      <c r="AE57" s="2157"/>
      <c r="AF57" s="2157"/>
      <c r="AG57" s="2157"/>
      <c r="AH57" s="2157"/>
      <c r="AI57" s="2157"/>
      <c r="AJ57" s="2157"/>
      <c r="AK57" s="2157"/>
      <c r="AL57" s="2157"/>
      <c r="AM57" s="2157"/>
      <c r="AN57" s="333"/>
    </row>
    <row r="58" spans="1:40" ht="3" customHeight="1">
      <c r="A58" s="4"/>
      <c r="B58" s="151"/>
      <c r="C58" s="157"/>
      <c r="D58" s="158"/>
      <c r="E58" s="158"/>
      <c r="F58" s="158"/>
      <c r="G58" s="158"/>
      <c r="H58" s="158"/>
      <c r="I58" s="158"/>
      <c r="J58" s="158"/>
      <c r="K58" s="158"/>
      <c r="L58" s="159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408"/>
      <c r="AB58" s="2155">
        <f>'FE-1770 S-1'!AB58</f>
        <v>0</v>
      </c>
      <c r="AC58" s="2156"/>
      <c r="AD58" s="2156"/>
      <c r="AE58" s="2156"/>
      <c r="AF58" s="2156"/>
      <c r="AG58" s="2156"/>
      <c r="AH58" s="2156"/>
      <c r="AI58" s="2156"/>
      <c r="AJ58" s="2156"/>
      <c r="AK58" s="2156"/>
      <c r="AL58" s="2156"/>
      <c r="AM58" s="2156"/>
      <c r="AN58" s="334"/>
    </row>
    <row r="59" spans="1:40" ht="15" customHeight="1">
      <c r="A59" s="4"/>
      <c r="B59" s="149" t="s">
        <v>624</v>
      </c>
      <c r="C59" s="2184" t="s">
        <v>48</v>
      </c>
      <c r="D59" s="396"/>
      <c r="E59" s="396"/>
      <c r="F59" s="396"/>
      <c r="G59" s="396"/>
      <c r="H59" s="396"/>
      <c r="I59" s="396"/>
      <c r="J59" s="396"/>
      <c r="K59" s="396"/>
      <c r="L59" s="396"/>
      <c r="M59" s="396"/>
      <c r="N59" s="396"/>
      <c r="O59" s="396"/>
      <c r="P59" s="396"/>
      <c r="Q59" s="396"/>
      <c r="R59" s="396"/>
      <c r="S59" s="396"/>
      <c r="T59" s="396"/>
      <c r="U59" s="396"/>
      <c r="V59" s="396"/>
      <c r="W59" s="396"/>
      <c r="X59" s="396"/>
      <c r="Y59" s="396"/>
      <c r="Z59" s="396"/>
      <c r="AA59" s="402"/>
      <c r="AB59" s="810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27"/>
    </row>
    <row r="60" spans="1:40" ht="15" customHeight="1">
      <c r="A60" s="4"/>
      <c r="B60" s="1337"/>
      <c r="C60" s="2185"/>
      <c r="D60" s="2186"/>
      <c r="E60" s="2186"/>
      <c r="F60" s="2186"/>
      <c r="G60" s="2186"/>
      <c r="H60" s="2186"/>
      <c r="I60" s="2186"/>
      <c r="J60" s="2186"/>
      <c r="K60" s="2186"/>
      <c r="L60" s="2186"/>
      <c r="M60" s="2186"/>
      <c r="N60" s="2186"/>
      <c r="O60" s="2186"/>
      <c r="P60" s="2186"/>
      <c r="Q60" s="2186"/>
      <c r="R60" s="2186"/>
      <c r="S60" s="2186"/>
      <c r="T60" s="2186"/>
      <c r="U60" s="2186"/>
      <c r="V60" s="2186"/>
      <c r="W60" s="2186"/>
      <c r="X60" s="2186"/>
      <c r="Y60" s="2186"/>
      <c r="Z60" s="2186"/>
      <c r="AA60" s="2188"/>
      <c r="AB60" s="625"/>
      <c r="AC60" s="2157"/>
      <c r="AD60" s="2157"/>
      <c r="AE60" s="2157"/>
      <c r="AF60" s="2157"/>
      <c r="AG60" s="2157"/>
      <c r="AH60" s="2157"/>
      <c r="AI60" s="2157"/>
      <c r="AJ60" s="2157"/>
      <c r="AK60" s="2157"/>
      <c r="AL60" s="2157"/>
      <c r="AM60" s="2157"/>
      <c r="AN60" s="333"/>
    </row>
    <row r="61" spans="1:40" ht="3" customHeight="1">
      <c r="A61" s="4"/>
      <c r="B61" s="151"/>
      <c r="C61" s="157"/>
      <c r="D61" s="158"/>
      <c r="E61" s="158"/>
      <c r="F61" s="158"/>
      <c r="G61" s="158"/>
      <c r="H61" s="158"/>
      <c r="I61" s="158"/>
      <c r="J61" s="158"/>
      <c r="K61" s="158"/>
      <c r="L61" s="159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408"/>
      <c r="AB61" s="2155">
        <f>'FE-1770 S-1'!AB61:AM63</f>
        <v>0</v>
      </c>
      <c r="AC61" s="2156"/>
      <c r="AD61" s="2156"/>
      <c r="AE61" s="2156"/>
      <c r="AF61" s="2156"/>
      <c r="AG61" s="2156"/>
      <c r="AH61" s="2156"/>
      <c r="AI61" s="2156"/>
      <c r="AJ61" s="2156"/>
      <c r="AK61" s="2156"/>
      <c r="AL61" s="2156"/>
      <c r="AM61" s="2156"/>
      <c r="AN61" s="334"/>
    </row>
    <row r="62" spans="1:40" ht="15" customHeight="1">
      <c r="A62" s="4"/>
      <c r="B62" s="149" t="s">
        <v>625</v>
      </c>
      <c r="C62" s="2184" t="s">
        <v>721</v>
      </c>
      <c r="D62" s="396"/>
      <c r="E62" s="396"/>
      <c r="F62" s="396"/>
      <c r="G62" s="396"/>
      <c r="H62" s="396"/>
      <c r="I62" s="396"/>
      <c r="J62" s="396"/>
      <c r="K62" s="396"/>
      <c r="L62" s="396"/>
      <c r="M62" s="396"/>
      <c r="N62" s="396"/>
      <c r="O62" s="396"/>
      <c r="P62" s="396"/>
      <c r="Q62" s="396"/>
      <c r="R62" s="396"/>
      <c r="S62" s="396"/>
      <c r="T62" s="396"/>
      <c r="U62" s="396"/>
      <c r="V62" s="396"/>
      <c r="W62" s="396"/>
      <c r="X62" s="396"/>
      <c r="Y62" s="396"/>
      <c r="Z62" s="396"/>
      <c r="AA62" s="402"/>
      <c r="AB62" s="810"/>
      <c r="AC62" s="302"/>
      <c r="AD62" s="302"/>
      <c r="AE62" s="302"/>
      <c r="AF62" s="302"/>
      <c r="AG62" s="302"/>
      <c r="AH62" s="302"/>
      <c r="AI62" s="302"/>
      <c r="AJ62" s="302"/>
      <c r="AK62" s="302"/>
      <c r="AL62" s="302"/>
      <c r="AM62" s="302"/>
      <c r="AN62" s="327"/>
    </row>
    <row r="63" spans="1:40" ht="15" customHeight="1">
      <c r="A63" s="4"/>
      <c r="B63" s="1337"/>
      <c r="C63" s="2185"/>
      <c r="D63" s="2186"/>
      <c r="E63" s="2186"/>
      <c r="F63" s="2186"/>
      <c r="G63" s="2186"/>
      <c r="H63" s="2186"/>
      <c r="I63" s="2186"/>
      <c r="J63" s="2186"/>
      <c r="K63" s="2186"/>
      <c r="L63" s="2186"/>
      <c r="M63" s="2186"/>
      <c r="N63" s="2186"/>
      <c r="O63" s="2186"/>
      <c r="P63" s="2186"/>
      <c r="Q63" s="2186"/>
      <c r="R63" s="2186"/>
      <c r="S63" s="2186"/>
      <c r="T63" s="2186"/>
      <c r="U63" s="2186"/>
      <c r="V63" s="2186"/>
      <c r="W63" s="2186"/>
      <c r="X63" s="2186"/>
      <c r="Y63" s="2186"/>
      <c r="Z63" s="2186"/>
      <c r="AA63" s="2188"/>
      <c r="AB63" s="625"/>
      <c r="AC63" s="2157"/>
      <c r="AD63" s="2157"/>
      <c r="AE63" s="2157"/>
      <c r="AF63" s="2157"/>
      <c r="AG63" s="2157"/>
      <c r="AH63" s="2157"/>
      <c r="AI63" s="2157"/>
      <c r="AJ63" s="2157"/>
      <c r="AK63" s="2157"/>
      <c r="AL63" s="2157"/>
      <c r="AM63" s="2157"/>
      <c r="AN63" s="333"/>
    </row>
    <row r="64" spans="1:40" ht="15" customHeight="1">
      <c r="A64" s="4"/>
      <c r="B64" s="149" t="s">
        <v>626</v>
      </c>
      <c r="C64" s="2184" t="s">
        <v>123</v>
      </c>
      <c r="D64" s="396"/>
      <c r="E64" s="396"/>
      <c r="F64" s="396"/>
      <c r="G64" s="396"/>
      <c r="H64" s="396"/>
      <c r="I64" s="396"/>
      <c r="J64" s="396"/>
      <c r="K64" s="396"/>
      <c r="L64" s="396"/>
      <c r="M64" s="396"/>
      <c r="N64" s="396"/>
      <c r="O64" s="396"/>
      <c r="P64" s="396"/>
      <c r="Q64" s="396"/>
      <c r="R64" s="396"/>
      <c r="S64" s="396"/>
      <c r="T64" s="396"/>
      <c r="U64" s="396"/>
      <c r="V64" s="396"/>
      <c r="W64" s="396"/>
      <c r="X64" s="396"/>
      <c r="Y64" s="396"/>
      <c r="Z64" s="396"/>
      <c r="AA64" s="402"/>
      <c r="AB64" s="810">
        <f>'FE-1770 S-1'!AB64:AM66</f>
        <v>0</v>
      </c>
      <c r="AC64" s="302"/>
      <c r="AD64" s="302"/>
      <c r="AE64" s="302"/>
      <c r="AF64" s="302"/>
      <c r="AG64" s="302"/>
      <c r="AH64" s="302"/>
      <c r="AI64" s="302"/>
      <c r="AJ64" s="302"/>
      <c r="AK64" s="302"/>
      <c r="AL64" s="302"/>
      <c r="AM64" s="302"/>
      <c r="AN64" s="327"/>
    </row>
    <row r="65" spans="1:40" ht="15" customHeight="1">
      <c r="A65" s="4"/>
      <c r="B65" s="149"/>
      <c r="C65" s="2185"/>
      <c r="D65" s="2186"/>
      <c r="E65" s="2186"/>
      <c r="F65" s="2186"/>
      <c r="G65" s="2186"/>
      <c r="H65" s="2186"/>
      <c r="I65" s="2186"/>
      <c r="J65" s="2186"/>
      <c r="K65" s="2186"/>
      <c r="L65" s="2186"/>
      <c r="M65" s="2186"/>
      <c r="N65" s="2186"/>
      <c r="O65" s="2186"/>
      <c r="P65" s="2186"/>
      <c r="Q65" s="2186"/>
      <c r="R65" s="2186"/>
      <c r="S65" s="2186"/>
      <c r="T65" s="2186"/>
      <c r="U65" s="2186"/>
      <c r="V65" s="2186"/>
      <c r="W65" s="2186"/>
      <c r="X65" s="2186"/>
      <c r="Y65" s="2186"/>
      <c r="Z65" s="2186"/>
      <c r="AA65" s="2188"/>
      <c r="AB65" s="625"/>
      <c r="AC65" s="2157"/>
      <c r="AD65" s="2157"/>
      <c r="AE65" s="2157"/>
      <c r="AF65" s="2157"/>
      <c r="AG65" s="2157"/>
      <c r="AH65" s="2157"/>
      <c r="AI65" s="2157"/>
      <c r="AJ65" s="2157"/>
      <c r="AK65" s="2157"/>
      <c r="AL65" s="2157"/>
      <c r="AM65" s="2157"/>
      <c r="AN65" s="333"/>
    </row>
    <row r="66" spans="1:40" ht="3" customHeight="1">
      <c r="A66" s="4"/>
      <c r="B66" s="151"/>
      <c r="C66" s="157"/>
      <c r="D66" s="158"/>
      <c r="E66" s="158"/>
      <c r="F66" s="158"/>
      <c r="G66" s="158"/>
      <c r="H66" s="158"/>
      <c r="I66" s="158"/>
      <c r="J66" s="158"/>
      <c r="K66" s="158"/>
      <c r="L66" s="159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1" t="s">
        <v>110</v>
      </c>
      <c r="AA66" s="2161"/>
      <c r="AB66" s="2155">
        <f>'FE-1770 S-1'!AB67</f>
        <v>0</v>
      </c>
      <c r="AC66" s="2156"/>
      <c r="AD66" s="2156"/>
      <c r="AE66" s="2156"/>
      <c r="AF66" s="2156"/>
      <c r="AG66" s="2156"/>
      <c r="AH66" s="2156"/>
      <c r="AI66" s="2156"/>
      <c r="AJ66" s="2156"/>
      <c r="AK66" s="2156"/>
      <c r="AL66" s="2156"/>
      <c r="AM66" s="2156"/>
      <c r="AN66" s="334"/>
    </row>
    <row r="67" spans="1:40" ht="15" customHeight="1">
      <c r="A67" s="4"/>
      <c r="B67" s="149"/>
      <c r="C67" s="149" t="s">
        <v>109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395"/>
      <c r="Z67" s="149"/>
      <c r="AA67" s="395"/>
      <c r="AB67" s="810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27"/>
    </row>
    <row r="68" spans="1:40" ht="15" customHeight="1">
      <c r="A68" s="4"/>
      <c r="B68" s="1337"/>
      <c r="C68" s="1337"/>
      <c r="D68" s="2187"/>
      <c r="E68" s="2187"/>
      <c r="F68" s="2187"/>
      <c r="G68" s="2187"/>
      <c r="H68" s="2187"/>
      <c r="I68" s="2187"/>
      <c r="J68" s="2187"/>
      <c r="K68" s="2187"/>
      <c r="L68" s="2187"/>
      <c r="M68" s="2187"/>
      <c r="N68" s="2187"/>
      <c r="O68" s="2187"/>
      <c r="P68" s="2187"/>
      <c r="Q68" s="2187"/>
      <c r="R68" s="2187"/>
      <c r="S68" s="2187"/>
      <c r="T68" s="2187"/>
      <c r="U68" s="2187"/>
      <c r="V68" s="2187"/>
      <c r="W68" s="2187"/>
      <c r="X68" s="2187"/>
      <c r="Y68" s="2180"/>
      <c r="Z68" s="1337"/>
      <c r="AA68" s="2180"/>
      <c r="AB68" s="625"/>
      <c r="AC68" s="2157"/>
      <c r="AD68" s="2157"/>
      <c r="AE68" s="2157"/>
      <c r="AF68" s="2157"/>
      <c r="AG68" s="2157"/>
      <c r="AH68" s="2157"/>
      <c r="AI68" s="2157"/>
      <c r="AJ68" s="2157"/>
      <c r="AK68" s="2157"/>
      <c r="AL68" s="2157"/>
      <c r="AM68" s="2157"/>
      <c r="AN68" s="333"/>
    </row>
    <row r="69" spans="1:40" ht="3" customHeight="1">
      <c r="A69" s="4"/>
      <c r="B69" s="140"/>
      <c r="C69" s="140"/>
      <c r="D69" s="141"/>
      <c r="E69" s="141"/>
      <c r="F69" s="141"/>
      <c r="G69" s="141"/>
      <c r="H69" s="141"/>
      <c r="I69" s="141"/>
      <c r="J69" s="141"/>
      <c r="K69" s="141"/>
      <c r="L69" s="140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365"/>
      <c r="AC69" s="1365"/>
      <c r="AD69" s="1365"/>
      <c r="AE69" s="1365"/>
      <c r="AF69" s="1365"/>
      <c r="AG69" s="1365"/>
      <c r="AH69" s="1365"/>
      <c r="AI69" s="1365"/>
      <c r="AJ69" s="1365"/>
      <c r="AK69" s="1365"/>
      <c r="AL69" s="1365"/>
      <c r="AM69" s="1365"/>
      <c r="AN69" s="1365"/>
    </row>
    <row r="70" spans="1:40" ht="12" customHeight="1">
      <c r="A70" s="4"/>
      <c r="B70" s="17"/>
      <c r="C70" s="17"/>
      <c r="D70" s="11"/>
      <c r="E70" s="11"/>
      <c r="F70" s="11"/>
      <c r="G70" s="11"/>
      <c r="H70" s="11"/>
      <c r="I70" s="11"/>
      <c r="J70" s="11"/>
      <c r="K70" s="11"/>
      <c r="L70" s="17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>
      <c r="A72" s="4"/>
      <c r="B72" s="75" t="s">
        <v>59</v>
      </c>
      <c r="C72" s="75"/>
      <c r="D72" s="75"/>
      <c r="E72" s="75" t="s">
        <v>26</v>
      </c>
      <c r="F72" s="75" t="s">
        <v>661</v>
      </c>
      <c r="G72" s="75"/>
      <c r="H72" s="75"/>
      <c r="I72" s="75"/>
      <c r="J72" s="75"/>
      <c r="K72" s="75"/>
      <c r="L72" s="76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81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3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3" customHeight="1">
      <c r="A74" s="4"/>
      <c r="B74" s="92"/>
      <c r="C74" s="4"/>
      <c r="D74" s="4"/>
      <c r="E74" s="4"/>
      <c r="F74" s="4"/>
      <c r="G74" s="4"/>
      <c r="H74" s="4"/>
      <c r="I74" s="4"/>
      <c r="J74" s="4"/>
      <c r="K74" s="4"/>
      <c r="L74" s="4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91"/>
      <c r="AO74" s="4"/>
    </row>
    <row r="75" spans="1:41" ht="15" customHeight="1">
      <c r="A75" s="4"/>
      <c r="B75" s="151" t="s">
        <v>84</v>
      </c>
      <c r="C75" s="156" t="s">
        <v>130</v>
      </c>
      <c r="D75" s="159"/>
      <c r="E75" s="159"/>
      <c r="F75" s="159"/>
      <c r="G75" s="159"/>
      <c r="H75" s="159"/>
      <c r="I75" s="159"/>
      <c r="J75" s="159"/>
      <c r="K75" s="2162"/>
      <c r="L75" s="1444" t="s">
        <v>128</v>
      </c>
      <c r="M75" s="1444"/>
      <c r="N75" s="1444"/>
      <c r="O75" s="1444"/>
      <c r="P75" s="1444"/>
      <c r="Q75" s="1444"/>
      <c r="R75" s="1444"/>
      <c r="S75" s="1444"/>
      <c r="T75" s="156" t="s">
        <v>96</v>
      </c>
      <c r="U75" s="159"/>
      <c r="V75" s="159"/>
      <c r="W75" s="159"/>
      <c r="X75" s="159"/>
      <c r="Y75" s="159"/>
      <c r="Z75" s="159"/>
      <c r="AA75" s="2162"/>
      <c r="AB75" s="156" t="s">
        <v>152</v>
      </c>
      <c r="AC75" s="159"/>
      <c r="AD75" s="159"/>
      <c r="AE75" s="159"/>
      <c r="AF75" s="2162"/>
      <c r="AG75" s="159" t="s">
        <v>105</v>
      </c>
      <c r="AH75" s="159"/>
      <c r="AI75" s="159"/>
      <c r="AJ75" s="159"/>
      <c r="AK75" s="159"/>
      <c r="AL75" s="159"/>
      <c r="AM75" s="159"/>
      <c r="AN75" s="2162"/>
      <c r="AO75" s="4"/>
    </row>
    <row r="76" spans="1:41" ht="15" customHeight="1">
      <c r="A76" s="4"/>
      <c r="B76" s="149"/>
      <c r="C76" s="149" t="s">
        <v>95</v>
      </c>
      <c r="D76" s="71"/>
      <c r="E76" s="71"/>
      <c r="F76" s="71"/>
      <c r="G76" s="71"/>
      <c r="H76" s="71"/>
      <c r="I76" s="71"/>
      <c r="J76" s="71"/>
      <c r="K76" s="395"/>
      <c r="L76" s="71" t="s">
        <v>95</v>
      </c>
      <c r="M76" s="71"/>
      <c r="N76" s="71"/>
      <c r="O76" s="71"/>
      <c r="P76" s="71"/>
      <c r="Q76" s="71"/>
      <c r="R76" s="71"/>
      <c r="S76" s="71"/>
      <c r="T76" s="164" t="s">
        <v>104</v>
      </c>
      <c r="U76" s="69"/>
      <c r="V76" s="69"/>
      <c r="W76" s="69"/>
      <c r="X76" s="69"/>
      <c r="Y76" s="69"/>
      <c r="Z76" s="69"/>
      <c r="AA76" s="2181"/>
      <c r="AB76" s="164" t="s">
        <v>97</v>
      </c>
      <c r="AC76" s="69"/>
      <c r="AD76" s="69"/>
      <c r="AE76" s="69"/>
      <c r="AF76" s="2181"/>
      <c r="AG76" s="71" t="s">
        <v>106</v>
      </c>
      <c r="AH76" s="71"/>
      <c r="AI76" s="71"/>
      <c r="AJ76" s="71"/>
      <c r="AK76" s="71"/>
      <c r="AL76" s="71"/>
      <c r="AM76" s="71"/>
      <c r="AN76" s="395"/>
      <c r="AO76" s="4"/>
    </row>
    <row r="77" spans="1:41" ht="15" customHeight="1">
      <c r="A77" s="4"/>
      <c r="B77" s="149"/>
      <c r="C77" s="149"/>
      <c r="D77" s="71"/>
      <c r="E77" s="71"/>
      <c r="F77" s="71"/>
      <c r="G77" s="71"/>
      <c r="H77" s="71"/>
      <c r="I77" s="71"/>
      <c r="J77" s="71"/>
      <c r="K77" s="395"/>
      <c r="L77" s="71"/>
      <c r="M77" s="71"/>
      <c r="N77" s="71"/>
      <c r="O77" s="71"/>
      <c r="P77" s="71"/>
      <c r="Q77" s="71"/>
      <c r="R77" s="71"/>
      <c r="S77" s="71"/>
      <c r="T77" s="2214" t="s">
        <v>148</v>
      </c>
      <c r="U77" s="2215"/>
      <c r="V77" s="2215"/>
      <c r="W77" s="2215"/>
      <c r="X77" s="2214" t="s">
        <v>50</v>
      </c>
      <c r="Y77" s="2215"/>
      <c r="Z77" s="2215"/>
      <c r="AA77" s="2216"/>
      <c r="AB77" s="164" t="s">
        <v>662</v>
      </c>
      <c r="AC77" s="69"/>
      <c r="AD77" s="69"/>
      <c r="AE77" s="69"/>
      <c r="AF77" s="2181"/>
      <c r="AG77" s="71"/>
      <c r="AH77" s="71"/>
      <c r="AI77" s="71"/>
      <c r="AJ77" s="71"/>
      <c r="AK77" s="71"/>
      <c r="AL77" s="71"/>
      <c r="AM77" s="71"/>
      <c r="AN77" s="395"/>
      <c r="AO77" s="4"/>
    </row>
    <row r="78" spans="1:41" ht="3" customHeight="1">
      <c r="A78" s="4"/>
      <c r="B78" s="171"/>
      <c r="C78" s="172"/>
      <c r="D78" s="141"/>
      <c r="E78" s="141"/>
      <c r="F78" s="141"/>
      <c r="G78" s="141"/>
      <c r="H78" s="141"/>
      <c r="I78" s="141"/>
      <c r="J78" s="141"/>
      <c r="K78" s="143"/>
      <c r="L78" s="173"/>
      <c r="M78" s="47"/>
      <c r="N78" s="47"/>
      <c r="O78" s="47"/>
      <c r="P78" s="174"/>
      <c r="Q78" s="175"/>
      <c r="R78" s="175"/>
      <c r="S78" s="47"/>
      <c r="T78" s="2191" t="s">
        <v>67</v>
      </c>
      <c r="U78" s="2192"/>
      <c r="V78" s="2192"/>
      <c r="W78" s="2193"/>
      <c r="X78" s="2192" t="s">
        <v>68</v>
      </c>
      <c r="Y78" s="2192"/>
      <c r="Z78" s="2192"/>
      <c r="AA78" s="2192"/>
      <c r="AB78" s="176"/>
      <c r="AC78" s="175"/>
      <c r="AD78" s="177"/>
      <c r="AE78" s="175"/>
      <c r="AF78" s="178"/>
      <c r="AG78" s="175"/>
      <c r="AH78" s="47"/>
      <c r="AI78" s="47"/>
      <c r="AJ78" s="47"/>
      <c r="AK78" s="47"/>
      <c r="AL78" s="47"/>
      <c r="AM78" s="47"/>
      <c r="AN78" s="160"/>
      <c r="AO78" s="4"/>
    </row>
    <row r="79" spans="2:40" s="72" customFormat="1" ht="15" customHeight="1">
      <c r="B79" s="179" t="s">
        <v>65</v>
      </c>
      <c r="C79" s="179" t="s">
        <v>64</v>
      </c>
      <c r="D79" s="2189"/>
      <c r="E79" s="2189"/>
      <c r="F79" s="2189"/>
      <c r="G79" s="2189"/>
      <c r="H79" s="2189"/>
      <c r="I79" s="2189"/>
      <c r="J79" s="2189"/>
      <c r="K79" s="2190"/>
      <c r="L79" s="2189" t="s">
        <v>66</v>
      </c>
      <c r="M79" s="2189"/>
      <c r="N79" s="2189"/>
      <c r="O79" s="2189"/>
      <c r="P79" s="2189"/>
      <c r="Q79" s="2189"/>
      <c r="R79" s="2189"/>
      <c r="S79" s="2189"/>
      <c r="T79" s="179"/>
      <c r="U79" s="2189"/>
      <c r="V79" s="2189"/>
      <c r="W79" s="2190"/>
      <c r="X79" s="2189"/>
      <c r="Y79" s="2189"/>
      <c r="Z79" s="2189"/>
      <c r="AA79" s="2189"/>
      <c r="AB79" s="179" t="s">
        <v>99</v>
      </c>
      <c r="AC79" s="2189"/>
      <c r="AD79" s="2189"/>
      <c r="AE79" s="2189"/>
      <c r="AF79" s="2190"/>
      <c r="AG79" s="2189" t="s">
        <v>149</v>
      </c>
      <c r="AH79" s="2189"/>
      <c r="AI79" s="2189"/>
      <c r="AJ79" s="2189"/>
      <c r="AK79" s="2189"/>
      <c r="AL79" s="2189"/>
      <c r="AM79" s="2189"/>
      <c r="AN79" s="2190"/>
    </row>
    <row r="80" spans="1:55" ht="15" customHeight="1">
      <c r="A80" s="4"/>
      <c r="B80" s="1341" t="s">
        <v>621</v>
      </c>
      <c r="C80" s="2785">
        <f>IF('FE-1770 S-1'!C81="please refer to separate attachment","Lihat Lampiran Tersendiri",'FE-1770 S-1'!C81)</f>
        <v>0</v>
      </c>
      <c r="D80" s="2786"/>
      <c r="E80" s="2786"/>
      <c r="F80" s="2786"/>
      <c r="G80" s="2786"/>
      <c r="H80" s="2786"/>
      <c r="I80" s="2786"/>
      <c r="J80" s="2786"/>
      <c r="K80" s="2787"/>
      <c r="L80" s="2810" t="str">
        <f>'FE-1770 S-1'!L81</f>
        <v>-</v>
      </c>
      <c r="M80" s="2811"/>
      <c r="N80" s="2811"/>
      <c r="O80" s="2811"/>
      <c r="P80" s="2811"/>
      <c r="Q80" s="2811"/>
      <c r="R80" s="2811"/>
      <c r="S80" s="2812"/>
      <c r="T80" s="2785" t="str">
        <f>'FE-1770 S-1'!T81</f>
        <v>-</v>
      </c>
      <c r="U80" s="2786"/>
      <c r="V80" s="2786"/>
      <c r="W80" s="2787"/>
      <c r="X80" s="2197">
        <f>'FE-1770 S-1'!X81</f>
        <v>0</v>
      </c>
      <c r="Y80" s="2198"/>
      <c r="Z80" s="2198"/>
      <c r="AA80" s="2199"/>
      <c r="AB80" s="1334" t="str">
        <f>'FE-1770 S-1'!AB81</f>
        <v>21</v>
      </c>
      <c r="AC80" s="1335"/>
      <c r="AD80" s="1335"/>
      <c r="AE80" s="1335"/>
      <c r="AF80" s="1336"/>
      <c r="AG80" s="2155">
        <f>'FE-1770 S-1'!AG81</f>
        <v>0</v>
      </c>
      <c r="AH80" s="2156"/>
      <c r="AI80" s="2156"/>
      <c r="AJ80" s="2156"/>
      <c r="AK80" s="2156"/>
      <c r="AL80" s="2156"/>
      <c r="AM80" s="2156"/>
      <c r="AN80" s="334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15" customHeight="1">
      <c r="A81" s="4"/>
      <c r="B81" s="2211"/>
      <c r="C81" s="2782"/>
      <c r="D81" s="2783"/>
      <c r="E81" s="2783"/>
      <c r="F81" s="2783"/>
      <c r="G81" s="2783"/>
      <c r="H81" s="2783"/>
      <c r="I81" s="2783"/>
      <c r="J81" s="2783"/>
      <c r="K81" s="2784"/>
      <c r="L81" s="2813"/>
      <c r="M81" s="2814"/>
      <c r="N81" s="2814"/>
      <c r="O81" s="2814"/>
      <c r="P81" s="2814"/>
      <c r="Q81" s="2814"/>
      <c r="R81" s="2814"/>
      <c r="S81" s="2815"/>
      <c r="T81" s="2782"/>
      <c r="U81" s="2783"/>
      <c r="V81" s="2783"/>
      <c r="W81" s="2784"/>
      <c r="X81" s="2200"/>
      <c r="Y81" s="2201"/>
      <c r="Z81" s="2201"/>
      <c r="AA81" s="2202"/>
      <c r="AB81" s="2166"/>
      <c r="AC81" s="2167"/>
      <c r="AD81" s="2167"/>
      <c r="AE81" s="2167"/>
      <c r="AF81" s="2168"/>
      <c r="AG81" s="625"/>
      <c r="AH81" s="2157"/>
      <c r="AI81" s="2157"/>
      <c r="AJ81" s="2157"/>
      <c r="AK81" s="2157"/>
      <c r="AL81" s="2157"/>
      <c r="AM81" s="2157"/>
      <c r="AN81" s="333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" customHeight="1">
      <c r="A82" s="4"/>
      <c r="B82" s="149"/>
      <c r="C82" s="391"/>
      <c r="D82" s="392"/>
      <c r="E82" s="392"/>
      <c r="F82" s="392"/>
      <c r="G82" s="392"/>
      <c r="H82" s="392"/>
      <c r="I82" s="392"/>
      <c r="J82" s="392"/>
      <c r="K82" s="393"/>
      <c r="L82" s="443"/>
      <c r="M82" s="443"/>
      <c r="N82" s="443"/>
      <c r="O82" s="443"/>
      <c r="P82" s="443"/>
      <c r="Q82" s="443"/>
      <c r="R82" s="443"/>
      <c r="S82" s="443"/>
      <c r="T82" s="391"/>
      <c r="U82" s="392"/>
      <c r="V82" s="392"/>
      <c r="W82" s="393"/>
      <c r="X82" s="441"/>
      <c r="Y82" s="442"/>
      <c r="Z82" s="441"/>
      <c r="AA82" s="441"/>
      <c r="AB82" s="343"/>
      <c r="AC82" s="40"/>
      <c r="AD82" s="342"/>
      <c r="AE82" s="40"/>
      <c r="AF82" s="344"/>
      <c r="AG82" s="40"/>
      <c r="AH82" s="40"/>
      <c r="AI82" s="40"/>
      <c r="AJ82" s="40"/>
      <c r="AK82" s="40"/>
      <c r="AL82" s="40"/>
      <c r="AM82" s="40"/>
      <c r="AN82" s="344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15" customHeight="1">
      <c r="A83" s="4"/>
      <c r="B83" s="398" t="s">
        <v>622</v>
      </c>
      <c r="C83" s="2779" t="str">
        <f>'FE-1770 S-1'!C83</f>
        <v>-</v>
      </c>
      <c r="D83" s="2780"/>
      <c r="E83" s="2780"/>
      <c r="F83" s="2780"/>
      <c r="G83" s="2780"/>
      <c r="H83" s="2780"/>
      <c r="I83" s="2780"/>
      <c r="J83" s="2780"/>
      <c r="K83" s="2781"/>
      <c r="L83" s="2816" t="str">
        <f>'FE-1770 S-1'!L83</f>
        <v>-</v>
      </c>
      <c r="M83" s="2817"/>
      <c r="N83" s="2817"/>
      <c r="O83" s="2817"/>
      <c r="P83" s="2817"/>
      <c r="Q83" s="2817"/>
      <c r="R83" s="2817"/>
      <c r="S83" s="2818"/>
      <c r="T83" s="2779" t="str">
        <f>'FE-1770 S-1'!T83</f>
        <v>-</v>
      </c>
      <c r="U83" s="2780"/>
      <c r="V83" s="2780"/>
      <c r="W83" s="2781"/>
      <c r="X83" s="2217" t="str">
        <f>'FE-1770 S-1'!X83</f>
        <v>-</v>
      </c>
      <c r="Y83" s="2218"/>
      <c r="Z83" s="2218"/>
      <c r="AA83" s="1323"/>
      <c r="AB83" s="810" t="str">
        <f>'FE-1770 S-1'!AB83</f>
        <v>-</v>
      </c>
      <c r="AC83" s="302"/>
      <c r="AD83" s="302"/>
      <c r="AE83" s="302"/>
      <c r="AF83" s="2171"/>
      <c r="AG83" s="810">
        <f>'FE-1770 S-1'!AG83</f>
        <v>0</v>
      </c>
      <c r="AH83" s="302"/>
      <c r="AI83" s="302"/>
      <c r="AJ83" s="302"/>
      <c r="AK83" s="302"/>
      <c r="AL83" s="302"/>
      <c r="AM83" s="302"/>
      <c r="AN83" s="327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15" customHeight="1">
      <c r="A84" s="4"/>
      <c r="B84" s="2211"/>
      <c r="C84" s="2782"/>
      <c r="D84" s="2783"/>
      <c r="E84" s="2783"/>
      <c r="F84" s="2783"/>
      <c r="G84" s="2783"/>
      <c r="H84" s="2783"/>
      <c r="I84" s="2783"/>
      <c r="J84" s="2783"/>
      <c r="K84" s="2784"/>
      <c r="L84" s="2813"/>
      <c r="M84" s="2814"/>
      <c r="N84" s="2814"/>
      <c r="O84" s="2814"/>
      <c r="P84" s="2814"/>
      <c r="Q84" s="2814"/>
      <c r="R84" s="2814"/>
      <c r="S84" s="2815"/>
      <c r="T84" s="2782"/>
      <c r="U84" s="2783"/>
      <c r="V84" s="2783"/>
      <c r="W84" s="2784"/>
      <c r="X84" s="2200"/>
      <c r="Y84" s="2201"/>
      <c r="Z84" s="2201"/>
      <c r="AA84" s="2202"/>
      <c r="AB84" s="625"/>
      <c r="AC84" s="2157"/>
      <c r="AD84" s="2157"/>
      <c r="AE84" s="2157"/>
      <c r="AF84" s="2170"/>
      <c r="AG84" s="625"/>
      <c r="AH84" s="2157"/>
      <c r="AI84" s="2157"/>
      <c r="AJ84" s="2157"/>
      <c r="AK84" s="2157"/>
      <c r="AL84" s="2157"/>
      <c r="AM84" s="2157"/>
      <c r="AN84" s="333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" customHeight="1">
      <c r="A85" s="4"/>
      <c r="B85" s="149"/>
      <c r="C85" s="391"/>
      <c r="D85" s="392"/>
      <c r="E85" s="392"/>
      <c r="F85" s="392"/>
      <c r="G85" s="392"/>
      <c r="H85" s="392"/>
      <c r="I85" s="392"/>
      <c r="J85" s="392"/>
      <c r="K85" s="393"/>
      <c r="L85" s="443"/>
      <c r="M85" s="443"/>
      <c r="N85" s="443"/>
      <c r="O85" s="443"/>
      <c r="P85" s="443"/>
      <c r="Q85" s="443"/>
      <c r="R85" s="443"/>
      <c r="S85" s="443"/>
      <c r="T85" s="391"/>
      <c r="U85" s="392"/>
      <c r="V85" s="392"/>
      <c r="W85" s="393"/>
      <c r="X85" s="441"/>
      <c r="Y85" s="442"/>
      <c r="Z85" s="441"/>
      <c r="AA85" s="441"/>
      <c r="AB85" s="340"/>
      <c r="AC85" s="322"/>
      <c r="AD85" s="342"/>
      <c r="AE85" s="322"/>
      <c r="AF85" s="341"/>
      <c r="AG85" s="40"/>
      <c r="AH85" s="40"/>
      <c r="AI85" s="40"/>
      <c r="AJ85" s="40"/>
      <c r="AK85" s="40"/>
      <c r="AL85" s="40"/>
      <c r="AM85" s="40"/>
      <c r="AN85" s="344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15" customHeight="1">
      <c r="A86" s="4"/>
      <c r="B86" s="398" t="s">
        <v>623</v>
      </c>
      <c r="C86" s="2779" t="str">
        <f>'FE-1770 S-1'!C86</f>
        <v>-</v>
      </c>
      <c r="D86" s="2780"/>
      <c r="E86" s="2780"/>
      <c r="F86" s="2780"/>
      <c r="G86" s="2780"/>
      <c r="H86" s="2780"/>
      <c r="I86" s="2780"/>
      <c r="J86" s="2780"/>
      <c r="K86" s="2781"/>
      <c r="L86" s="2816" t="str">
        <f>'FE-1770 S-1'!L86</f>
        <v>-</v>
      </c>
      <c r="M86" s="2817"/>
      <c r="N86" s="2817"/>
      <c r="O86" s="2817"/>
      <c r="P86" s="2817"/>
      <c r="Q86" s="2817"/>
      <c r="R86" s="2817"/>
      <c r="S86" s="2818"/>
      <c r="T86" s="2779" t="str">
        <f>'FE-1770 S-1'!T86</f>
        <v>-</v>
      </c>
      <c r="U86" s="2780"/>
      <c r="V86" s="2780"/>
      <c r="W86" s="2781"/>
      <c r="X86" s="2217" t="str">
        <f>'FE-1770 S-1'!X86</f>
        <v>-</v>
      </c>
      <c r="Y86" s="2218"/>
      <c r="Z86" s="2218"/>
      <c r="AA86" s="1323"/>
      <c r="AB86" s="810" t="str">
        <f>'FE-1770 S-1'!AB86</f>
        <v>-</v>
      </c>
      <c r="AC86" s="302"/>
      <c r="AD86" s="302"/>
      <c r="AE86" s="302"/>
      <c r="AF86" s="2171"/>
      <c r="AG86" s="810">
        <f>'FE-1770 S-1'!AG85</f>
        <v>0</v>
      </c>
      <c r="AH86" s="302"/>
      <c r="AI86" s="302"/>
      <c r="AJ86" s="302"/>
      <c r="AK86" s="302"/>
      <c r="AL86" s="302"/>
      <c r="AM86" s="302"/>
      <c r="AN86" s="327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15" customHeight="1">
      <c r="A87" s="4"/>
      <c r="B87" s="2211"/>
      <c r="C87" s="2782"/>
      <c r="D87" s="2783"/>
      <c r="E87" s="2783"/>
      <c r="F87" s="2783"/>
      <c r="G87" s="2783"/>
      <c r="H87" s="2783"/>
      <c r="I87" s="2783"/>
      <c r="J87" s="2783"/>
      <c r="K87" s="2784"/>
      <c r="L87" s="2813"/>
      <c r="M87" s="2814"/>
      <c r="N87" s="2814"/>
      <c r="O87" s="2814"/>
      <c r="P87" s="2814"/>
      <c r="Q87" s="2814"/>
      <c r="R87" s="2814"/>
      <c r="S87" s="2815"/>
      <c r="T87" s="2782"/>
      <c r="U87" s="2783"/>
      <c r="V87" s="2783"/>
      <c r="W87" s="2784"/>
      <c r="X87" s="2200"/>
      <c r="Y87" s="2201"/>
      <c r="Z87" s="2201"/>
      <c r="AA87" s="2202"/>
      <c r="AB87" s="625"/>
      <c r="AC87" s="2157"/>
      <c r="AD87" s="2157"/>
      <c r="AE87" s="2157"/>
      <c r="AF87" s="2170"/>
      <c r="AG87" s="625"/>
      <c r="AH87" s="2157"/>
      <c r="AI87" s="2157"/>
      <c r="AJ87" s="2157"/>
      <c r="AK87" s="2157"/>
      <c r="AL87" s="2157"/>
      <c r="AM87" s="2157"/>
      <c r="AN87" s="333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" customHeight="1">
      <c r="A88" s="4"/>
      <c r="B88" s="151"/>
      <c r="C88" s="1437"/>
      <c r="D88" s="1438"/>
      <c r="E88" s="1438"/>
      <c r="F88" s="1438"/>
      <c r="G88" s="1438"/>
      <c r="H88" s="1438"/>
      <c r="I88" s="1438"/>
      <c r="J88" s="1438"/>
      <c r="K88" s="1439"/>
      <c r="L88" s="1440"/>
      <c r="M88" s="1440"/>
      <c r="N88" s="1440"/>
      <c r="O88" s="1440"/>
      <c r="P88" s="1440"/>
      <c r="Q88" s="1440"/>
      <c r="R88" s="1440"/>
      <c r="S88" s="1440"/>
      <c r="T88" s="1437"/>
      <c r="U88" s="1438"/>
      <c r="V88" s="1438"/>
      <c r="W88" s="1439"/>
      <c r="X88" s="1368"/>
      <c r="Y88" s="1390"/>
      <c r="Z88" s="1368"/>
      <c r="AA88" s="1368"/>
      <c r="AB88" s="632"/>
      <c r="AC88" s="337"/>
      <c r="AD88" s="1391"/>
      <c r="AE88" s="337"/>
      <c r="AF88" s="633"/>
      <c r="AG88" s="2155">
        <f>'FE-1770 S-1'!AG89</f>
        <v>0</v>
      </c>
      <c r="AH88" s="2156"/>
      <c r="AI88" s="2156"/>
      <c r="AJ88" s="2156"/>
      <c r="AK88" s="2156"/>
      <c r="AL88" s="2156"/>
      <c r="AM88" s="2156"/>
      <c r="AN88" s="633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15" customHeight="1">
      <c r="A89" s="4"/>
      <c r="B89" s="398" t="s">
        <v>624</v>
      </c>
      <c r="C89" s="2779" t="str">
        <f>'FE-1770 S-1'!C88</f>
        <v>-</v>
      </c>
      <c r="D89" s="2780"/>
      <c r="E89" s="2780"/>
      <c r="F89" s="2780"/>
      <c r="G89" s="2780"/>
      <c r="H89" s="2780"/>
      <c r="I89" s="2780"/>
      <c r="J89" s="2780"/>
      <c r="K89" s="2781"/>
      <c r="L89" s="2788" t="str">
        <f>'FE-1770 S-1'!L89</f>
        <v>-</v>
      </c>
      <c r="M89" s="2789"/>
      <c r="N89" s="2789"/>
      <c r="O89" s="2789"/>
      <c r="P89" s="2789"/>
      <c r="Q89" s="2789"/>
      <c r="R89" s="2789"/>
      <c r="S89" s="2790"/>
      <c r="T89" s="2794" t="str">
        <f>'FE-1770 S-1'!T89</f>
        <v>-</v>
      </c>
      <c r="U89" s="2795"/>
      <c r="V89" s="2795"/>
      <c r="W89" s="2796"/>
      <c r="X89" s="2217" t="str">
        <f>'FE-1770 S-1'!X89</f>
        <v>-</v>
      </c>
      <c r="Y89" s="2218"/>
      <c r="Z89" s="2218"/>
      <c r="AA89" s="1323"/>
      <c r="AB89" s="340" t="str">
        <f>'FE-1770 S-1'!AB89</f>
        <v>-</v>
      </c>
      <c r="AC89" s="322"/>
      <c r="AD89" s="322"/>
      <c r="AE89" s="322"/>
      <c r="AF89" s="341"/>
      <c r="AG89" s="810"/>
      <c r="AH89" s="302"/>
      <c r="AI89" s="302"/>
      <c r="AJ89" s="302"/>
      <c r="AK89" s="302"/>
      <c r="AL89" s="302"/>
      <c r="AM89" s="302"/>
      <c r="AN89" s="327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15" customHeight="1">
      <c r="A90" s="4"/>
      <c r="B90" s="2211"/>
      <c r="C90" s="2782"/>
      <c r="D90" s="2783"/>
      <c r="E90" s="2783"/>
      <c r="F90" s="2783"/>
      <c r="G90" s="2783"/>
      <c r="H90" s="2783"/>
      <c r="I90" s="2783"/>
      <c r="J90" s="2783"/>
      <c r="K90" s="2784"/>
      <c r="L90" s="2791"/>
      <c r="M90" s="2792"/>
      <c r="N90" s="2792"/>
      <c r="O90" s="2792"/>
      <c r="P90" s="2792"/>
      <c r="Q90" s="2792"/>
      <c r="R90" s="2792"/>
      <c r="S90" s="2793"/>
      <c r="T90" s="2797"/>
      <c r="U90" s="2798"/>
      <c r="V90" s="2798"/>
      <c r="W90" s="2799"/>
      <c r="X90" s="2200"/>
      <c r="Y90" s="2201"/>
      <c r="Z90" s="2201"/>
      <c r="AA90" s="2202"/>
      <c r="AB90" s="2166"/>
      <c r="AC90" s="2167"/>
      <c r="AD90" s="2167"/>
      <c r="AE90" s="2167"/>
      <c r="AF90" s="2168"/>
      <c r="AG90" s="625"/>
      <c r="AH90" s="2157"/>
      <c r="AI90" s="2157"/>
      <c r="AJ90" s="2157"/>
      <c r="AK90" s="2157"/>
      <c r="AL90" s="2157"/>
      <c r="AM90" s="2157"/>
      <c r="AN90" s="333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40" ht="3" customHeight="1">
      <c r="A91" s="4"/>
      <c r="B91" s="149"/>
      <c r="C91" s="391"/>
      <c r="D91" s="392"/>
      <c r="E91" s="392"/>
      <c r="F91" s="392"/>
      <c r="G91" s="392"/>
      <c r="H91" s="392"/>
      <c r="I91" s="392"/>
      <c r="J91" s="392"/>
      <c r="K91" s="393"/>
      <c r="L91" s="443"/>
      <c r="M91" s="443"/>
      <c r="N91" s="443"/>
      <c r="O91" s="443"/>
      <c r="P91" s="443"/>
      <c r="Q91" s="443"/>
      <c r="R91" s="443"/>
      <c r="S91" s="443"/>
      <c r="T91" s="391"/>
      <c r="U91" s="392"/>
      <c r="V91" s="392"/>
      <c r="W91" s="393"/>
      <c r="X91" s="441"/>
      <c r="Y91" s="442"/>
      <c r="Z91" s="441"/>
      <c r="AA91" s="441"/>
      <c r="AB91" s="340"/>
      <c r="AC91" s="322"/>
      <c r="AD91" s="342"/>
      <c r="AE91" s="322"/>
      <c r="AF91" s="341"/>
      <c r="AG91" s="40"/>
      <c r="AH91" s="40"/>
      <c r="AI91" s="40"/>
      <c r="AJ91" s="40"/>
      <c r="AK91" s="40"/>
      <c r="AL91" s="40"/>
      <c r="AM91" s="40"/>
      <c r="AN91" s="344"/>
    </row>
    <row r="92" spans="1:41" ht="15" customHeight="1">
      <c r="A92" s="4"/>
      <c r="B92" s="398" t="s">
        <v>625</v>
      </c>
      <c r="C92" s="2794">
        <v>0</v>
      </c>
      <c r="D92" s="2795"/>
      <c r="E92" s="2795"/>
      <c r="F92" s="2795"/>
      <c r="G92" s="2795"/>
      <c r="H92" s="2795"/>
      <c r="I92" s="2795"/>
      <c r="J92" s="2795"/>
      <c r="K92" s="2796"/>
      <c r="L92" s="2788">
        <v>0</v>
      </c>
      <c r="M92" s="2789"/>
      <c r="N92" s="2789"/>
      <c r="O92" s="2789"/>
      <c r="P92" s="2789"/>
      <c r="Q92" s="2789"/>
      <c r="R92" s="2789"/>
      <c r="S92" s="2790"/>
      <c r="T92" s="2794">
        <v>0</v>
      </c>
      <c r="U92" s="2795"/>
      <c r="V92" s="2795"/>
      <c r="W92" s="2796"/>
      <c r="X92" s="2217" t="s">
        <v>30</v>
      </c>
      <c r="Y92" s="2218"/>
      <c r="Z92" s="2218"/>
      <c r="AA92" s="1323"/>
      <c r="AB92" s="340" t="s">
        <v>30</v>
      </c>
      <c r="AC92" s="322"/>
      <c r="AD92" s="322"/>
      <c r="AE92" s="322"/>
      <c r="AF92" s="341"/>
      <c r="AG92" s="810">
        <v>0</v>
      </c>
      <c r="AH92" s="302"/>
      <c r="AI92" s="302"/>
      <c r="AJ92" s="302"/>
      <c r="AK92" s="302"/>
      <c r="AL92" s="302"/>
      <c r="AM92" s="302"/>
      <c r="AN92" s="327"/>
      <c r="AO92" s="4"/>
    </row>
    <row r="93" spans="1:41" ht="15" customHeight="1">
      <c r="A93" s="4"/>
      <c r="B93" s="399" t="s">
        <v>124</v>
      </c>
      <c r="C93" s="2800"/>
      <c r="D93" s="2801"/>
      <c r="E93" s="2801"/>
      <c r="F93" s="2801"/>
      <c r="G93" s="2801"/>
      <c r="H93" s="2801"/>
      <c r="I93" s="2801"/>
      <c r="J93" s="2801"/>
      <c r="K93" s="2802"/>
      <c r="L93" s="2803"/>
      <c r="M93" s="2804"/>
      <c r="N93" s="2804"/>
      <c r="O93" s="2804"/>
      <c r="P93" s="2804"/>
      <c r="Q93" s="2804"/>
      <c r="R93" s="2804"/>
      <c r="S93" s="2805"/>
      <c r="T93" s="2800"/>
      <c r="U93" s="2801"/>
      <c r="V93" s="2801"/>
      <c r="W93" s="2802"/>
      <c r="X93" s="2806"/>
      <c r="Y93" s="2807"/>
      <c r="Z93" s="2807"/>
      <c r="AA93" s="2808"/>
      <c r="AB93" s="2163"/>
      <c r="AC93" s="2164"/>
      <c r="AD93" s="2164"/>
      <c r="AE93" s="2164"/>
      <c r="AF93" s="2165"/>
      <c r="AG93" s="2159"/>
      <c r="AH93" s="2160"/>
      <c r="AI93" s="2160"/>
      <c r="AJ93" s="2160"/>
      <c r="AK93" s="2160"/>
      <c r="AL93" s="2160"/>
      <c r="AM93" s="2160"/>
      <c r="AN93" s="330"/>
      <c r="AO93" s="4"/>
    </row>
    <row r="94" spans="1:41" ht="3" customHeight="1">
      <c r="A94" s="4"/>
      <c r="B94" s="156"/>
      <c r="C94" s="151" t="s">
        <v>115</v>
      </c>
      <c r="D94" s="1444"/>
      <c r="E94" s="1444"/>
      <c r="F94" s="1444"/>
      <c r="G94" s="1444"/>
      <c r="H94" s="1444"/>
      <c r="I94" s="1444"/>
      <c r="J94" s="1444"/>
      <c r="K94" s="1444"/>
      <c r="L94" s="1444"/>
      <c r="M94" s="1444"/>
      <c r="N94" s="1444"/>
      <c r="O94" s="1444"/>
      <c r="P94" s="1444"/>
      <c r="Q94" s="1444"/>
      <c r="R94" s="1444"/>
      <c r="S94" s="1444"/>
      <c r="T94" s="1444"/>
      <c r="U94" s="1444"/>
      <c r="V94" s="1444"/>
      <c r="W94" s="1444"/>
      <c r="X94" s="1444"/>
      <c r="Y94" s="1444"/>
      <c r="Z94" s="1444"/>
      <c r="AA94" s="2161"/>
      <c r="AB94" s="180"/>
      <c r="AC94" s="181"/>
      <c r="AD94" s="181"/>
      <c r="AE94" s="151" t="s">
        <v>114</v>
      </c>
      <c r="AF94" s="2161"/>
      <c r="AG94" s="338"/>
      <c r="AH94" s="338"/>
      <c r="AI94" s="338"/>
      <c r="AJ94" s="339"/>
      <c r="AK94" s="339"/>
      <c r="AL94" s="339"/>
      <c r="AM94" s="339"/>
      <c r="AN94" s="368"/>
      <c r="AO94" s="4"/>
    </row>
    <row r="95" spans="1:41" ht="15" customHeight="1">
      <c r="A95" s="4"/>
      <c r="B95" s="149"/>
      <c r="C95" s="149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395"/>
      <c r="AB95" s="169"/>
      <c r="AC95" s="105"/>
      <c r="AD95" s="105"/>
      <c r="AE95" s="149"/>
      <c r="AF95" s="395"/>
      <c r="AG95" s="810">
        <f>'FE-1770 S-1'!AG95</f>
        <v>0</v>
      </c>
      <c r="AH95" s="302"/>
      <c r="AI95" s="302"/>
      <c r="AJ95" s="302"/>
      <c r="AK95" s="302"/>
      <c r="AL95" s="302"/>
      <c r="AM95" s="302"/>
      <c r="AN95" s="327"/>
      <c r="AO95" s="4"/>
    </row>
    <row r="96" spans="1:41" ht="15" customHeight="1">
      <c r="A96" s="4"/>
      <c r="B96" s="153"/>
      <c r="C96" s="149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395"/>
      <c r="AB96" s="169"/>
      <c r="AC96" s="105"/>
      <c r="AD96" s="105"/>
      <c r="AE96" s="149"/>
      <c r="AF96" s="395"/>
      <c r="AG96" s="810"/>
      <c r="AH96" s="302"/>
      <c r="AI96" s="302"/>
      <c r="AJ96" s="302"/>
      <c r="AK96" s="302"/>
      <c r="AL96" s="302"/>
      <c r="AM96" s="302"/>
      <c r="AN96" s="327"/>
      <c r="AO96" s="4"/>
    </row>
    <row r="97" spans="1:41" customFormat="1" ht="3" customHeight="1">
      <c r="A97" s="4"/>
      <c r="B97" s="165"/>
      <c r="C97" s="1337"/>
      <c r="D97" s="2187"/>
      <c r="E97" s="2187"/>
      <c r="F97" s="2187"/>
      <c r="G97" s="2187"/>
      <c r="H97" s="2187"/>
      <c r="I97" s="2187"/>
      <c r="J97" s="2187"/>
      <c r="K97" s="2187"/>
      <c r="L97" s="2187"/>
      <c r="M97" s="2187"/>
      <c r="N97" s="2187"/>
      <c r="O97" s="2187"/>
      <c r="P97" s="2187"/>
      <c r="Q97" s="2187"/>
      <c r="R97" s="2187"/>
      <c r="S97" s="2187"/>
      <c r="T97" s="2187"/>
      <c r="U97" s="2187"/>
      <c r="V97" s="2187"/>
      <c r="W97" s="2187"/>
      <c r="X97" s="2187"/>
      <c r="Y97" s="2187"/>
      <c r="Z97" s="2187"/>
      <c r="AA97" s="2180"/>
      <c r="AB97" s="170"/>
      <c r="AC97" s="166"/>
      <c r="AD97" s="166"/>
      <c r="AE97" s="1337"/>
      <c r="AF97" s="2180"/>
      <c r="AG97" s="369"/>
      <c r="AH97" s="369"/>
      <c r="AI97" s="369"/>
      <c r="AJ97" s="114"/>
      <c r="AK97" s="114"/>
      <c r="AL97" s="114"/>
      <c r="AM97" s="114"/>
      <c r="AN97" s="370"/>
      <c r="AO97" s="4"/>
    </row>
    <row r="98" spans="1:41" customFormat="1" ht="11.25" customHeight="1">
      <c r="A98" s="4"/>
      <c r="B98" s="15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  <c r="AA98" s="322"/>
      <c r="AB98" s="70"/>
      <c r="AC98" s="70"/>
      <c r="AD98" s="70"/>
      <c r="AE98" s="322"/>
      <c r="AF98" s="322"/>
      <c r="AG98" s="4" t="s">
        <v>135</v>
      </c>
      <c r="AH98" s="6"/>
      <c r="AI98" s="72"/>
      <c r="AJ98" s="46"/>
      <c r="AK98" s="46"/>
      <c r="AL98" s="46"/>
      <c r="AM98" s="46"/>
      <c r="AN98" s="46"/>
      <c r="AO98" s="4"/>
    </row>
    <row r="99" spans="1:41" customFormat="1" ht="14.25" customHeight="1">
      <c r="A99" s="4"/>
      <c r="B99" s="15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  <c r="AA99" s="322"/>
      <c r="AB99" s="70"/>
      <c r="AC99" s="70"/>
      <c r="AD99" s="70"/>
      <c r="AE99" s="322"/>
      <c r="AF99" s="322"/>
      <c r="AG99" s="4" t="s">
        <v>663</v>
      </c>
      <c r="AH99" s="5"/>
      <c r="AI99" s="72"/>
      <c r="AJ99" s="46"/>
      <c r="AK99" s="46"/>
      <c r="AL99" s="46"/>
      <c r="AM99" s="46"/>
      <c r="AN99" s="46"/>
      <c r="AO99" s="4"/>
    </row>
    <row r="100" spans="1:41" customFormat="1" ht="14.25" customHeight="1">
      <c r="A100" s="4"/>
      <c r="B100" s="15"/>
      <c r="C100" s="322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  <c r="AA100" s="322"/>
      <c r="AB100" s="70"/>
      <c r="AC100" s="70"/>
      <c r="AD100" s="70"/>
      <c r="AE100" s="322"/>
      <c r="AF100" s="322"/>
      <c r="AG100" s="4"/>
      <c r="AH100" s="5"/>
      <c r="AI100" s="72"/>
      <c r="AJ100" s="46"/>
      <c r="AK100" s="46"/>
      <c r="AL100" s="46"/>
      <c r="AM100" s="46"/>
      <c r="AN100" s="46"/>
      <c r="AO100" s="4"/>
    </row>
    <row r="101" spans="1:41" ht="14.25" customHeight="1">
      <c r="A101" s="4"/>
      <c r="B101" s="4" t="s">
        <v>60</v>
      </c>
      <c r="C101" s="4"/>
      <c r="D101" s="4"/>
      <c r="E101" s="4"/>
      <c r="F101" s="4"/>
      <c r="G101" s="4"/>
      <c r="H101" s="4"/>
      <c r="I101" s="4"/>
      <c r="J101" s="4"/>
      <c r="K101" s="4"/>
      <c r="L101" s="43"/>
      <c r="M101" s="4"/>
      <c r="N101" s="34"/>
      <c r="O101" s="34"/>
      <c r="P101" s="34"/>
      <c r="Q101" s="34"/>
      <c r="R101" s="34"/>
      <c r="S101" s="34"/>
      <c r="T101" s="34"/>
      <c r="U101" s="16"/>
      <c r="V101" s="16"/>
      <c r="W101" s="16"/>
      <c r="X101" s="16"/>
      <c r="Y101" s="16"/>
      <c r="Z101" s="16"/>
      <c r="AA101" s="16"/>
      <c r="AB101" s="16"/>
      <c r="AC101" s="16"/>
      <c r="AI101" s="6"/>
      <c r="AJ101" s="6"/>
      <c r="AK101" s="6"/>
      <c r="AL101" s="6"/>
      <c r="AN101" s="6"/>
      <c r="AO101" s="4"/>
    </row>
    <row r="102" spans="1:41" ht="12.75" customHeight="1">
      <c r="A102" s="4"/>
      <c r="B102" s="4" t="s">
        <v>62</v>
      </c>
      <c r="C102" s="65" t="s">
        <v>83</v>
      </c>
      <c r="D102" s="65"/>
      <c r="E102" s="4"/>
      <c r="F102" s="4"/>
      <c r="G102" s="4"/>
      <c r="H102" s="4"/>
      <c r="I102" s="4"/>
      <c r="J102" s="4"/>
      <c r="K102" s="4"/>
      <c r="L102" s="4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E102" s="5"/>
      <c r="AI102" s="5"/>
      <c r="AJ102" s="5"/>
      <c r="AK102" s="5"/>
      <c r="AL102" s="5"/>
      <c r="AN102" s="5"/>
      <c r="AO102" s="4"/>
    </row>
    <row r="103" spans="1:40" ht="12" customHeight="1">
      <c r="A103" s="4"/>
      <c r="C103" s="65" t="s">
        <v>155</v>
      </c>
      <c r="D103" s="65"/>
      <c r="E103" s="4"/>
      <c r="F103" s="4"/>
      <c r="G103" s="4"/>
      <c r="H103" s="4"/>
      <c r="I103" s="4"/>
      <c r="J103" s="4"/>
      <c r="K103" s="4"/>
      <c r="L103" s="43"/>
      <c r="M103" s="4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N103" s="4"/>
    </row>
    <row r="104" spans="3:40" ht="15" customHeight="1">
      <c r="C104" s="120" t="s">
        <v>138</v>
      </c>
      <c r="D104" s="93"/>
      <c r="E104" s="93"/>
      <c r="F104" s="93"/>
      <c r="G104" s="93"/>
      <c r="H104" s="93"/>
      <c r="I104" s="93"/>
      <c r="J104" s="93"/>
      <c r="K104" s="93"/>
      <c r="L104" s="119"/>
      <c r="M104" s="93"/>
      <c r="N104" s="46"/>
      <c r="O104" s="46"/>
      <c r="P104" s="46"/>
      <c r="Q104" s="46"/>
      <c r="R104" s="46"/>
      <c r="S104" s="46"/>
      <c r="T104" s="46"/>
      <c r="U104" s="46"/>
      <c r="V104" s="46"/>
      <c r="W104" s="93"/>
      <c r="X104" s="93"/>
      <c r="Y104" s="93"/>
      <c r="Z104" s="93"/>
      <c r="AA104" s="93"/>
      <c r="AB104" s="93"/>
      <c r="AC104" s="93"/>
      <c r="AD104" s="93"/>
      <c r="AE104" s="93"/>
      <c r="AN104" s="72"/>
    </row>
    <row r="105" spans="3:3" ht="15" customHeight="1">
      <c r="C105" s="65" t="s">
        <v>162</v>
      </c>
    </row>
    <row r="106" spans="3:3" ht="15" customHeight="1">
      <c r="C106" s="65"/>
    </row>
    <row r="107" spans="3:3" ht="15" customHeight="1" thickBot="1">
      <c r="C107" s="65"/>
    </row>
    <row r="108" spans="2:40" ht="16.5" customHeight="1" thickBot="1">
      <c r="B108" s="204" t="s">
        <v>132</v>
      </c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6"/>
      <c r="U108" s="202"/>
      <c r="AD108" s="65" t="s">
        <v>136</v>
      </c>
      <c r="AE108" s="65"/>
      <c r="AF108" s="65"/>
      <c r="AG108" s="1392">
        <f>'FE-1770 S-1'!AG108</f>
        <v>1</v>
      </c>
      <c r="AH108" s="61" t="s">
        <v>137</v>
      </c>
      <c r="AI108" s="1392">
        <f>'FE-1770 S-1'!AI108</f>
        <v>1</v>
      </c>
      <c r="AJ108" s="65" t="s">
        <v>163</v>
      </c>
      <c r="AK108" s="11"/>
      <c r="AL108" s="11"/>
      <c r="AM108" s="11"/>
      <c r="AN108" s="11"/>
    </row>
    <row r="109" spans="2:40" ht="16.5" customHeight="1">
      <c r="B109" s="202"/>
      <c r="C109" s="202"/>
      <c r="D109" s="202"/>
      <c r="E109" s="202"/>
      <c r="F109" s="202"/>
      <c r="G109" s="202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AD109" s="65"/>
      <c r="AE109" s="65"/>
      <c r="AF109" s="65"/>
      <c r="AG109" s="65"/>
      <c r="AH109" s="61"/>
      <c r="AI109" s="65"/>
      <c r="AJ109" s="65"/>
      <c r="AK109" s="11"/>
      <c r="AL109" s="11"/>
      <c r="AM109" s="11"/>
      <c r="AN109" s="11"/>
    </row>
    <row r="110" spans="2:40" ht="16.5" customHeight="1">
      <c r="B110" s="202"/>
      <c r="C110" s="202"/>
      <c r="D110" s="202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AD110" s="65"/>
      <c r="AE110" s="65"/>
      <c r="AF110" s="65"/>
      <c r="AG110" s="65"/>
      <c r="AH110" s="61"/>
      <c r="AI110" s="65"/>
      <c r="AJ110" s="65"/>
      <c r="AK110" s="11"/>
      <c r="AL110" s="11"/>
      <c r="AM110" s="11"/>
      <c r="AN110" s="11"/>
    </row>
    <row r="111" spans="2:40" ht="16.5" customHeight="1"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AD111" s="65"/>
      <c r="AE111" s="65"/>
      <c r="AF111" s="65"/>
      <c r="AG111" s="65"/>
      <c r="AH111" s="61"/>
      <c r="AI111" s="65"/>
      <c r="AJ111" s="65"/>
      <c r="AK111" s="11"/>
      <c r="AL111" s="11"/>
      <c r="AM111" s="11"/>
      <c r="AN111" s="11"/>
    </row>
    <row r="112" spans="2:40" ht="16.5" customHeight="1">
      <c r="B112" s="202"/>
      <c r="C112" s="202"/>
      <c r="D112" s="202"/>
      <c r="E112" s="202"/>
      <c r="F112" s="202"/>
      <c r="G112" s="202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  <c r="U112" s="202"/>
      <c r="AD112" s="65"/>
      <c r="AE112" s="65"/>
      <c r="AF112" s="65"/>
      <c r="AG112" s="65"/>
      <c r="AH112" s="61"/>
      <c r="AI112" s="65"/>
      <c r="AJ112" s="65"/>
      <c r="AK112" s="11"/>
      <c r="AL112" s="11"/>
      <c r="AM112" s="11"/>
      <c r="AN112" s="11"/>
    </row>
    <row r="113" spans="2:40" ht="16.5" customHeight="1">
      <c r="B113" s="202"/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2"/>
      <c r="S113" s="202"/>
      <c r="T113" s="202"/>
      <c r="U113" s="202"/>
      <c r="AD113" s="65"/>
      <c r="AE113" s="65"/>
      <c r="AF113" s="65"/>
      <c r="AG113" s="65"/>
      <c r="AH113" s="61"/>
      <c r="AI113" s="65"/>
      <c r="AJ113" s="65"/>
      <c r="AK113" s="11"/>
      <c r="AL113" s="11"/>
      <c r="AM113" s="11"/>
      <c r="AN113" s="11"/>
    </row>
    <row r="114" spans="1:41" customHeight="1">
      <c r="A114" s="1"/>
      <c r="B114" s="4"/>
      <c r="C114" s="4"/>
      <c r="D114" s="4"/>
      <c r="AO114" s="1"/>
    </row>
    <row r="117" spans="17:26" customHeight="1"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5:26" customHeight="1">
      <c r="E118" s="104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2:26" customHeight="1">
      <c r="B119" s="6"/>
      <c r="C119" s="6"/>
      <c r="E119" s="104"/>
      <c r="F119" s="6"/>
      <c r="G119" s="6"/>
      <c r="H119" s="6"/>
      <c r="I119" s="6"/>
      <c r="J119" s="6"/>
      <c r="K119" s="6"/>
      <c r="L119" s="8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1" spans="2:26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</sheetData>
  <sheetProtection password="BDAF" sheet="1" objects="1" scenarios="1" selectLockedCells="1" selectUnlockedCells="1"/>
  <mergeCells count="132">
    <mergeCell ref="AB86:AF87"/>
    <mergeCell ref="L83:S84"/>
    <mergeCell ref="C86:K87"/>
    <mergeCell ref="L86:S87"/>
    <mergeCell ref="T86:W87"/>
    <mergeCell ref="X86:AA87"/>
    <mergeCell ref="T83:W84"/>
    <mergeCell ref="X83:AA84"/>
    <mergeCell ref="AB83:AF84"/>
    <mergeCell ref="X92:AA93"/>
    <mergeCell ref="C30:AA31"/>
    <mergeCell ref="C32:AA34"/>
    <mergeCell ref="B62:B63"/>
    <mergeCell ref="C62:AA63"/>
    <mergeCell ref="Z38:AA40"/>
    <mergeCell ref="P36:AA37"/>
    <mergeCell ref="C36:H37"/>
    <mergeCell ref="C39:Y40"/>
    <mergeCell ref="L50:AA51"/>
    <mergeCell ref="C59:AA60"/>
    <mergeCell ref="B80:B81"/>
    <mergeCell ref="B83:B84"/>
    <mergeCell ref="B86:B87"/>
    <mergeCell ref="B89:B90"/>
    <mergeCell ref="C46:AA47"/>
    <mergeCell ref="C53:E54"/>
    <mergeCell ref="F53:AA54"/>
    <mergeCell ref="C50:K51"/>
    <mergeCell ref="T80:W81"/>
    <mergeCell ref="X80:AA81"/>
    <mergeCell ref="L80:S81"/>
    <mergeCell ref="AB80:AF81"/>
    <mergeCell ref="AG75:AN75"/>
    <mergeCell ref="AG79:AN79"/>
    <mergeCell ref="AB79:AF79"/>
    <mergeCell ref="AG80:AM81"/>
    <mergeCell ref="AG83:AM84"/>
    <mergeCell ref="C94:AA97"/>
    <mergeCell ref="C83:K84"/>
    <mergeCell ref="C80:K81"/>
    <mergeCell ref="AG95:AM96"/>
    <mergeCell ref="AG86:AM87"/>
    <mergeCell ref="AG88:AM90"/>
    <mergeCell ref="AG92:AM93"/>
    <mergeCell ref="AE94:AF97"/>
    <mergeCell ref="AB75:AF75"/>
    <mergeCell ref="AB89:AF90"/>
    <mergeCell ref="AB92:AF93"/>
    <mergeCell ref="C89:K90"/>
    <mergeCell ref="L89:S90"/>
    <mergeCell ref="T89:W90"/>
    <mergeCell ref="X89:AA90"/>
    <mergeCell ref="C92:K93"/>
    <mergeCell ref="L92:S93"/>
    <mergeCell ref="T92:W93"/>
    <mergeCell ref="AG76:AN77"/>
    <mergeCell ref="AB76:AF76"/>
    <mergeCell ref="C79:K79"/>
    <mergeCell ref="L79:S79"/>
    <mergeCell ref="X77:AA77"/>
    <mergeCell ref="T78:W79"/>
    <mergeCell ref="X78:AA79"/>
    <mergeCell ref="T77:W77"/>
    <mergeCell ref="C64:AA65"/>
    <mergeCell ref="T75:AA75"/>
    <mergeCell ref="T76:AA76"/>
    <mergeCell ref="L76:S77"/>
    <mergeCell ref="C76:K77"/>
    <mergeCell ref="L75:S75"/>
    <mergeCell ref="C67:Y68"/>
    <mergeCell ref="Z66:AA68"/>
    <mergeCell ref="AB77:AF77"/>
    <mergeCell ref="AB69:AN69"/>
    <mergeCell ref="C75:K75"/>
    <mergeCell ref="AB20:AN20"/>
    <mergeCell ref="AB18:AN18"/>
    <mergeCell ref="AD2:AE7"/>
    <mergeCell ref="M3:AC3"/>
    <mergeCell ref="AB19:AN19"/>
    <mergeCell ref="M2:AC2"/>
    <mergeCell ref="AF3:AG4"/>
    <mergeCell ref="AH3:AI4"/>
    <mergeCell ref="AJ3:AK4"/>
    <mergeCell ref="AL3:AM4"/>
    <mergeCell ref="B2:B7"/>
    <mergeCell ref="D2:K4"/>
    <mergeCell ref="C6:L6"/>
    <mergeCell ref="C21:D22"/>
    <mergeCell ref="B18:B19"/>
    <mergeCell ref="C5:L5"/>
    <mergeCell ref="C20:AA20"/>
    <mergeCell ref="B21:B22"/>
    <mergeCell ref="C18:AA19"/>
    <mergeCell ref="E21:AA22"/>
    <mergeCell ref="AB21:AM22"/>
    <mergeCell ref="C48:AA48"/>
    <mergeCell ref="C24:E25"/>
    <mergeCell ref="F24:AA25"/>
    <mergeCell ref="F27:AA28"/>
    <mergeCell ref="C27:E28"/>
    <mergeCell ref="AB66:AM68"/>
    <mergeCell ref="AB24:AM25"/>
    <mergeCell ref="AB27:AM28"/>
    <mergeCell ref="AB30:AM31"/>
    <mergeCell ref="AB58:AM60"/>
    <mergeCell ref="AB50:AM51"/>
    <mergeCell ref="AB52:AM54"/>
    <mergeCell ref="AB55:AM57"/>
    <mergeCell ref="AB33:AM34"/>
    <mergeCell ref="AB36:AM37"/>
    <mergeCell ref="AB47:AN47"/>
    <mergeCell ref="AB46:AN46"/>
    <mergeCell ref="AB38:AM40"/>
    <mergeCell ref="AB64:AM65"/>
    <mergeCell ref="AB42:AN42"/>
    <mergeCell ref="AB61:AM63"/>
    <mergeCell ref="AB48:AN48"/>
    <mergeCell ref="K57:AA57"/>
    <mergeCell ref="B24:B25"/>
    <mergeCell ref="B27:B28"/>
    <mergeCell ref="B75:B77"/>
    <mergeCell ref="B36:B37"/>
    <mergeCell ref="B46:B47"/>
    <mergeCell ref="B64:B65"/>
    <mergeCell ref="B39:B40"/>
    <mergeCell ref="B56:B57"/>
    <mergeCell ref="B30:B31"/>
    <mergeCell ref="B33:B34"/>
    <mergeCell ref="B67:B68"/>
    <mergeCell ref="B59:B60"/>
    <mergeCell ref="B50:B51"/>
    <mergeCell ref="B53:B54"/>
  </mergeCells>
  <pageMargins left="0.196850393700787" right="0.236220472440945" top="0.196850393700787" bottom="0.275590551181102" header="0.196850393700787" footer="0.236220472440945"/>
  <pageSetup paperSize="5" scale="67" orientation="portrait" r:id="rId1"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  <pageSetUpPr fitToPage="1"/>
  </sheetPr>
  <dimension ref="A1:BC147"/>
  <sheetViews>
    <sheetView topLeftCell="A64" showGridLines="0" zoomScaleNormal="75" zoomScaleSheetLayoutView="100" view="pageBreakPreview" workbookViewId="0">
      <selection pane="topLeft" activeCell="N76" sqref="N76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4" width="4.42187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2.75" customHeight="1">
      <c r="A2"/>
      <c r="B2" s="2296" t="s">
        <v>38</v>
      </c>
      <c r="C2" s="2139" t="s">
        <v>85</v>
      </c>
      <c r="D2" s="2139"/>
      <c r="E2" s="2139"/>
      <c r="F2" s="2139"/>
      <c r="G2" s="2139"/>
      <c r="H2" s="2139"/>
      <c r="I2" s="2139"/>
      <c r="J2" s="2275"/>
      <c r="K2" s="2177" t="s">
        <v>144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178"/>
      <c r="AE2" s="2088" t="s">
        <v>29</v>
      </c>
      <c r="AF2" s="2296"/>
      <c r="AG2" s="2270">
        <v>2</v>
      </c>
      <c r="AH2" s="2270"/>
      <c r="AI2" s="2270">
        <v>0</v>
      </c>
      <c r="AJ2" s="2270"/>
      <c r="AK2" s="2270">
        <f>'1770 S-1'!AJ3</f>
        <v>0</v>
      </c>
      <c r="AL2" s="2270"/>
      <c r="AM2" s="2270">
        <f>'1770 S-1'!AL3</f>
        <v>0</v>
      </c>
      <c r="AN2" s="2270"/>
    </row>
    <row r="3" spans="2:40" ht="15" customHeight="1">
      <c r="B3" s="2296"/>
      <c r="C3" s="2139"/>
      <c r="D3" s="2139"/>
      <c r="E3" s="2139"/>
      <c r="F3" s="2139"/>
      <c r="G3" s="2139"/>
      <c r="H3" s="2139"/>
      <c r="I3" s="2139"/>
      <c r="J3" s="2275"/>
      <c r="K3" s="2271" t="s">
        <v>55</v>
      </c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2"/>
      <c r="AD3" s="2272"/>
      <c r="AE3" s="2088"/>
      <c r="AF3" s="2296"/>
      <c r="AG3" s="2270"/>
      <c r="AH3" s="2270"/>
      <c r="AI3" s="2270"/>
      <c r="AJ3" s="2270"/>
      <c r="AK3" s="2270"/>
      <c r="AL3" s="2270"/>
      <c r="AM3" s="2270"/>
      <c r="AN3" s="2270"/>
    </row>
    <row r="4" spans="2:40" ht="3" customHeight="1" thickBot="1">
      <c r="B4" s="2296"/>
      <c r="C4" s="2139"/>
      <c r="D4" s="2139"/>
      <c r="E4" s="2139"/>
      <c r="F4" s="2139"/>
      <c r="G4" s="2139"/>
      <c r="H4" s="2139"/>
      <c r="I4" s="2139"/>
      <c r="J4" s="2275"/>
      <c r="K4" s="424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  <c r="AB4" s="425"/>
      <c r="AC4" s="425"/>
      <c r="AD4" s="426"/>
      <c r="AE4" s="2088"/>
      <c r="AF4" s="2296"/>
      <c r="AG4" s="217"/>
      <c r="AH4" s="217"/>
      <c r="AI4" s="217"/>
      <c r="AJ4" s="217"/>
      <c r="AK4" s="217"/>
      <c r="AL4" s="217"/>
      <c r="AM4" s="217"/>
      <c r="AN4" s="217"/>
    </row>
    <row r="5" spans="2:40" ht="21.75" customHeight="1">
      <c r="B5" s="2296"/>
      <c r="C5" s="414" t="s">
        <v>712</v>
      </c>
      <c r="D5" s="414"/>
      <c r="E5" s="414"/>
      <c r="F5" s="414"/>
      <c r="G5" s="414"/>
      <c r="H5" s="414"/>
      <c r="I5" s="414"/>
      <c r="J5" s="2854"/>
      <c r="K5" s="61" t="s">
        <v>23</v>
      </c>
      <c r="L5" s="2855" t="s">
        <v>168</v>
      </c>
      <c r="M5" s="2855"/>
      <c r="N5" s="2855"/>
      <c r="O5" s="2855"/>
      <c r="P5" s="2855"/>
      <c r="Q5" s="2855"/>
      <c r="R5" s="2855"/>
      <c r="S5" s="2855"/>
      <c r="T5" s="2855"/>
      <c r="U5" s="2855"/>
      <c r="V5" s="2855"/>
      <c r="W5" s="2855"/>
      <c r="X5" s="4"/>
      <c r="Y5" s="4"/>
      <c r="Z5" s="4"/>
      <c r="AA5" s="4"/>
      <c r="AB5" s="4"/>
      <c r="AC5" s="4"/>
      <c r="AD5" s="4"/>
      <c r="AE5" s="2088"/>
      <c r="AF5" s="2296"/>
      <c r="AG5" s="217"/>
      <c r="AH5" s="217"/>
      <c r="AI5" s="217"/>
      <c r="AJ5" s="217"/>
      <c r="AK5" s="217"/>
      <c r="AL5" s="217"/>
      <c r="AM5" s="217"/>
      <c r="AN5" s="217"/>
    </row>
    <row r="6" spans="2:40" ht="15" customHeight="1">
      <c r="B6" s="2296"/>
      <c r="C6" s="414" t="s">
        <v>31</v>
      </c>
      <c r="D6" s="414"/>
      <c r="E6" s="414"/>
      <c r="F6" s="414"/>
      <c r="G6" s="414"/>
      <c r="H6" s="414"/>
      <c r="I6" s="414"/>
      <c r="J6" s="2854"/>
      <c r="K6" s="121" t="s">
        <v>23</v>
      </c>
      <c r="L6" s="46" t="s">
        <v>666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088"/>
      <c r="AF6" s="2296"/>
      <c r="AG6" s="409"/>
      <c r="AH6" s="409"/>
      <c r="AI6" s="409"/>
      <c r="AJ6" s="409"/>
      <c r="AK6" s="409"/>
      <c r="AL6" s="409"/>
      <c r="AM6" s="409"/>
      <c r="AN6" s="409"/>
    </row>
    <row r="7" spans="2:32" ht="12.75" customHeight="1">
      <c r="B7" s="2296"/>
      <c r="K7" s="121" t="s">
        <v>23</v>
      </c>
      <c r="L7" s="46" t="s">
        <v>667</v>
      </c>
      <c r="M7"/>
      <c r="N7"/>
      <c r="O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088"/>
      <c r="AF7" s="2296"/>
    </row>
    <row r="8" spans="2:40" ht="15" customHeight="1" thickBot="1">
      <c r="B8" s="2297"/>
      <c r="C8" s="25"/>
      <c r="D8" s="25"/>
      <c r="E8" s="25"/>
      <c r="F8" s="25"/>
      <c r="G8" s="25"/>
      <c r="H8" s="25"/>
      <c r="I8" s="25"/>
      <c r="J8" s="82"/>
      <c r="K8" s="121" t="s">
        <v>23</v>
      </c>
      <c r="L8" s="46" t="s">
        <v>668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090"/>
      <c r="AF8" s="2297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13"/>
    </row>
    <row r="10" spans="2:40" s="11" customFormat="1" ht="18" customHeight="1">
      <c r="B10" s="115" t="s">
        <v>33</v>
      </c>
      <c r="C10" s="70"/>
      <c r="D10" s="70"/>
      <c r="E10" s="70"/>
      <c r="F10" s="70"/>
      <c r="G10" s="70"/>
      <c r="H10" s="61" t="s">
        <v>26</v>
      </c>
      <c r="I10" s="65"/>
      <c r="J10" s="1435" t="str">
        <f>'FE-1770 S-II'!J10</f>
        <v/>
      </c>
      <c r="K10" s="1435" t="str">
        <f>'FE-1770 S-II'!K10</f>
        <v/>
      </c>
      <c r="L10" s="434"/>
      <c r="M10" s="1435" t="str">
        <f>'FE-1770 S-II'!M10</f>
        <v/>
      </c>
      <c r="N10" s="1435" t="str">
        <f>'FE-1770 S-II'!N10</f>
        <v/>
      </c>
      <c r="O10" s="1435" t="str">
        <f>'FE-1770 S-II'!O10</f>
        <v/>
      </c>
      <c r="P10" s="434"/>
      <c r="Q10" s="1435" t="str">
        <f>'FE-1770 S-II'!Q10</f>
        <v/>
      </c>
      <c r="R10" s="1435" t="str">
        <f>'FE-1770 S-II'!R10</f>
        <v/>
      </c>
      <c r="S10" s="1435" t="str">
        <f>'FE-1770 S-II'!S10</f>
        <v/>
      </c>
      <c r="T10" s="434"/>
      <c r="U10" s="1435" t="str">
        <f>'FE-1770 S-II'!U10</f>
        <v/>
      </c>
      <c r="V10" s="434"/>
      <c r="W10" s="1435" t="str">
        <f>'FE-1770 S-II'!W10</f>
        <v/>
      </c>
      <c r="X10" s="1435" t="str">
        <f>'FE-1770 S-II'!X10</f>
        <v/>
      </c>
      <c r="Y10" s="1435" t="str">
        <f>'FE-1770 S-II'!Y10</f>
        <v/>
      </c>
      <c r="Z10" s="434"/>
      <c r="AA10" s="1435" t="str">
        <f>'FE-1770 S-II'!AA10</f>
        <v/>
      </c>
      <c r="AB10" s="1435" t="str">
        <f>'FE-1770 S-II'!AB10</f>
        <v/>
      </c>
      <c r="AC10" s="1435" t="str">
        <f>'FE-1770 S-II'!AC10</f>
        <v/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49"/>
    </row>
    <row r="11" spans="2:40" ht="3" customHeight="1">
      <c r="B11" s="117"/>
      <c r="C11" s="93"/>
      <c r="D11" s="93"/>
      <c r="E11" s="93"/>
      <c r="F11" s="93"/>
      <c r="G11" s="93"/>
      <c r="H11" s="119"/>
      <c r="I11" s="93"/>
      <c r="J11" s="435"/>
      <c r="K11" s="436"/>
      <c r="L11" s="435"/>
      <c r="M11" s="435"/>
      <c r="N11" s="435"/>
      <c r="O11" s="435"/>
      <c r="P11" s="435"/>
      <c r="Q11" s="435"/>
      <c r="R11" s="435"/>
      <c r="S11" s="435"/>
      <c r="T11" s="435"/>
      <c r="U11" s="435"/>
      <c r="V11" s="435"/>
      <c r="W11" s="435"/>
      <c r="X11" s="435"/>
      <c r="Y11" s="435"/>
      <c r="Z11" s="435"/>
      <c r="AA11" s="435"/>
      <c r="AB11" s="435"/>
      <c r="AC11" s="435"/>
      <c r="AD11" s="410">
        <f>'FE-1770 S-II'!AD11</f>
        <v>0</v>
      </c>
      <c r="AE11" s="410">
        <f>'FE-1770 S-II'!AE11</f>
        <v>0</v>
      </c>
      <c r="AF11" s="410">
        <f>'FE-1770 S-II'!AF11</f>
        <v>0</v>
      </c>
      <c r="AG11" s="410">
        <f>'FE-1770 S-II'!AG11</f>
        <v>0</v>
      </c>
      <c r="AH11" s="410">
        <f>'FE-1770 S-II'!AH11</f>
        <v>0</v>
      </c>
      <c r="AI11" s="410">
        <f>'FE-1770 S-II'!AI11</f>
        <v>0</v>
      </c>
      <c r="AJ11" s="410">
        <f>'FE-1770 S-II'!AJ11</f>
        <v>0</v>
      </c>
      <c r="AK11" s="410">
        <f>'FE-1770 S-II'!AK11</f>
        <v>0</v>
      </c>
      <c r="AL11" s="410">
        <f>'FE-1770 S-II'!AL11</f>
        <v>0</v>
      </c>
      <c r="AM11" s="410">
        <f>'FE-1770 S-II'!AM11</f>
        <v>0</v>
      </c>
      <c r="AN11" s="54"/>
    </row>
    <row r="12" spans="2:40" s="11" customFormat="1" ht="18.75" customHeight="1">
      <c r="B12" s="115" t="s">
        <v>27</v>
      </c>
      <c r="C12" s="70"/>
      <c r="D12" s="70"/>
      <c r="E12" s="70"/>
      <c r="F12" s="70"/>
      <c r="G12" s="70"/>
      <c r="H12" s="61" t="s">
        <v>26</v>
      </c>
      <c r="I12" s="65"/>
      <c r="J12" s="1393">
        <f>'FE-1770 S-II'!J12</f>
        <v>0</v>
      </c>
      <c r="K12" s="1394"/>
      <c r="L12" s="1394"/>
      <c r="M12" s="1394"/>
      <c r="N12" s="1394"/>
      <c r="O12" s="1394"/>
      <c r="P12" s="1394"/>
      <c r="Q12" s="1394"/>
      <c r="R12" s="1394"/>
      <c r="S12" s="1394"/>
      <c r="T12" s="1394"/>
      <c r="U12" s="1394"/>
      <c r="V12" s="1394"/>
      <c r="W12" s="1394"/>
      <c r="X12" s="1394"/>
      <c r="Y12" s="1394"/>
      <c r="Z12" s="1394"/>
      <c r="AA12" s="1394"/>
      <c r="AB12" s="1394"/>
      <c r="AC12" s="1394"/>
      <c r="AD12" s="1436"/>
      <c r="AE12" s="1436"/>
      <c r="AF12" s="1436"/>
      <c r="AG12" s="1436"/>
      <c r="AH12" s="1436"/>
      <c r="AI12" s="1436"/>
      <c r="AJ12" s="1436"/>
      <c r="AK12" s="1436"/>
      <c r="AL12" s="1436"/>
      <c r="AM12" s="1436"/>
      <c r="AN12" s="49"/>
    </row>
    <row r="13" spans="2:40" ht="3" customHeight="1" thickBot="1">
      <c r="B13" s="84"/>
      <c r="C13" s="2"/>
      <c r="D13" s="2"/>
      <c r="E13" s="2"/>
      <c r="F13" s="2"/>
      <c r="G13" s="2"/>
      <c r="H13" s="2"/>
      <c r="I13" s="2"/>
      <c r="J13" s="2"/>
      <c r="K13" s="6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</row>
    <row r="15" spans="2:40" ht="15" customHeight="1">
      <c r="B15" s="75" t="s">
        <v>39</v>
      </c>
      <c r="C15" s="80"/>
      <c r="D15" s="80"/>
      <c r="E15"/>
      <c r="F15" s="80" t="s">
        <v>26</v>
      </c>
      <c r="G15" s="80" t="s">
        <v>168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4.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5" customHeight="1">
      <c r="B17" s="151" t="s">
        <v>76</v>
      </c>
      <c r="C17" s="151" t="s">
        <v>49</v>
      </c>
      <c r="D17" s="1444"/>
      <c r="E17" s="1444"/>
      <c r="F17" s="1444"/>
      <c r="G17" s="1444"/>
      <c r="H17" s="1444"/>
      <c r="I17" s="1444"/>
      <c r="J17" s="1444"/>
      <c r="K17" s="1444"/>
      <c r="L17" s="1444"/>
      <c r="M17" s="1444"/>
      <c r="N17" s="1444"/>
      <c r="O17" s="1444"/>
      <c r="P17" s="1444"/>
      <c r="Q17" s="2161"/>
      <c r="R17" s="1444" t="s">
        <v>117</v>
      </c>
      <c r="S17" s="1444"/>
      <c r="T17" s="1444"/>
      <c r="U17" s="1444"/>
      <c r="V17" s="1444"/>
      <c r="W17" s="1444"/>
      <c r="X17" s="1444"/>
      <c r="Y17" s="1444"/>
      <c r="Z17" s="1444"/>
      <c r="AA17" s="1444"/>
      <c r="AB17" s="1444"/>
      <c r="AC17" s="1444"/>
      <c r="AD17" s="151" t="s">
        <v>3</v>
      </c>
      <c r="AE17" s="1444"/>
      <c r="AF17" s="1444"/>
      <c r="AG17" s="1444"/>
      <c r="AH17" s="1444"/>
      <c r="AI17" s="1444"/>
      <c r="AJ17" s="1444"/>
      <c r="AK17" s="1444"/>
      <c r="AL17" s="1444"/>
      <c r="AM17" s="1444"/>
      <c r="AN17" s="2161"/>
    </row>
    <row r="18" spans="2:40" ht="12" customHeight="1">
      <c r="B18" s="149"/>
      <c r="C18" s="14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395"/>
      <c r="R18" s="71" t="s">
        <v>118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149"/>
      <c r="AE18" s="71"/>
      <c r="AF18" s="71"/>
      <c r="AG18" s="71"/>
      <c r="AH18" s="71"/>
      <c r="AI18" s="71"/>
      <c r="AJ18" s="71"/>
      <c r="AK18" s="71"/>
      <c r="AL18" s="71"/>
      <c r="AM18" s="71"/>
      <c r="AN18" s="395"/>
    </row>
    <row r="19" spans="2:40" ht="12" customHeight="1">
      <c r="B19" s="149"/>
      <c r="C19" s="149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395"/>
      <c r="R19" s="2298" t="s">
        <v>70</v>
      </c>
      <c r="S19" s="2299"/>
      <c r="T19" s="2299"/>
      <c r="U19" s="2299"/>
      <c r="V19" s="2299"/>
      <c r="W19" s="2299"/>
      <c r="X19" s="2299"/>
      <c r="Y19" s="2299"/>
      <c r="Z19" s="2299"/>
      <c r="AA19" s="2299"/>
      <c r="AB19" s="2299"/>
      <c r="AC19" s="2300"/>
      <c r="AD19" s="149" t="s">
        <v>70</v>
      </c>
      <c r="AE19" s="71"/>
      <c r="AF19" s="71"/>
      <c r="AG19" s="71"/>
      <c r="AH19" s="71"/>
      <c r="AI19" s="71"/>
      <c r="AJ19" s="71"/>
      <c r="AK19" s="71"/>
      <c r="AL19" s="71"/>
      <c r="AM19" s="71"/>
      <c r="AN19" s="395"/>
    </row>
    <row r="20" spans="2:40" s="16" customFormat="1" ht="12" customHeight="1">
      <c r="B20" s="188" t="s">
        <v>65</v>
      </c>
      <c r="C20" s="2191" t="s">
        <v>64</v>
      </c>
      <c r="D20" s="2192"/>
      <c r="E20" s="2192"/>
      <c r="F20" s="2192"/>
      <c r="G20" s="2192"/>
      <c r="H20" s="2192"/>
      <c r="I20" s="2192"/>
      <c r="J20" s="2192"/>
      <c r="K20" s="2192"/>
      <c r="L20" s="2192"/>
      <c r="M20" s="2192"/>
      <c r="N20" s="2192"/>
      <c r="O20" s="2192"/>
      <c r="P20" s="2192"/>
      <c r="Q20" s="2193"/>
      <c r="R20" s="2192" t="s">
        <v>66</v>
      </c>
      <c r="S20" s="2192"/>
      <c r="T20" s="2192"/>
      <c r="U20" s="2192"/>
      <c r="V20" s="2192"/>
      <c r="W20" s="2192"/>
      <c r="X20" s="2192"/>
      <c r="Y20" s="2192"/>
      <c r="Z20" s="2192"/>
      <c r="AA20" s="2192"/>
      <c r="AB20" s="2192"/>
      <c r="AC20" s="2192"/>
      <c r="AD20" s="2191" t="s">
        <v>67</v>
      </c>
      <c r="AE20" s="2192"/>
      <c r="AF20" s="2192"/>
      <c r="AG20" s="2192"/>
      <c r="AH20" s="2192"/>
      <c r="AI20" s="2192"/>
      <c r="AJ20" s="2192"/>
      <c r="AK20" s="2192"/>
      <c r="AL20" s="2192"/>
      <c r="AM20" s="2192"/>
      <c r="AN20" s="2193"/>
    </row>
    <row r="21" spans="2:40" ht="3" customHeight="1" hidden="1">
      <c r="B21" s="189"/>
      <c r="C21" s="189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5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9"/>
      <c r="AE21" s="184"/>
      <c r="AF21" s="184"/>
      <c r="AG21" s="184"/>
      <c r="AH21" s="184"/>
      <c r="AI21" s="184"/>
      <c r="AJ21" s="184"/>
      <c r="AK21" s="184"/>
      <c r="AL21" s="184"/>
      <c r="AM21" s="184"/>
      <c r="AN21" s="185"/>
    </row>
    <row r="22" spans="2:40" ht="15" customHeight="1">
      <c r="B22" s="1341" t="s">
        <v>621</v>
      </c>
      <c r="C22" s="2303" t="s">
        <v>669</v>
      </c>
      <c r="D22" s="2304"/>
      <c r="E22" s="2304"/>
      <c r="F22" s="2304"/>
      <c r="G22" s="2304"/>
      <c r="H22" s="2304"/>
      <c r="I22" s="2304"/>
      <c r="J22" s="2304"/>
      <c r="K22" s="2304"/>
      <c r="L22" s="2304"/>
      <c r="M22" s="2304"/>
      <c r="N22" s="2304"/>
      <c r="O22" s="2304"/>
      <c r="P22" s="2304"/>
      <c r="Q22" s="2305"/>
      <c r="R22" s="2155">
        <f>'FE-1770 S-II'!R22:AB23</f>
        <v>0</v>
      </c>
      <c r="S22" s="2156"/>
      <c r="T22" s="2156"/>
      <c r="U22" s="2156"/>
      <c r="V22" s="2156"/>
      <c r="W22" s="2156"/>
      <c r="X22" s="2156"/>
      <c r="Y22" s="2156"/>
      <c r="Z22" s="2156"/>
      <c r="AA22" s="2156"/>
      <c r="AB22" s="2156"/>
      <c r="AC22" s="334"/>
      <c r="AD22" s="2155">
        <f>'FE-1770 S-II'!AD22:AM23</f>
        <v>0</v>
      </c>
      <c r="AE22" s="2156"/>
      <c r="AF22" s="2156"/>
      <c r="AG22" s="2156"/>
      <c r="AH22" s="2156"/>
      <c r="AI22" s="2156"/>
      <c r="AJ22" s="2156"/>
      <c r="AK22" s="2156"/>
      <c r="AL22" s="2156"/>
      <c r="AM22" s="2156"/>
      <c r="AN22" s="325"/>
    </row>
    <row r="23" spans="2:40" ht="15" customHeight="1">
      <c r="B23" s="2211"/>
      <c r="C23" s="2209"/>
      <c r="D23" s="2210"/>
      <c r="E23" s="2210"/>
      <c r="F23" s="2210"/>
      <c r="G23" s="2210"/>
      <c r="H23" s="2210"/>
      <c r="I23" s="2210"/>
      <c r="J23" s="2210"/>
      <c r="K23" s="2210"/>
      <c r="L23" s="2210"/>
      <c r="M23" s="2210"/>
      <c r="N23" s="2210"/>
      <c r="O23" s="2210"/>
      <c r="P23" s="2210"/>
      <c r="Q23" s="2213"/>
      <c r="R23" s="625"/>
      <c r="S23" s="2157"/>
      <c r="T23" s="2157"/>
      <c r="U23" s="2157"/>
      <c r="V23" s="2157"/>
      <c r="W23" s="2157"/>
      <c r="X23" s="2157"/>
      <c r="Y23" s="2157"/>
      <c r="Z23" s="2157"/>
      <c r="AA23" s="2157"/>
      <c r="AB23" s="2157"/>
      <c r="AC23" s="333"/>
      <c r="AD23" s="625"/>
      <c r="AE23" s="2157"/>
      <c r="AF23" s="2157"/>
      <c r="AG23" s="2157"/>
      <c r="AH23" s="2157"/>
      <c r="AI23" s="2157"/>
      <c r="AJ23" s="2157"/>
      <c r="AK23" s="2157"/>
      <c r="AL23" s="2157"/>
      <c r="AM23" s="2157"/>
      <c r="AN23" s="335"/>
    </row>
    <row r="24" spans="2:40" ht="3" customHeight="1">
      <c r="B24" s="149"/>
      <c r="C24" s="224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9"/>
      <c r="R24" s="71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149"/>
      <c r="AE24" s="70"/>
      <c r="AF24" s="70"/>
      <c r="AG24" s="70"/>
      <c r="AH24" s="70"/>
      <c r="AI24" s="70"/>
      <c r="AJ24" s="70"/>
      <c r="AK24" s="70"/>
      <c r="AL24" s="70"/>
      <c r="AM24" s="70"/>
      <c r="AN24" s="154"/>
    </row>
    <row r="25" spans="2:40" ht="15" customHeight="1">
      <c r="B25" s="149" t="s">
        <v>622</v>
      </c>
      <c r="C25" s="2207" t="s">
        <v>719</v>
      </c>
      <c r="D25" s="2208"/>
      <c r="E25" s="2208"/>
      <c r="F25" s="2208"/>
      <c r="G25" s="2208"/>
      <c r="H25" s="2208"/>
      <c r="I25" s="2208"/>
      <c r="J25" s="2208"/>
      <c r="K25" s="2208"/>
      <c r="L25" s="2208"/>
      <c r="M25" s="2208"/>
      <c r="N25" s="2208"/>
      <c r="O25" s="2208"/>
      <c r="P25" s="2208"/>
      <c r="Q25" s="2212"/>
      <c r="R25" s="810">
        <f>'FE-1770 S-II'!R25:AB26</f>
        <v>0</v>
      </c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27"/>
      <c r="AD25" s="810">
        <f>'FE-1770 S-II'!AD25:AM26</f>
        <v>0</v>
      </c>
      <c r="AE25" s="302"/>
      <c r="AF25" s="302"/>
      <c r="AG25" s="302"/>
      <c r="AH25" s="302"/>
      <c r="AI25" s="302"/>
      <c r="AJ25" s="302"/>
      <c r="AK25" s="302"/>
      <c r="AL25" s="302"/>
      <c r="AM25" s="302"/>
      <c r="AN25" s="300"/>
    </row>
    <row r="26" spans="2:40" ht="15.5">
      <c r="B26" s="1337"/>
      <c r="C26" s="2209" t="s">
        <v>150</v>
      </c>
      <c r="D26" s="2210"/>
      <c r="E26" s="2210"/>
      <c r="F26" s="2210"/>
      <c r="G26" s="2210"/>
      <c r="H26" s="2210"/>
      <c r="I26" s="2210"/>
      <c r="J26" s="2210"/>
      <c r="K26" s="2210"/>
      <c r="L26" s="2210"/>
      <c r="M26" s="2210"/>
      <c r="N26" s="2210"/>
      <c r="O26" s="2210"/>
      <c r="P26" s="2210"/>
      <c r="Q26" s="2213"/>
      <c r="R26" s="625"/>
      <c r="S26" s="2157"/>
      <c r="T26" s="2157"/>
      <c r="U26" s="2157"/>
      <c r="V26" s="2157"/>
      <c r="W26" s="2157"/>
      <c r="X26" s="2157"/>
      <c r="Y26" s="2157"/>
      <c r="Z26" s="2157"/>
      <c r="AA26" s="2157"/>
      <c r="AB26" s="2157"/>
      <c r="AC26" s="333"/>
      <c r="AD26" s="625"/>
      <c r="AE26" s="2157"/>
      <c r="AF26" s="2157"/>
      <c r="AG26" s="2157"/>
      <c r="AH26" s="2157"/>
      <c r="AI26" s="2157"/>
      <c r="AJ26" s="2157"/>
      <c r="AK26" s="2157"/>
      <c r="AL26" s="2157"/>
      <c r="AM26" s="2157"/>
      <c r="AN26" s="335"/>
    </row>
    <row r="27" spans="2:40" ht="3" customHeight="1">
      <c r="B27" s="151"/>
      <c r="C27" s="1441"/>
      <c r="D27" s="1442"/>
      <c r="E27" s="1442"/>
      <c r="F27" s="1442"/>
      <c r="G27" s="1442"/>
      <c r="H27" s="1442"/>
      <c r="I27" s="1442"/>
      <c r="J27" s="1442"/>
      <c r="K27" s="1442"/>
      <c r="L27" s="1442"/>
      <c r="M27" s="1442"/>
      <c r="N27" s="1442"/>
      <c r="O27" s="1442"/>
      <c r="P27" s="1442"/>
      <c r="Q27" s="1443"/>
      <c r="R27" s="1444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2155">
        <f>'FE-1770 S-II'!AD28</f>
        <v>0</v>
      </c>
      <c r="AE27" s="2156"/>
      <c r="AF27" s="2156"/>
      <c r="AG27" s="2156"/>
      <c r="AH27" s="2156"/>
      <c r="AI27" s="2156"/>
      <c r="AJ27" s="2156"/>
      <c r="AK27" s="2156"/>
      <c r="AL27" s="2156"/>
      <c r="AM27" s="2156"/>
      <c r="AN27" s="408"/>
    </row>
    <row r="28" spans="2:40" ht="15" customHeight="1">
      <c r="B28" s="149" t="s">
        <v>623</v>
      </c>
      <c r="C28" s="2184" t="s">
        <v>125</v>
      </c>
      <c r="D28" s="396"/>
      <c r="E28" s="396"/>
      <c r="F28" s="396"/>
      <c r="G28" s="396"/>
      <c r="H28" s="396"/>
      <c r="I28" s="396"/>
      <c r="J28" s="396"/>
      <c r="K28" s="396"/>
      <c r="L28" s="396"/>
      <c r="M28" s="396"/>
      <c r="N28" s="118"/>
      <c r="O28" s="118"/>
      <c r="P28" s="118"/>
      <c r="Q28" s="231"/>
      <c r="R28" s="810">
        <f>'FE-1770 S-II'!R28:AB29</f>
        <v>0</v>
      </c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27"/>
      <c r="AD28" s="810"/>
      <c r="AE28" s="302"/>
      <c r="AF28" s="302"/>
      <c r="AG28" s="302"/>
      <c r="AH28" s="302"/>
      <c r="AI28" s="302"/>
      <c r="AJ28" s="302"/>
      <c r="AK28" s="302"/>
      <c r="AL28" s="302"/>
      <c r="AM28" s="302"/>
      <c r="AN28" s="300"/>
    </row>
    <row r="29" spans="2:40" ht="8.25" customHeight="1">
      <c r="B29" s="1337"/>
      <c r="C29" s="2185"/>
      <c r="D29" s="2186"/>
      <c r="E29" s="2186"/>
      <c r="F29" s="2186"/>
      <c r="G29" s="2186"/>
      <c r="H29" s="2186"/>
      <c r="I29" s="2186"/>
      <c r="J29" s="2186"/>
      <c r="K29" s="2186"/>
      <c r="L29" s="2186"/>
      <c r="M29" s="2186"/>
      <c r="N29" s="1396"/>
      <c r="O29" s="1396"/>
      <c r="P29" s="1396"/>
      <c r="Q29" s="1397"/>
      <c r="R29" s="625"/>
      <c r="S29" s="2157"/>
      <c r="T29" s="2157"/>
      <c r="U29" s="2157"/>
      <c r="V29" s="2157"/>
      <c r="W29" s="2157"/>
      <c r="X29" s="2157"/>
      <c r="Y29" s="2157"/>
      <c r="Z29" s="2157"/>
      <c r="AA29" s="2157"/>
      <c r="AB29" s="2157"/>
      <c r="AC29" s="333"/>
      <c r="AD29" s="625"/>
      <c r="AE29" s="2157"/>
      <c r="AF29" s="2157"/>
      <c r="AG29" s="2157"/>
      <c r="AH29" s="2157"/>
      <c r="AI29" s="2157"/>
      <c r="AJ29" s="2157"/>
      <c r="AK29" s="2157"/>
      <c r="AL29" s="2157"/>
      <c r="AM29" s="2157"/>
      <c r="AN29" s="335"/>
    </row>
    <row r="30" spans="2:40" ht="3" customHeight="1">
      <c r="B30" s="151"/>
      <c r="C30" s="1445"/>
      <c r="D30" s="1446"/>
      <c r="E30" s="1446"/>
      <c r="F30" s="1446"/>
      <c r="G30" s="1446"/>
      <c r="H30" s="1446"/>
      <c r="I30" s="1446"/>
      <c r="J30" s="1446"/>
      <c r="K30" s="1446"/>
      <c r="L30" s="1446"/>
      <c r="M30" s="1446"/>
      <c r="N30" s="1446"/>
      <c r="O30" s="1446"/>
      <c r="P30" s="1446"/>
      <c r="Q30" s="1447"/>
      <c r="R30" s="1444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2155">
        <f>'FE-1770 S-II'!AD31</f>
        <v>0</v>
      </c>
      <c r="AE30" s="2156"/>
      <c r="AF30" s="2156"/>
      <c r="AG30" s="2156"/>
      <c r="AH30" s="2156"/>
      <c r="AI30" s="2156"/>
      <c r="AJ30" s="2156"/>
      <c r="AK30" s="2156"/>
      <c r="AL30" s="2156"/>
      <c r="AM30" s="2156"/>
      <c r="AN30" s="408"/>
    </row>
    <row r="31" spans="2:40" ht="15" customHeight="1">
      <c r="B31" s="149" t="s">
        <v>624</v>
      </c>
      <c r="C31" s="2240" t="s">
        <v>51</v>
      </c>
      <c r="D31" s="1458"/>
      <c r="E31" s="1458"/>
      <c r="F31" s="1458"/>
      <c r="G31" s="1458"/>
      <c r="H31" s="1458"/>
      <c r="I31" s="1458"/>
      <c r="J31" s="1458"/>
      <c r="K31" s="1458"/>
      <c r="L31" s="1458"/>
      <c r="M31" s="1458"/>
      <c r="N31" s="1458"/>
      <c r="O31" s="1458"/>
      <c r="P31" s="1458"/>
      <c r="Q31" s="2241"/>
      <c r="R31" s="810">
        <f>'FE-1770 S-II'!R31:AB32</f>
        <v>0</v>
      </c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27"/>
      <c r="AD31" s="810"/>
      <c r="AE31" s="302"/>
      <c r="AF31" s="302"/>
      <c r="AG31" s="302"/>
      <c r="AH31" s="302"/>
      <c r="AI31" s="302"/>
      <c r="AJ31" s="302"/>
      <c r="AK31" s="302"/>
      <c r="AL31" s="302"/>
      <c r="AM31" s="302"/>
      <c r="AN31" s="300"/>
    </row>
    <row r="32" spans="2:40" ht="9" customHeight="1">
      <c r="B32" s="1337"/>
      <c r="C32" s="855"/>
      <c r="D32" s="856"/>
      <c r="E32" s="856"/>
      <c r="F32" s="856"/>
      <c r="G32" s="856"/>
      <c r="H32" s="856"/>
      <c r="I32" s="856"/>
      <c r="J32" s="856"/>
      <c r="K32" s="856"/>
      <c r="L32" s="856"/>
      <c r="M32" s="856"/>
      <c r="N32" s="856"/>
      <c r="O32" s="856"/>
      <c r="P32" s="856"/>
      <c r="Q32" s="857"/>
      <c r="R32" s="625"/>
      <c r="S32" s="2157"/>
      <c r="T32" s="2157"/>
      <c r="U32" s="2157"/>
      <c r="V32" s="2157"/>
      <c r="W32" s="2157"/>
      <c r="X32" s="2157"/>
      <c r="Y32" s="2157"/>
      <c r="Z32" s="2157"/>
      <c r="AA32" s="2157"/>
      <c r="AB32" s="2157"/>
      <c r="AC32" s="333"/>
      <c r="AD32" s="625"/>
      <c r="AE32" s="2157"/>
      <c r="AF32" s="2157"/>
      <c r="AG32" s="2157"/>
      <c r="AH32" s="2157"/>
      <c r="AI32" s="2157"/>
      <c r="AJ32" s="2157"/>
      <c r="AK32" s="2157"/>
      <c r="AL32" s="2157"/>
      <c r="AM32" s="2157"/>
      <c r="AN32" s="335"/>
    </row>
    <row r="33" spans="2:40" ht="3" customHeight="1">
      <c r="B33" s="151"/>
      <c r="C33" s="1441"/>
      <c r="D33" s="1442"/>
      <c r="E33" s="1442"/>
      <c r="F33" s="1442"/>
      <c r="G33" s="1442"/>
      <c r="H33" s="1442"/>
      <c r="I33" s="1442"/>
      <c r="J33" s="1442"/>
      <c r="K33" s="1442"/>
      <c r="L33" s="1442"/>
      <c r="M33" s="1442"/>
      <c r="N33" s="1442"/>
      <c r="O33" s="1442"/>
      <c r="P33" s="1442"/>
      <c r="Q33" s="1443"/>
      <c r="R33" s="1444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155">
        <f>'FE-1770 S-II'!AD34</f>
        <v>0</v>
      </c>
      <c r="AE33" s="2156"/>
      <c r="AF33" s="2156"/>
      <c r="AG33" s="2156"/>
      <c r="AH33" s="2156"/>
      <c r="AI33" s="2156"/>
      <c r="AJ33" s="2156"/>
      <c r="AK33" s="2156"/>
      <c r="AL33" s="2156"/>
      <c r="AM33" s="2156"/>
      <c r="AN33" s="408"/>
    </row>
    <row r="34" spans="2:40" ht="15" customHeight="1">
      <c r="B34" s="149" t="s">
        <v>625</v>
      </c>
      <c r="C34" s="187" t="s">
        <v>86</v>
      </c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29"/>
      <c r="R34" s="810">
        <f>'FE-1770 S-II'!R34:AB35</f>
        <v>0</v>
      </c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27"/>
      <c r="AD34" s="810"/>
      <c r="AE34" s="302"/>
      <c r="AF34" s="302"/>
      <c r="AG34" s="302"/>
      <c r="AH34" s="302"/>
      <c r="AI34" s="302"/>
      <c r="AJ34" s="302"/>
      <c r="AK34" s="302"/>
      <c r="AL34" s="302"/>
      <c r="AM34" s="302"/>
      <c r="AN34" s="300"/>
    </row>
    <row r="35" spans="2:40" ht="15" customHeight="1">
      <c r="B35" s="1337"/>
      <c r="C35" s="2301" t="s">
        <v>670</v>
      </c>
      <c r="D35" s="2302"/>
      <c r="E35" s="2302"/>
      <c r="F35" s="2302"/>
      <c r="G35" s="2302"/>
      <c r="H35" s="2302"/>
      <c r="I35" s="2302"/>
      <c r="J35" s="2302"/>
      <c r="K35" s="2302"/>
      <c r="L35" s="2302"/>
      <c r="M35" s="2302"/>
      <c r="N35" s="2302"/>
      <c r="O35" s="2302"/>
      <c r="P35" s="2302"/>
      <c r="Q35" s="1398"/>
      <c r="R35" s="625"/>
      <c r="S35" s="2157"/>
      <c r="T35" s="2157"/>
      <c r="U35" s="2157"/>
      <c r="V35" s="2157"/>
      <c r="W35" s="2157"/>
      <c r="X35" s="2157"/>
      <c r="Y35" s="2157"/>
      <c r="Z35" s="2157"/>
      <c r="AA35" s="2157"/>
      <c r="AB35" s="2157"/>
      <c r="AC35" s="333"/>
      <c r="AD35" s="625"/>
      <c r="AE35" s="2157"/>
      <c r="AF35" s="2157"/>
      <c r="AG35" s="2157"/>
      <c r="AH35" s="2157"/>
      <c r="AI35" s="2157"/>
      <c r="AJ35" s="2157"/>
      <c r="AK35" s="2157"/>
      <c r="AL35" s="2157"/>
      <c r="AM35" s="2157"/>
      <c r="AN35" s="335"/>
    </row>
    <row r="36" spans="2:40" ht="3" customHeight="1">
      <c r="B36" s="149"/>
      <c r="C36" s="224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9"/>
      <c r="R36" s="71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149"/>
      <c r="AE36" s="70"/>
      <c r="AF36" s="70"/>
      <c r="AG36" s="70"/>
      <c r="AH36" s="70"/>
      <c r="AI36" s="70"/>
      <c r="AJ36" s="70"/>
      <c r="AK36" s="70"/>
      <c r="AL36" s="70"/>
      <c r="AM36" s="70"/>
      <c r="AN36" s="154"/>
    </row>
    <row r="37" spans="2:40" ht="15" customHeight="1">
      <c r="B37" s="149" t="s">
        <v>626</v>
      </c>
      <c r="C37" s="2184" t="s">
        <v>151</v>
      </c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402"/>
      <c r="R37" s="810">
        <f>'FE-1770 S-II'!R37:AB38</f>
        <v>0</v>
      </c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27"/>
      <c r="AD37" s="810">
        <f>'FE-1770 S-II'!AD37:AM38</f>
        <v>0</v>
      </c>
      <c r="AE37" s="302"/>
      <c r="AF37" s="302"/>
      <c r="AG37" s="302"/>
      <c r="AH37" s="302"/>
      <c r="AI37" s="302"/>
      <c r="AJ37" s="302"/>
      <c r="AK37" s="302"/>
      <c r="AL37" s="302"/>
      <c r="AM37" s="302"/>
      <c r="AN37" s="300"/>
    </row>
    <row r="38" spans="2:40" ht="6.75" customHeight="1">
      <c r="B38" s="1337"/>
      <c r="C38" s="2185"/>
      <c r="D38" s="2186"/>
      <c r="E38" s="2186"/>
      <c r="F38" s="2186"/>
      <c r="G38" s="2186"/>
      <c r="H38" s="2186"/>
      <c r="I38" s="2186"/>
      <c r="J38" s="2186"/>
      <c r="K38" s="2186"/>
      <c r="L38" s="2186"/>
      <c r="M38" s="2186"/>
      <c r="N38" s="2186"/>
      <c r="O38" s="2186"/>
      <c r="P38" s="2186"/>
      <c r="Q38" s="2188"/>
      <c r="R38" s="625"/>
      <c r="S38" s="2157"/>
      <c r="T38" s="2157"/>
      <c r="U38" s="2157"/>
      <c r="V38" s="2157"/>
      <c r="W38" s="2157"/>
      <c r="X38" s="2157"/>
      <c r="Y38" s="2157"/>
      <c r="Z38" s="2157"/>
      <c r="AA38" s="2157"/>
      <c r="AB38" s="2157"/>
      <c r="AC38" s="333"/>
      <c r="AD38" s="625"/>
      <c r="AE38" s="2157"/>
      <c r="AF38" s="2157"/>
      <c r="AG38" s="2157"/>
      <c r="AH38" s="2157"/>
      <c r="AI38" s="2157"/>
      <c r="AJ38" s="2157"/>
      <c r="AK38" s="2157"/>
      <c r="AL38" s="2157"/>
      <c r="AM38" s="2157"/>
      <c r="AN38" s="335"/>
    </row>
    <row r="39" spans="2:40" ht="3" customHeight="1">
      <c r="B39" s="149"/>
      <c r="C39" s="230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231"/>
      <c r="R39" s="71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149"/>
      <c r="AE39" s="70"/>
      <c r="AF39" s="70"/>
      <c r="AG39" s="70"/>
      <c r="AH39" s="70"/>
      <c r="AI39" s="70"/>
      <c r="AJ39" s="70"/>
      <c r="AK39" s="70"/>
      <c r="AL39" s="70"/>
      <c r="AM39" s="70"/>
      <c r="AN39" s="154"/>
    </row>
    <row r="40" spans="2:40" ht="15" customHeight="1">
      <c r="B40" s="149" t="s">
        <v>629</v>
      </c>
      <c r="C40" s="2184" t="s">
        <v>171</v>
      </c>
      <c r="D40" s="396"/>
      <c r="E40" s="396"/>
      <c r="F40" s="396"/>
      <c r="G40" s="396"/>
      <c r="H40" s="396"/>
      <c r="I40" s="396"/>
      <c r="J40" s="396"/>
      <c r="K40" s="396"/>
      <c r="L40" s="396"/>
      <c r="M40" s="396"/>
      <c r="N40" s="396"/>
      <c r="O40" s="396"/>
      <c r="P40" s="396"/>
      <c r="Q40" s="231"/>
      <c r="R40" s="810">
        <f>'FE-1770 S-II'!R40:AB41</f>
        <v>0</v>
      </c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27"/>
      <c r="AD40" s="2279">
        <f>'FE-1770 S-II'!AD40:AM41</f>
        <v>0</v>
      </c>
      <c r="AE40" s="2280"/>
      <c r="AF40" s="2280"/>
      <c r="AG40" s="2280"/>
      <c r="AH40" s="2280"/>
      <c r="AI40" s="2280"/>
      <c r="AJ40" s="2280"/>
      <c r="AK40" s="2280"/>
      <c r="AL40" s="2280"/>
      <c r="AM40" s="2280"/>
      <c r="AN40" s="345"/>
    </row>
    <row r="41" spans="2:40" ht="10.5" customHeight="1">
      <c r="B41" s="149"/>
      <c r="C41" s="2184"/>
      <c r="D41" s="396"/>
      <c r="E41" s="396"/>
      <c r="F41" s="396"/>
      <c r="G41" s="396"/>
      <c r="H41" s="396"/>
      <c r="I41" s="396"/>
      <c r="J41" s="396"/>
      <c r="K41" s="396"/>
      <c r="L41" s="396"/>
      <c r="M41" s="396"/>
      <c r="N41" s="396"/>
      <c r="O41" s="396"/>
      <c r="P41" s="396"/>
      <c r="Q41" s="231"/>
      <c r="R41" s="810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27"/>
      <c r="AD41" s="2279"/>
      <c r="AE41" s="2280"/>
      <c r="AF41" s="2280"/>
      <c r="AG41" s="2280"/>
      <c r="AH41" s="2280"/>
      <c r="AI41" s="2280"/>
      <c r="AJ41" s="2280"/>
      <c r="AK41" s="2280"/>
      <c r="AL41" s="2280"/>
      <c r="AM41" s="2280"/>
      <c r="AN41" s="345"/>
    </row>
    <row r="42" spans="2:40" ht="3" customHeight="1">
      <c r="B42" s="149"/>
      <c r="C42" s="230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231"/>
      <c r="R42" s="71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149"/>
      <c r="AE42" s="70"/>
      <c r="AF42" s="70"/>
      <c r="AG42" s="70"/>
      <c r="AH42" s="70"/>
      <c r="AI42" s="70"/>
      <c r="AJ42" s="70"/>
      <c r="AK42" s="70"/>
      <c r="AL42" s="70"/>
      <c r="AM42" s="70"/>
      <c r="AN42" s="154"/>
    </row>
    <row r="43" spans="2:40" ht="15" customHeight="1">
      <c r="B43" s="151" t="s">
        <v>630</v>
      </c>
      <c r="C43" s="2203" t="s">
        <v>172</v>
      </c>
      <c r="D43" s="2288"/>
      <c r="E43" s="2288"/>
      <c r="F43" s="2288"/>
      <c r="G43" s="2288"/>
      <c r="H43" s="2288"/>
      <c r="I43" s="2288"/>
      <c r="J43" s="2288"/>
      <c r="K43" s="2288"/>
      <c r="L43" s="2288"/>
      <c r="M43" s="2288"/>
      <c r="N43" s="2370"/>
      <c r="O43" s="2370"/>
      <c r="P43" s="2370"/>
      <c r="Q43" s="2371"/>
      <c r="R43" s="2155">
        <f>'FE-1770 S-II'!R43:AB44</f>
        <v>0</v>
      </c>
      <c r="S43" s="2156"/>
      <c r="T43" s="2156"/>
      <c r="U43" s="2156"/>
      <c r="V43" s="2156"/>
      <c r="W43" s="2156"/>
      <c r="X43" s="2156"/>
      <c r="Y43" s="2156"/>
      <c r="Z43" s="2156"/>
      <c r="AA43" s="2156"/>
      <c r="AB43" s="2156"/>
      <c r="AC43" s="334"/>
      <c r="AD43" s="2155">
        <f>'FE-1770 S-II'!AD43:AM44</f>
        <v>0</v>
      </c>
      <c r="AE43" s="2156"/>
      <c r="AF43" s="2156"/>
      <c r="AG43" s="2156"/>
      <c r="AH43" s="2156"/>
      <c r="AI43" s="2156"/>
      <c r="AJ43" s="2156"/>
      <c r="AK43" s="2156"/>
      <c r="AL43" s="2156"/>
      <c r="AM43" s="2156"/>
      <c r="AN43" s="325"/>
    </row>
    <row r="44" spans="2:40" ht="8.25" customHeight="1">
      <c r="B44" s="1337"/>
      <c r="C44" s="2185"/>
      <c r="D44" s="2186"/>
      <c r="E44" s="2186"/>
      <c r="F44" s="2186"/>
      <c r="G44" s="2186"/>
      <c r="H44" s="2186"/>
      <c r="I44" s="2186"/>
      <c r="J44" s="2186"/>
      <c r="K44" s="2186"/>
      <c r="L44" s="2186"/>
      <c r="M44" s="2186"/>
      <c r="N44" s="2277"/>
      <c r="O44" s="2277"/>
      <c r="P44" s="2277"/>
      <c r="Q44" s="2278"/>
      <c r="R44" s="625"/>
      <c r="S44" s="2157"/>
      <c r="T44" s="2157"/>
      <c r="U44" s="2157"/>
      <c r="V44" s="2157"/>
      <c r="W44" s="2157"/>
      <c r="X44" s="2157"/>
      <c r="Y44" s="2157"/>
      <c r="Z44" s="2157"/>
      <c r="AA44" s="2157"/>
      <c r="AB44" s="2157"/>
      <c r="AC44" s="333"/>
      <c r="AD44" s="625"/>
      <c r="AE44" s="2157"/>
      <c r="AF44" s="2157"/>
      <c r="AG44" s="2157"/>
      <c r="AH44" s="2157"/>
      <c r="AI44" s="2157"/>
      <c r="AJ44" s="2157"/>
      <c r="AK44" s="2157"/>
      <c r="AL44" s="2157"/>
      <c r="AM44" s="2157"/>
      <c r="AN44" s="335"/>
    </row>
    <row r="45" spans="2:40" ht="3" customHeight="1">
      <c r="B45" s="151"/>
      <c r="C45" s="1441"/>
      <c r="D45" s="1442"/>
      <c r="E45" s="1442"/>
      <c r="F45" s="1442"/>
      <c r="G45" s="1442"/>
      <c r="H45" s="1442"/>
      <c r="I45" s="1442"/>
      <c r="J45" s="1442"/>
      <c r="K45" s="1442"/>
      <c r="L45" s="1442"/>
      <c r="M45" s="1442"/>
      <c r="N45" s="1442"/>
      <c r="O45" s="1448"/>
      <c r="P45" s="1448"/>
      <c r="Q45" s="1443"/>
      <c r="R45" s="1444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2155">
        <f>'FE-1770 S-II'!AD46</f>
        <v>0</v>
      </c>
      <c r="AE45" s="2156"/>
      <c r="AF45" s="2156"/>
      <c r="AG45" s="2156"/>
      <c r="AH45" s="2156"/>
      <c r="AI45" s="2156"/>
      <c r="AJ45" s="2156"/>
      <c r="AK45" s="2156"/>
      <c r="AL45" s="2156"/>
      <c r="AM45" s="2156"/>
      <c r="AN45" s="408"/>
    </row>
    <row r="46" spans="2:40" ht="15" customHeight="1">
      <c r="B46" s="149" t="s">
        <v>631</v>
      </c>
      <c r="C46" s="2856" t="s">
        <v>671</v>
      </c>
      <c r="D46" s="2857"/>
      <c r="E46" s="2857"/>
      <c r="F46" s="2857"/>
      <c r="G46" s="2857"/>
      <c r="H46" s="2857"/>
      <c r="I46" s="2857"/>
      <c r="J46" s="2857"/>
      <c r="K46" s="2857"/>
      <c r="L46" s="2857"/>
      <c r="M46" s="2857"/>
      <c r="N46" s="2857"/>
      <c r="O46" s="2857"/>
      <c r="P46" s="2857"/>
      <c r="Q46" s="2858"/>
      <c r="R46" s="810">
        <f>'FE-1770 S-II'!R46:AB47</f>
        <v>0</v>
      </c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27"/>
      <c r="AD46" s="810"/>
      <c r="AE46" s="302"/>
      <c r="AF46" s="302"/>
      <c r="AG46" s="302"/>
      <c r="AH46" s="302"/>
      <c r="AI46" s="302"/>
      <c r="AJ46" s="302"/>
      <c r="AK46" s="302"/>
      <c r="AL46" s="302"/>
      <c r="AM46" s="302"/>
      <c r="AN46" s="300"/>
    </row>
    <row r="47" spans="2:40" ht="15" customHeight="1">
      <c r="B47" s="1337"/>
      <c r="C47" s="2859"/>
      <c r="D47" s="2860"/>
      <c r="E47" s="2860"/>
      <c r="F47" s="2860"/>
      <c r="G47" s="2860"/>
      <c r="H47" s="2860"/>
      <c r="I47" s="2860"/>
      <c r="J47" s="2860"/>
      <c r="K47" s="2860"/>
      <c r="L47" s="2860"/>
      <c r="M47" s="2860"/>
      <c r="N47" s="2860"/>
      <c r="O47" s="2860"/>
      <c r="P47" s="2860"/>
      <c r="Q47" s="2861"/>
      <c r="R47" s="625"/>
      <c r="S47" s="2157"/>
      <c r="T47" s="2157"/>
      <c r="U47" s="2157"/>
      <c r="V47" s="2157"/>
      <c r="W47" s="2157"/>
      <c r="X47" s="2157"/>
      <c r="Y47" s="2157"/>
      <c r="Z47" s="2157"/>
      <c r="AA47" s="2157"/>
      <c r="AB47" s="2157"/>
      <c r="AC47" s="333"/>
      <c r="AD47" s="625"/>
      <c r="AE47" s="2157"/>
      <c r="AF47" s="2157"/>
      <c r="AG47" s="2157"/>
      <c r="AH47" s="2157"/>
      <c r="AI47" s="2157"/>
      <c r="AJ47" s="2157"/>
      <c r="AK47" s="2157"/>
      <c r="AL47" s="2157"/>
      <c r="AM47" s="2157"/>
      <c r="AN47" s="335"/>
    </row>
    <row r="48" spans="2:40" ht="3" customHeight="1">
      <c r="B48" s="151"/>
      <c r="C48" s="1441"/>
      <c r="D48" s="1442"/>
      <c r="E48" s="1442"/>
      <c r="F48" s="1442"/>
      <c r="G48" s="1442"/>
      <c r="H48" s="1442"/>
      <c r="I48" s="1442"/>
      <c r="J48" s="1442"/>
      <c r="K48" s="1442"/>
      <c r="L48" s="1442"/>
      <c r="M48" s="1442"/>
      <c r="N48" s="1442"/>
      <c r="O48" s="1448"/>
      <c r="P48" s="1448"/>
      <c r="Q48" s="1443"/>
      <c r="R48" s="1444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2155">
        <f>'FE-1770 S-II'!AD49</f>
        <v>0</v>
      </c>
      <c r="AE48" s="2156"/>
      <c r="AF48" s="2156"/>
      <c r="AG48" s="2156"/>
      <c r="AH48" s="2156"/>
      <c r="AI48" s="2156"/>
      <c r="AJ48" s="2156"/>
      <c r="AK48" s="2156"/>
      <c r="AL48" s="2156"/>
      <c r="AM48" s="2156"/>
      <c r="AN48" s="408"/>
    </row>
    <row r="49" spans="2:40" ht="15" customHeight="1">
      <c r="B49" s="149" t="s">
        <v>632</v>
      </c>
      <c r="C49" s="2856" t="s">
        <v>672</v>
      </c>
      <c r="D49" s="2857"/>
      <c r="E49" s="2857"/>
      <c r="F49" s="2857"/>
      <c r="G49" s="2857"/>
      <c r="H49" s="2857"/>
      <c r="I49" s="2857"/>
      <c r="J49" s="2857"/>
      <c r="K49" s="2857"/>
      <c r="L49" s="2857"/>
      <c r="M49" s="2857"/>
      <c r="N49" s="2857"/>
      <c r="O49" s="2857"/>
      <c r="P49" s="2857"/>
      <c r="Q49" s="2858"/>
      <c r="R49" s="810">
        <f>'FE-1770 S-II'!R49:AB50</f>
        <v>0</v>
      </c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27"/>
      <c r="AD49" s="810"/>
      <c r="AE49" s="302"/>
      <c r="AF49" s="302"/>
      <c r="AG49" s="302"/>
      <c r="AH49" s="302"/>
      <c r="AI49" s="302"/>
      <c r="AJ49" s="302"/>
      <c r="AK49" s="302"/>
      <c r="AL49" s="302"/>
      <c r="AM49" s="302"/>
      <c r="AN49" s="300"/>
    </row>
    <row r="50" spans="2:40" ht="15" customHeight="1">
      <c r="B50" s="1337"/>
      <c r="C50" s="2859"/>
      <c r="D50" s="2860"/>
      <c r="E50" s="2860"/>
      <c r="F50" s="2860"/>
      <c r="G50" s="2860"/>
      <c r="H50" s="2860"/>
      <c r="I50" s="2860"/>
      <c r="J50" s="2860"/>
      <c r="K50" s="2860"/>
      <c r="L50" s="2860"/>
      <c r="M50" s="2860"/>
      <c r="N50" s="2860"/>
      <c r="O50" s="2860"/>
      <c r="P50" s="2860"/>
      <c r="Q50" s="2861"/>
      <c r="R50" s="625"/>
      <c r="S50" s="2157"/>
      <c r="T50" s="2157"/>
      <c r="U50" s="2157"/>
      <c r="V50" s="2157"/>
      <c r="W50" s="2157"/>
      <c r="X50" s="2157"/>
      <c r="Y50" s="2157"/>
      <c r="Z50" s="2157"/>
      <c r="AA50" s="2157"/>
      <c r="AB50" s="2157"/>
      <c r="AC50" s="333"/>
      <c r="AD50" s="625"/>
      <c r="AE50" s="2157"/>
      <c r="AF50" s="2157"/>
      <c r="AG50" s="2157"/>
      <c r="AH50" s="2157"/>
      <c r="AI50" s="2157"/>
      <c r="AJ50" s="2157"/>
      <c r="AK50" s="2157"/>
      <c r="AL50" s="2157"/>
      <c r="AM50" s="2157"/>
      <c r="AN50" s="335"/>
    </row>
    <row r="51" spans="2:40" ht="3" customHeight="1">
      <c r="B51" s="151"/>
      <c r="C51" s="1441"/>
      <c r="D51" s="1442"/>
      <c r="E51" s="1442"/>
      <c r="F51" s="1442"/>
      <c r="G51" s="1442"/>
      <c r="H51" s="1442"/>
      <c r="I51" s="1442"/>
      <c r="J51" s="1442"/>
      <c r="K51" s="1442"/>
      <c r="L51" s="1442"/>
      <c r="M51" s="1442"/>
      <c r="N51" s="1442"/>
      <c r="O51" s="1448"/>
      <c r="P51" s="1448"/>
      <c r="Q51" s="1443"/>
      <c r="R51" s="1449"/>
      <c r="S51" s="1450"/>
      <c r="T51" s="1450"/>
      <c r="U51" s="1450"/>
      <c r="V51" s="1450"/>
      <c r="W51" s="1450"/>
      <c r="X51" s="1450"/>
      <c r="Y51" s="1450"/>
      <c r="Z51" s="1450"/>
      <c r="AA51" s="1450"/>
      <c r="AB51" s="1450"/>
      <c r="AC51" s="1450"/>
      <c r="AD51" s="2862"/>
      <c r="AE51" s="2863"/>
      <c r="AF51" s="2863"/>
      <c r="AG51" s="2863"/>
      <c r="AH51" s="2863"/>
      <c r="AI51" s="2863"/>
      <c r="AJ51" s="2863"/>
      <c r="AK51" s="2863"/>
      <c r="AL51" s="2863"/>
      <c r="AM51" s="2863"/>
      <c r="AN51" s="1451"/>
    </row>
    <row r="52" spans="2:40" ht="15" customHeight="1">
      <c r="B52" s="149" t="s">
        <v>633</v>
      </c>
      <c r="C52" s="2207" t="s">
        <v>673</v>
      </c>
      <c r="D52" s="2208"/>
      <c r="E52" s="2208"/>
      <c r="F52" s="2208"/>
      <c r="G52" s="2208"/>
      <c r="H52" s="2208"/>
      <c r="I52" s="2208"/>
      <c r="J52" s="2208"/>
      <c r="K52" s="2208"/>
      <c r="L52" s="2208"/>
      <c r="M52" s="2208"/>
      <c r="N52" s="2208"/>
      <c r="O52" s="2208"/>
      <c r="P52" s="2208"/>
      <c r="Q52" s="2212"/>
      <c r="R52" s="2864"/>
      <c r="S52" s="2865"/>
      <c r="T52" s="2865"/>
      <c r="U52" s="2865"/>
      <c r="V52" s="2865"/>
      <c r="W52" s="2865"/>
      <c r="X52" s="2865"/>
      <c r="Y52" s="2865"/>
      <c r="Z52" s="2865"/>
      <c r="AA52" s="2865"/>
      <c r="AB52" s="2865"/>
      <c r="AC52" s="626"/>
      <c r="AD52" s="2864"/>
      <c r="AE52" s="2865"/>
      <c r="AF52" s="2865"/>
      <c r="AG52" s="2865"/>
      <c r="AH52" s="2865"/>
      <c r="AI52" s="2865"/>
      <c r="AJ52" s="2865"/>
      <c r="AK52" s="2865"/>
      <c r="AL52" s="2865"/>
      <c r="AM52" s="2865"/>
      <c r="AN52" s="627"/>
    </row>
    <row r="53" spans="2:40" ht="7.5" customHeight="1">
      <c r="B53" s="1337"/>
      <c r="C53" s="2209"/>
      <c r="D53" s="2210"/>
      <c r="E53" s="2210"/>
      <c r="F53" s="2210"/>
      <c r="G53" s="2210"/>
      <c r="H53" s="2210"/>
      <c r="I53" s="2210"/>
      <c r="J53" s="2210"/>
      <c r="K53" s="2210"/>
      <c r="L53" s="2210"/>
      <c r="M53" s="2210"/>
      <c r="N53" s="2210"/>
      <c r="O53" s="2210"/>
      <c r="P53" s="2210"/>
      <c r="Q53" s="2213"/>
      <c r="R53" s="2866"/>
      <c r="S53" s="2867"/>
      <c r="T53" s="2867"/>
      <c r="U53" s="2867"/>
      <c r="V53" s="2867"/>
      <c r="W53" s="2867"/>
      <c r="X53" s="2867"/>
      <c r="Y53" s="2867"/>
      <c r="Z53" s="2867"/>
      <c r="AA53" s="2867"/>
      <c r="AB53" s="2867"/>
      <c r="AC53" s="1452"/>
      <c r="AD53" s="2866"/>
      <c r="AE53" s="2867"/>
      <c r="AF53" s="2867"/>
      <c r="AG53" s="2867"/>
      <c r="AH53" s="2867"/>
      <c r="AI53" s="2867"/>
      <c r="AJ53" s="2867"/>
      <c r="AK53" s="2867"/>
      <c r="AL53" s="2867"/>
      <c r="AM53" s="2867"/>
      <c r="AN53" s="1453"/>
    </row>
    <row r="54" spans="2:40" ht="3" customHeight="1">
      <c r="B54" s="151"/>
      <c r="C54" s="1441"/>
      <c r="D54" s="1442"/>
      <c r="E54" s="1442"/>
      <c r="F54" s="1442"/>
      <c r="G54" s="1442"/>
      <c r="H54" s="1442"/>
      <c r="I54" s="1442"/>
      <c r="J54" s="1442"/>
      <c r="K54" s="1442"/>
      <c r="L54" s="1442"/>
      <c r="M54" s="1442"/>
      <c r="N54" s="1442"/>
      <c r="O54" s="1448"/>
      <c r="P54" s="1448"/>
      <c r="Q54" s="1443"/>
      <c r="R54" s="1444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2155">
        <f>'FE-1770 S-II'!AD55</f>
        <v>0</v>
      </c>
      <c r="AE54" s="2156"/>
      <c r="AF54" s="2156"/>
      <c r="AG54" s="2156"/>
      <c r="AH54" s="2156"/>
      <c r="AI54" s="2156"/>
      <c r="AJ54" s="2156"/>
      <c r="AK54" s="2156"/>
      <c r="AL54" s="2156"/>
      <c r="AM54" s="2156"/>
      <c r="AN54" s="408"/>
    </row>
    <row r="55" spans="2:40" ht="15" customHeight="1">
      <c r="B55" s="149" t="s">
        <v>634</v>
      </c>
      <c r="C55" s="2207" t="s">
        <v>139</v>
      </c>
      <c r="D55" s="2208"/>
      <c r="E55" s="2208"/>
      <c r="F55" s="2208"/>
      <c r="G55" s="2208"/>
      <c r="H55" s="2208"/>
      <c r="I55" s="2208"/>
      <c r="J55" s="2208"/>
      <c r="K55" s="2208"/>
      <c r="L55" s="2208"/>
      <c r="M55" s="2208"/>
      <c r="N55" s="2208"/>
      <c r="O55" s="2208"/>
      <c r="P55" s="2208"/>
      <c r="Q55" s="2212"/>
      <c r="R55" s="810">
        <f>'FE-1770 S-II'!R55:AB56</f>
        <v>0</v>
      </c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27"/>
      <c r="AD55" s="810"/>
      <c r="AE55" s="302"/>
      <c r="AF55" s="302"/>
      <c r="AG55" s="302"/>
      <c r="AH55" s="302"/>
      <c r="AI55" s="302"/>
      <c r="AJ55" s="302"/>
      <c r="AK55" s="302"/>
      <c r="AL55" s="302"/>
      <c r="AM55" s="302"/>
      <c r="AN55" s="300"/>
    </row>
    <row r="56" spans="2:40" ht="9" customHeight="1">
      <c r="B56" s="1337"/>
      <c r="C56" s="2209"/>
      <c r="D56" s="2210"/>
      <c r="E56" s="2210"/>
      <c r="F56" s="2210"/>
      <c r="G56" s="2210"/>
      <c r="H56" s="2210"/>
      <c r="I56" s="2210"/>
      <c r="J56" s="2210"/>
      <c r="K56" s="2210"/>
      <c r="L56" s="2210"/>
      <c r="M56" s="2210"/>
      <c r="N56" s="2210"/>
      <c r="O56" s="2210"/>
      <c r="P56" s="2210"/>
      <c r="Q56" s="2213"/>
      <c r="R56" s="625"/>
      <c r="S56" s="2157"/>
      <c r="T56" s="2157"/>
      <c r="U56" s="2157"/>
      <c r="V56" s="2157"/>
      <c r="W56" s="2157"/>
      <c r="X56" s="2157"/>
      <c r="Y56" s="2157"/>
      <c r="Z56" s="2157"/>
      <c r="AA56" s="2157"/>
      <c r="AB56" s="2157"/>
      <c r="AC56" s="333"/>
      <c r="AD56" s="625"/>
      <c r="AE56" s="2157"/>
      <c r="AF56" s="2157"/>
      <c r="AG56" s="2157"/>
      <c r="AH56" s="2157"/>
      <c r="AI56" s="2157"/>
      <c r="AJ56" s="2157"/>
      <c r="AK56" s="2157"/>
      <c r="AL56" s="2157"/>
      <c r="AM56" s="2157"/>
      <c r="AN56" s="335"/>
    </row>
    <row r="57" spans="2:40" ht="3" customHeight="1">
      <c r="B57" s="411"/>
      <c r="C57" s="230"/>
      <c r="D57" s="118"/>
      <c r="E57" s="118"/>
      <c r="F57" s="118"/>
      <c r="G57" s="118"/>
      <c r="H57" s="118"/>
      <c r="I57" s="118"/>
      <c r="J57" s="228"/>
      <c r="K57" s="228"/>
      <c r="L57" s="228"/>
      <c r="M57" s="228"/>
      <c r="N57" s="228"/>
      <c r="O57" s="228"/>
      <c r="P57" s="228"/>
      <c r="Q57" s="229"/>
      <c r="R57" s="71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149"/>
      <c r="AE57" s="70"/>
      <c r="AF57" s="70"/>
      <c r="AG57" s="70"/>
      <c r="AH57" s="70"/>
      <c r="AI57" s="70"/>
      <c r="AJ57" s="70"/>
      <c r="AK57" s="70"/>
      <c r="AL57" s="70"/>
      <c r="AM57" s="70"/>
      <c r="AN57" s="154"/>
    </row>
    <row r="58" spans="2:40" ht="15" customHeight="1">
      <c r="B58" s="398" t="s">
        <v>635</v>
      </c>
      <c r="C58" s="2184" t="s">
        <v>674</v>
      </c>
      <c r="D58" s="396"/>
      <c r="E58" s="396"/>
      <c r="F58" s="396"/>
      <c r="G58" s="396"/>
      <c r="H58" s="396"/>
      <c r="I58" s="396"/>
      <c r="J58" s="396"/>
      <c r="K58" s="396"/>
      <c r="L58" s="396"/>
      <c r="M58" s="396"/>
      <c r="N58" s="396"/>
      <c r="O58" s="396"/>
      <c r="P58" s="396"/>
      <c r="Q58" s="402"/>
      <c r="R58" s="810">
        <f>'FE-1770 S-II'!R58:AB59</f>
        <v>0</v>
      </c>
      <c r="S58" s="302"/>
      <c r="T58" s="302"/>
      <c r="U58" s="302"/>
      <c r="V58" s="302"/>
      <c r="W58" s="302"/>
      <c r="X58" s="302"/>
      <c r="Y58" s="302"/>
      <c r="Z58" s="302"/>
      <c r="AA58" s="302"/>
      <c r="AB58" s="302"/>
      <c r="AC58" s="327"/>
      <c r="AD58" s="810">
        <f>'FE-1770 S-II'!AD58:AM59</f>
        <v>0</v>
      </c>
      <c r="AE58" s="302"/>
      <c r="AF58" s="302"/>
      <c r="AG58" s="302"/>
      <c r="AH58" s="302"/>
      <c r="AI58" s="302"/>
      <c r="AJ58" s="302"/>
      <c r="AK58" s="302"/>
      <c r="AL58" s="302"/>
      <c r="AM58" s="302"/>
      <c r="AN58" s="300"/>
    </row>
    <row r="59" spans="2:40" ht="9" customHeight="1">
      <c r="B59" s="2211"/>
      <c r="C59" s="2185"/>
      <c r="D59" s="2186"/>
      <c r="E59" s="2186"/>
      <c r="F59" s="2186"/>
      <c r="G59" s="2186"/>
      <c r="H59" s="2186"/>
      <c r="I59" s="2186"/>
      <c r="J59" s="2186"/>
      <c r="K59" s="2186"/>
      <c r="L59" s="2186"/>
      <c r="M59" s="2186"/>
      <c r="N59" s="2186"/>
      <c r="O59" s="2186"/>
      <c r="P59" s="2186"/>
      <c r="Q59" s="2188"/>
      <c r="R59" s="625"/>
      <c r="S59" s="2157"/>
      <c r="T59" s="2157"/>
      <c r="U59" s="2157"/>
      <c r="V59" s="2157"/>
      <c r="W59" s="2157"/>
      <c r="X59" s="2157"/>
      <c r="Y59" s="2157"/>
      <c r="Z59" s="2157"/>
      <c r="AA59" s="2157"/>
      <c r="AB59" s="2157"/>
      <c r="AC59" s="333"/>
      <c r="AD59" s="625"/>
      <c r="AE59" s="2157"/>
      <c r="AF59" s="2157"/>
      <c r="AG59" s="2157"/>
      <c r="AH59" s="2157"/>
      <c r="AI59" s="2157"/>
      <c r="AJ59" s="2157"/>
      <c r="AK59" s="2157"/>
      <c r="AL59" s="2157"/>
      <c r="AM59" s="2157"/>
      <c r="AN59" s="335"/>
    </row>
    <row r="60" spans="2:40" ht="3" customHeight="1">
      <c r="B60" s="411"/>
      <c r="C60" s="227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9"/>
      <c r="R60" s="347"/>
      <c r="S60" s="348"/>
      <c r="T60" s="348"/>
      <c r="U60" s="348"/>
      <c r="V60" s="348"/>
      <c r="W60" s="348"/>
      <c r="X60" s="348"/>
      <c r="Y60" s="348"/>
      <c r="Z60" s="348"/>
      <c r="AA60" s="348"/>
      <c r="AB60" s="348"/>
      <c r="AC60" s="348"/>
      <c r="AD60" s="349"/>
      <c r="AE60" s="70"/>
      <c r="AF60" s="70"/>
      <c r="AG60" s="70"/>
      <c r="AH60" s="70"/>
      <c r="AI60" s="70"/>
      <c r="AJ60" s="70"/>
      <c r="AK60" s="70"/>
      <c r="AL60" s="70"/>
      <c r="AM60" s="70"/>
      <c r="AN60" s="154"/>
    </row>
    <row r="61" spans="2:40" ht="15" customHeight="1">
      <c r="B61" s="149" t="s">
        <v>636</v>
      </c>
      <c r="C61" s="187" t="s">
        <v>173</v>
      </c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9"/>
      <c r="R61" s="810">
        <f>'FE-1770 S-II'!R61:AB62</f>
        <v>0</v>
      </c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27"/>
      <c r="AD61" s="810">
        <f>'FE-1770 S-II'!AD61:AM62</f>
        <v>0</v>
      </c>
      <c r="AE61" s="302"/>
      <c r="AF61" s="302"/>
      <c r="AG61" s="302"/>
      <c r="AH61" s="302"/>
      <c r="AI61" s="302"/>
      <c r="AJ61" s="302"/>
      <c r="AK61" s="302"/>
      <c r="AL61" s="302"/>
      <c r="AM61" s="302"/>
      <c r="AN61" s="300"/>
    </row>
    <row r="62" spans="2:40" ht="15" customHeight="1">
      <c r="B62" s="149"/>
      <c r="C62" s="187" t="s">
        <v>126</v>
      </c>
      <c r="D62" s="228"/>
      <c r="E62" s="228"/>
      <c r="F62" s="228"/>
      <c r="G62" s="228"/>
      <c r="H62" s="232"/>
      <c r="I62" s="232"/>
      <c r="J62" s="232"/>
      <c r="K62" s="232"/>
      <c r="L62" s="232"/>
      <c r="M62" s="232"/>
      <c r="N62" s="232"/>
      <c r="O62" s="232"/>
      <c r="P62" s="232"/>
      <c r="Q62" s="2287"/>
      <c r="R62" s="625"/>
      <c r="S62" s="2157"/>
      <c r="T62" s="2157"/>
      <c r="U62" s="2157"/>
      <c r="V62" s="2157"/>
      <c r="W62" s="2157"/>
      <c r="X62" s="2157"/>
      <c r="Y62" s="2157"/>
      <c r="Z62" s="2157"/>
      <c r="AA62" s="2157"/>
      <c r="AB62" s="2157"/>
      <c r="AC62" s="333"/>
      <c r="AD62" s="625"/>
      <c r="AE62" s="2157"/>
      <c r="AF62" s="2157"/>
      <c r="AG62" s="2157"/>
      <c r="AH62" s="2157"/>
      <c r="AI62" s="2157"/>
      <c r="AJ62" s="2157"/>
      <c r="AK62" s="2157"/>
      <c r="AL62" s="2157"/>
      <c r="AM62" s="2157"/>
      <c r="AN62" s="335"/>
    </row>
    <row r="63" spans="2:40" ht="3" customHeight="1">
      <c r="B63" s="190"/>
      <c r="C63" s="151" t="s">
        <v>108</v>
      </c>
      <c r="D63" s="1444"/>
      <c r="E63" s="1444"/>
      <c r="F63" s="1444"/>
      <c r="G63" s="1444"/>
      <c r="H63" s="1444"/>
      <c r="I63" s="1444"/>
      <c r="J63" s="1444"/>
      <c r="K63" s="1444"/>
      <c r="L63" s="1444"/>
      <c r="M63" s="1444"/>
      <c r="N63" s="1444"/>
      <c r="O63" s="1444"/>
      <c r="P63" s="1444"/>
      <c r="Q63" s="2161"/>
      <c r="R63" s="350"/>
      <c r="S63" s="351"/>
      <c r="T63" s="351"/>
      <c r="U63" s="351"/>
      <c r="V63" s="351"/>
      <c r="W63" s="351"/>
      <c r="X63" s="351"/>
      <c r="Y63" s="351"/>
      <c r="Z63" s="351"/>
      <c r="AA63" s="351"/>
      <c r="AB63" s="151" t="s">
        <v>107</v>
      </c>
      <c r="AC63" s="2161"/>
      <c r="AD63" s="2155">
        <f>'FE-1770 S-II'!AD63:AM65</f>
        <v>0</v>
      </c>
      <c r="AE63" s="2156"/>
      <c r="AF63" s="2156"/>
      <c r="AG63" s="2156"/>
      <c r="AH63" s="2156"/>
      <c r="AI63" s="2156"/>
      <c r="AJ63" s="2156"/>
      <c r="AK63" s="2156"/>
      <c r="AL63" s="2156"/>
      <c r="AM63" s="2156"/>
      <c r="AN63" s="325"/>
    </row>
    <row r="64" spans="2:40" ht="14.25" customHeight="1">
      <c r="B64" s="186"/>
      <c r="C64" s="149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395"/>
      <c r="R64" s="352"/>
      <c r="S64" s="353"/>
      <c r="T64" s="354"/>
      <c r="U64" s="354"/>
      <c r="V64" s="354"/>
      <c r="W64" s="354"/>
      <c r="X64" s="354"/>
      <c r="Y64" s="354"/>
      <c r="Z64" s="354"/>
      <c r="AA64" s="354"/>
      <c r="AB64" s="149"/>
      <c r="AC64" s="395"/>
      <c r="AD64" s="810"/>
      <c r="AE64" s="302"/>
      <c r="AF64" s="302"/>
      <c r="AG64" s="302"/>
      <c r="AH64" s="302"/>
      <c r="AI64" s="302"/>
      <c r="AJ64" s="302"/>
      <c r="AK64" s="302"/>
      <c r="AL64" s="302"/>
      <c r="AM64" s="302"/>
      <c r="AN64" s="300"/>
    </row>
    <row r="65" spans="2:40" ht="3" customHeight="1">
      <c r="B65" s="183"/>
      <c r="C65" s="1337"/>
      <c r="D65" s="2187"/>
      <c r="E65" s="2187"/>
      <c r="F65" s="2187"/>
      <c r="G65" s="2187"/>
      <c r="H65" s="2187"/>
      <c r="I65" s="2187"/>
      <c r="J65" s="2187"/>
      <c r="K65" s="2187"/>
      <c r="L65" s="2187"/>
      <c r="M65" s="2187"/>
      <c r="N65" s="2187"/>
      <c r="O65" s="2187"/>
      <c r="P65" s="2187"/>
      <c r="Q65" s="2180"/>
      <c r="R65" s="355"/>
      <c r="S65" s="355"/>
      <c r="T65" s="356"/>
      <c r="U65" s="356"/>
      <c r="V65" s="356"/>
      <c r="W65" s="356"/>
      <c r="X65" s="356"/>
      <c r="Y65" s="356"/>
      <c r="Z65" s="356"/>
      <c r="AA65" s="356"/>
      <c r="AB65" s="1337"/>
      <c r="AC65" s="2180"/>
      <c r="AD65" s="625"/>
      <c r="AE65" s="2157"/>
      <c r="AF65" s="2157"/>
      <c r="AG65" s="2157"/>
      <c r="AH65" s="2157"/>
      <c r="AI65" s="2157"/>
      <c r="AJ65" s="2157"/>
      <c r="AK65" s="2157"/>
      <c r="AL65" s="2157"/>
      <c r="AM65" s="2157"/>
      <c r="AN65" s="335"/>
    </row>
    <row r="66" spans="2:40" ht="8.15" customHeight="1">
      <c r="B66" s="175"/>
      <c r="C66" s="175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</row>
    <row r="67" spans="2:40" ht="15" customHeight="1">
      <c r="B67" s="75" t="s">
        <v>46</v>
      </c>
      <c r="C67" s="75"/>
      <c r="D67" s="75"/>
      <c r="E67" s="15"/>
      <c r="F67" s="75" t="s">
        <v>26</v>
      </c>
      <c r="G67" s="75" t="s">
        <v>666</v>
      </c>
      <c r="H67" s="75"/>
      <c r="I67" s="75"/>
      <c r="J67" s="75"/>
      <c r="K67" s="7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4.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.75" customHeight="1">
      <c r="B69" s="2203" t="s">
        <v>76</v>
      </c>
      <c r="C69" s="2257" t="s">
        <v>879</v>
      </c>
      <c r="D69" s="2259"/>
      <c r="E69" s="151" t="s">
        <v>878</v>
      </c>
      <c r="F69" s="1444"/>
      <c r="G69" s="1444"/>
      <c r="H69" s="1444"/>
      <c r="I69" s="1444"/>
      <c r="J69" s="1444"/>
      <c r="K69" s="1444"/>
      <c r="L69" s="1444"/>
      <c r="M69" s="2161"/>
      <c r="N69" s="156" t="s">
        <v>71</v>
      </c>
      <c r="O69" s="159"/>
      <c r="P69" s="159"/>
      <c r="Q69" s="2162"/>
      <c r="R69" s="156" t="s">
        <v>69</v>
      </c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2162"/>
      <c r="AD69" s="151" t="s">
        <v>73</v>
      </c>
      <c r="AE69" s="1444"/>
      <c r="AF69" s="1444"/>
      <c r="AG69" s="1444"/>
      <c r="AH69" s="1444"/>
      <c r="AI69" s="1444"/>
      <c r="AJ69" s="1444"/>
      <c r="AK69" s="1444"/>
      <c r="AL69" s="1444"/>
      <c r="AM69" s="1444"/>
      <c r="AN69" s="2161"/>
    </row>
    <row r="70" spans="2:40" ht="12" customHeight="1">
      <c r="B70" s="2184"/>
      <c r="C70" s="2260"/>
      <c r="D70" s="2262"/>
      <c r="E70" s="149"/>
      <c r="F70" s="71"/>
      <c r="G70" s="71"/>
      <c r="H70" s="71"/>
      <c r="I70" s="71"/>
      <c r="J70" s="71"/>
      <c r="K70" s="71"/>
      <c r="L70" s="71"/>
      <c r="M70" s="395"/>
      <c r="N70" s="164" t="s">
        <v>72</v>
      </c>
      <c r="O70" s="69"/>
      <c r="P70" s="69"/>
      <c r="Q70" s="2181"/>
      <c r="R70" s="164" t="s">
        <v>70</v>
      </c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2181"/>
      <c r="AD70" s="149"/>
      <c r="AE70" s="71"/>
      <c r="AF70" s="71"/>
      <c r="AG70" s="71"/>
      <c r="AH70" s="71"/>
      <c r="AI70" s="71"/>
      <c r="AJ70" s="71"/>
      <c r="AK70" s="71"/>
      <c r="AL70" s="71"/>
      <c r="AM70" s="71"/>
      <c r="AN70" s="395"/>
    </row>
    <row r="71" spans="2:40" ht="3" customHeight="1">
      <c r="B71" s="2184"/>
      <c r="C71" s="2312"/>
      <c r="D71" s="2314"/>
      <c r="E71" s="628"/>
      <c r="F71" s="162"/>
      <c r="G71" s="162"/>
      <c r="H71" s="162"/>
      <c r="I71" s="162"/>
      <c r="J71" s="162"/>
      <c r="K71" s="162"/>
      <c r="L71" s="162"/>
      <c r="M71" s="629"/>
      <c r="N71" s="165"/>
      <c r="O71" s="630"/>
      <c r="P71" s="630"/>
      <c r="Q71" s="631"/>
      <c r="R71" s="165"/>
      <c r="S71" s="630"/>
      <c r="T71" s="630"/>
      <c r="U71" s="630"/>
      <c r="V71" s="630"/>
      <c r="W71" s="630"/>
      <c r="X71" s="630"/>
      <c r="Y71" s="630"/>
      <c r="Z71" s="630"/>
      <c r="AA71" s="630"/>
      <c r="AB71" s="630"/>
      <c r="AC71" s="630"/>
      <c r="AD71" s="153"/>
      <c r="AE71" s="70"/>
      <c r="AF71" s="630"/>
      <c r="AG71" s="70"/>
      <c r="AH71" s="70"/>
      <c r="AI71" s="70"/>
      <c r="AJ71" s="70"/>
      <c r="AK71" s="70"/>
      <c r="AL71" s="70"/>
      <c r="AM71" s="70"/>
      <c r="AN71" s="161"/>
    </row>
    <row r="72" spans="2:40" s="72" customFormat="1" ht="11.25" customHeight="1">
      <c r="B72" s="155" t="s">
        <v>65</v>
      </c>
      <c r="C72" s="155" t="s">
        <v>64</v>
      </c>
      <c r="D72" s="2183"/>
      <c r="E72" s="155" t="s">
        <v>66</v>
      </c>
      <c r="F72" s="2182"/>
      <c r="G72" s="2182"/>
      <c r="H72" s="2182"/>
      <c r="I72" s="2182"/>
      <c r="J72" s="2182"/>
      <c r="K72" s="2182"/>
      <c r="L72" s="2182"/>
      <c r="M72" s="2183"/>
      <c r="N72" s="155" t="s">
        <v>67</v>
      </c>
      <c r="O72" s="2182"/>
      <c r="P72" s="2182"/>
      <c r="Q72" s="2183"/>
      <c r="R72" s="155" t="s">
        <v>68</v>
      </c>
      <c r="S72" s="2182"/>
      <c r="T72" s="2182"/>
      <c r="U72" s="2182"/>
      <c r="V72" s="2182"/>
      <c r="W72" s="2182"/>
      <c r="X72" s="2182"/>
      <c r="Y72" s="2182"/>
      <c r="Z72" s="2182"/>
      <c r="AA72" s="2182"/>
      <c r="AB72" s="2182"/>
      <c r="AC72" s="2183"/>
      <c r="AD72" s="155" t="s">
        <v>99</v>
      </c>
      <c r="AE72" s="2182"/>
      <c r="AF72" s="2182"/>
      <c r="AG72" s="2182"/>
      <c r="AH72" s="2182"/>
      <c r="AI72" s="2182"/>
      <c r="AJ72" s="2182"/>
      <c r="AK72" s="2182"/>
      <c r="AL72" s="2182"/>
      <c r="AM72" s="2182"/>
      <c r="AN72" s="2183"/>
    </row>
    <row r="73" spans="2:42" ht="18" customHeight="1">
      <c r="B73" s="1341" t="s">
        <v>621</v>
      </c>
      <c r="C73" s="2155" t="str">
        <f ca="1">'LAMPIRAN'!B118</f>
        <v/>
      </c>
      <c r="D73" s="2169"/>
      <c r="E73" s="2819" t="str">
        <f ca="1">'LAMPIRAN'!D118</f>
        <v/>
      </c>
      <c r="F73" s="1367"/>
      <c r="G73" s="1367"/>
      <c r="H73" s="1367"/>
      <c r="I73" s="1367"/>
      <c r="J73" s="1367"/>
      <c r="K73" s="1367"/>
      <c r="L73" s="1367"/>
      <c r="M73" s="2820"/>
      <c r="N73" s="2308" t="str">
        <f ca="1">'LAMPIRAN'!O118</f>
        <v/>
      </c>
      <c r="O73" s="2827"/>
      <c r="P73" s="2827"/>
      <c r="Q73" s="2828"/>
      <c r="R73" s="2838" t="str">
        <f ca="1">'LAMPIRAN'!S118</f>
        <v/>
      </c>
      <c r="S73" s="2839"/>
      <c r="T73" s="2839"/>
      <c r="U73" s="2839"/>
      <c r="V73" s="2839"/>
      <c r="W73" s="2839"/>
      <c r="X73" s="2839"/>
      <c r="Y73" s="2839"/>
      <c r="Z73" s="2839"/>
      <c r="AA73" s="2839"/>
      <c r="AB73" s="2839"/>
      <c r="AC73" s="2840"/>
      <c r="AD73" s="2848" t="str">
        <f>IF(dateofdeparture&gt;0,"Saya telah meninggalkan Indonesia selama-lamanya","")</f>
        <v/>
      </c>
      <c r="AE73" s="2849"/>
      <c r="AF73" s="2849"/>
      <c r="AG73" s="2849"/>
      <c r="AH73" s="2849"/>
      <c r="AI73" s="2849"/>
      <c r="AJ73" s="2849"/>
      <c r="AK73" s="2849"/>
      <c r="AL73" s="2849"/>
      <c r="AM73" s="2849"/>
      <c r="AN73" s="2850"/>
      <c r="AP73" s="1321" t="s">
        <v>1337</v>
      </c>
    </row>
    <row r="74" spans="2:40" ht="18" customHeight="1">
      <c r="B74" s="398"/>
      <c r="C74" s="810"/>
      <c r="D74" s="2171"/>
      <c r="E74" s="1366"/>
      <c r="F74" s="968"/>
      <c r="G74" s="968"/>
      <c r="H74" s="968"/>
      <c r="I74" s="968"/>
      <c r="J74" s="968"/>
      <c r="K74" s="968"/>
      <c r="L74" s="968"/>
      <c r="M74" s="969"/>
      <c r="N74" s="2829"/>
      <c r="O74" s="2830"/>
      <c r="P74" s="2830"/>
      <c r="Q74" s="2831"/>
      <c r="R74" s="970"/>
      <c r="S74" s="971"/>
      <c r="T74" s="971"/>
      <c r="U74" s="971"/>
      <c r="V74" s="971"/>
      <c r="W74" s="971"/>
      <c r="X74" s="971"/>
      <c r="Y74" s="971"/>
      <c r="Z74" s="971"/>
      <c r="AA74" s="971"/>
      <c r="AB74" s="971"/>
      <c r="AC74" s="2841"/>
      <c r="AD74" s="2851"/>
      <c r="AE74" s="2852"/>
      <c r="AF74" s="2852"/>
      <c r="AG74" s="2852"/>
      <c r="AH74" s="2852"/>
      <c r="AI74" s="2852"/>
      <c r="AJ74" s="2852"/>
      <c r="AK74" s="2852"/>
      <c r="AL74" s="2852"/>
      <c r="AM74" s="2852"/>
      <c r="AN74" s="2853"/>
    </row>
    <row r="75" spans="2:40" ht="3" customHeight="1">
      <c r="B75" s="149"/>
      <c r="C75" s="810"/>
      <c r="D75" s="327"/>
      <c r="E75" s="1366"/>
      <c r="F75" s="968"/>
      <c r="G75" s="968"/>
      <c r="H75" s="968"/>
      <c r="I75" s="968"/>
      <c r="J75" s="968"/>
      <c r="K75" s="968"/>
      <c r="L75" s="968"/>
      <c r="M75" s="969"/>
      <c r="N75" s="1319"/>
      <c r="O75" s="1319"/>
      <c r="P75" s="1319"/>
      <c r="Q75" s="1319"/>
      <c r="R75" s="970"/>
      <c r="S75" s="971"/>
      <c r="T75" s="971"/>
      <c r="U75" s="971"/>
      <c r="V75" s="971"/>
      <c r="W75" s="971"/>
      <c r="X75" s="971"/>
      <c r="Y75" s="971"/>
      <c r="Z75" s="971"/>
      <c r="AA75" s="971"/>
      <c r="AB75" s="971"/>
      <c r="AC75" s="971"/>
      <c r="AD75" s="1065"/>
      <c r="AE75" s="1066"/>
      <c r="AF75" s="1067"/>
      <c r="AG75" s="1068"/>
      <c r="AH75" s="1066"/>
      <c r="AI75" s="1066"/>
      <c r="AJ75" s="1066"/>
      <c r="AK75" s="1066"/>
      <c r="AL75" s="1066"/>
      <c r="AM75" s="1066"/>
      <c r="AN75" s="1069"/>
    </row>
    <row r="76" spans="2:40" ht="18" customHeight="1">
      <c r="B76" s="1341" t="s">
        <v>622</v>
      </c>
      <c r="C76" s="2155" t="str">
        <f ca="1">'LAMPIRAN'!B119</f>
        <v/>
      </c>
      <c r="D76" s="2169"/>
      <c r="E76" s="2819" t="str">
        <f ca="1">'LAMPIRAN'!D119</f>
        <v/>
      </c>
      <c r="F76" s="1367"/>
      <c r="G76" s="1367"/>
      <c r="H76" s="1367"/>
      <c r="I76" s="1367"/>
      <c r="J76" s="1367"/>
      <c r="K76" s="1367"/>
      <c r="L76" s="1367"/>
      <c r="M76" s="2820"/>
      <c r="N76" s="2308" t="str">
        <f ca="1">'LAMPIRAN'!O119</f>
        <v/>
      </c>
      <c r="O76" s="2827"/>
      <c r="P76" s="2827"/>
      <c r="Q76" s="2828"/>
      <c r="R76" s="2838" t="str">
        <f ca="1">'LAMPIRAN'!S119</f>
        <v/>
      </c>
      <c r="S76" s="2839"/>
      <c r="T76" s="2839"/>
      <c r="U76" s="2839"/>
      <c r="V76" s="2839"/>
      <c r="W76" s="2839"/>
      <c r="X76" s="2839"/>
      <c r="Y76" s="2839"/>
      <c r="Z76" s="2839"/>
      <c r="AA76" s="2839"/>
      <c r="AB76" s="2839"/>
      <c r="AC76" s="2840"/>
      <c r="AD76" s="2832" t="str">
        <f>IF(dateofdeparture&gt;0,"Fotokopi EPO terlampir","")</f>
        <v/>
      </c>
      <c r="AE76" s="2833"/>
      <c r="AF76" s="2833"/>
      <c r="AG76" s="2833"/>
      <c r="AH76" s="2833"/>
      <c r="AI76" s="2833"/>
      <c r="AJ76" s="2833"/>
      <c r="AK76" s="2833"/>
      <c r="AL76" s="2833"/>
      <c r="AM76" s="2833"/>
      <c r="AN76" s="2834"/>
    </row>
    <row r="77" spans="2:40" ht="18" customHeight="1">
      <c r="B77" s="398"/>
      <c r="C77" s="810"/>
      <c r="D77" s="2171"/>
      <c r="E77" s="1366"/>
      <c r="F77" s="968"/>
      <c r="G77" s="968"/>
      <c r="H77" s="968"/>
      <c r="I77" s="968"/>
      <c r="J77" s="968"/>
      <c r="K77" s="968"/>
      <c r="L77" s="968"/>
      <c r="M77" s="969"/>
      <c r="N77" s="2829"/>
      <c r="O77" s="2830"/>
      <c r="P77" s="2830"/>
      <c r="Q77" s="2831"/>
      <c r="R77" s="970"/>
      <c r="S77" s="971"/>
      <c r="T77" s="971"/>
      <c r="U77" s="971"/>
      <c r="V77" s="971"/>
      <c r="W77" s="971"/>
      <c r="X77" s="971"/>
      <c r="Y77" s="971"/>
      <c r="Z77" s="971"/>
      <c r="AA77" s="971"/>
      <c r="AB77" s="971"/>
      <c r="AC77" s="2841"/>
      <c r="AD77" s="2835"/>
      <c r="AE77" s="2836"/>
      <c r="AF77" s="2836"/>
      <c r="AG77" s="2836"/>
      <c r="AH77" s="2836"/>
      <c r="AI77" s="2836"/>
      <c r="AJ77" s="2836"/>
      <c r="AK77" s="2836"/>
      <c r="AL77" s="2836"/>
      <c r="AM77" s="2836"/>
      <c r="AN77" s="2837"/>
    </row>
    <row r="78" spans="2:40" ht="3" customHeight="1">
      <c r="B78" s="149"/>
      <c r="C78" s="810"/>
      <c r="D78" s="327"/>
      <c r="E78" s="968"/>
      <c r="F78" s="968"/>
      <c r="G78" s="968"/>
      <c r="H78" s="968"/>
      <c r="I78" s="968"/>
      <c r="J78" s="968"/>
      <c r="K78" s="968"/>
      <c r="L78" s="968"/>
      <c r="M78" s="969"/>
      <c r="N78" s="1319"/>
      <c r="O78" s="1319"/>
      <c r="P78" s="1319"/>
      <c r="Q78" s="1319"/>
      <c r="R78" s="970"/>
      <c r="S78" s="971"/>
      <c r="T78" s="971"/>
      <c r="U78" s="971"/>
      <c r="V78" s="971"/>
      <c r="W78" s="971"/>
      <c r="X78" s="971"/>
      <c r="Y78" s="971"/>
      <c r="Z78" s="971"/>
      <c r="AA78" s="971"/>
      <c r="AB78" s="971"/>
      <c r="AC78" s="971"/>
      <c r="AD78" s="1065"/>
      <c r="AE78" s="1066"/>
      <c r="AF78" s="1067"/>
      <c r="AG78" s="1068"/>
      <c r="AH78" s="1066"/>
      <c r="AI78" s="1066"/>
      <c r="AJ78" s="1066"/>
      <c r="AK78" s="1066"/>
      <c r="AL78" s="1066"/>
      <c r="AM78" s="1066"/>
      <c r="AN78" s="1069"/>
    </row>
    <row r="79" spans="2:40" ht="18" customHeight="1">
      <c r="B79" s="1341" t="s">
        <v>623</v>
      </c>
      <c r="C79" s="2155" t="str">
        <f ca="1">'LAMPIRAN'!B120</f>
        <v/>
      </c>
      <c r="D79" s="2169"/>
      <c r="E79" s="2819" t="str">
        <f ca="1">'LAMPIRAN'!D120</f>
        <v/>
      </c>
      <c r="F79" s="1367"/>
      <c r="G79" s="1367"/>
      <c r="H79" s="1367"/>
      <c r="I79" s="1367"/>
      <c r="J79" s="1367"/>
      <c r="K79" s="1367"/>
      <c r="L79" s="1367"/>
      <c r="M79" s="2820"/>
      <c r="N79" s="2308" t="str">
        <f ca="1">'LAMPIRAN'!O120</f>
        <v/>
      </c>
      <c r="O79" s="2827"/>
      <c r="P79" s="2827"/>
      <c r="Q79" s="2828"/>
      <c r="R79" s="2838" t="str">
        <f ca="1">'LAMPIRAN'!S120</f>
        <v/>
      </c>
      <c r="S79" s="2839"/>
      <c r="T79" s="2839"/>
      <c r="U79" s="2839"/>
      <c r="V79" s="2839"/>
      <c r="W79" s="2839"/>
      <c r="X79" s="2839"/>
      <c r="Y79" s="2839"/>
      <c r="Z79" s="2839"/>
      <c r="AA79" s="2839"/>
      <c r="AB79" s="2839"/>
      <c r="AC79" s="2840"/>
      <c r="AD79" s="2832"/>
      <c r="AE79" s="2833"/>
      <c r="AF79" s="2833"/>
      <c r="AG79" s="2833"/>
      <c r="AH79" s="2833"/>
      <c r="AI79" s="2833"/>
      <c r="AJ79" s="2833"/>
      <c r="AK79" s="2833"/>
      <c r="AL79" s="2833"/>
      <c r="AM79" s="2833"/>
      <c r="AN79" s="2834"/>
    </row>
    <row r="80" spans="2:40" ht="18" customHeight="1">
      <c r="B80" s="398"/>
      <c r="C80" s="810"/>
      <c r="D80" s="2171"/>
      <c r="E80" s="1366"/>
      <c r="F80" s="968"/>
      <c r="G80" s="968"/>
      <c r="H80" s="968"/>
      <c r="I80" s="968"/>
      <c r="J80" s="968"/>
      <c r="K80" s="968"/>
      <c r="L80" s="968"/>
      <c r="M80" s="969"/>
      <c r="N80" s="2829"/>
      <c r="O80" s="2830"/>
      <c r="P80" s="2830"/>
      <c r="Q80" s="2831"/>
      <c r="R80" s="970"/>
      <c r="S80" s="971"/>
      <c r="T80" s="971"/>
      <c r="U80" s="971"/>
      <c r="V80" s="971"/>
      <c r="W80" s="971"/>
      <c r="X80" s="971"/>
      <c r="Y80" s="971"/>
      <c r="Z80" s="971"/>
      <c r="AA80" s="971"/>
      <c r="AB80" s="971"/>
      <c r="AC80" s="2841"/>
      <c r="AD80" s="2835"/>
      <c r="AE80" s="2836"/>
      <c r="AF80" s="2836"/>
      <c r="AG80" s="2836"/>
      <c r="AH80" s="2836"/>
      <c r="AI80" s="2836"/>
      <c r="AJ80" s="2836"/>
      <c r="AK80" s="2836"/>
      <c r="AL80" s="2836"/>
      <c r="AM80" s="2836"/>
      <c r="AN80" s="2837"/>
    </row>
    <row r="81" spans="2:40" ht="3" customHeight="1">
      <c r="B81" s="149"/>
      <c r="C81" s="810"/>
      <c r="D81" s="327"/>
      <c r="E81" s="968"/>
      <c r="F81" s="968"/>
      <c r="G81" s="968"/>
      <c r="H81" s="968"/>
      <c r="I81" s="968"/>
      <c r="J81" s="968"/>
      <c r="K81" s="968"/>
      <c r="L81" s="968"/>
      <c r="M81" s="969"/>
      <c r="N81" s="1319"/>
      <c r="O81" s="1319"/>
      <c r="P81" s="1319"/>
      <c r="Q81" s="1319"/>
      <c r="R81" s="970"/>
      <c r="S81" s="971"/>
      <c r="T81" s="971"/>
      <c r="U81" s="971"/>
      <c r="V81" s="971"/>
      <c r="W81" s="971"/>
      <c r="X81" s="971"/>
      <c r="Y81" s="971"/>
      <c r="Z81" s="971"/>
      <c r="AA81" s="971"/>
      <c r="AB81" s="971"/>
      <c r="AC81" s="971"/>
      <c r="AD81" s="1065"/>
      <c r="AE81" s="1066"/>
      <c r="AF81" s="1067"/>
      <c r="AG81" s="1068"/>
      <c r="AH81" s="1066"/>
      <c r="AI81" s="1066"/>
      <c r="AJ81" s="1066"/>
      <c r="AK81" s="1066"/>
      <c r="AL81" s="1066"/>
      <c r="AM81" s="1066"/>
      <c r="AN81" s="1069"/>
    </row>
    <row r="82" spans="2:40" ht="18.75" customHeight="1">
      <c r="B82" s="1341" t="s">
        <v>624</v>
      </c>
      <c r="C82" s="2155" t="str">
        <f ca="1">'LAMPIRAN'!B121</f>
        <v/>
      </c>
      <c r="D82" s="2169"/>
      <c r="E82" s="2819" t="str">
        <f ca="1">'LAMPIRAN'!D121</f>
        <v/>
      </c>
      <c r="F82" s="1367"/>
      <c r="G82" s="1367"/>
      <c r="H82" s="1367"/>
      <c r="I82" s="1367"/>
      <c r="J82" s="1367"/>
      <c r="K82" s="1367"/>
      <c r="L82" s="1367"/>
      <c r="M82" s="2820"/>
      <c r="N82" s="2308" t="str">
        <f ca="1">'LAMPIRAN'!O121</f>
        <v/>
      </c>
      <c r="O82" s="2827"/>
      <c r="P82" s="2827"/>
      <c r="Q82" s="2828"/>
      <c r="R82" s="2838" t="str">
        <f ca="1">'LAMPIRAN'!S121</f>
        <v/>
      </c>
      <c r="S82" s="2839"/>
      <c r="T82" s="2839"/>
      <c r="U82" s="2839"/>
      <c r="V82" s="2839"/>
      <c r="W82" s="2839"/>
      <c r="X82" s="2839"/>
      <c r="Y82" s="2839"/>
      <c r="Z82" s="2839"/>
      <c r="AA82" s="2839"/>
      <c r="AB82" s="2839"/>
      <c r="AC82" s="2840"/>
      <c r="AD82" s="2832"/>
      <c r="AE82" s="2833"/>
      <c r="AF82" s="2833"/>
      <c r="AG82" s="2833"/>
      <c r="AH82" s="2833"/>
      <c r="AI82" s="2833"/>
      <c r="AJ82" s="2833"/>
      <c r="AK82" s="2833"/>
      <c r="AL82" s="2833"/>
      <c r="AM82" s="2833"/>
      <c r="AN82" s="2834"/>
    </row>
    <row r="83" spans="2:40" ht="18.75" customHeight="1">
      <c r="B83" s="398"/>
      <c r="C83" s="810"/>
      <c r="D83" s="2171"/>
      <c r="E83" s="1366"/>
      <c r="F83" s="968"/>
      <c r="G83" s="968"/>
      <c r="H83" s="968"/>
      <c r="I83" s="968"/>
      <c r="J83" s="968"/>
      <c r="K83" s="968"/>
      <c r="L83" s="968"/>
      <c r="M83" s="969"/>
      <c r="N83" s="2829"/>
      <c r="O83" s="2830"/>
      <c r="P83" s="2830"/>
      <c r="Q83" s="2831"/>
      <c r="R83" s="970"/>
      <c r="S83" s="971"/>
      <c r="T83" s="971"/>
      <c r="U83" s="971"/>
      <c r="V83" s="971"/>
      <c r="W83" s="971"/>
      <c r="X83" s="971"/>
      <c r="Y83" s="971"/>
      <c r="Z83" s="971"/>
      <c r="AA83" s="971"/>
      <c r="AB83" s="971"/>
      <c r="AC83" s="2841"/>
      <c r="AD83" s="2835"/>
      <c r="AE83" s="2836"/>
      <c r="AF83" s="2836"/>
      <c r="AG83" s="2836"/>
      <c r="AH83" s="2836"/>
      <c r="AI83" s="2836"/>
      <c r="AJ83" s="2836"/>
      <c r="AK83" s="2836"/>
      <c r="AL83" s="2836"/>
      <c r="AM83" s="2836"/>
      <c r="AN83" s="2837"/>
    </row>
    <row r="84" spans="2:40" ht="3" customHeight="1">
      <c r="B84" s="398"/>
      <c r="C84" s="810"/>
      <c r="D84" s="327"/>
      <c r="E84" s="968"/>
      <c r="F84" s="968"/>
      <c r="G84" s="968"/>
      <c r="H84" s="968"/>
      <c r="I84" s="968"/>
      <c r="J84" s="968"/>
      <c r="K84" s="968"/>
      <c r="L84" s="968"/>
      <c r="M84" s="969"/>
      <c r="N84" s="1319"/>
      <c r="O84" s="1319"/>
      <c r="P84" s="1319"/>
      <c r="Q84" s="1319"/>
      <c r="R84" s="970"/>
      <c r="S84" s="971"/>
      <c r="T84" s="971"/>
      <c r="U84" s="971"/>
      <c r="V84" s="971"/>
      <c r="W84" s="971"/>
      <c r="X84" s="971"/>
      <c r="Y84" s="971"/>
      <c r="Z84" s="971"/>
      <c r="AA84" s="971"/>
      <c r="AB84" s="971"/>
      <c r="AC84" s="971"/>
      <c r="AD84" s="1065"/>
      <c r="AE84" s="1066"/>
      <c r="AF84" s="1067"/>
      <c r="AG84" s="1068"/>
      <c r="AH84" s="1066"/>
      <c r="AI84" s="1066"/>
      <c r="AJ84" s="1066"/>
      <c r="AK84" s="1066"/>
      <c r="AL84" s="1066"/>
      <c r="AM84" s="1066"/>
      <c r="AN84" s="1069"/>
    </row>
    <row r="85" spans="2:40" ht="18" customHeight="1">
      <c r="B85" s="1341" t="s">
        <v>625</v>
      </c>
      <c r="C85" s="2155" t="str">
        <f ca="1">'LAMPIRAN'!B122</f>
        <v/>
      </c>
      <c r="D85" s="2169"/>
      <c r="E85" s="2819" t="str">
        <f ca="1">'LAMPIRAN'!D122</f>
        <v/>
      </c>
      <c r="F85" s="1367"/>
      <c r="G85" s="1367"/>
      <c r="H85" s="1367"/>
      <c r="I85" s="1367"/>
      <c r="J85" s="1367"/>
      <c r="K85" s="1367"/>
      <c r="L85" s="1367"/>
      <c r="M85" s="2820"/>
      <c r="N85" s="2308" t="str">
        <f ca="1">'LAMPIRAN'!O122</f>
        <v/>
      </c>
      <c r="O85" s="2827"/>
      <c r="P85" s="2827"/>
      <c r="Q85" s="2828"/>
      <c r="R85" s="2838" t="str">
        <f ca="1">'LAMPIRAN'!S122</f>
        <v/>
      </c>
      <c r="S85" s="2839"/>
      <c r="T85" s="2839"/>
      <c r="U85" s="2839"/>
      <c r="V85" s="2839"/>
      <c r="W85" s="2839"/>
      <c r="X85" s="2839"/>
      <c r="Y85" s="2839"/>
      <c r="Z85" s="2839"/>
      <c r="AA85" s="2839"/>
      <c r="AB85" s="2839"/>
      <c r="AC85" s="2840"/>
      <c r="AD85" s="2832"/>
      <c r="AE85" s="2833"/>
      <c r="AF85" s="2833"/>
      <c r="AG85" s="2833"/>
      <c r="AH85" s="2833"/>
      <c r="AI85" s="2833"/>
      <c r="AJ85" s="2833"/>
      <c r="AK85" s="2833"/>
      <c r="AL85" s="2833"/>
      <c r="AM85" s="2833"/>
      <c r="AN85" s="2834"/>
    </row>
    <row r="86" spans="2:40" ht="18" customHeight="1">
      <c r="B86" s="398" t="s">
        <v>124</v>
      </c>
      <c r="C86" s="810"/>
      <c r="D86" s="2171"/>
      <c r="E86" s="1366"/>
      <c r="F86" s="968"/>
      <c r="G86" s="968"/>
      <c r="H86" s="968"/>
      <c r="I86" s="968"/>
      <c r="J86" s="968"/>
      <c r="K86" s="968"/>
      <c r="L86" s="968"/>
      <c r="M86" s="969"/>
      <c r="N86" s="2829"/>
      <c r="O86" s="2830"/>
      <c r="P86" s="2830"/>
      <c r="Q86" s="2831"/>
      <c r="R86" s="970"/>
      <c r="S86" s="971"/>
      <c r="T86" s="971"/>
      <c r="U86" s="971"/>
      <c r="V86" s="971"/>
      <c r="W86" s="971"/>
      <c r="X86" s="971"/>
      <c r="Y86" s="971"/>
      <c r="Z86" s="971"/>
      <c r="AA86" s="971"/>
      <c r="AB86" s="971"/>
      <c r="AC86" s="2841"/>
      <c r="AD86" s="2835"/>
      <c r="AE86" s="2836"/>
      <c r="AF86" s="2836"/>
      <c r="AG86" s="2836"/>
      <c r="AH86" s="2836"/>
      <c r="AI86" s="2836"/>
      <c r="AJ86" s="2836"/>
      <c r="AK86" s="2836"/>
      <c r="AL86" s="2836"/>
      <c r="AM86" s="2836"/>
      <c r="AN86" s="2837"/>
    </row>
    <row r="87" spans="2:40" ht="3" customHeight="1">
      <c r="B87" s="418"/>
      <c r="C87" s="625"/>
      <c r="D87" s="333"/>
      <c r="E87" s="326"/>
      <c r="F87" s="326"/>
      <c r="G87" s="326"/>
      <c r="H87" s="326"/>
      <c r="I87" s="326"/>
      <c r="J87" s="326"/>
      <c r="K87" s="326"/>
      <c r="L87" s="326"/>
      <c r="M87" s="327"/>
      <c r="N87" s="302"/>
      <c r="O87" s="326"/>
      <c r="P87" s="326"/>
      <c r="Q87" s="326"/>
      <c r="R87" s="371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811"/>
      <c r="AE87" s="299"/>
      <c r="AF87" s="851"/>
      <c r="AG87" s="267"/>
      <c r="AH87" s="299"/>
      <c r="AI87" s="299"/>
      <c r="AJ87" s="299"/>
      <c r="AK87" s="299"/>
      <c r="AL87" s="299"/>
      <c r="AM87" s="299"/>
      <c r="AN87" s="300"/>
    </row>
    <row r="88" spans="2:40" ht="15" customHeight="1">
      <c r="B88" s="156"/>
      <c r="C88" s="151" t="s">
        <v>109</v>
      </c>
      <c r="D88" s="1444"/>
      <c r="E88" s="1444"/>
      <c r="F88" s="1444"/>
      <c r="G88" s="1444"/>
      <c r="H88" s="1444"/>
      <c r="I88" s="1444"/>
      <c r="J88" s="1444"/>
      <c r="K88" s="1444"/>
      <c r="L88" s="1444"/>
      <c r="M88" s="2161"/>
      <c r="N88" s="181"/>
      <c r="O88" s="181"/>
      <c r="P88" s="151" t="s">
        <v>110</v>
      </c>
      <c r="Q88" s="2161"/>
      <c r="R88" s="2246">
        <f ca="1">SUM(R73:AC86)</f>
        <v>0</v>
      </c>
      <c r="S88" s="1348"/>
      <c r="T88" s="1348"/>
      <c r="U88" s="1348"/>
      <c r="V88" s="1348"/>
      <c r="W88" s="1348"/>
      <c r="X88" s="1348"/>
      <c r="Y88" s="1348"/>
      <c r="Z88" s="1348"/>
      <c r="AA88" s="1348"/>
      <c r="AB88" s="1348"/>
      <c r="AC88" s="359"/>
      <c r="AD88" s="852"/>
      <c r="AE88" s="195"/>
      <c r="AF88" s="195"/>
      <c r="AG88" s="195"/>
      <c r="AH88" s="195"/>
      <c r="AI88" s="195"/>
      <c r="AJ88" s="195"/>
      <c r="AK88" s="196"/>
      <c r="AL88" s="196"/>
      <c r="AM88" s="196"/>
      <c r="AN88" s="197"/>
    </row>
    <row r="89" spans="2:40" ht="4.5" customHeight="1">
      <c r="B89" s="164"/>
      <c r="C89" s="149"/>
      <c r="D89" s="71"/>
      <c r="E89" s="71"/>
      <c r="F89" s="71"/>
      <c r="G89" s="71"/>
      <c r="H89" s="71"/>
      <c r="I89" s="71"/>
      <c r="J89" s="71"/>
      <c r="K89" s="71"/>
      <c r="L89" s="71"/>
      <c r="M89" s="395"/>
      <c r="N89" s="105"/>
      <c r="O89" s="105"/>
      <c r="P89" s="149"/>
      <c r="Q89" s="395"/>
      <c r="R89" s="1347"/>
      <c r="S89" s="1194"/>
      <c r="T89" s="1194"/>
      <c r="U89" s="1194"/>
      <c r="V89" s="1194"/>
      <c r="W89" s="1194"/>
      <c r="X89" s="1194"/>
      <c r="Y89" s="1194"/>
      <c r="Z89" s="1194"/>
      <c r="AA89" s="1194"/>
      <c r="AB89" s="1194"/>
      <c r="AC89" s="360"/>
      <c r="AD89" s="853"/>
      <c r="AE89" s="102"/>
      <c r="AF89" s="102"/>
      <c r="AG89" s="102"/>
      <c r="AH89" s="102"/>
      <c r="AI89" s="102"/>
      <c r="AJ89" s="102"/>
      <c r="AK89" s="103"/>
      <c r="AL89" s="103"/>
      <c r="AM89" s="103"/>
      <c r="AN89" s="191"/>
    </row>
    <row r="90" spans="2:40" ht="3" customHeight="1" hidden="1">
      <c r="B90" s="189"/>
      <c r="C90" s="1337"/>
      <c r="D90" s="2187"/>
      <c r="E90" s="2187"/>
      <c r="F90" s="2187"/>
      <c r="G90" s="2187"/>
      <c r="H90" s="2187"/>
      <c r="I90" s="2187"/>
      <c r="J90" s="2187"/>
      <c r="K90" s="2187"/>
      <c r="L90" s="2187"/>
      <c r="M90" s="2180"/>
      <c r="N90" s="166"/>
      <c r="O90" s="166"/>
      <c r="P90" s="1337"/>
      <c r="Q90" s="2180"/>
      <c r="R90" s="2267"/>
      <c r="S90" s="2268"/>
      <c r="T90" s="2268"/>
      <c r="U90" s="2268"/>
      <c r="V90" s="2268"/>
      <c r="W90" s="2268"/>
      <c r="X90" s="2268"/>
      <c r="Y90" s="2268"/>
      <c r="Z90" s="2268"/>
      <c r="AA90" s="2268"/>
      <c r="AB90" s="2268"/>
      <c r="AC90" s="357"/>
      <c r="AD90" s="357"/>
      <c r="AE90" s="357"/>
      <c r="AF90" s="358"/>
      <c r="AG90" s="192"/>
      <c r="AH90" s="192"/>
      <c r="AI90" s="192"/>
      <c r="AJ90" s="192"/>
      <c r="AK90" s="193"/>
      <c r="AL90" s="193"/>
      <c r="AM90" s="193"/>
      <c r="AN90" s="194"/>
    </row>
    <row r="91" spans="2:40" ht="5.25" customHeight="1"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47"/>
      <c r="AE91" s="47"/>
      <c r="AF91" s="47"/>
      <c r="AG91" s="47"/>
      <c r="AH91" s="47"/>
      <c r="AI91" s="47"/>
      <c r="AJ91" s="175"/>
      <c r="AK91" s="175"/>
      <c r="AL91" s="175"/>
      <c r="AM91" s="175"/>
      <c r="AN91" s="175"/>
    </row>
    <row r="92" spans="2:40" ht="3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4"/>
      <c r="AE92" s="4"/>
      <c r="AF92" s="4"/>
      <c r="AG92" s="4"/>
      <c r="AH92" s="4"/>
      <c r="AI92" s="4"/>
      <c r="AJ92"/>
      <c r="AK92"/>
      <c r="AL92"/>
      <c r="AM92"/>
      <c r="AN92"/>
    </row>
    <row r="93" spans="2:40" ht="15" customHeight="1">
      <c r="B93" s="75"/>
      <c r="C93" s="76" t="s">
        <v>59</v>
      </c>
      <c r="D93" s="76"/>
      <c r="E93" s="15"/>
      <c r="F93" s="76" t="s">
        <v>26</v>
      </c>
      <c r="G93" s="83" t="s">
        <v>667</v>
      </c>
      <c r="H93" s="15"/>
      <c r="I93" s="76"/>
      <c r="J93" s="76"/>
      <c r="K93" s="76"/>
      <c r="L93" s="69"/>
      <c r="M93" s="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7"/>
      <c r="AC93" s="11"/>
      <c r="AD93" s="4"/>
      <c r="AE93" s="4"/>
      <c r="AF93" s="4"/>
      <c r="AG93" s="4"/>
      <c r="AH93" s="4"/>
      <c r="AI93" s="4"/>
      <c r="AJ93"/>
      <c r="AK93"/>
      <c r="AL93"/>
      <c r="AM93"/>
      <c r="AN93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15" customHeight="1">
      <c r="B96" s="2203" t="s">
        <v>76</v>
      </c>
      <c r="C96" s="2257" t="s">
        <v>881</v>
      </c>
      <c r="D96" s="2259"/>
      <c r="E96" s="151" t="s">
        <v>880</v>
      </c>
      <c r="F96" s="1444"/>
      <c r="G96" s="1444"/>
      <c r="H96" s="1444"/>
      <c r="I96" s="1444"/>
      <c r="J96" s="1444"/>
      <c r="K96" s="1444"/>
      <c r="L96" s="1444"/>
      <c r="M96" s="2161"/>
      <c r="N96" s="156" t="s">
        <v>102</v>
      </c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2162"/>
      <c r="Z96" s="156" t="s">
        <v>71</v>
      </c>
      <c r="AA96" s="159"/>
      <c r="AB96" s="159"/>
      <c r="AC96" s="2162"/>
      <c r="AD96" s="151" t="s">
        <v>74</v>
      </c>
      <c r="AE96" s="1444"/>
      <c r="AF96" s="1444"/>
      <c r="AG96" s="1444"/>
      <c r="AH96" s="1444"/>
      <c r="AI96" s="1444"/>
      <c r="AJ96" s="1444"/>
      <c r="AK96" s="1444"/>
      <c r="AL96" s="1444"/>
      <c r="AM96" s="1444"/>
      <c r="AN96" s="2161"/>
    </row>
    <row r="97" spans="2:55" ht="15.75" customHeight="1">
      <c r="B97" s="2184"/>
      <c r="C97" s="2260"/>
      <c r="D97" s="2262"/>
      <c r="E97" s="149"/>
      <c r="F97" s="71"/>
      <c r="G97" s="71"/>
      <c r="H97" s="71"/>
      <c r="I97" s="71"/>
      <c r="J97" s="71"/>
      <c r="K97" s="71"/>
      <c r="L97" s="71"/>
      <c r="M97" s="395"/>
      <c r="N97" s="164" t="s">
        <v>75</v>
      </c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2181"/>
      <c r="Z97" s="164" t="s">
        <v>119</v>
      </c>
      <c r="AA97" s="69"/>
      <c r="AB97" s="69"/>
      <c r="AC97" s="2181"/>
      <c r="AD97" s="149"/>
      <c r="AE97" s="71"/>
      <c r="AF97" s="71"/>
      <c r="AG97" s="71"/>
      <c r="AH97" s="71"/>
      <c r="AI97" s="71"/>
      <c r="AJ97" s="71"/>
      <c r="AK97" s="71"/>
      <c r="AL97" s="71"/>
      <c r="AM97" s="71"/>
      <c r="AN97" s="395"/>
      <c r="BC97" s="3036" t="s">
        <v>295</v>
      </c>
    </row>
    <row r="98" spans="2:40" ht="3" customHeight="1">
      <c r="B98" s="2184"/>
      <c r="C98" s="2312"/>
      <c r="D98" s="2314"/>
      <c r="E98" s="628"/>
      <c r="F98" s="162"/>
      <c r="G98" s="162"/>
      <c r="H98" s="162"/>
      <c r="I98" s="162"/>
      <c r="J98" s="162"/>
      <c r="K98" s="162"/>
      <c r="L98" s="162"/>
      <c r="M98" s="162"/>
      <c r="N98" s="163"/>
      <c r="O98" s="162"/>
      <c r="P98" s="15"/>
      <c r="Q98" s="15"/>
      <c r="R98" s="15"/>
      <c r="S98" s="15"/>
      <c r="T98" s="15"/>
      <c r="U98" s="15"/>
      <c r="V98" s="15"/>
      <c r="W98" s="15"/>
      <c r="X98" s="15"/>
      <c r="Y98" s="154"/>
      <c r="Z98" s="165"/>
      <c r="AA98" s="630"/>
      <c r="AB98" s="184"/>
      <c r="AC98" s="631"/>
      <c r="AD98" s="70"/>
      <c r="AE98" s="15"/>
      <c r="AF98" s="70"/>
      <c r="AG98" s="70"/>
      <c r="AH98" s="70"/>
      <c r="AI98" s="70"/>
      <c r="AJ98" s="70"/>
      <c r="AK98" s="70"/>
      <c r="AL98" s="70"/>
      <c r="AM98" s="70"/>
      <c r="AN98" s="161"/>
    </row>
    <row r="99" spans="2:40" s="16" customFormat="1" ht="12" customHeight="1">
      <c r="B99" s="155" t="s">
        <v>65</v>
      </c>
      <c r="C99" s="155" t="s">
        <v>64</v>
      </c>
      <c r="D99" s="2183"/>
      <c r="E99" s="155" t="s">
        <v>66</v>
      </c>
      <c r="F99" s="2182"/>
      <c r="G99" s="2182"/>
      <c r="H99" s="2182"/>
      <c r="I99" s="2182"/>
      <c r="J99" s="2182"/>
      <c r="K99" s="2182"/>
      <c r="L99" s="2182"/>
      <c r="M99" s="2182"/>
      <c r="N99" s="155" t="s">
        <v>67</v>
      </c>
      <c r="O99" s="2182"/>
      <c r="P99" s="2182"/>
      <c r="Q99" s="2182"/>
      <c r="R99" s="2182"/>
      <c r="S99" s="2182"/>
      <c r="T99" s="2182"/>
      <c r="U99" s="2182"/>
      <c r="V99" s="2182"/>
      <c r="W99" s="2182"/>
      <c r="X99" s="2182"/>
      <c r="Y99" s="2183"/>
      <c r="Z99" s="2842" t="s">
        <v>68</v>
      </c>
      <c r="AA99" s="2843"/>
      <c r="AB99" s="2843"/>
      <c r="AC99" s="2844"/>
      <c r="AD99" s="155" t="s">
        <v>99</v>
      </c>
      <c r="AE99" s="2182"/>
      <c r="AF99" s="2182"/>
      <c r="AG99" s="2182"/>
      <c r="AH99" s="2182"/>
      <c r="AI99" s="2182"/>
      <c r="AJ99" s="2182"/>
      <c r="AK99" s="2182"/>
      <c r="AL99" s="2182"/>
      <c r="AM99" s="2182"/>
      <c r="AN99" s="2183"/>
    </row>
    <row r="100" spans="2:42" ht="19.5" customHeight="1">
      <c r="B100" s="1341" t="s">
        <v>621</v>
      </c>
      <c r="C100" s="1334" t="str">
        <f ca="1">'LAMPIRAN'!B154</f>
        <v/>
      </c>
      <c r="D100" s="1336"/>
      <c r="E100" s="2845" t="str">
        <f ca="1">'LAMPIRAN'!D154</f>
        <v/>
      </c>
      <c r="F100" s="1368"/>
      <c r="G100" s="1368"/>
      <c r="H100" s="1368"/>
      <c r="I100" s="1368"/>
      <c r="J100" s="1368"/>
      <c r="K100" s="1368"/>
      <c r="L100" s="1368"/>
      <c r="M100" s="2846"/>
      <c r="N100" s="632"/>
      <c r="O100" s="337"/>
      <c r="P100" s="337"/>
      <c r="Q100" s="337"/>
      <c r="R100" s="337"/>
      <c r="S100" s="337"/>
      <c r="T100" s="337"/>
      <c r="U100" s="337"/>
      <c r="V100" s="337"/>
      <c r="W100" s="337"/>
      <c r="X100" s="337"/>
      <c r="Y100" s="633"/>
      <c r="Z100" s="2308" t="str">
        <f ca="1">'LAMPIRAN'!T154</f>
        <v/>
      </c>
      <c r="AA100" s="2309"/>
      <c r="AB100" s="2309"/>
      <c r="AC100" s="2310"/>
      <c r="AD100" s="2246" t="str">
        <f ca="1">'LAMPIRAN'!X154</f>
        <v/>
      </c>
      <c r="AE100" s="1348"/>
      <c r="AF100" s="1348"/>
      <c r="AG100" s="1348"/>
      <c r="AH100" s="1348"/>
      <c r="AI100" s="1348"/>
      <c r="AJ100" s="1348"/>
      <c r="AK100" s="1348"/>
      <c r="AL100" s="1348"/>
      <c r="AM100" s="1348"/>
      <c r="AN100" s="323"/>
      <c r="AP100" s="1321" t="s">
        <v>1338</v>
      </c>
    </row>
    <row r="101" spans="2:52" ht="19.5" customHeight="1">
      <c r="B101" s="398"/>
      <c r="C101" s="340"/>
      <c r="D101" s="341"/>
      <c r="E101" s="1369"/>
      <c r="F101" s="441"/>
      <c r="G101" s="441"/>
      <c r="H101" s="441"/>
      <c r="I101" s="441"/>
      <c r="J101" s="441"/>
      <c r="K101" s="441"/>
      <c r="L101" s="441"/>
      <c r="M101" s="2847"/>
      <c r="N101" s="343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344"/>
      <c r="Z101" s="2311"/>
      <c r="AA101" s="1330"/>
      <c r="AB101" s="1330"/>
      <c r="AC101" s="1331"/>
      <c r="AD101" s="1347"/>
      <c r="AE101" s="1194"/>
      <c r="AF101" s="1194"/>
      <c r="AG101" s="1194"/>
      <c r="AH101" s="1194"/>
      <c r="AI101" s="1194"/>
      <c r="AJ101" s="1194"/>
      <c r="AK101" s="1194"/>
      <c r="AL101" s="1194"/>
      <c r="AM101" s="1194"/>
      <c r="AN101" s="324"/>
      <c r="AP101" s="2868" t="s">
        <v>1336</v>
      </c>
      <c r="AQ101" s="2868"/>
      <c r="AR101" s="2868"/>
      <c r="AS101" s="2868"/>
      <c r="AT101" s="2868"/>
      <c r="AU101" s="2868"/>
      <c r="AV101" s="2868"/>
      <c r="AW101" s="2868"/>
      <c r="AX101" s="2868"/>
      <c r="AY101" s="2868"/>
      <c r="AZ101" s="2868"/>
    </row>
    <row r="102" spans="2:52" ht="3" customHeight="1">
      <c r="B102" s="149"/>
      <c r="C102" s="343"/>
      <c r="D102" s="344"/>
      <c r="E102" s="1369"/>
      <c r="F102" s="441"/>
      <c r="G102" s="441"/>
      <c r="H102" s="441"/>
      <c r="I102" s="441"/>
      <c r="J102" s="441"/>
      <c r="K102" s="441"/>
      <c r="L102" s="441"/>
      <c r="M102" s="441"/>
      <c r="N102" s="343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344"/>
      <c r="Z102" s="1324"/>
      <c r="AA102" s="1328"/>
      <c r="AB102" s="1330"/>
      <c r="AC102" s="1331"/>
      <c r="AD102" s="1194"/>
      <c r="AE102" s="1194"/>
      <c r="AF102" s="1194"/>
      <c r="AG102" s="1194"/>
      <c r="AH102" s="1194"/>
      <c r="AI102" s="1194"/>
      <c r="AJ102" s="1194"/>
      <c r="AK102" s="1194"/>
      <c r="AL102" s="1194"/>
      <c r="AM102" s="1194"/>
      <c r="AN102" s="324"/>
      <c r="AP102" s="2868"/>
      <c r="AQ102" s="2868"/>
      <c r="AR102" s="2868"/>
      <c r="AS102" s="2868"/>
      <c r="AT102" s="2868"/>
      <c r="AU102" s="2868"/>
      <c r="AV102" s="2868"/>
      <c r="AW102" s="2868"/>
      <c r="AX102" s="2868"/>
      <c r="AY102" s="2868"/>
      <c r="AZ102" s="2868"/>
    </row>
    <row r="103" spans="2:52" ht="15" customHeight="1">
      <c r="B103" s="1341" t="s">
        <v>622</v>
      </c>
      <c r="C103" s="2155" t="str">
        <f ca="1">'LAMPIRAN'!B155</f>
        <v/>
      </c>
      <c r="D103" s="2169"/>
      <c r="E103" s="2819" t="str">
        <f ca="1">'LAMPIRAN'!D155</f>
        <v/>
      </c>
      <c r="F103" s="1367"/>
      <c r="G103" s="1367"/>
      <c r="H103" s="1367"/>
      <c r="I103" s="1367"/>
      <c r="J103" s="1367"/>
      <c r="K103" s="1367"/>
      <c r="L103" s="1367"/>
      <c r="M103" s="2820"/>
      <c r="N103" s="1454"/>
      <c r="O103" s="1455"/>
      <c r="P103" s="1455"/>
      <c r="Q103" s="1455"/>
      <c r="R103" s="1455"/>
      <c r="S103" s="1455"/>
      <c r="T103" s="1455"/>
      <c r="U103" s="1455"/>
      <c r="V103" s="1455"/>
      <c r="W103" s="1455"/>
      <c r="X103" s="1455"/>
      <c r="Y103" s="334"/>
      <c r="Z103" s="2308" t="str">
        <f ca="1">'LAMPIRAN'!T155</f>
        <v/>
      </c>
      <c r="AA103" s="2309"/>
      <c r="AB103" s="2309"/>
      <c r="AC103" s="2310"/>
      <c r="AD103" s="2246" t="str">
        <f ca="1">'LAMPIRAN'!X155</f>
        <v/>
      </c>
      <c r="AE103" s="1348"/>
      <c r="AF103" s="1348"/>
      <c r="AG103" s="1348"/>
      <c r="AH103" s="1348"/>
      <c r="AI103" s="1348"/>
      <c r="AJ103" s="1348"/>
      <c r="AK103" s="1348"/>
      <c r="AL103" s="1348"/>
      <c r="AM103" s="1348"/>
      <c r="AN103" s="323"/>
      <c r="AP103" s="2868"/>
      <c r="AQ103" s="2868"/>
      <c r="AR103" s="2868"/>
      <c r="AS103" s="2868"/>
      <c r="AT103" s="2868"/>
      <c r="AU103" s="2868"/>
      <c r="AV103" s="2868"/>
      <c r="AW103" s="2868"/>
      <c r="AX103" s="2868"/>
      <c r="AY103" s="2868"/>
      <c r="AZ103" s="2868"/>
    </row>
    <row r="104" spans="2:52" ht="12.75" customHeight="1">
      <c r="B104" s="398"/>
      <c r="C104" s="810"/>
      <c r="D104" s="2171"/>
      <c r="E104" s="1366"/>
      <c r="F104" s="968"/>
      <c r="G104" s="968"/>
      <c r="H104" s="968"/>
      <c r="I104" s="968"/>
      <c r="J104" s="968"/>
      <c r="K104" s="968"/>
      <c r="L104" s="968"/>
      <c r="M104" s="969"/>
      <c r="N104" s="634"/>
      <c r="O104" s="326"/>
      <c r="P104" s="326"/>
      <c r="Q104" s="326"/>
      <c r="R104" s="326"/>
      <c r="S104" s="326"/>
      <c r="T104" s="326"/>
      <c r="U104" s="326"/>
      <c r="V104" s="326"/>
      <c r="W104" s="326"/>
      <c r="X104" s="326"/>
      <c r="Y104" s="327"/>
      <c r="Z104" s="2311"/>
      <c r="AA104" s="1330"/>
      <c r="AB104" s="1330"/>
      <c r="AC104" s="1331"/>
      <c r="AD104" s="1347"/>
      <c r="AE104" s="1194"/>
      <c r="AF104" s="1194"/>
      <c r="AG104" s="1194"/>
      <c r="AH104" s="1194"/>
      <c r="AI104" s="1194"/>
      <c r="AJ104" s="1194"/>
      <c r="AK104" s="1194"/>
      <c r="AL104" s="1194"/>
      <c r="AM104" s="1194"/>
      <c r="AN104" s="324"/>
      <c r="AP104" s="2868"/>
      <c r="AQ104" s="2868"/>
      <c r="AR104" s="2868"/>
      <c r="AS104" s="2868"/>
      <c r="AT104" s="2868"/>
      <c r="AU104" s="2868"/>
      <c r="AV104" s="2868"/>
      <c r="AW104" s="2868"/>
      <c r="AX104" s="2868"/>
      <c r="AY104" s="2868"/>
      <c r="AZ104" s="2868"/>
    </row>
    <row r="105" spans="2:40" ht="3" customHeight="1">
      <c r="B105" s="149"/>
      <c r="C105" s="634"/>
      <c r="D105" s="327"/>
      <c r="E105" s="968"/>
      <c r="F105" s="968"/>
      <c r="G105" s="968"/>
      <c r="H105" s="968"/>
      <c r="I105" s="968"/>
      <c r="J105" s="968"/>
      <c r="K105" s="968"/>
      <c r="L105" s="968"/>
      <c r="M105" s="968"/>
      <c r="N105" s="634"/>
      <c r="O105" s="326"/>
      <c r="P105" s="326"/>
      <c r="Q105" s="326"/>
      <c r="R105" s="326"/>
      <c r="S105" s="326"/>
      <c r="T105" s="326"/>
      <c r="U105" s="326"/>
      <c r="V105" s="326"/>
      <c r="W105" s="326"/>
      <c r="X105" s="326"/>
      <c r="Y105" s="327"/>
      <c r="Z105" s="1324"/>
      <c r="AA105" s="1328"/>
      <c r="AB105" s="1330"/>
      <c r="AC105" s="1331"/>
      <c r="AD105" s="1194"/>
      <c r="AE105" s="1194"/>
      <c r="AF105" s="1194"/>
      <c r="AG105" s="1194"/>
      <c r="AH105" s="1194"/>
      <c r="AI105" s="1194"/>
      <c r="AJ105" s="1194"/>
      <c r="AK105" s="1194"/>
      <c r="AL105" s="1194"/>
      <c r="AM105" s="1194"/>
      <c r="AN105" s="324"/>
    </row>
    <row r="106" spans="2:40" ht="15" customHeight="1">
      <c r="B106" s="1341" t="s">
        <v>623</v>
      </c>
      <c r="C106" s="2346" t="str">
        <f ca="1">'LAMPIRAN'!B156</f>
        <v/>
      </c>
      <c r="D106" s="2348"/>
      <c r="E106" s="2821" t="str">
        <f ca="1">'LAMPIRAN'!D156</f>
        <v/>
      </c>
      <c r="F106" s="2822"/>
      <c r="G106" s="2822"/>
      <c r="H106" s="2822"/>
      <c r="I106" s="2822"/>
      <c r="J106" s="2822"/>
      <c r="K106" s="2822"/>
      <c r="L106" s="2822"/>
      <c r="M106" s="2823"/>
      <c r="N106" s="1454"/>
      <c r="O106" s="337"/>
      <c r="P106" s="1455"/>
      <c r="Q106" s="1455"/>
      <c r="R106" s="1455"/>
      <c r="S106" s="1455"/>
      <c r="T106" s="1455"/>
      <c r="U106" s="1455"/>
      <c r="V106" s="1455"/>
      <c r="W106" s="1455"/>
      <c r="X106" s="1455"/>
      <c r="Y106" s="334"/>
      <c r="Z106" s="2308" t="str">
        <f ca="1">'LAMPIRAN'!T156</f>
        <v/>
      </c>
      <c r="AA106" s="2309"/>
      <c r="AB106" s="2309"/>
      <c r="AC106" s="2310"/>
      <c r="AD106" s="2246" t="str">
        <f ca="1">'LAMPIRAN'!X156</f>
        <v/>
      </c>
      <c r="AE106" s="1348"/>
      <c r="AF106" s="1348"/>
      <c r="AG106" s="1348"/>
      <c r="AH106" s="1348"/>
      <c r="AI106" s="1348"/>
      <c r="AJ106" s="1348"/>
      <c r="AK106" s="1348"/>
      <c r="AL106" s="1348"/>
      <c r="AM106" s="1348"/>
      <c r="AN106" s="323"/>
    </row>
    <row r="107" spans="2:40" ht="12" customHeight="1">
      <c r="B107" s="398"/>
      <c r="C107" s="2349"/>
      <c r="D107" s="2351"/>
      <c r="E107" s="2824"/>
      <c r="F107" s="2825"/>
      <c r="G107" s="2825"/>
      <c r="H107" s="2825"/>
      <c r="I107" s="2825"/>
      <c r="J107" s="2825"/>
      <c r="K107" s="2825"/>
      <c r="L107" s="2825"/>
      <c r="M107" s="2826"/>
      <c r="N107" s="634"/>
      <c r="O107" s="40"/>
      <c r="P107" s="326"/>
      <c r="Q107" s="326"/>
      <c r="R107" s="326"/>
      <c r="S107" s="326"/>
      <c r="T107" s="326"/>
      <c r="U107" s="326"/>
      <c r="V107" s="326"/>
      <c r="W107" s="326"/>
      <c r="X107" s="326"/>
      <c r="Y107" s="327"/>
      <c r="Z107" s="2311"/>
      <c r="AA107" s="1330"/>
      <c r="AB107" s="1330"/>
      <c r="AC107" s="1331"/>
      <c r="AD107" s="1347"/>
      <c r="AE107" s="1194"/>
      <c r="AF107" s="1194"/>
      <c r="AG107" s="1194"/>
      <c r="AH107" s="1194"/>
      <c r="AI107" s="1194"/>
      <c r="AJ107" s="1194"/>
      <c r="AK107" s="1194"/>
      <c r="AL107" s="1194"/>
      <c r="AM107" s="1194"/>
      <c r="AN107" s="324"/>
    </row>
    <row r="108" spans="2:40" ht="3" customHeight="1">
      <c r="B108" s="149"/>
      <c r="C108" s="343"/>
      <c r="D108" s="344"/>
      <c r="E108" s="441"/>
      <c r="F108" s="441"/>
      <c r="G108" s="441"/>
      <c r="H108" s="441"/>
      <c r="I108" s="441"/>
      <c r="J108" s="441"/>
      <c r="K108" s="441"/>
      <c r="L108" s="441"/>
      <c r="M108" s="441"/>
      <c r="N108" s="634"/>
      <c r="O108" s="40"/>
      <c r="P108" s="326"/>
      <c r="Q108" s="326"/>
      <c r="R108" s="326"/>
      <c r="S108" s="326"/>
      <c r="T108" s="326"/>
      <c r="U108" s="326"/>
      <c r="V108" s="326"/>
      <c r="W108" s="326"/>
      <c r="X108" s="326"/>
      <c r="Y108" s="327"/>
      <c r="Z108" s="1324"/>
      <c r="AA108" s="1328"/>
      <c r="AB108" s="1326"/>
      <c r="AC108" s="1325"/>
      <c r="AD108" s="1194"/>
      <c r="AE108" s="1194"/>
      <c r="AF108" s="1194"/>
      <c r="AG108" s="1194"/>
      <c r="AH108" s="1194"/>
      <c r="AI108" s="1194"/>
      <c r="AJ108" s="1194"/>
      <c r="AK108" s="1194"/>
      <c r="AL108" s="1194"/>
      <c r="AM108" s="1194"/>
      <c r="AN108" s="324"/>
    </row>
    <row r="109" spans="2:40" ht="15" customHeight="1">
      <c r="B109" s="1341" t="s">
        <v>624</v>
      </c>
      <c r="C109" s="2155" t="str">
        <f ca="1">'LAMPIRAN'!B157</f>
        <v/>
      </c>
      <c r="D109" s="2169"/>
      <c r="E109" s="2819" t="str">
        <f ca="1">'LAMPIRAN'!D157</f>
        <v/>
      </c>
      <c r="F109" s="1367"/>
      <c r="G109" s="1367"/>
      <c r="H109" s="1367"/>
      <c r="I109" s="1367"/>
      <c r="J109" s="1367"/>
      <c r="K109" s="1367"/>
      <c r="L109" s="1367"/>
      <c r="M109" s="2820"/>
      <c r="N109" s="1454"/>
      <c r="O109" s="1455"/>
      <c r="P109" s="1455"/>
      <c r="Q109" s="1455"/>
      <c r="R109" s="1455"/>
      <c r="S109" s="1455"/>
      <c r="T109" s="1455"/>
      <c r="U109" s="1455"/>
      <c r="V109" s="1455"/>
      <c r="W109" s="1455"/>
      <c r="X109" s="1455"/>
      <c r="Y109" s="334"/>
      <c r="Z109" s="2308" t="str">
        <f ca="1">'LAMPIRAN'!T157</f>
        <v/>
      </c>
      <c r="AA109" s="2309"/>
      <c r="AB109" s="2309"/>
      <c r="AC109" s="2310"/>
      <c r="AD109" s="2246" t="str">
        <f ca="1">'LAMPIRAN'!X157</f>
        <v/>
      </c>
      <c r="AE109" s="1348"/>
      <c r="AF109" s="1348"/>
      <c r="AG109" s="1348"/>
      <c r="AH109" s="1348"/>
      <c r="AI109" s="1348"/>
      <c r="AJ109" s="1348"/>
      <c r="AK109" s="1348"/>
      <c r="AL109" s="1348"/>
      <c r="AM109" s="1348"/>
      <c r="AN109" s="323"/>
    </row>
    <row r="110" spans="2:40" ht="12.75" customHeight="1">
      <c r="B110" s="398"/>
      <c r="C110" s="810"/>
      <c r="D110" s="2171"/>
      <c r="E110" s="1366"/>
      <c r="F110" s="968"/>
      <c r="G110" s="968"/>
      <c r="H110" s="968"/>
      <c r="I110" s="968"/>
      <c r="J110" s="968"/>
      <c r="K110" s="968"/>
      <c r="L110" s="968"/>
      <c r="M110" s="969"/>
      <c r="N110" s="634"/>
      <c r="O110" s="326"/>
      <c r="P110" s="326"/>
      <c r="Q110" s="326"/>
      <c r="R110" s="326"/>
      <c r="S110" s="326"/>
      <c r="T110" s="326"/>
      <c r="U110" s="326"/>
      <c r="V110" s="326"/>
      <c r="W110" s="326"/>
      <c r="X110" s="326"/>
      <c r="Y110" s="327"/>
      <c r="Z110" s="2311"/>
      <c r="AA110" s="1330"/>
      <c r="AB110" s="1330"/>
      <c r="AC110" s="1331"/>
      <c r="AD110" s="1347"/>
      <c r="AE110" s="1194"/>
      <c r="AF110" s="1194"/>
      <c r="AG110" s="1194"/>
      <c r="AH110" s="1194"/>
      <c r="AI110" s="1194"/>
      <c r="AJ110" s="1194"/>
      <c r="AK110" s="1194"/>
      <c r="AL110" s="1194"/>
      <c r="AM110" s="1194"/>
      <c r="AN110" s="324"/>
    </row>
    <row r="111" spans="2:40" ht="3" customHeight="1">
      <c r="B111" s="149"/>
      <c r="C111" s="634"/>
      <c r="D111" s="327"/>
      <c r="E111" s="968"/>
      <c r="F111" s="968"/>
      <c r="G111" s="968"/>
      <c r="H111" s="968"/>
      <c r="I111" s="968"/>
      <c r="J111" s="968"/>
      <c r="K111" s="968"/>
      <c r="L111" s="968"/>
      <c r="M111" s="968"/>
      <c r="N111" s="634"/>
      <c r="O111" s="326"/>
      <c r="P111" s="326"/>
      <c r="Q111" s="326"/>
      <c r="R111" s="326"/>
      <c r="S111" s="326"/>
      <c r="T111" s="326"/>
      <c r="U111" s="326"/>
      <c r="V111" s="326"/>
      <c r="W111" s="326"/>
      <c r="X111" s="326"/>
      <c r="Y111" s="327"/>
      <c r="Z111" s="1324"/>
      <c r="AA111" s="1328"/>
      <c r="AB111" s="1326"/>
      <c r="AC111" s="1325"/>
      <c r="AD111" s="1352"/>
      <c r="AE111" s="1352"/>
      <c r="AF111" s="1352"/>
      <c r="AG111" s="1352"/>
      <c r="AH111" s="1352"/>
      <c r="AI111" s="1352"/>
      <c r="AJ111" s="1352"/>
      <c r="AK111" s="1352"/>
      <c r="AL111" s="1352"/>
      <c r="AM111" s="1352"/>
      <c r="AN111" s="1353"/>
    </row>
    <row r="112" spans="2:40" ht="15" customHeight="1">
      <c r="B112" s="1341" t="s">
        <v>625</v>
      </c>
      <c r="C112" s="1454"/>
      <c r="D112" s="334"/>
      <c r="E112" s="1367"/>
      <c r="F112" s="1367"/>
      <c r="G112" s="1367"/>
      <c r="H112" s="1367"/>
      <c r="I112" s="1367"/>
      <c r="J112" s="1367"/>
      <c r="K112" s="1367"/>
      <c r="L112" s="1367"/>
      <c r="M112" s="1367"/>
      <c r="N112" s="1454"/>
      <c r="O112" s="1455"/>
      <c r="P112" s="1455"/>
      <c r="Q112" s="1455"/>
      <c r="R112" s="1455"/>
      <c r="S112" s="1455"/>
      <c r="T112" s="1455"/>
      <c r="U112" s="1455"/>
      <c r="V112" s="1455"/>
      <c r="W112" s="1455"/>
      <c r="X112" s="1455"/>
      <c r="Y112" s="334"/>
      <c r="Z112" s="2308"/>
      <c r="AA112" s="2309"/>
      <c r="AB112" s="2309"/>
      <c r="AC112" s="2310"/>
      <c r="AD112" s="1456"/>
      <c r="AE112" s="1457"/>
      <c r="AF112" s="1457"/>
      <c r="AG112" s="1457"/>
      <c r="AH112" s="1457"/>
      <c r="AI112" s="1457"/>
      <c r="AJ112" s="1457"/>
      <c r="AK112" s="1457"/>
      <c r="AL112" s="1457"/>
      <c r="AM112" s="1457"/>
      <c r="AN112" s="1411"/>
    </row>
    <row r="113" spans="2:40" ht="13.5" customHeight="1">
      <c r="B113" s="398" t="s">
        <v>124</v>
      </c>
      <c r="C113" s="634"/>
      <c r="D113" s="327"/>
      <c r="E113" s="326"/>
      <c r="F113" s="326"/>
      <c r="G113" s="326"/>
      <c r="H113" s="326"/>
      <c r="I113" s="326"/>
      <c r="J113" s="326"/>
      <c r="K113" s="326"/>
      <c r="L113" s="326"/>
      <c r="M113" s="326"/>
      <c r="N113" s="634"/>
      <c r="O113" s="326"/>
      <c r="P113" s="326"/>
      <c r="Q113" s="326"/>
      <c r="R113" s="326"/>
      <c r="S113" s="326"/>
      <c r="T113" s="326"/>
      <c r="U113" s="326"/>
      <c r="V113" s="326"/>
      <c r="W113" s="326"/>
      <c r="X113" s="326"/>
      <c r="Y113" s="327"/>
      <c r="Z113" s="2311"/>
      <c r="AA113" s="1330"/>
      <c r="AB113" s="1330"/>
      <c r="AC113" s="1331"/>
      <c r="AD113" s="1351"/>
      <c r="AE113" s="1352"/>
      <c r="AF113" s="1352"/>
      <c r="AG113" s="1352"/>
      <c r="AH113" s="1352"/>
      <c r="AI113" s="1352"/>
      <c r="AJ113" s="1352"/>
      <c r="AK113" s="1352"/>
      <c r="AL113" s="1352"/>
      <c r="AM113" s="1352"/>
      <c r="AN113" s="1353"/>
    </row>
    <row r="114" spans="2:40" ht="3" customHeight="1">
      <c r="B114" s="152"/>
      <c r="C114" s="827"/>
      <c r="D114" s="829"/>
      <c r="E114" s="828"/>
      <c r="F114" s="828"/>
      <c r="G114" s="828"/>
      <c r="H114" s="828"/>
      <c r="I114" s="828"/>
      <c r="J114" s="828"/>
      <c r="K114" s="828"/>
      <c r="L114" s="828"/>
      <c r="M114" s="828"/>
      <c r="N114" s="854"/>
      <c r="O114" s="828"/>
      <c r="P114" s="635"/>
      <c r="Q114" s="635"/>
      <c r="R114" s="635"/>
      <c r="S114" s="635"/>
      <c r="T114" s="635"/>
      <c r="U114" s="635"/>
      <c r="V114" s="635"/>
      <c r="W114" s="635"/>
      <c r="X114" s="635"/>
      <c r="Y114" s="333"/>
      <c r="Z114" s="374"/>
      <c r="AA114" s="635"/>
      <c r="AB114" s="828"/>
      <c r="AC114" s="376"/>
      <c r="AD114" s="819"/>
      <c r="AE114" s="819"/>
      <c r="AF114" s="819"/>
      <c r="AG114" s="819"/>
      <c r="AH114" s="819"/>
      <c r="AI114" s="819"/>
      <c r="AJ114" s="819"/>
      <c r="AK114" s="819"/>
      <c r="AL114" s="819"/>
      <c r="AM114" s="819"/>
      <c r="AN114" s="820"/>
    </row>
    <row r="115" spans="2:40" ht="15" customHeight="1">
      <c r="B115" s="156"/>
      <c r="C115" s="151" t="s">
        <v>115</v>
      </c>
      <c r="D115" s="1444"/>
      <c r="E115" s="1444"/>
      <c r="F115" s="1444"/>
      <c r="G115" s="1444"/>
      <c r="H115" s="1444"/>
      <c r="I115" s="1444"/>
      <c r="J115" s="1444"/>
      <c r="K115" s="1444"/>
      <c r="L115" s="1444"/>
      <c r="M115" s="1444"/>
      <c r="N115" s="1444"/>
      <c r="O115" s="1444"/>
      <c r="P115" s="1444"/>
      <c r="Q115" s="1444"/>
      <c r="R115" s="1444"/>
      <c r="S115" s="1444"/>
      <c r="T115" s="1444"/>
      <c r="U115" s="1444"/>
      <c r="V115" s="1444"/>
      <c r="W115" s="1444"/>
      <c r="X115" s="1444"/>
      <c r="Y115" s="2161"/>
      <c r="Z115" s="201"/>
      <c r="AA115" s="195"/>
      <c r="AB115" s="151" t="s">
        <v>114</v>
      </c>
      <c r="AC115" s="2161"/>
      <c r="AD115" s="2246">
        <f ca="1">SUM(AD100:AN113)</f>
        <v>0</v>
      </c>
      <c r="AE115" s="1348"/>
      <c r="AF115" s="1348"/>
      <c r="AG115" s="1348"/>
      <c r="AH115" s="1348"/>
      <c r="AI115" s="1348"/>
      <c r="AJ115" s="1348"/>
      <c r="AK115" s="1348"/>
      <c r="AL115" s="1348"/>
      <c r="AM115" s="1348"/>
      <c r="AN115" s="323"/>
    </row>
    <row r="116" spans="2:40" ht="3.75" customHeight="1">
      <c r="B116" s="163"/>
      <c r="C116" s="149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395"/>
      <c r="Z116" s="199"/>
      <c r="AA116" s="102"/>
      <c r="AB116" s="149"/>
      <c r="AC116" s="395"/>
      <c r="AD116" s="1347"/>
      <c r="AE116" s="1194"/>
      <c r="AF116" s="1194"/>
      <c r="AG116" s="1194"/>
      <c r="AH116" s="1194"/>
      <c r="AI116" s="1194"/>
      <c r="AJ116" s="1194"/>
      <c r="AK116" s="1194"/>
      <c r="AL116" s="1194"/>
      <c r="AM116" s="1194"/>
      <c r="AN116" s="324"/>
    </row>
    <row r="117" spans="2:40" ht="3" customHeight="1">
      <c r="B117" s="189"/>
      <c r="C117" s="1337"/>
      <c r="D117" s="2187"/>
      <c r="E117" s="2187"/>
      <c r="F117" s="2187"/>
      <c r="G117" s="2187"/>
      <c r="H117" s="2187"/>
      <c r="I117" s="2187"/>
      <c r="J117" s="2187"/>
      <c r="K117" s="2187"/>
      <c r="L117" s="2187"/>
      <c r="M117" s="2187"/>
      <c r="N117" s="2187"/>
      <c r="O117" s="2187"/>
      <c r="P117" s="2187"/>
      <c r="Q117" s="2187"/>
      <c r="R117" s="2187"/>
      <c r="S117" s="2187"/>
      <c r="T117" s="2187"/>
      <c r="U117" s="2187"/>
      <c r="V117" s="2187"/>
      <c r="W117" s="2187"/>
      <c r="X117" s="2187"/>
      <c r="Y117" s="2180"/>
      <c r="Z117" s="200"/>
      <c r="AA117" s="198"/>
      <c r="AB117" s="1337"/>
      <c r="AC117" s="2180"/>
      <c r="AD117" s="2267"/>
      <c r="AE117" s="2268"/>
      <c r="AF117" s="2268"/>
      <c r="AG117" s="2268"/>
      <c r="AH117" s="2268"/>
      <c r="AI117" s="2268"/>
      <c r="AJ117" s="2268"/>
      <c r="AK117" s="2268"/>
      <c r="AL117" s="2268"/>
      <c r="AM117" s="2268"/>
      <c r="AN117" s="972"/>
    </row>
    <row r="118" spans="2:40" ht="6.75" customHeight="1">
      <c r="B118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11"/>
      <c r="AC118" s="11"/>
      <c r="AD118" s="11"/>
      <c r="AE118" s="71"/>
      <c r="AF118" s="71"/>
      <c r="AG118" s="70"/>
      <c r="AH118"/>
      <c r="AI118"/>
      <c r="AJ118" s="4"/>
      <c r="AK118"/>
      <c r="AL118"/>
      <c r="AM118"/>
      <c r="AN118"/>
    </row>
    <row r="119" spans="2:40" ht="3" customHeight="1">
      <c r="B119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11"/>
      <c r="AC119" s="11"/>
      <c r="AD119" s="11"/>
      <c r="AE119" s="71"/>
      <c r="AF119" s="71"/>
      <c r="AG119" s="70"/>
      <c r="AH119"/>
      <c r="AI119"/>
      <c r="AJ119" s="4"/>
      <c r="AK119"/>
      <c r="AL119"/>
      <c r="AM119"/>
      <c r="AN119"/>
    </row>
    <row r="120" spans="2:40" ht="13.5" customHeight="1">
      <c r="B120" s="75"/>
      <c r="C120" s="76" t="s">
        <v>701</v>
      </c>
      <c r="D120" s="76"/>
      <c r="E120" s="15"/>
      <c r="F120" s="76" t="s">
        <v>26</v>
      </c>
      <c r="G120" s="83" t="s">
        <v>668</v>
      </c>
      <c r="H120" s="15"/>
      <c r="I120" s="76"/>
      <c r="J120" s="76"/>
      <c r="K120" s="76"/>
      <c r="L120" s="69"/>
      <c r="M120" s="4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7"/>
      <c r="AC120" s="11"/>
      <c r="AD120" s="4"/>
      <c r="AE120" s="4"/>
      <c r="AF120" s="4"/>
      <c r="AG120" s="4"/>
      <c r="AH120" s="4"/>
      <c r="AI120" s="4"/>
      <c r="AJ120"/>
      <c r="AK120"/>
      <c r="AL120"/>
      <c r="AM120"/>
      <c r="AN120"/>
    </row>
    <row r="121" spans="2:40" ht="3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4"/>
      <c r="AE121" s="4"/>
      <c r="AF121" s="4"/>
      <c r="AG121" s="4"/>
      <c r="AH121" s="4"/>
      <c r="AI121" s="4"/>
      <c r="AJ121"/>
      <c r="AK121"/>
      <c r="AL121"/>
      <c r="AM121"/>
      <c r="AN121"/>
    </row>
    <row r="122" spans="2:40" ht="3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4"/>
      <c r="AE122" s="4"/>
      <c r="AF122" s="4"/>
      <c r="AG122" s="4"/>
      <c r="AH122" s="4"/>
      <c r="AI122" s="4"/>
      <c r="AJ122"/>
      <c r="AK122"/>
      <c r="AL122"/>
      <c r="AM122"/>
      <c r="AN122"/>
    </row>
    <row r="123" spans="2:40" ht="9.75" customHeight="1">
      <c r="B123" s="2203" t="s">
        <v>76</v>
      </c>
      <c r="C123" s="151" t="s">
        <v>103</v>
      </c>
      <c r="D123" s="1444"/>
      <c r="E123" s="1444"/>
      <c r="F123" s="1444"/>
      <c r="G123" s="1444"/>
      <c r="H123" s="1444"/>
      <c r="I123" s="1444"/>
      <c r="J123" s="1444"/>
      <c r="K123" s="1444"/>
      <c r="L123" s="1444"/>
      <c r="M123" s="1444"/>
      <c r="N123" s="1444"/>
      <c r="O123" s="2161"/>
      <c r="P123" s="151" t="s">
        <v>822</v>
      </c>
      <c r="Q123" s="2352"/>
      <c r="R123" s="2352"/>
      <c r="S123" s="2352"/>
      <c r="T123" s="2352"/>
      <c r="U123" s="2352"/>
      <c r="V123" s="2352"/>
      <c r="W123" s="2353"/>
      <c r="X123" s="151" t="s">
        <v>702</v>
      </c>
      <c r="Y123" s="1444"/>
      <c r="Z123" s="1444"/>
      <c r="AA123" s="1444"/>
      <c r="AB123" s="1444"/>
      <c r="AC123" s="1444"/>
      <c r="AD123" s="1444"/>
      <c r="AE123" s="1444"/>
      <c r="AF123" s="2161"/>
      <c r="AG123" s="151" t="s">
        <v>28</v>
      </c>
      <c r="AH123" s="1444"/>
      <c r="AI123" s="1444"/>
      <c r="AJ123" s="1444"/>
      <c r="AK123" s="1444"/>
      <c r="AL123" s="1444"/>
      <c r="AM123" s="1444"/>
      <c r="AN123" s="2161"/>
    </row>
    <row r="124" spans="2:40" ht="8.25" customHeight="1">
      <c r="B124" s="2184"/>
      <c r="C124" s="149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395"/>
      <c r="P124" s="411"/>
      <c r="Q124" s="119"/>
      <c r="R124" s="119"/>
      <c r="S124" s="119"/>
      <c r="T124" s="119"/>
      <c r="U124" s="119"/>
      <c r="V124" s="119"/>
      <c r="W124" s="2354"/>
      <c r="X124" s="149"/>
      <c r="Y124" s="71"/>
      <c r="Z124" s="71"/>
      <c r="AA124" s="71"/>
      <c r="AB124" s="71"/>
      <c r="AC124" s="71"/>
      <c r="AD124" s="71"/>
      <c r="AE124" s="71"/>
      <c r="AF124" s="395"/>
      <c r="AG124" s="149"/>
      <c r="AH124" s="71"/>
      <c r="AI124" s="71"/>
      <c r="AJ124" s="71"/>
      <c r="AK124" s="71"/>
      <c r="AL124" s="71"/>
      <c r="AM124" s="71"/>
      <c r="AN124" s="395"/>
    </row>
    <row r="125" spans="2:40" ht="3" customHeight="1">
      <c r="B125" s="2184"/>
      <c r="C125" s="1337"/>
      <c r="D125" s="2187"/>
      <c r="E125" s="2187"/>
      <c r="F125" s="2187"/>
      <c r="G125" s="2187"/>
      <c r="H125" s="2187"/>
      <c r="I125" s="2187"/>
      <c r="J125" s="2187"/>
      <c r="K125" s="2187"/>
      <c r="L125" s="2187"/>
      <c r="M125" s="2187"/>
      <c r="N125" s="2187"/>
      <c r="O125" s="2180"/>
      <c r="P125" s="2355"/>
      <c r="Q125" s="2356"/>
      <c r="R125" s="2356"/>
      <c r="S125" s="2356"/>
      <c r="T125" s="2356"/>
      <c r="U125" s="2356"/>
      <c r="V125" s="2356"/>
      <c r="W125" s="2357"/>
      <c r="X125" s="1337"/>
      <c r="Y125" s="2187"/>
      <c r="Z125" s="2187"/>
      <c r="AA125" s="2187"/>
      <c r="AB125" s="2187"/>
      <c r="AC125" s="2187"/>
      <c r="AD125" s="2187"/>
      <c r="AE125" s="2187"/>
      <c r="AF125" s="2180"/>
      <c r="AG125" s="1337"/>
      <c r="AH125" s="2187"/>
      <c r="AI125" s="2187"/>
      <c r="AJ125" s="2187"/>
      <c r="AK125" s="2187"/>
      <c r="AL125" s="2187"/>
      <c r="AM125" s="2187"/>
      <c r="AN125" s="2180"/>
    </row>
    <row r="126" spans="2:40" s="16" customFormat="1" ht="15" customHeight="1">
      <c r="B126" s="155" t="s">
        <v>65</v>
      </c>
      <c r="C126" s="155" t="s">
        <v>64</v>
      </c>
      <c r="D126" s="2182"/>
      <c r="E126" s="2182"/>
      <c r="F126" s="2182"/>
      <c r="G126" s="2182"/>
      <c r="H126" s="2182"/>
      <c r="I126" s="2182"/>
      <c r="J126" s="2182"/>
      <c r="K126" s="2182"/>
      <c r="L126" s="2182"/>
      <c r="M126" s="2182"/>
      <c r="N126" s="2182"/>
      <c r="O126" s="2183"/>
      <c r="P126" s="155" t="s">
        <v>66</v>
      </c>
      <c r="Q126" s="2182"/>
      <c r="R126" s="2182"/>
      <c r="S126" s="2182"/>
      <c r="T126" s="2182"/>
      <c r="U126" s="2182"/>
      <c r="V126" s="2182"/>
      <c r="W126" s="2183"/>
      <c r="X126" s="155" t="s">
        <v>67</v>
      </c>
      <c r="Y126" s="2182"/>
      <c r="Z126" s="2182"/>
      <c r="AA126" s="2182"/>
      <c r="AB126" s="2182"/>
      <c r="AC126" s="2182"/>
      <c r="AD126" s="2182"/>
      <c r="AE126" s="2182"/>
      <c r="AF126" s="2183"/>
      <c r="AG126" s="2182" t="s">
        <v>68</v>
      </c>
      <c r="AH126" s="2182"/>
      <c r="AI126" s="2182"/>
      <c r="AJ126" s="2182"/>
      <c r="AK126" s="2182"/>
      <c r="AL126" s="2182"/>
      <c r="AM126" s="2182"/>
      <c r="AN126" s="2183"/>
    </row>
    <row r="127" spans="2:40" ht="15" customHeight="1">
      <c r="B127" s="1341" t="s">
        <v>621</v>
      </c>
      <c r="C127" s="2321" t="str">
        <f>'FE-1770 S-II'!C132</f>
        <v>-</v>
      </c>
      <c r="D127" s="2322"/>
      <c r="E127" s="2322"/>
      <c r="F127" s="2322"/>
      <c r="G127" s="2322"/>
      <c r="H127" s="2322"/>
      <c r="I127" s="2322"/>
      <c r="J127" s="2322"/>
      <c r="K127" s="2322"/>
      <c r="L127" s="2322"/>
      <c r="M127" s="2322"/>
      <c r="N127" s="2322"/>
      <c r="O127" s="2323"/>
      <c r="P127" s="2328" t="str">
        <f>'FE-1770 S-II'!P132</f>
        <v>-</v>
      </c>
      <c r="Q127" s="2329"/>
      <c r="R127" s="2329"/>
      <c r="S127" s="2329"/>
      <c r="T127" s="2329"/>
      <c r="U127" s="2329"/>
      <c r="V127" s="2329"/>
      <c r="W127" s="2330"/>
      <c r="X127" s="2337" t="str">
        <f>IF('GENERAL INFO'!E71="","-",IF('GENERAL INFO'!E71="Wife","Istri",IF('GENERAL INFO'!E71="Child","Anak",IF('GENERAL INFO'!E71="Brothers/sisters","Saudara",IF('GENERAL INFO'!E71="Husband","Suami","Saudara lainnya")))))</f>
        <v>-</v>
      </c>
      <c r="Y127" s="2338"/>
      <c r="Z127" s="2338"/>
      <c r="AA127" s="2338"/>
      <c r="AB127" s="2338"/>
      <c r="AC127" s="2338"/>
      <c r="AD127" s="2338"/>
      <c r="AE127" s="2338"/>
      <c r="AF127" s="2339"/>
      <c r="AG127" s="2361" t="str">
        <f>IF('GENERAL INFO'!N71="","-",IF('GENERAL INFO'!N71="House wife","Ibu Rumah Tangga",IF('GENERAL INFO'!N71="Employee","Karyawan",IF('GENERAL INFO'!N71="Student","Pelajar","-"))))</f>
        <v>-</v>
      </c>
      <c r="AH127" s="2362"/>
      <c r="AI127" s="2362"/>
      <c r="AJ127" s="2362"/>
      <c r="AK127" s="2362"/>
      <c r="AL127" s="2362"/>
      <c r="AM127" s="2362"/>
      <c r="AN127" s="323"/>
    </row>
    <row r="128" spans="2:40" ht="6" customHeight="1">
      <c r="B128" s="398"/>
      <c r="C128" s="2324"/>
      <c r="D128" s="955"/>
      <c r="E128" s="955"/>
      <c r="F128" s="955"/>
      <c r="G128" s="955"/>
      <c r="H128" s="955"/>
      <c r="I128" s="955"/>
      <c r="J128" s="955"/>
      <c r="K128" s="955"/>
      <c r="L128" s="955"/>
      <c r="M128" s="955"/>
      <c r="N128" s="955"/>
      <c r="O128" s="956"/>
      <c r="P128" s="2331"/>
      <c r="Q128" s="2332"/>
      <c r="R128" s="2332"/>
      <c r="S128" s="2332"/>
      <c r="T128" s="2332"/>
      <c r="U128" s="2332"/>
      <c r="V128" s="2332"/>
      <c r="W128" s="2333"/>
      <c r="X128" s="2340"/>
      <c r="Y128" s="2341"/>
      <c r="Z128" s="2341"/>
      <c r="AA128" s="2341"/>
      <c r="AB128" s="2341"/>
      <c r="AC128" s="2341"/>
      <c r="AD128" s="2341"/>
      <c r="AE128" s="2341"/>
      <c r="AF128" s="2342"/>
      <c r="AG128" s="2363"/>
      <c r="AH128" s="2364"/>
      <c r="AI128" s="2364"/>
      <c r="AJ128" s="2364"/>
      <c r="AK128" s="2364"/>
      <c r="AL128" s="2364"/>
      <c r="AM128" s="2364"/>
      <c r="AN128" s="324"/>
    </row>
    <row r="129" spans="2:40" ht="3" customHeight="1">
      <c r="B129" s="149"/>
      <c r="C129" s="2324"/>
      <c r="D129" s="955"/>
      <c r="E129" s="955"/>
      <c r="F129" s="955"/>
      <c r="G129" s="955"/>
      <c r="H129" s="955"/>
      <c r="I129" s="955"/>
      <c r="J129" s="955"/>
      <c r="K129" s="955"/>
      <c r="L129" s="955"/>
      <c r="M129" s="955"/>
      <c r="N129" s="955"/>
      <c r="O129" s="956"/>
      <c r="P129" s="2331"/>
      <c r="Q129" s="2332"/>
      <c r="R129" s="2332"/>
      <c r="S129" s="2332"/>
      <c r="T129" s="2332"/>
      <c r="U129" s="2332"/>
      <c r="V129" s="2332"/>
      <c r="W129" s="2333"/>
      <c r="X129" s="2343"/>
      <c r="Y129" s="2344"/>
      <c r="Z129" s="2344"/>
      <c r="AA129" s="2344"/>
      <c r="AB129" s="2344"/>
      <c r="AC129" s="2344"/>
      <c r="AD129" s="2344"/>
      <c r="AE129" s="2344"/>
      <c r="AF129" s="2345"/>
      <c r="AG129" s="322"/>
      <c r="AH129" s="322"/>
      <c r="AI129" s="322"/>
      <c r="AJ129" s="322"/>
      <c r="AK129" s="322"/>
      <c r="AL129" s="322"/>
      <c r="AM129" s="322"/>
      <c r="AN129" s="373"/>
    </row>
    <row r="130" spans="2:40" ht="15" customHeight="1">
      <c r="B130" s="1341" t="s">
        <v>622</v>
      </c>
      <c r="C130" s="2321" t="str">
        <f>'FE-1770 S-II'!C135</f>
        <v>-</v>
      </c>
      <c r="D130" s="2322"/>
      <c r="E130" s="2322"/>
      <c r="F130" s="2322"/>
      <c r="G130" s="2322"/>
      <c r="H130" s="2322"/>
      <c r="I130" s="2322"/>
      <c r="J130" s="2322"/>
      <c r="K130" s="2322"/>
      <c r="L130" s="2322"/>
      <c r="M130" s="2322"/>
      <c r="N130" s="2322"/>
      <c r="O130" s="2323"/>
      <c r="P130" s="2328" t="str">
        <f>'FE-1770 S-II'!P135</f>
        <v>-</v>
      </c>
      <c r="Q130" s="2329"/>
      <c r="R130" s="2329"/>
      <c r="S130" s="2329"/>
      <c r="T130" s="2329"/>
      <c r="U130" s="2329"/>
      <c r="V130" s="2329"/>
      <c r="W130" s="2330"/>
      <c r="X130" s="2337" t="str">
        <f>IF('GENERAL INFO'!E72="","-",IF('GENERAL INFO'!E72="Wife","Istri",IF('GENERAL INFO'!E72="Child","Anak",IF('GENERAL INFO'!E72="Brothers/sisters","Saudara",IF('GENERAL INFO'!E72="Husband","Suami","Saudara lainnya")))))</f>
        <v>-</v>
      </c>
      <c r="Y130" s="2338"/>
      <c r="Z130" s="2338"/>
      <c r="AA130" s="2338"/>
      <c r="AB130" s="2338"/>
      <c r="AC130" s="2338"/>
      <c r="AD130" s="2338"/>
      <c r="AE130" s="2338"/>
      <c r="AF130" s="2339"/>
      <c r="AG130" s="2155" t="str">
        <f>IF('GENERAL INFO'!N72="","-",IF('GENERAL INFO'!N72="House wife","Ibu Rumah Tangga",IF('GENERAL INFO'!N72="Employee","Karyawan",IF('GENERAL INFO'!N72="Student","Pelajar","-"))))</f>
        <v>-</v>
      </c>
      <c r="AH130" s="2156"/>
      <c r="AI130" s="2156"/>
      <c r="AJ130" s="2156"/>
      <c r="AK130" s="2156"/>
      <c r="AL130" s="2156"/>
      <c r="AM130" s="2156"/>
      <c r="AN130" s="1411"/>
    </row>
    <row r="131" spans="2:40" ht="6" customHeight="1">
      <c r="B131" s="398"/>
      <c r="C131" s="2324"/>
      <c r="D131" s="955"/>
      <c r="E131" s="955"/>
      <c r="F131" s="955"/>
      <c r="G131" s="955"/>
      <c r="H131" s="955"/>
      <c r="I131" s="955"/>
      <c r="J131" s="955"/>
      <c r="K131" s="955"/>
      <c r="L131" s="955"/>
      <c r="M131" s="955"/>
      <c r="N131" s="955"/>
      <c r="O131" s="956"/>
      <c r="P131" s="2331"/>
      <c r="Q131" s="2332"/>
      <c r="R131" s="2332"/>
      <c r="S131" s="2332"/>
      <c r="T131" s="2332"/>
      <c r="U131" s="2332"/>
      <c r="V131" s="2332"/>
      <c r="W131" s="2333"/>
      <c r="X131" s="2340"/>
      <c r="Y131" s="2341"/>
      <c r="Z131" s="2341"/>
      <c r="AA131" s="2341"/>
      <c r="AB131" s="2341"/>
      <c r="AC131" s="2341"/>
      <c r="AD131" s="2341"/>
      <c r="AE131" s="2341"/>
      <c r="AF131" s="2342"/>
      <c r="AG131" s="810"/>
      <c r="AH131" s="302"/>
      <c r="AI131" s="302"/>
      <c r="AJ131" s="302"/>
      <c r="AK131" s="302"/>
      <c r="AL131" s="302"/>
      <c r="AM131" s="302"/>
      <c r="AN131" s="1353"/>
    </row>
    <row r="132" spans="2:40" ht="3" customHeight="1">
      <c r="B132" s="149"/>
      <c r="C132" s="2324"/>
      <c r="D132" s="955"/>
      <c r="E132" s="955"/>
      <c r="F132" s="955"/>
      <c r="G132" s="955"/>
      <c r="H132" s="955"/>
      <c r="I132" s="955"/>
      <c r="J132" s="955"/>
      <c r="K132" s="955"/>
      <c r="L132" s="955"/>
      <c r="M132" s="955"/>
      <c r="N132" s="955"/>
      <c r="O132" s="956"/>
      <c r="P132" s="2331"/>
      <c r="Q132" s="2332"/>
      <c r="R132" s="2332"/>
      <c r="S132" s="2332"/>
      <c r="T132" s="2332"/>
      <c r="U132" s="2332"/>
      <c r="V132" s="2332"/>
      <c r="W132" s="2333"/>
      <c r="X132" s="2343"/>
      <c r="Y132" s="2344"/>
      <c r="Z132" s="2344"/>
      <c r="AA132" s="2344"/>
      <c r="AB132" s="2344"/>
      <c r="AC132" s="2344"/>
      <c r="AD132" s="2344"/>
      <c r="AE132" s="2344"/>
      <c r="AF132" s="2345"/>
      <c r="AG132" s="302"/>
      <c r="AH132" s="302"/>
      <c r="AI132" s="302"/>
      <c r="AJ132" s="302"/>
      <c r="AK132" s="302"/>
      <c r="AL132" s="302"/>
      <c r="AM132" s="302"/>
      <c r="AN132" s="1353"/>
    </row>
    <row r="133" spans="2:40" ht="15" customHeight="1">
      <c r="B133" s="1341" t="s">
        <v>623</v>
      </c>
      <c r="C133" s="2321" t="str">
        <f>'FE-1770 S-II'!C138</f>
        <v>-</v>
      </c>
      <c r="D133" s="2322"/>
      <c r="E133" s="2322"/>
      <c r="F133" s="2322"/>
      <c r="G133" s="2322"/>
      <c r="H133" s="2322"/>
      <c r="I133" s="2322"/>
      <c r="J133" s="2322"/>
      <c r="K133" s="2322"/>
      <c r="L133" s="2322"/>
      <c r="M133" s="2322"/>
      <c r="N133" s="2322"/>
      <c r="O133" s="2323"/>
      <c r="P133" s="2328" t="str">
        <f>'FE-1770 S-II'!P138</f>
        <v>-</v>
      </c>
      <c r="Q133" s="2329"/>
      <c r="R133" s="2329"/>
      <c r="S133" s="2329"/>
      <c r="T133" s="2329"/>
      <c r="U133" s="2329"/>
      <c r="V133" s="2329"/>
      <c r="W133" s="2330"/>
      <c r="X133" s="2337" t="str">
        <f>IF('GENERAL INFO'!E73="","-",IF('GENERAL INFO'!E73="Wife","Istri",IF('GENERAL INFO'!E73="Child","Anak",IF('GENERAL INFO'!E73="Brothers/sisters","Saudara",IF('GENERAL INFO'!E73="Husband","Suami","Saudara lainnya")))))</f>
        <v>-</v>
      </c>
      <c r="Y133" s="2338"/>
      <c r="Z133" s="2338"/>
      <c r="AA133" s="2338"/>
      <c r="AB133" s="2338"/>
      <c r="AC133" s="2338"/>
      <c r="AD133" s="2338"/>
      <c r="AE133" s="2338"/>
      <c r="AF133" s="2339"/>
      <c r="AG133" s="2155" t="str">
        <f>IF('GENERAL INFO'!N73="","-",IF('GENERAL INFO'!N73="House wife","Ibu Rumah Tangga",IF('GENERAL INFO'!N73="Employee","Karyawan",IF('GENERAL INFO'!N73="Student","Pelajar","-"))))</f>
        <v>-</v>
      </c>
      <c r="AH133" s="2156"/>
      <c r="AI133" s="2156"/>
      <c r="AJ133" s="2156"/>
      <c r="AK133" s="2156"/>
      <c r="AL133" s="2156"/>
      <c r="AM133" s="2156"/>
      <c r="AN133" s="1412"/>
    </row>
    <row r="134" spans="2:40" ht="6" customHeight="1">
      <c r="B134" s="398"/>
      <c r="C134" s="2324"/>
      <c r="D134" s="955"/>
      <c r="E134" s="955"/>
      <c r="F134" s="955"/>
      <c r="G134" s="955"/>
      <c r="H134" s="955"/>
      <c r="I134" s="955"/>
      <c r="J134" s="955"/>
      <c r="K134" s="955"/>
      <c r="L134" s="955"/>
      <c r="M134" s="955"/>
      <c r="N134" s="955"/>
      <c r="O134" s="956"/>
      <c r="P134" s="2331"/>
      <c r="Q134" s="2332"/>
      <c r="R134" s="2332"/>
      <c r="S134" s="2332"/>
      <c r="T134" s="2332"/>
      <c r="U134" s="2332"/>
      <c r="V134" s="2332"/>
      <c r="W134" s="2333"/>
      <c r="X134" s="2340"/>
      <c r="Y134" s="2341"/>
      <c r="Z134" s="2341"/>
      <c r="AA134" s="2341"/>
      <c r="AB134" s="2341"/>
      <c r="AC134" s="2341"/>
      <c r="AD134" s="2341"/>
      <c r="AE134" s="2341"/>
      <c r="AF134" s="2342"/>
      <c r="AG134" s="810"/>
      <c r="AH134" s="302"/>
      <c r="AI134" s="302"/>
      <c r="AJ134" s="302"/>
      <c r="AK134" s="302"/>
      <c r="AL134" s="302"/>
      <c r="AM134" s="302"/>
      <c r="AN134" s="376"/>
    </row>
    <row r="135" spans="2:40" ht="3" customHeight="1">
      <c r="B135" s="149"/>
      <c r="C135" s="2324"/>
      <c r="D135" s="955"/>
      <c r="E135" s="955"/>
      <c r="F135" s="955"/>
      <c r="G135" s="955"/>
      <c r="H135" s="955"/>
      <c r="I135" s="955"/>
      <c r="J135" s="955"/>
      <c r="K135" s="955"/>
      <c r="L135" s="955"/>
      <c r="M135" s="955"/>
      <c r="N135" s="955"/>
      <c r="O135" s="956"/>
      <c r="P135" s="2331"/>
      <c r="Q135" s="2332"/>
      <c r="R135" s="2332"/>
      <c r="S135" s="2332"/>
      <c r="T135" s="2332"/>
      <c r="U135" s="2332"/>
      <c r="V135" s="2332"/>
      <c r="W135" s="2333"/>
      <c r="X135" s="2343"/>
      <c r="Y135" s="2344"/>
      <c r="Z135" s="2344"/>
      <c r="AA135" s="2344"/>
      <c r="AB135" s="2344"/>
      <c r="AC135" s="2344"/>
      <c r="AD135" s="2344"/>
      <c r="AE135" s="2344"/>
      <c r="AF135" s="2345"/>
      <c r="AG135" s="302"/>
      <c r="AH135" s="302"/>
      <c r="AI135" s="302"/>
      <c r="AJ135" s="302"/>
      <c r="AK135" s="302"/>
      <c r="AL135" s="302"/>
      <c r="AM135" s="302"/>
      <c r="AN135" s="820"/>
    </row>
    <row r="136" spans="2:40" ht="15" customHeight="1">
      <c r="B136" s="1341" t="s">
        <v>624</v>
      </c>
      <c r="C136" s="2321" t="str">
        <f>'FE-1770 S-II'!C141</f>
        <v>-</v>
      </c>
      <c r="D136" s="2322"/>
      <c r="E136" s="2322"/>
      <c r="F136" s="2322"/>
      <c r="G136" s="2322"/>
      <c r="H136" s="2322"/>
      <c r="I136" s="2322"/>
      <c r="J136" s="2322"/>
      <c r="K136" s="2322"/>
      <c r="L136" s="2322"/>
      <c r="M136" s="2322"/>
      <c r="N136" s="2322"/>
      <c r="O136" s="2323"/>
      <c r="P136" s="2328" t="str">
        <f>'FE-1770 S-II'!P141</f>
        <v>-</v>
      </c>
      <c r="Q136" s="2329"/>
      <c r="R136" s="2329"/>
      <c r="S136" s="2329"/>
      <c r="T136" s="2329"/>
      <c r="U136" s="2329"/>
      <c r="V136" s="2329"/>
      <c r="W136" s="2330"/>
      <c r="X136" s="2337" t="str">
        <f>IF('GENERAL INFO'!E74="","-",IF('GENERAL INFO'!E74="Wife","Istri",IF('GENERAL INFO'!E74="Child","Anak",IF('GENERAL INFO'!E74="Brothers/sisters","Saudara",IF('GENERAL INFO'!E74="Husband","Suami","Saudara lainnya")))))</f>
        <v>-</v>
      </c>
      <c r="Y136" s="2338"/>
      <c r="Z136" s="2338"/>
      <c r="AA136" s="2338"/>
      <c r="AB136" s="2338"/>
      <c r="AC136" s="2338"/>
      <c r="AD136" s="2338"/>
      <c r="AE136" s="2338"/>
      <c r="AF136" s="2339"/>
      <c r="AG136" s="2155" t="str">
        <f>IF('GENERAL INFO'!N74="","-",IF('GENERAL INFO'!N74="House wife","Ibu Rumah Tangga",IF('GENERAL INFO'!N74="Employee","Karyawan",IF('GENERAL INFO'!N74="Student","Pelajar","-"))))</f>
        <v>-</v>
      </c>
      <c r="AH136" s="2156"/>
      <c r="AI136" s="2156"/>
      <c r="AJ136" s="2156"/>
      <c r="AK136" s="2156"/>
      <c r="AL136" s="2156"/>
      <c r="AM136" s="2156"/>
      <c r="AN136" s="1412"/>
    </row>
    <row r="137" spans="2:40" ht="3.75" customHeight="1">
      <c r="B137" s="398"/>
      <c r="C137" s="2324"/>
      <c r="D137" s="955"/>
      <c r="E137" s="955"/>
      <c r="F137" s="955"/>
      <c r="G137" s="955"/>
      <c r="H137" s="955"/>
      <c r="I137" s="955"/>
      <c r="J137" s="955"/>
      <c r="K137" s="955"/>
      <c r="L137" s="955"/>
      <c r="M137" s="955"/>
      <c r="N137" s="955"/>
      <c r="O137" s="956"/>
      <c r="P137" s="2331"/>
      <c r="Q137" s="2332"/>
      <c r="R137" s="2332"/>
      <c r="S137" s="2332"/>
      <c r="T137" s="2332"/>
      <c r="U137" s="2332"/>
      <c r="V137" s="2332"/>
      <c r="W137" s="2333"/>
      <c r="X137" s="2340"/>
      <c r="Y137" s="2341"/>
      <c r="Z137" s="2341"/>
      <c r="AA137" s="2341"/>
      <c r="AB137" s="2341"/>
      <c r="AC137" s="2341"/>
      <c r="AD137" s="2341"/>
      <c r="AE137" s="2341"/>
      <c r="AF137" s="2342"/>
      <c r="AG137" s="810"/>
      <c r="AH137" s="302"/>
      <c r="AI137" s="302"/>
      <c r="AJ137" s="302"/>
      <c r="AK137" s="302"/>
      <c r="AL137" s="302"/>
      <c r="AM137" s="302"/>
      <c r="AN137" s="376"/>
    </row>
    <row r="138" spans="2:40" ht="3" customHeight="1">
      <c r="B138" s="149"/>
      <c r="C138" s="2324"/>
      <c r="D138" s="955"/>
      <c r="E138" s="955"/>
      <c r="F138" s="955"/>
      <c r="G138" s="955"/>
      <c r="H138" s="955"/>
      <c r="I138" s="955"/>
      <c r="J138" s="955"/>
      <c r="K138" s="955"/>
      <c r="L138" s="955"/>
      <c r="M138" s="955"/>
      <c r="N138" s="955"/>
      <c r="O138" s="956"/>
      <c r="P138" s="2331"/>
      <c r="Q138" s="2332"/>
      <c r="R138" s="2332"/>
      <c r="S138" s="2332"/>
      <c r="T138" s="2332"/>
      <c r="U138" s="2332"/>
      <c r="V138" s="2332"/>
      <c r="W138" s="2333"/>
      <c r="X138" s="2343"/>
      <c r="Y138" s="2344"/>
      <c r="Z138" s="2344"/>
      <c r="AA138" s="2344"/>
      <c r="AB138" s="2344"/>
      <c r="AC138" s="2344"/>
      <c r="AD138" s="2344"/>
      <c r="AE138" s="2344"/>
      <c r="AF138" s="2345"/>
      <c r="AG138" s="302"/>
      <c r="AH138" s="302"/>
      <c r="AI138" s="302"/>
      <c r="AJ138" s="302"/>
      <c r="AK138" s="302"/>
      <c r="AL138" s="302"/>
      <c r="AM138" s="302"/>
      <c r="AN138" s="820"/>
    </row>
    <row r="139" spans="2:40" ht="15" customHeight="1">
      <c r="B139" s="1341" t="s">
        <v>625</v>
      </c>
      <c r="C139" s="2321" t="str">
        <f>'FE-1770 S-II'!C144</f>
        <v>-</v>
      </c>
      <c r="D139" s="2322"/>
      <c r="E139" s="2322"/>
      <c r="F139" s="2322"/>
      <c r="G139" s="2322"/>
      <c r="H139" s="2322"/>
      <c r="I139" s="2322"/>
      <c r="J139" s="2322"/>
      <c r="K139" s="2322"/>
      <c r="L139" s="2322"/>
      <c r="M139" s="2322"/>
      <c r="N139" s="2322"/>
      <c r="O139" s="2323"/>
      <c r="P139" s="2328" t="str">
        <f>'FE-1770 S-II'!P144</f>
        <v>-</v>
      </c>
      <c r="Q139" s="2329"/>
      <c r="R139" s="2329"/>
      <c r="S139" s="2329"/>
      <c r="T139" s="2329"/>
      <c r="U139" s="2329"/>
      <c r="V139" s="2329"/>
      <c r="W139" s="2330"/>
      <c r="X139" s="2337" t="str">
        <f>IF('GENERAL INFO'!E75="","-",IF('GENERAL INFO'!E75="Wife","Istri",IF('GENERAL INFO'!E75="Child","Anak",IF('GENERAL INFO'!E75="Brothers/sisters","Saudara",IF('GENERAL INFO'!E75="Husband","Suami","Saudara lainnya")))))</f>
        <v>-</v>
      </c>
      <c r="Y139" s="2338"/>
      <c r="Z139" s="2338"/>
      <c r="AA139" s="2338"/>
      <c r="AB139" s="2338"/>
      <c r="AC139" s="2338"/>
      <c r="AD139" s="2338"/>
      <c r="AE139" s="2338"/>
      <c r="AF139" s="2339"/>
      <c r="AG139" s="2155" t="str">
        <f>IF('GENERAL INFO'!N75="","-",IF('GENERAL INFO'!N75="House wife","Ibu Rumah Tangga",IF('GENERAL INFO'!N75="Employee","Karyawan",IF('GENERAL INFO'!N75="Student","Pelajar","-"))))</f>
        <v>-</v>
      </c>
      <c r="AH139" s="2156"/>
      <c r="AI139" s="2156"/>
      <c r="AJ139" s="2156"/>
      <c r="AK139" s="2156"/>
      <c r="AL139" s="2156"/>
      <c r="AM139" s="2156"/>
      <c r="AN139" s="1412"/>
    </row>
    <row r="140" spans="2:40" ht="3.75" customHeight="1">
      <c r="B140" s="398"/>
      <c r="C140" s="2324"/>
      <c r="D140" s="955"/>
      <c r="E140" s="955"/>
      <c r="F140" s="955"/>
      <c r="G140" s="955"/>
      <c r="H140" s="955"/>
      <c r="I140" s="955"/>
      <c r="J140" s="955"/>
      <c r="K140" s="955"/>
      <c r="L140" s="955"/>
      <c r="M140" s="955"/>
      <c r="N140" s="955"/>
      <c r="O140" s="956"/>
      <c r="P140" s="2331"/>
      <c r="Q140" s="2332"/>
      <c r="R140" s="2332"/>
      <c r="S140" s="2332"/>
      <c r="T140" s="2332"/>
      <c r="U140" s="2332"/>
      <c r="V140" s="2332"/>
      <c r="W140" s="2333"/>
      <c r="X140" s="2340"/>
      <c r="Y140" s="2341"/>
      <c r="Z140" s="2341"/>
      <c r="AA140" s="2341"/>
      <c r="AB140" s="2341"/>
      <c r="AC140" s="2341"/>
      <c r="AD140" s="2341"/>
      <c r="AE140" s="2341"/>
      <c r="AF140" s="2342"/>
      <c r="AG140" s="810"/>
      <c r="AH140" s="302"/>
      <c r="AI140" s="302"/>
      <c r="AJ140" s="302"/>
      <c r="AK140" s="302"/>
      <c r="AL140" s="302"/>
      <c r="AM140" s="302"/>
      <c r="AN140" s="376"/>
    </row>
    <row r="141" spans="2:40" ht="3" customHeight="1">
      <c r="B141" s="2211"/>
      <c r="C141" s="2325"/>
      <c r="D141" s="2326"/>
      <c r="E141" s="2326"/>
      <c r="F141" s="2326"/>
      <c r="G141" s="2326"/>
      <c r="H141" s="2326"/>
      <c r="I141" s="2326"/>
      <c r="J141" s="2326"/>
      <c r="K141" s="2326"/>
      <c r="L141" s="2326"/>
      <c r="M141" s="2326"/>
      <c r="N141" s="2326"/>
      <c r="O141" s="2327"/>
      <c r="P141" s="2334"/>
      <c r="Q141" s="2335"/>
      <c r="R141" s="2335"/>
      <c r="S141" s="2335"/>
      <c r="T141" s="2335"/>
      <c r="U141" s="2335"/>
      <c r="V141" s="2335"/>
      <c r="W141" s="2336"/>
      <c r="X141" s="2358"/>
      <c r="Y141" s="2359"/>
      <c r="Z141" s="2359"/>
      <c r="AA141" s="2359"/>
      <c r="AB141" s="2359"/>
      <c r="AC141" s="2359"/>
      <c r="AD141" s="2359"/>
      <c r="AE141" s="2359"/>
      <c r="AF141" s="2360"/>
      <c r="AG141" s="420"/>
      <c r="AH141" s="420"/>
      <c r="AI141" s="420"/>
      <c r="AJ141" s="420"/>
      <c r="AK141" s="420"/>
      <c r="AL141" s="420"/>
      <c r="AM141" s="420"/>
      <c r="AN141" s="421"/>
    </row>
    <row r="142" spans="2:40" customHeight="1" thickBo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36" ht="15" customHeight="1" thickBot="1">
      <c r="B143" s="427" t="s">
        <v>132</v>
      </c>
      <c r="C143" s="428"/>
      <c r="D143" s="428"/>
      <c r="E143" s="428"/>
      <c r="F143" s="428"/>
      <c r="G143" s="428"/>
      <c r="H143" s="428"/>
      <c r="I143" s="428"/>
      <c r="J143" s="428"/>
      <c r="K143" s="428"/>
      <c r="L143" s="428"/>
      <c r="M143" s="428"/>
      <c r="N143" s="428"/>
      <c r="O143" s="428"/>
      <c r="P143" s="428"/>
      <c r="Q143" s="428"/>
      <c r="R143" s="428"/>
      <c r="S143" s="429"/>
      <c r="T143" s="427"/>
      <c r="U143" s="429"/>
      <c r="V143" s="56"/>
      <c r="W143" s="56"/>
      <c r="X143" s="56"/>
      <c r="Y143" s="56"/>
      <c r="Z143" s="56"/>
      <c r="AC143" s="65" t="s">
        <v>136</v>
      </c>
      <c r="AD143" s="65"/>
      <c r="AE143" s="65"/>
      <c r="AF143"/>
      <c r="AG143" s="1392">
        <f>'FE-1770 S-II'!AG148</f>
        <v>1</v>
      </c>
      <c r="AH143" s="61" t="s">
        <v>137</v>
      </c>
      <c r="AI143" s="1395">
        <f ca="1">TOTAL_PAGES</f>
        <v>-2</v>
      </c>
      <c r="AJ143" s="65" t="s">
        <v>164</v>
      </c>
    </row>
    <row r="144" spans="1:41" customHeight="1">
      <c r="A144" s="1"/>
      <c r="B144" s="4"/>
      <c r="C144" s="4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O144" s="58"/>
    </row>
    <row r="147" spans="21:21" customHeight="1">
      <c r="U147" s="22"/>
    </row>
  </sheetData>
  <sheetProtection password="BDAF" sheet="1" objects="1" scenarios="1" selectLockedCells="1" selectUnlockedCells="1"/>
  <mergeCells count="199">
    <mergeCell ref="AP101:AZ104"/>
    <mergeCell ref="B130:B131"/>
    <mergeCell ref="C130:O132"/>
    <mergeCell ref="AG130:AM131"/>
    <mergeCell ref="B127:B128"/>
    <mergeCell ref="C127:O129"/>
    <mergeCell ref="P127:W129"/>
    <mergeCell ref="P130:W132"/>
    <mergeCell ref="B139:B141"/>
    <mergeCell ref="AG133:AM134"/>
    <mergeCell ref="AG136:AM137"/>
    <mergeCell ref="AG139:AM140"/>
    <mergeCell ref="P139:W141"/>
    <mergeCell ref="X139:AF141"/>
    <mergeCell ref="B136:B137"/>
    <mergeCell ref="C136:O138"/>
    <mergeCell ref="B133:B134"/>
    <mergeCell ref="C133:O135"/>
    <mergeCell ref="P133:W135"/>
    <mergeCell ref="P136:W138"/>
    <mergeCell ref="C139:O141"/>
    <mergeCell ref="X133:AF135"/>
    <mergeCell ref="X136:AF138"/>
    <mergeCell ref="X127:AF129"/>
    <mergeCell ref="X130:AF132"/>
    <mergeCell ref="B22:B23"/>
    <mergeCell ref="C46:Q47"/>
    <mergeCell ref="AD51:AM53"/>
    <mergeCell ref="B52:B53"/>
    <mergeCell ref="C52:Q53"/>
    <mergeCell ref="R34:AB35"/>
    <mergeCell ref="R37:AB38"/>
    <mergeCell ref="AD40:AM41"/>
    <mergeCell ref="B43:B44"/>
    <mergeCell ref="AD43:AM44"/>
    <mergeCell ref="AD45:AM47"/>
    <mergeCell ref="B25:B26"/>
    <mergeCell ref="C37:Q38"/>
    <mergeCell ref="AD58:AM59"/>
    <mergeCell ref="AD54:AM56"/>
    <mergeCell ref="AD48:AM50"/>
    <mergeCell ref="R52:AB53"/>
    <mergeCell ref="C43:M44"/>
    <mergeCell ref="H62:Q62"/>
    <mergeCell ref="B40:B41"/>
    <mergeCell ref="N43:Q44"/>
    <mergeCell ref="B61:B62"/>
    <mergeCell ref="B46:B47"/>
    <mergeCell ref="C55:Q56"/>
    <mergeCell ref="R55:AB56"/>
    <mergeCell ref="C69:D71"/>
    <mergeCell ref="C72:D72"/>
    <mergeCell ref="AD20:AN20"/>
    <mergeCell ref="R31:AB32"/>
    <mergeCell ref="AD61:AM62"/>
    <mergeCell ref="AB63:AC65"/>
    <mergeCell ref="AD33:AM35"/>
    <mergeCell ref="AD37:AM38"/>
    <mergeCell ref="AD63:AM65"/>
    <mergeCell ref="AD22:AM23"/>
    <mergeCell ref="AD25:AM26"/>
    <mergeCell ref="R61:AB62"/>
    <mergeCell ref="R20:AC20"/>
    <mergeCell ref="R43:AB44"/>
    <mergeCell ref="R46:AB47"/>
    <mergeCell ref="R58:AB59"/>
    <mergeCell ref="AD27:AM29"/>
    <mergeCell ref="AD30:AM32"/>
    <mergeCell ref="C49:Q50"/>
    <mergeCell ref="C40:P41"/>
    <mergeCell ref="C20:Q20"/>
    <mergeCell ref="C22:Q23"/>
    <mergeCell ref="B2:B8"/>
    <mergeCell ref="K2:AD2"/>
    <mergeCell ref="C17:Q19"/>
    <mergeCell ref="R17:AC17"/>
    <mergeCell ref="AD17:AN17"/>
    <mergeCell ref="C6:J6"/>
    <mergeCell ref="C2:J4"/>
    <mergeCell ref="C5:J5"/>
    <mergeCell ref="L5:W5"/>
    <mergeCell ref="R19:AC19"/>
    <mergeCell ref="B17:B19"/>
    <mergeCell ref="AM2:AN3"/>
    <mergeCell ref="K3:AD3"/>
    <mergeCell ref="AG2:AH3"/>
    <mergeCell ref="AI2:AJ3"/>
    <mergeCell ref="AK2:AL3"/>
    <mergeCell ref="AE2:AF8"/>
    <mergeCell ref="R18:AC18"/>
    <mergeCell ref="AD19:AN19"/>
    <mergeCell ref="R22:AB23"/>
    <mergeCell ref="B76:B77"/>
    <mergeCell ref="B79:B80"/>
    <mergeCell ref="C31:Q32"/>
    <mergeCell ref="R28:AB29"/>
    <mergeCell ref="C25:Q26"/>
    <mergeCell ref="C28:M29"/>
    <mergeCell ref="C35:P35"/>
    <mergeCell ref="B34:B35"/>
    <mergeCell ref="B28:B29"/>
    <mergeCell ref="B31:B32"/>
    <mergeCell ref="C63:Q65"/>
    <mergeCell ref="R25:AB26"/>
    <mergeCell ref="R40:AB41"/>
    <mergeCell ref="B37:B38"/>
    <mergeCell ref="B73:B74"/>
    <mergeCell ref="B49:B50"/>
    <mergeCell ref="R49:AB50"/>
    <mergeCell ref="B58:B59"/>
    <mergeCell ref="C58:Q59"/>
    <mergeCell ref="B55:B56"/>
    <mergeCell ref="R70:AC70"/>
    <mergeCell ref="R72:AC72"/>
    <mergeCell ref="N70:Q70"/>
    <mergeCell ref="E69:M70"/>
    <mergeCell ref="B82:B84"/>
    <mergeCell ref="B69:B71"/>
    <mergeCell ref="B123:B125"/>
    <mergeCell ref="N72:Q72"/>
    <mergeCell ref="N69:Q69"/>
    <mergeCell ref="X123:AF125"/>
    <mergeCell ref="B109:B110"/>
    <mergeCell ref="B100:B101"/>
    <mergeCell ref="B103:B104"/>
    <mergeCell ref="B106:B107"/>
    <mergeCell ref="B96:B98"/>
    <mergeCell ref="E99:M99"/>
    <mergeCell ref="N99:Y99"/>
    <mergeCell ref="Z99:AC99"/>
    <mergeCell ref="C96:D98"/>
    <mergeCell ref="C99:D99"/>
    <mergeCell ref="C88:M90"/>
    <mergeCell ref="P88:Q90"/>
    <mergeCell ref="E100:M101"/>
    <mergeCell ref="E96:M97"/>
    <mergeCell ref="AD73:AN74"/>
    <mergeCell ref="AD69:AN70"/>
    <mergeCell ref="AD72:AN72"/>
    <mergeCell ref="R69:AC69"/>
    <mergeCell ref="AG127:AM128"/>
    <mergeCell ref="P126:W126"/>
    <mergeCell ref="X126:AF126"/>
    <mergeCell ref="AG123:AN125"/>
    <mergeCell ref="C123:O125"/>
    <mergeCell ref="C126:O126"/>
    <mergeCell ref="AG126:AN126"/>
    <mergeCell ref="P123:W125"/>
    <mergeCell ref="AB115:AC117"/>
    <mergeCell ref="AD115:AM117"/>
    <mergeCell ref="C115:Y117"/>
    <mergeCell ref="R73:AC74"/>
    <mergeCell ref="R88:AB90"/>
    <mergeCell ref="N96:Y96"/>
    <mergeCell ref="N97:Y97"/>
    <mergeCell ref="Z96:AC96"/>
    <mergeCell ref="Z97:AC97"/>
    <mergeCell ref="AD96:AN97"/>
    <mergeCell ref="AD99:AN99"/>
    <mergeCell ref="R76:AC77"/>
    <mergeCell ref="R79:AC80"/>
    <mergeCell ref="R82:AC83"/>
    <mergeCell ref="R85:AC86"/>
    <mergeCell ref="N73:Q74"/>
    <mergeCell ref="N76:Q77"/>
    <mergeCell ref="N79:Q80"/>
    <mergeCell ref="N82:Q83"/>
    <mergeCell ref="N85:Q86"/>
    <mergeCell ref="AD76:AN77"/>
    <mergeCell ref="AD79:AN80"/>
    <mergeCell ref="AD82:AN83"/>
    <mergeCell ref="AD85:AN86"/>
    <mergeCell ref="E72:M72"/>
    <mergeCell ref="C73:D74"/>
    <mergeCell ref="C76:D77"/>
    <mergeCell ref="C79:D80"/>
    <mergeCell ref="C82:D83"/>
    <mergeCell ref="C85:D86"/>
    <mergeCell ref="E76:M77"/>
    <mergeCell ref="E79:M80"/>
    <mergeCell ref="E82:M83"/>
    <mergeCell ref="E85:M86"/>
    <mergeCell ref="E73:M74"/>
    <mergeCell ref="Z112:AC113"/>
    <mergeCell ref="C100:D101"/>
    <mergeCell ref="C103:D104"/>
    <mergeCell ref="C106:D107"/>
    <mergeCell ref="C109:D110"/>
    <mergeCell ref="E103:M104"/>
    <mergeCell ref="E106:M107"/>
    <mergeCell ref="E109:M110"/>
    <mergeCell ref="AD103:AN104"/>
    <mergeCell ref="AD106:AN107"/>
    <mergeCell ref="AD109:AN110"/>
    <mergeCell ref="AD100:AN101"/>
    <mergeCell ref="Z100:AC101"/>
    <mergeCell ref="Z103:AC104"/>
    <mergeCell ref="Z106:AC107"/>
    <mergeCell ref="Z109:AC110"/>
  </mergeCells>
  <printOptions horizontalCentered="1"/>
  <pageMargins left="0.23622047244094491" right="0.19685039370078741" top="0.38" bottom="0" header="0.31" footer="0.23622047244094491"/>
  <pageSetup paperSize="5" scale="65" orientation="portrait" r:id="rId1"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  <pageSetUpPr fitToPage="1"/>
  </sheetPr>
  <dimension ref="A1:BC147"/>
  <sheetViews>
    <sheetView showGridLines="0" zoomScaleNormal="75" zoomScaleSheetLayoutView="100" view="pageBreakPreview" workbookViewId="0">
      <selection pane="topLeft" activeCell="C2" sqref="C2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4" width="4.42187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2.75" customHeight="1">
      <c r="A2"/>
      <c r="B2" s="2296" t="s">
        <v>38</v>
      </c>
      <c r="C2" s="2139" t="s">
        <v>85</v>
      </c>
      <c r="D2" s="2139"/>
      <c r="E2" s="2139"/>
      <c r="F2" s="2139"/>
      <c r="G2" s="2139"/>
      <c r="H2" s="2139"/>
      <c r="I2" s="2139"/>
      <c r="J2" s="2275"/>
      <c r="K2" s="2177" t="s">
        <v>144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2178"/>
      <c r="AE2" s="2088" t="s">
        <v>29</v>
      </c>
      <c r="AF2" s="2296"/>
      <c r="AG2" s="2270">
        <v>2</v>
      </c>
      <c r="AH2" s="2270"/>
      <c r="AI2" s="2270">
        <v>0</v>
      </c>
      <c r="AJ2" s="2270"/>
      <c r="AK2" s="2270">
        <f>'1770 S-1'!AJ3</f>
        <v>0</v>
      </c>
      <c r="AL2" s="2270"/>
      <c r="AM2" s="2270">
        <f>'1770 S-1'!AL3</f>
        <v>0</v>
      </c>
      <c r="AN2" s="2270"/>
    </row>
    <row r="3" spans="2:40" ht="15" customHeight="1">
      <c r="B3" s="2296"/>
      <c r="C3" s="2139"/>
      <c r="D3" s="2139"/>
      <c r="E3" s="2139"/>
      <c r="F3" s="2139"/>
      <c r="G3" s="2139"/>
      <c r="H3" s="2139"/>
      <c r="I3" s="2139"/>
      <c r="J3" s="2275"/>
      <c r="K3" s="2271" t="s">
        <v>55</v>
      </c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2"/>
      <c r="AD3" s="2272"/>
      <c r="AE3" s="2088"/>
      <c r="AF3" s="2296"/>
      <c r="AG3" s="2270"/>
      <c r="AH3" s="2270"/>
      <c r="AI3" s="2270"/>
      <c r="AJ3" s="2270"/>
      <c r="AK3" s="2270"/>
      <c r="AL3" s="2270"/>
      <c r="AM3" s="2270"/>
      <c r="AN3" s="2270"/>
    </row>
    <row r="4" spans="2:40" ht="3" customHeight="1" thickBot="1">
      <c r="B4" s="2296"/>
      <c r="C4" s="2139"/>
      <c r="D4" s="2139"/>
      <c r="E4" s="2139"/>
      <c r="F4" s="2139"/>
      <c r="G4" s="2139"/>
      <c r="H4" s="2139"/>
      <c r="I4" s="2139"/>
      <c r="J4" s="2275"/>
      <c r="K4" s="424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  <c r="AB4" s="425"/>
      <c r="AC4" s="425"/>
      <c r="AD4" s="426"/>
      <c r="AE4" s="2088"/>
      <c r="AF4" s="2296"/>
      <c r="AG4" s="217"/>
      <c r="AH4" s="217"/>
      <c r="AI4" s="217"/>
      <c r="AJ4" s="217"/>
      <c r="AK4" s="217"/>
      <c r="AL4" s="217"/>
      <c r="AM4" s="217"/>
      <c r="AN4" s="217"/>
    </row>
    <row r="5" spans="2:40" ht="21.75" customHeight="1">
      <c r="B5" s="2296"/>
      <c r="C5" s="414" t="s">
        <v>712</v>
      </c>
      <c r="D5" s="414"/>
      <c r="E5" s="414"/>
      <c r="F5" s="414"/>
      <c r="G5" s="414"/>
      <c r="H5" s="414"/>
      <c r="I5" s="414"/>
      <c r="J5" s="2854"/>
      <c r="K5" s="61" t="s">
        <v>23</v>
      </c>
      <c r="L5" s="2855" t="s">
        <v>168</v>
      </c>
      <c r="M5" s="2855"/>
      <c r="N5" s="2855"/>
      <c r="O5" s="2855"/>
      <c r="P5" s="2855"/>
      <c r="Q5" s="2855"/>
      <c r="R5" s="2855"/>
      <c r="S5" s="2855"/>
      <c r="T5" s="2855"/>
      <c r="U5" s="2855"/>
      <c r="V5" s="2855"/>
      <c r="W5" s="2855"/>
      <c r="X5" s="4"/>
      <c r="Y5" s="4"/>
      <c r="Z5" s="4"/>
      <c r="AA5" s="4"/>
      <c r="AB5" s="4"/>
      <c r="AC5" s="4"/>
      <c r="AD5" s="4"/>
      <c r="AE5" s="2088"/>
      <c r="AF5" s="2296"/>
      <c r="AG5" s="217"/>
      <c r="AH5" s="217"/>
      <c r="AI5" s="217"/>
      <c r="AJ5" s="217"/>
      <c r="AK5" s="217"/>
      <c r="AL5" s="217"/>
      <c r="AM5" s="217"/>
      <c r="AN5" s="217"/>
    </row>
    <row r="6" spans="2:40" ht="15" customHeight="1">
      <c r="B6" s="2296"/>
      <c r="C6" s="414" t="s">
        <v>31</v>
      </c>
      <c r="D6" s="414"/>
      <c r="E6" s="414"/>
      <c r="F6" s="414"/>
      <c r="G6" s="414"/>
      <c r="H6" s="414"/>
      <c r="I6" s="414"/>
      <c r="J6" s="2854"/>
      <c r="K6" s="121" t="s">
        <v>23</v>
      </c>
      <c r="L6" s="46" t="s">
        <v>666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088"/>
      <c r="AF6" s="2296"/>
      <c r="AG6" s="409"/>
      <c r="AH6" s="409"/>
      <c r="AI6" s="409"/>
      <c r="AJ6" s="409"/>
      <c r="AK6" s="409"/>
      <c r="AL6" s="409"/>
      <c r="AM6" s="409"/>
      <c r="AN6" s="409"/>
    </row>
    <row r="7" spans="2:32" ht="12.75" customHeight="1">
      <c r="B7" s="2296"/>
      <c r="K7" s="121" t="s">
        <v>23</v>
      </c>
      <c r="L7" s="46" t="s">
        <v>667</v>
      </c>
      <c r="M7"/>
      <c r="N7"/>
      <c r="O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088"/>
      <c r="AF7" s="2296"/>
    </row>
    <row r="8" spans="2:40" ht="15" customHeight="1" thickBot="1">
      <c r="B8" s="2297"/>
      <c r="C8" s="25"/>
      <c r="D8" s="25"/>
      <c r="E8" s="25"/>
      <c r="F8" s="25"/>
      <c r="G8" s="25"/>
      <c r="H8" s="25"/>
      <c r="I8" s="25"/>
      <c r="J8" s="82"/>
      <c r="K8" s="121" t="s">
        <v>23</v>
      </c>
      <c r="L8" s="46" t="s">
        <v>668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090"/>
      <c r="AF8" s="2297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13"/>
    </row>
    <row r="10" spans="2:40" s="11" customFormat="1" ht="18" customHeight="1">
      <c r="B10" s="115" t="s">
        <v>33</v>
      </c>
      <c r="C10" s="70"/>
      <c r="D10" s="70"/>
      <c r="E10" s="70"/>
      <c r="F10" s="70"/>
      <c r="G10" s="70"/>
      <c r="H10" s="61" t="s">
        <v>26</v>
      </c>
      <c r="I10" s="65"/>
      <c r="J10" s="1435" t="str">
        <f>'FE-1770 S-II'!J10</f>
        <v/>
      </c>
      <c r="K10" s="1435" t="str">
        <f>'FE-1770 S-II'!K10</f>
        <v/>
      </c>
      <c r="L10" s="434"/>
      <c r="M10" s="1435" t="str">
        <f>'FE-1770 S-II'!M10</f>
        <v/>
      </c>
      <c r="N10" s="1435" t="str">
        <f>'FE-1770 S-II'!N10</f>
        <v/>
      </c>
      <c r="O10" s="1435" t="str">
        <f>'FE-1770 S-II'!O10</f>
        <v/>
      </c>
      <c r="P10" s="434"/>
      <c r="Q10" s="1435" t="str">
        <f>'FE-1770 S-II'!Q10</f>
        <v/>
      </c>
      <c r="R10" s="1435" t="str">
        <f>'FE-1770 S-II'!R10</f>
        <v/>
      </c>
      <c r="S10" s="1435" t="str">
        <f>'FE-1770 S-II'!S10</f>
        <v/>
      </c>
      <c r="T10" s="434"/>
      <c r="U10" s="1435" t="str">
        <f>'FE-1770 S-II'!U10</f>
        <v/>
      </c>
      <c r="V10" s="434"/>
      <c r="W10" s="1435" t="str">
        <f>'FE-1770 S-II'!W10</f>
        <v/>
      </c>
      <c r="X10" s="1435" t="str">
        <f>'FE-1770 S-II'!X10</f>
        <v/>
      </c>
      <c r="Y10" s="1435" t="str">
        <f>'FE-1770 S-II'!Y10</f>
        <v/>
      </c>
      <c r="Z10" s="434"/>
      <c r="AA10" s="1435" t="str">
        <f>'FE-1770 S-II'!AA10</f>
        <v/>
      </c>
      <c r="AB10" s="1435" t="str">
        <f>'FE-1770 S-II'!AB10</f>
        <v/>
      </c>
      <c r="AC10" s="1435" t="str">
        <f>'FE-1770 S-II'!AC10</f>
        <v/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49"/>
    </row>
    <row r="11" spans="2:40" ht="3" customHeight="1">
      <c r="B11" s="117"/>
      <c r="C11" s="93"/>
      <c r="D11" s="93"/>
      <c r="E11" s="93"/>
      <c r="F11" s="93"/>
      <c r="G11" s="93"/>
      <c r="H11" s="119"/>
      <c r="I11" s="93"/>
      <c r="J11" s="435"/>
      <c r="K11" s="436"/>
      <c r="L11" s="435"/>
      <c r="M11" s="435"/>
      <c r="N11" s="435"/>
      <c r="O11" s="435"/>
      <c r="P11" s="435"/>
      <c r="Q11" s="435"/>
      <c r="R11" s="435"/>
      <c r="S11" s="435"/>
      <c r="T11" s="435"/>
      <c r="U11" s="435"/>
      <c r="V11" s="435"/>
      <c r="W11" s="435"/>
      <c r="X11" s="435"/>
      <c r="Y11" s="435"/>
      <c r="Z11" s="435"/>
      <c r="AA11" s="435"/>
      <c r="AB11" s="435"/>
      <c r="AC11" s="435"/>
      <c r="AD11" s="410">
        <f>'FE-1770 S-II'!AD11</f>
        <v>0</v>
      </c>
      <c r="AE11" s="410">
        <f>'FE-1770 S-II'!AE11</f>
        <v>0</v>
      </c>
      <c r="AF11" s="410">
        <f>'FE-1770 S-II'!AF11</f>
        <v>0</v>
      </c>
      <c r="AG11" s="410">
        <f>'FE-1770 S-II'!AG11</f>
        <v>0</v>
      </c>
      <c r="AH11" s="410">
        <f>'FE-1770 S-II'!AH11</f>
        <v>0</v>
      </c>
      <c r="AI11" s="410">
        <f>'FE-1770 S-II'!AI11</f>
        <v>0</v>
      </c>
      <c r="AJ11" s="410">
        <f>'FE-1770 S-II'!AJ11</f>
        <v>0</v>
      </c>
      <c r="AK11" s="410">
        <f>'FE-1770 S-II'!AK11</f>
        <v>0</v>
      </c>
      <c r="AL11" s="410">
        <f>'FE-1770 S-II'!AL11</f>
        <v>0</v>
      </c>
      <c r="AM11" s="410">
        <f>'FE-1770 S-II'!AM11</f>
        <v>0</v>
      </c>
      <c r="AN11" s="54"/>
    </row>
    <row r="12" spans="2:40" s="11" customFormat="1" ht="18.75" customHeight="1">
      <c r="B12" s="115" t="s">
        <v>27</v>
      </c>
      <c r="C12" s="70"/>
      <c r="D12" s="70"/>
      <c r="E12" s="70"/>
      <c r="F12" s="70"/>
      <c r="G12" s="70"/>
      <c r="H12" s="61" t="s">
        <v>26</v>
      </c>
      <c r="I12" s="65"/>
      <c r="J12" s="1393">
        <f>'FE-1770 S-II'!J12</f>
        <v>0</v>
      </c>
      <c r="K12" s="1394"/>
      <c r="L12" s="1394"/>
      <c r="M12" s="1394"/>
      <c r="N12" s="1394"/>
      <c r="O12" s="1394"/>
      <c r="P12" s="1394"/>
      <c r="Q12" s="1394"/>
      <c r="R12" s="1394"/>
      <c r="S12" s="1394"/>
      <c r="T12" s="1394"/>
      <c r="U12" s="1394"/>
      <c r="V12" s="1394"/>
      <c r="W12" s="1394"/>
      <c r="X12" s="1394"/>
      <c r="Y12" s="1394"/>
      <c r="Z12" s="1394"/>
      <c r="AA12" s="1394"/>
      <c r="AB12" s="1394"/>
      <c r="AC12" s="1394"/>
      <c r="AD12" s="1436"/>
      <c r="AE12" s="1436"/>
      <c r="AF12" s="1436"/>
      <c r="AG12" s="1436"/>
      <c r="AH12" s="1436"/>
      <c r="AI12" s="1436"/>
      <c r="AJ12" s="1436"/>
      <c r="AK12" s="1436"/>
      <c r="AL12" s="1436"/>
      <c r="AM12" s="1436"/>
      <c r="AN12" s="49"/>
    </row>
    <row r="13" spans="2:40" ht="3" customHeight="1" thickBot="1">
      <c r="B13" s="84"/>
      <c r="C13" s="2"/>
      <c r="D13" s="2"/>
      <c r="E13" s="2"/>
      <c r="F13" s="2"/>
      <c r="G13" s="2"/>
      <c r="H13" s="2"/>
      <c r="I13" s="2"/>
      <c r="J13" s="2"/>
      <c r="K13" s="6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</row>
    <row r="15" spans="2:40" ht="15" customHeight="1">
      <c r="B15" s="75" t="s">
        <v>39</v>
      </c>
      <c r="C15" s="80"/>
      <c r="D15" s="80"/>
      <c r="E15"/>
      <c r="F15" s="80" t="s">
        <v>26</v>
      </c>
      <c r="G15" s="80" t="s">
        <v>168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4.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5" customHeight="1">
      <c r="B17" s="151" t="s">
        <v>76</v>
      </c>
      <c r="C17" s="151" t="s">
        <v>49</v>
      </c>
      <c r="D17" s="1444"/>
      <c r="E17" s="1444"/>
      <c r="F17" s="1444"/>
      <c r="G17" s="1444"/>
      <c r="H17" s="1444"/>
      <c r="I17" s="1444"/>
      <c r="J17" s="1444"/>
      <c r="K17" s="1444"/>
      <c r="L17" s="1444"/>
      <c r="M17" s="1444"/>
      <c r="N17" s="1444"/>
      <c r="O17" s="1444"/>
      <c r="P17" s="1444"/>
      <c r="Q17" s="2161"/>
      <c r="R17" s="1444" t="s">
        <v>117</v>
      </c>
      <c r="S17" s="1444"/>
      <c r="T17" s="1444"/>
      <c r="U17" s="1444"/>
      <c r="V17" s="1444"/>
      <c r="W17" s="1444"/>
      <c r="X17" s="1444"/>
      <c r="Y17" s="1444"/>
      <c r="Z17" s="1444"/>
      <c r="AA17" s="1444"/>
      <c r="AB17" s="1444"/>
      <c r="AC17" s="1444"/>
      <c r="AD17" s="151" t="s">
        <v>3</v>
      </c>
      <c r="AE17" s="1444"/>
      <c r="AF17" s="1444"/>
      <c r="AG17" s="1444"/>
      <c r="AH17" s="1444"/>
      <c r="AI17" s="1444"/>
      <c r="AJ17" s="1444"/>
      <c r="AK17" s="1444"/>
      <c r="AL17" s="1444"/>
      <c r="AM17" s="1444"/>
      <c r="AN17" s="2161"/>
    </row>
    <row r="18" spans="2:40" ht="12" customHeight="1">
      <c r="B18" s="149"/>
      <c r="C18" s="14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395"/>
      <c r="R18" s="71" t="s">
        <v>118</v>
      </c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149"/>
      <c r="AE18" s="71"/>
      <c r="AF18" s="71"/>
      <c r="AG18" s="71"/>
      <c r="AH18" s="71"/>
      <c r="AI18" s="71"/>
      <c r="AJ18" s="71"/>
      <c r="AK18" s="71"/>
      <c r="AL18" s="71"/>
      <c r="AM18" s="71"/>
      <c r="AN18" s="395"/>
    </row>
    <row r="19" spans="2:40" ht="12" customHeight="1">
      <c r="B19" s="149"/>
      <c r="C19" s="149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395"/>
      <c r="R19" s="2298" t="s">
        <v>70</v>
      </c>
      <c r="S19" s="2299"/>
      <c r="T19" s="2299"/>
      <c r="U19" s="2299"/>
      <c r="V19" s="2299"/>
      <c r="W19" s="2299"/>
      <c r="X19" s="2299"/>
      <c r="Y19" s="2299"/>
      <c r="Z19" s="2299"/>
      <c r="AA19" s="2299"/>
      <c r="AB19" s="2299"/>
      <c r="AC19" s="2300"/>
      <c r="AD19" s="149" t="s">
        <v>70</v>
      </c>
      <c r="AE19" s="71"/>
      <c r="AF19" s="71"/>
      <c r="AG19" s="71"/>
      <c r="AH19" s="71"/>
      <c r="AI19" s="71"/>
      <c r="AJ19" s="71"/>
      <c r="AK19" s="71"/>
      <c r="AL19" s="71"/>
      <c r="AM19" s="71"/>
      <c r="AN19" s="395"/>
    </row>
    <row r="20" spans="2:40" s="16" customFormat="1" ht="12" customHeight="1">
      <c r="B20" s="188" t="s">
        <v>65</v>
      </c>
      <c r="C20" s="2191" t="s">
        <v>64</v>
      </c>
      <c r="D20" s="2192"/>
      <c r="E20" s="2192"/>
      <c r="F20" s="2192"/>
      <c r="G20" s="2192"/>
      <c r="H20" s="2192"/>
      <c r="I20" s="2192"/>
      <c r="J20" s="2192"/>
      <c r="K20" s="2192"/>
      <c r="L20" s="2192"/>
      <c r="M20" s="2192"/>
      <c r="N20" s="2192"/>
      <c r="O20" s="2192"/>
      <c r="P20" s="2192"/>
      <c r="Q20" s="2193"/>
      <c r="R20" s="2192" t="s">
        <v>66</v>
      </c>
      <c r="S20" s="2192"/>
      <c r="T20" s="2192"/>
      <c r="U20" s="2192"/>
      <c r="V20" s="2192"/>
      <c r="W20" s="2192"/>
      <c r="X20" s="2192"/>
      <c r="Y20" s="2192"/>
      <c r="Z20" s="2192"/>
      <c r="AA20" s="2192"/>
      <c r="AB20" s="2192"/>
      <c r="AC20" s="2192"/>
      <c r="AD20" s="2191" t="s">
        <v>67</v>
      </c>
      <c r="AE20" s="2192"/>
      <c r="AF20" s="2192"/>
      <c r="AG20" s="2192"/>
      <c r="AH20" s="2192"/>
      <c r="AI20" s="2192"/>
      <c r="AJ20" s="2192"/>
      <c r="AK20" s="2192"/>
      <c r="AL20" s="2192"/>
      <c r="AM20" s="2192"/>
      <c r="AN20" s="2193"/>
    </row>
    <row r="21" spans="2:40" ht="3" customHeight="1" hidden="1">
      <c r="B21" s="189"/>
      <c r="C21" s="189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5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9"/>
      <c r="AE21" s="184"/>
      <c r="AF21" s="184"/>
      <c r="AG21" s="184"/>
      <c r="AH21" s="184"/>
      <c r="AI21" s="184"/>
      <c r="AJ21" s="184"/>
      <c r="AK21" s="184"/>
      <c r="AL21" s="184"/>
      <c r="AM21" s="184"/>
      <c r="AN21" s="185"/>
    </row>
    <row r="22" spans="2:40" ht="15" customHeight="1">
      <c r="B22" s="1341" t="s">
        <v>621</v>
      </c>
      <c r="C22" s="2303" t="s">
        <v>669</v>
      </c>
      <c r="D22" s="2304"/>
      <c r="E22" s="2304"/>
      <c r="F22" s="2304"/>
      <c r="G22" s="2304"/>
      <c r="H22" s="2304"/>
      <c r="I22" s="2304"/>
      <c r="J22" s="2304"/>
      <c r="K22" s="2304"/>
      <c r="L22" s="2304"/>
      <c r="M22" s="2304"/>
      <c r="N22" s="2304"/>
      <c r="O22" s="2304"/>
      <c r="P22" s="2304"/>
      <c r="Q22" s="2305"/>
      <c r="R22" s="2155"/>
      <c r="S22" s="2156"/>
      <c r="T22" s="2156"/>
      <c r="U22" s="2156"/>
      <c r="V22" s="2156"/>
      <c r="W22" s="2156"/>
      <c r="X22" s="2156"/>
      <c r="Y22" s="2156"/>
      <c r="Z22" s="2156"/>
      <c r="AA22" s="2156"/>
      <c r="AB22" s="2156"/>
      <c r="AC22" s="334"/>
      <c r="AD22" s="2155"/>
      <c r="AE22" s="2156"/>
      <c r="AF22" s="2156"/>
      <c r="AG22" s="2156"/>
      <c r="AH22" s="2156"/>
      <c r="AI22" s="2156"/>
      <c r="AJ22" s="2156"/>
      <c r="AK22" s="2156"/>
      <c r="AL22" s="2156"/>
      <c r="AM22" s="2156"/>
      <c r="AN22" s="325"/>
    </row>
    <row r="23" spans="2:40" ht="15" customHeight="1">
      <c r="B23" s="2211"/>
      <c r="C23" s="2209"/>
      <c r="D23" s="2210"/>
      <c r="E23" s="2210"/>
      <c r="F23" s="2210"/>
      <c r="G23" s="2210"/>
      <c r="H23" s="2210"/>
      <c r="I23" s="2210"/>
      <c r="J23" s="2210"/>
      <c r="K23" s="2210"/>
      <c r="L23" s="2210"/>
      <c r="M23" s="2210"/>
      <c r="N23" s="2210"/>
      <c r="O23" s="2210"/>
      <c r="P23" s="2210"/>
      <c r="Q23" s="2213"/>
      <c r="R23" s="625"/>
      <c r="S23" s="2157"/>
      <c r="T23" s="2157"/>
      <c r="U23" s="2157"/>
      <c r="V23" s="2157"/>
      <c r="W23" s="2157"/>
      <c r="X23" s="2157"/>
      <c r="Y23" s="2157"/>
      <c r="Z23" s="2157"/>
      <c r="AA23" s="2157"/>
      <c r="AB23" s="2157"/>
      <c r="AC23" s="333"/>
      <c r="AD23" s="625"/>
      <c r="AE23" s="2157"/>
      <c r="AF23" s="2157"/>
      <c r="AG23" s="2157"/>
      <c r="AH23" s="2157"/>
      <c r="AI23" s="2157"/>
      <c r="AJ23" s="2157"/>
      <c r="AK23" s="2157"/>
      <c r="AL23" s="2157"/>
      <c r="AM23" s="2157"/>
      <c r="AN23" s="335"/>
    </row>
    <row r="24" spans="2:40" ht="3" customHeight="1">
      <c r="B24" s="149"/>
      <c r="C24" s="224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9"/>
      <c r="R24" s="71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149"/>
      <c r="AE24" s="70"/>
      <c r="AF24" s="70"/>
      <c r="AG24" s="70"/>
      <c r="AH24" s="70"/>
      <c r="AI24" s="70"/>
      <c r="AJ24" s="70"/>
      <c r="AK24" s="70"/>
      <c r="AL24" s="70"/>
      <c r="AM24" s="70"/>
      <c r="AN24" s="154"/>
    </row>
    <row r="25" spans="2:40" ht="15" customHeight="1">
      <c r="B25" s="149" t="s">
        <v>622</v>
      </c>
      <c r="C25" s="2207" t="s">
        <v>719</v>
      </c>
      <c r="D25" s="2208"/>
      <c r="E25" s="2208"/>
      <c r="F25" s="2208"/>
      <c r="G25" s="2208"/>
      <c r="H25" s="2208"/>
      <c r="I25" s="2208"/>
      <c r="J25" s="2208"/>
      <c r="K25" s="2208"/>
      <c r="L25" s="2208"/>
      <c r="M25" s="2208"/>
      <c r="N25" s="2208"/>
      <c r="O25" s="2208"/>
      <c r="P25" s="2208"/>
      <c r="Q25" s="2212"/>
      <c r="R25" s="810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27"/>
      <c r="AD25" s="810"/>
      <c r="AE25" s="302"/>
      <c r="AF25" s="302"/>
      <c r="AG25" s="302"/>
      <c r="AH25" s="302"/>
      <c r="AI25" s="302"/>
      <c r="AJ25" s="302"/>
      <c r="AK25" s="302"/>
      <c r="AL25" s="302"/>
      <c r="AM25" s="302"/>
      <c r="AN25" s="300"/>
    </row>
    <row r="26" spans="2:40" ht="15.5">
      <c r="B26" s="1337"/>
      <c r="C26" s="2209" t="s">
        <v>150</v>
      </c>
      <c r="D26" s="2210"/>
      <c r="E26" s="2210"/>
      <c r="F26" s="2210"/>
      <c r="G26" s="2210"/>
      <c r="H26" s="2210"/>
      <c r="I26" s="2210"/>
      <c r="J26" s="2210"/>
      <c r="K26" s="2210"/>
      <c r="L26" s="2210"/>
      <c r="M26" s="2210"/>
      <c r="N26" s="2210"/>
      <c r="O26" s="2210"/>
      <c r="P26" s="2210"/>
      <c r="Q26" s="2213"/>
      <c r="R26" s="625"/>
      <c r="S26" s="2157"/>
      <c r="T26" s="2157"/>
      <c r="U26" s="2157"/>
      <c r="V26" s="2157"/>
      <c r="W26" s="2157"/>
      <c r="X26" s="2157"/>
      <c r="Y26" s="2157"/>
      <c r="Z26" s="2157"/>
      <c r="AA26" s="2157"/>
      <c r="AB26" s="2157"/>
      <c r="AC26" s="333"/>
      <c r="AD26" s="625"/>
      <c r="AE26" s="2157"/>
      <c r="AF26" s="2157"/>
      <c r="AG26" s="2157"/>
      <c r="AH26" s="2157"/>
      <c r="AI26" s="2157"/>
      <c r="AJ26" s="2157"/>
      <c r="AK26" s="2157"/>
      <c r="AL26" s="2157"/>
      <c r="AM26" s="2157"/>
      <c r="AN26" s="335"/>
    </row>
    <row r="27" spans="2:40" ht="3" customHeight="1">
      <c r="B27" s="151"/>
      <c r="C27" s="1441"/>
      <c r="D27" s="1442"/>
      <c r="E27" s="1442"/>
      <c r="F27" s="1442"/>
      <c r="G27" s="1442"/>
      <c r="H27" s="1442"/>
      <c r="I27" s="1442"/>
      <c r="J27" s="1442"/>
      <c r="K27" s="1442"/>
      <c r="L27" s="1442"/>
      <c r="M27" s="1442"/>
      <c r="N27" s="1442"/>
      <c r="O27" s="1442"/>
      <c r="P27" s="1442"/>
      <c r="Q27" s="1443"/>
      <c r="R27" s="1444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2155"/>
      <c r="AE27" s="2156"/>
      <c r="AF27" s="2156"/>
      <c r="AG27" s="2156"/>
      <c r="AH27" s="2156"/>
      <c r="AI27" s="2156"/>
      <c r="AJ27" s="2156"/>
      <c r="AK27" s="2156"/>
      <c r="AL27" s="2156"/>
      <c r="AM27" s="2156"/>
      <c r="AN27" s="408"/>
    </row>
    <row r="28" spans="2:40" ht="15" customHeight="1">
      <c r="B28" s="149" t="s">
        <v>623</v>
      </c>
      <c r="C28" s="2184" t="s">
        <v>125</v>
      </c>
      <c r="D28" s="396"/>
      <c r="E28" s="396"/>
      <c r="F28" s="396"/>
      <c r="G28" s="396"/>
      <c r="H28" s="396"/>
      <c r="I28" s="396"/>
      <c r="J28" s="396"/>
      <c r="K28" s="396"/>
      <c r="L28" s="396"/>
      <c r="M28" s="396"/>
      <c r="N28" s="118"/>
      <c r="O28" s="118"/>
      <c r="P28" s="118"/>
      <c r="Q28" s="231"/>
      <c r="R28" s="810"/>
      <c r="S28" s="302"/>
      <c r="T28" s="302"/>
      <c r="U28" s="302"/>
      <c r="V28" s="302"/>
      <c r="W28" s="302"/>
      <c r="X28" s="302"/>
      <c r="Y28" s="302"/>
      <c r="Z28" s="302"/>
      <c r="AA28" s="302"/>
      <c r="AB28" s="302"/>
      <c r="AC28" s="327"/>
      <c r="AD28" s="810"/>
      <c r="AE28" s="302"/>
      <c r="AF28" s="302"/>
      <c r="AG28" s="302"/>
      <c r="AH28" s="302"/>
      <c r="AI28" s="302"/>
      <c r="AJ28" s="302"/>
      <c r="AK28" s="302"/>
      <c r="AL28" s="302"/>
      <c r="AM28" s="302"/>
      <c r="AN28" s="300"/>
    </row>
    <row r="29" spans="2:40" ht="8.25" customHeight="1">
      <c r="B29" s="1337"/>
      <c r="C29" s="2185"/>
      <c r="D29" s="2186"/>
      <c r="E29" s="2186"/>
      <c r="F29" s="2186"/>
      <c r="G29" s="2186"/>
      <c r="H29" s="2186"/>
      <c r="I29" s="2186"/>
      <c r="J29" s="2186"/>
      <c r="K29" s="2186"/>
      <c r="L29" s="2186"/>
      <c r="M29" s="2186"/>
      <c r="N29" s="1396"/>
      <c r="O29" s="1396"/>
      <c r="P29" s="1396"/>
      <c r="Q29" s="1397"/>
      <c r="R29" s="625"/>
      <c r="S29" s="2157"/>
      <c r="T29" s="2157"/>
      <c r="U29" s="2157"/>
      <c r="V29" s="2157"/>
      <c r="W29" s="2157"/>
      <c r="X29" s="2157"/>
      <c r="Y29" s="2157"/>
      <c r="Z29" s="2157"/>
      <c r="AA29" s="2157"/>
      <c r="AB29" s="2157"/>
      <c r="AC29" s="333"/>
      <c r="AD29" s="625"/>
      <c r="AE29" s="2157"/>
      <c r="AF29" s="2157"/>
      <c r="AG29" s="2157"/>
      <c r="AH29" s="2157"/>
      <c r="AI29" s="2157"/>
      <c r="AJ29" s="2157"/>
      <c r="AK29" s="2157"/>
      <c r="AL29" s="2157"/>
      <c r="AM29" s="2157"/>
      <c r="AN29" s="335"/>
    </row>
    <row r="30" spans="2:40" ht="3" customHeight="1">
      <c r="B30" s="151"/>
      <c r="C30" s="1445"/>
      <c r="D30" s="1446"/>
      <c r="E30" s="1446"/>
      <c r="F30" s="1446"/>
      <c r="G30" s="1446"/>
      <c r="H30" s="1446"/>
      <c r="I30" s="1446"/>
      <c r="J30" s="1446"/>
      <c r="K30" s="1446"/>
      <c r="L30" s="1446"/>
      <c r="M30" s="1446"/>
      <c r="N30" s="1446"/>
      <c r="O30" s="1446"/>
      <c r="P30" s="1446"/>
      <c r="Q30" s="1447"/>
      <c r="R30" s="1444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2155"/>
      <c r="AE30" s="2156"/>
      <c r="AF30" s="2156"/>
      <c r="AG30" s="2156"/>
      <c r="AH30" s="2156"/>
      <c r="AI30" s="2156"/>
      <c r="AJ30" s="2156"/>
      <c r="AK30" s="2156"/>
      <c r="AL30" s="2156"/>
      <c r="AM30" s="2156"/>
      <c r="AN30" s="408"/>
    </row>
    <row r="31" spans="2:40" ht="15" customHeight="1">
      <c r="B31" s="149" t="s">
        <v>624</v>
      </c>
      <c r="C31" s="2240" t="s">
        <v>51</v>
      </c>
      <c r="D31" s="1458"/>
      <c r="E31" s="1458"/>
      <c r="F31" s="1458"/>
      <c r="G31" s="1458"/>
      <c r="H31" s="1458"/>
      <c r="I31" s="1458"/>
      <c r="J31" s="1458"/>
      <c r="K31" s="1458"/>
      <c r="L31" s="1458"/>
      <c r="M31" s="1458"/>
      <c r="N31" s="1458"/>
      <c r="O31" s="1458"/>
      <c r="P31" s="1458"/>
      <c r="Q31" s="2241"/>
      <c r="R31" s="810"/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27"/>
      <c r="AD31" s="810"/>
      <c r="AE31" s="302"/>
      <c r="AF31" s="302"/>
      <c r="AG31" s="302"/>
      <c r="AH31" s="302"/>
      <c r="AI31" s="302"/>
      <c r="AJ31" s="302"/>
      <c r="AK31" s="302"/>
      <c r="AL31" s="302"/>
      <c r="AM31" s="302"/>
      <c r="AN31" s="300"/>
    </row>
    <row r="32" spans="2:40" ht="9" customHeight="1">
      <c r="B32" s="1337"/>
      <c r="C32" s="855"/>
      <c r="D32" s="856"/>
      <c r="E32" s="856"/>
      <c r="F32" s="856"/>
      <c r="G32" s="856"/>
      <c r="H32" s="856"/>
      <c r="I32" s="856"/>
      <c r="J32" s="856"/>
      <c r="K32" s="856"/>
      <c r="L32" s="856"/>
      <c r="M32" s="856"/>
      <c r="N32" s="856"/>
      <c r="O32" s="856"/>
      <c r="P32" s="856"/>
      <c r="Q32" s="857"/>
      <c r="R32" s="625"/>
      <c r="S32" s="2157"/>
      <c r="T32" s="2157"/>
      <c r="U32" s="2157"/>
      <c r="V32" s="2157"/>
      <c r="W32" s="2157"/>
      <c r="X32" s="2157"/>
      <c r="Y32" s="2157"/>
      <c r="Z32" s="2157"/>
      <c r="AA32" s="2157"/>
      <c r="AB32" s="2157"/>
      <c r="AC32" s="333"/>
      <c r="AD32" s="625"/>
      <c r="AE32" s="2157"/>
      <c r="AF32" s="2157"/>
      <c r="AG32" s="2157"/>
      <c r="AH32" s="2157"/>
      <c r="AI32" s="2157"/>
      <c r="AJ32" s="2157"/>
      <c r="AK32" s="2157"/>
      <c r="AL32" s="2157"/>
      <c r="AM32" s="2157"/>
      <c r="AN32" s="335"/>
    </row>
    <row r="33" spans="2:40" ht="3" customHeight="1">
      <c r="B33" s="151"/>
      <c r="C33" s="1441"/>
      <c r="D33" s="1442"/>
      <c r="E33" s="1442"/>
      <c r="F33" s="1442"/>
      <c r="G33" s="1442"/>
      <c r="H33" s="1442"/>
      <c r="I33" s="1442"/>
      <c r="J33" s="1442"/>
      <c r="K33" s="1442"/>
      <c r="L33" s="1442"/>
      <c r="M33" s="1442"/>
      <c r="N33" s="1442"/>
      <c r="O33" s="1442"/>
      <c r="P33" s="1442"/>
      <c r="Q33" s="1443"/>
      <c r="R33" s="1444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155"/>
      <c r="AE33" s="2156"/>
      <c r="AF33" s="2156"/>
      <c r="AG33" s="2156"/>
      <c r="AH33" s="2156"/>
      <c r="AI33" s="2156"/>
      <c r="AJ33" s="2156"/>
      <c r="AK33" s="2156"/>
      <c r="AL33" s="2156"/>
      <c r="AM33" s="2156"/>
      <c r="AN33" s="408"/>
    </row>
    <row r="34" spans="2:40" ht="15" customHeight="1">
      <c r="B34" s="149" t="s">
        <v>625</v>
      </c>
      <c r="C34" s="187" t="s">
        <v>86</v>
      </c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29"/>
      <c r="R34" s="810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27"/>
      <c r="AD34" s="810"/>
      <c r="AE34" s="302"/>
      <c r="AF34" s="302"/>
      <c r="AG34" s="302"/>
      <c r="AH34" s="302"/>
      <c r="AI34" s="302"/>
      <c r="AJ34" s="302"/>
      <c r="AK34" s="302"/>
      <c r="AL34" s="302"/>
      <c r="AM34" s="302"/>
      <c r="AN34" s="300"/>
    </row>
    <row r="35" spans="2:40" ht="15" customHeight="1">
      <c r="B35" s="1337"/>
      <c r="C35" s="2301" t="s">
        <v>670</v>
      </c>
      <c r="D35" s="2302"/>
      <c r="E35" s="2302"/>
      <c r="F35" s="2302"/>
      <c r="G35" s="2302"/>
      <c r="H35" s="2302"/>
      <c r="I35" s="2302"/>
      <c r="J35" s="2302"/>
      <c r="K35" s="2302"/>
      <c r="L35" s="2302"/>
      <c r="M35" s="2302"/>
      <c r="N35" s="2302"/>
      <c r="O35" s="2302"/>
      <c r="P35" s="2302"/>
      <c r="Q35" s="1398"/>
      <c r="R35" s="625"/>
      <c r="S35" s="2157"/>
      <c r="T35" s="2157"/>
      <c r="U35" s="2157"/>
      <c r="V35" s="2157"/>
      <c r="W35" s="2157"/>
      <c r="X35" s="2157"/>
      <c r="Y35" s="2157"/>
      <c r="Z35" s="2157"/>
      <c r="AA35" s="2157"/>
      <c r="AB35" s="2157"/>
      <c r="AC35" s="333"/>
      <c r="AD35" s="625"/>
      <c r="AE35" s="2157"/>
      <c r="AF35" s="2157"/>
      <c r="AG35" s="2157"/>
      <c r="AH35" s="2157"/>
      <c r="AI35" s="2157"/>
      <c r="AJ35" s="2157"/>
      <c r="AK35" s="2157"/>
      <c r="AL35" s="2157"/>
      <c r="AM35" s="2157"/>
      <c r="AN35" s="335"/>
    </row>
    <row r="36" spans="2:40" ht="3" customHeight="1">
      <c r="B36" s="149"/>
      <c r="C36" s="224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9"/>
      <c r="R36" s="71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149"/>
      <c r="AE36" s="70"/>
      <c r="AF36" s="70"/>
      <c r="AG36" s="70"/>
      <c r="AH36" s="70"/>
      <c r="AI36" s="70"/>
      <c r="AJ36" s="70"/>
      <c r="AK36" s="70"/>
      <c r="AL36" s="70"/>
      <c r="AM36" s="70"/>
      <c r="AN36" s="154"/>
    </row>
    <row r="37" spans="2:40" ht="15" customHeight="1">
      <c r="B37" s="149" t="s">
        <v>626</v>
      </c>
      <c r="C37" s="2184" t="s">
        <v>151</v>
      </c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402"/>
      <c r="R37" s="810"/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27"/>
      <c r="AD37" s="810"/>
      <c r="AE37" s="302"/>
      <c r="AF37" s="302"/>
      <c r="AG37" s="302"/>
      <c r="AH37" s="302"/>
      <c r="AI37" s="302"/>
      <c r="AJ37" s="302"/>
      <c r="AK37" s="302"/>
      <c r="AL37" s="302"/>
      <c r="AM37" s="302"/>
      <c r="AN37" s="300"/>
    </row>
    <row r="38" spans="2:40" ht="6.75" customHeight="1">
      <c r="B38" s="1337"/>
      <c r="C38" s="2185"/>
      <c r="D38" s="2186"/>
      <c r="E38" s="2186"/>
      <c r="F38" s="2186"/>
      <c r="G38" s="2186"/>
      <c r="H38" s="2186"/>
      <c r="I38" s="2186"/>
      <c r="J38" s="2186"/>
      <c r="K38" s="2186"/>
      <c r="L38" s="2186"/>
      <c r="M38" s="2186"/>
      <c r="N38" s="2186"/>
      <c r="O38" s="2186"/>
      <c r="P38" s="2186"/>
      <c r="Q38" s="2188"/>
      <c r="R38" s="625"/>
      <c r="S38" s="2157"/>
      <c r="T38" s="2157"/>
      <c r="U38" s="2157"/>
      <c r="V38" s="2157"/>
      <c r="W38" s="2157"/>
      <c r="X38" s="2157"/>
      <c r="Y38" s="2157"/>
      <c r="Z38" s="2157"/>
      <c r="AA38" s="2157"/>
      <c r="AB38" s="2157"/>
      <c r="AC38" s="333"/>
      <c r="AD38" s="625"/>
      <c r="AE38" s="2157"/>
      <c r="AF38" s="2157"/>
      <c r="AG38" s="2157"/>
      <c r="AH38" s="2157"/>
      <c r="AI38" s="2157"/>
      <c r="AJ38" s="2157"/>
      <c r="AK38" s="2157"/>
      <c r="AL38" s="2157"/>
      <c r="AM38" s="2157"/>
      <c r="AN38" s="335"/>
    </row>
    <row r="39" spans="2:40" ht="3" customHeight="1">
      <c r="B39" s="149"/>
      <c r="C39" s="230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231"/>
      <c r="R39" s="71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149"/>
      <c r="AE39" s="70"/>
      <c r="AF39" s="70"/>
      <c r="AG39" s="70"/>
      <c r="AH39" s="70"/>
      <c r="AI39" s="70"/>
      <c r="AJ39" s="70"/>
      <c r="AK39" s="70"/>
      <c r="AL39" s="70"/>
      <c r="AM39" s="70"/>
      <c r="AN39" s="154"/>
    </row>
    <row r="40" spans="2:40" ht="15" customHeight="1">
      <c r="B40" s="149" t="s">
        <v>629</v>
      </c>
      <c r="C40" s="2184" t="s">
        <v>171</v>
      </c>
      <c r="D40" s="396"/>
      <c r="E40" s="396"/>
      <c r="F40" s="396"/>
      <c r="G40" s="396"/>
      <c r="H40" s="396"/>
      <c r="I40" s="396"/>
      <c r="J40" s="396"/>
      <c r="K40" s="396"/>
      <c r="L40" s="396"/>
      <c r="M40" s="396"/>
      <c r="N40" s="396"/>
      <c r="O40" s="396"/>
      <c r="P40" s="396"/>
      <c r="Q40" s="231"/>
      <c r="R40" s="810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27"/>
      <c r="AD40" s="2279"/>
      <c r="AE40" s="2280"/>
      <c r="AF40" s="2280"/>
      <c r="AG40" s="2280"/>
      <c r="AH40" s="2280"/>
      <c r="AI40" s="2280"/>
      <c r="AJ40" s="2280"/>
      <c r="AK40" s="2280"/>
      <c r="AL40" s="2280"/>
      <c r="AM40" s="2280"/>
      <c r="AN40" s="345"/>
    </row>
    <row r="41" spans="2:40" ht="10.5" customHeight="1">
      <c r="B41" s="149"/>
      <c r="C41" s="2184"/>
      <c r="D41" s="396"/>
      <c r="E41" s="396"/>
      <c r="F41" s="396"/>
      <c r="G41" s="396"/>
      <c r="H41" s="396"/>
      <c r="I41" s="396"/>
      <c r="J41" s="396"/>
      <c r="K41" s="396"/>
      <c r="L41" s="396"/>
      <c r="M41" s="396"/>
      <c r="N41" s="396"/>
      <c r="O41" s="396"/>
      <c r="P41" s="396"/>
      <c r="Q41" s="231"/>
      <c r="R41" s="810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27"/>
      <c r="AD41" s="2279"/>
      <c r="AE41" s="2280"/>
      <c r="AF41" s="2280"/>
      <c r="AG41" s="2280"/>
      <c r="AH41" s="2280"/>
      <c r="AI41" s="2280"/>
      <c r="AJ41" s="2280"/>
      <c r="AK41" s="2280"/>
      <c r="AL41" s="2280"/>
      <c r="AM41" s="2280"/>
      <c r="AN41" s="345"/>
    </row>
    <row r="42" spans="2:40" ht="3" customHeight="1">
      <c r="B42" s="149"/>
      <c r="C42" s="230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231"/>
      <c r="R42" s="71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149"/>
      <c r="AE42" s="70"/>
      <c r="AF42" s="70"/>
      <c r="AG42" s="70"/>
      <c r="AH42" s="70"/>
      <c r="AI42" s="70"/>
      <c r="AJ42" s="70"/>
      <c r="AK42" s="70"/>
      <c r="AL42" s="70"/>
      <c r="AM42" s="70"/>
      <c r="AN42" s="154"/>
    </row>
    <row r="43" spans="2:40" ht="15" customHeight="1">
      <c r="B43" s="151" t="s">
        <v>630</v>
      </c>
      <c r="C43" s="2203" t="s">
        <v>172</v>
      </c>
      <c r="D43" s="2288"/>
      <c r="E43" s="2288"/>
      <c r="F43" s="2288"/>
      <c r="G43" s="2288"/>
      <c r="H43" s="2288"/>
      <c r="I43" s="2288"/>
      <c r="J43" s="2288"/>
      <c r="K43" s="2288"/>
      <c r="L43" s="2288"/>
      <c r="M43" s="2288"/>
      <c r="N43" s="2370"/>
      <c r="O43" s="2370"/>
      <c r="P43" s="2370"/>
      <c r="Q43" s="2371"/>
      <c r="R43" s="2155"/>
      <c r="S43" s="2156"/>
      <c r="T43" s="2156"/>
      <c r="U43" s="2156"/>
      <c r="V43" s="2156"/>
      <c r="W43" s="2156"/>
      <c r="X43" s="2156"/>
      <c r="Y43" s="2156"/>
      <c r="Z43" s="2156"/>
      <c r="AA43" s="2156"/>
      <c r="AB43" s="2156"/>
      <c r="AC43" s="334"/>
      <c r="AD43" s="2155"/>
      <c r="AE43" s="2156"/>
      <c r="AF43" s="2156"/>
      <c r="AG43" s="2156"/>
      <c r="AH43" s="2156"/>
      <c r="AI43" s="2156"/>
      <c r="AJ43" s="2156"/>
      <c r="AK43" s="2156"/>
      <c r="AL43" s="2156"/>
      <c r="AM43" s="2156"/>
      <c r="AN43" s="325"/>
    </row>
    <row r="44" spans="2:40" ht="8.25" customHeight="1">
      <c r="B44" s="1337"/>
      <c r="C44" s="2185"/>
      <c r="D44" s="2186"/>
      <c r="E44" s="2186"/>
      <c r="F44" s="2186"/>
      <c r="G44" s="2186"/>
      <c r="H44" s="2186"/>
      <c r="I44" s="2186"/>
      <c r="J44" s="2186"/>
      <c r="K44" s="2186"/>
      <c r="L44" s="2186"/>
      <c r="M44" s="2186"/>
      <c r="N44" s="2277"/>
      <c r="O44" s="2277"/>
      <c r="P44" s="2277"/>
      <c r="Q44" s="2278"/>
      <c r="R44" s="625"/>
      <c r="S44" s="2157"/>
      <c r="T44" s="2157"/>
      <c r="U44" s="2157"/>
      <c r="V44" s="2157"/>
      <c r="W44" s="2157"/>
      <c r="X44" s="2157"/>
      <c r="Y44" s="2157"/>
      <c r="Z44" s="2157"/>
      <c r="AA44" s="2157"/>
      <c r="AB44" s="2157"/>
      <c r="AC44" s="333"/>
      <c r="AD44" s="625"/>
      <c r="AE44" s="2157"/>
      <c r="AF44" s="2157"/>
      <c r="AG44" s="2157"/>
      <c r="AH44" s="2157"/>
      <c r="AI44" s="2157"/>
      <c r="AJ44" s="2157"/>
      <c r="AK44" s="2157"/>
      <c r="AL44" s="2157"/>
      <c r="AM44" s="2157"/>
      <c r="AN44" s="335"/>
    </row>
    <row r="45" spans="2:40" ht="3" customHeight="1">
      <c r="B45" s="151"/>
      <c r="C45" s="1441"/>
      <c r="D45" s="1442"/>
      <c r="E45" s="1442"/>
      <c r="F45" s="1442"/>
      <c r="G45" s="1442"/>
      <c r="H45" s="1442"/>
      <c r="I45" s="1442"/>
      <c r="J45" s="1442"/>
      <c r="K45" s="1442"/>
      <c r="L45" s="1442"/>
      <c r="M45" s="1442"/>
      <c r="N45" s="1442"/>
      <c r="O45" s="1448"/>
      <c r="P45" s="1448"/>
      <c r="Q45" s="1443"/>
      <c r="R45" s="1444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2155"/>
      <c r="AE45" s="2156"/>
      <c r="AF45" s="2156"/>
      <c r="AG45" s="2156"/>
      <c r="AH45" s="2156"/>
      <c r="AI45" s="2156"/>
      <c r="AJ45" s="2156"/>
      <c r="AK45" s="2156"/>
      <c r="AL45" s="2156"/>
      <c r="AM45" s="2156"/>
      <c r="AN45" s="408"/>
    </row>
    <row r="46" spans="2:40" ht="15" customHeight="1">
      <c r="B46" s="149" t="s">
        <v>631</v>
      </c>
      <c r="C46" s="2856" t="s">
        <v>671</v>
      </c>
      <c r="D46" s="2857"/>
      <c r="E46" s="2857"/>
      <c r="F46" s="2857"/>
      <c r="G46" s="2857"/>
      <c r="H46" s="2857"/>
      <c r="I46" s="2857"/>
      <c r="J46" s="2857"/>
      <c r="K46" s="2857"/>
      <c r="L46" s="2857"/>
      <c r="M46" s="2857"/>
      <c r="N46" s="2857"/>
      <c r="O46" s="2857"/>
      <c r="P46" s="2857"/>
      <c r="Q46" s="2858"/>
      <c r="R46" s="810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27"/>
      <c r="AD46" s="810"/>
      <c r="AE46" s="302"/>
      <c r="AF46" s="302"/>
      <c r="AG46" s="302"/>
      <c r="AH46" s="302"/>
      <c r="AI46" s="302"/>
      <c r="AJ46" s="302"/>
      <c r="AK46" s="302"/>
      <c r="AL46" s="302"/>
      <c r="AM46" s="302"/>
      <c r="AN46" s="300"/>
    </row>
    <row r="47" spans="2:40" ht="15" customHeight="1">
      <c r="B47" s="1337"/>
      <c r="C47" s="2859"/>
      <c r="D47" s="2860"/>
      <c r="E47" s="2860"/>
      <c r="F47" s="2860"/>
      <c r="G47" s="2860"/>
      <c r="H47" s="2860"/>
      <c r="I47" s="2860"/>
      <c r="J47" s="2860"/>
      <c r="K47" s="2860"/>
      <c r="L47" s="2860"/>
      <c r="M47" s="2860"/>
      <c r="N47" s="2860"/>
      <c r="O47" s="2860"/>
      <c r="P47" s="2860"/>
      <c r="Q47" s="2861"/>
      <c r="R47" s="625"/>
      <c r="S47" s="2157"/>
      <c r="T47" s="2157"/>
      <c r="U47" s="2157"/>
      <c r="V47" s="2157"/>
      <c r="W47" s="2157"/>
      <c r="X47" s="2157"/>
      <c r="Y47" s="2157"/>
      <c r="Z47" s="2157"/>
      <c r="AA47" s="2157"/>
      <c r="AB47" s="2157"/>
      <c r="AC47" s="333"/>
      <c r="AD47" s="625"/>
      <c r="AE47" s="2157"/>
      <c r="AF47" s="2157"/>
      <c r="AG47" s="2157"/>
      <c r="AH47" s="2157"/>
      <c r="AI47" s="2157"/>
      <c r="AJ47" s="2157"/>
      <c r="AK47" s="2157"/>
      <c r="AL47" s="2157"/>
      <c r="AM47" s="2157"/>
      <c r="AN47" s="335"/>
    </row>
    <row r="48" spans="2:40" ht="3" customHeight="1">
      <c r="B48" s="151"/>
      <c r="C48" s="1441"/>
      <c r="D48" s="1442"/>
      <c r="E48" s="1442"/>
      <c r="F48" s="1442"/>
      <c r="G48" s="1442"/>
      <c r="H48" s="1442"/>
      <c r="I48" s="1442"/>
      <c r="J48" s="1442"/>
      <c r="K48" s="1442"/>
      <c r="L48" s="1442"/>
      <c r="M48" s="1442"/>
      <c r="N48" s="1442"/>
      <c r="O48" s="1448"/>
      <c r="P48" s="1448"/>
      <c r="Q48" s="1443"/>
      <c r="R48" s="1444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2"/>
      <c r="AD48" s="2155"/>
      <c r="AE48" s="2156"/>
      <c r="AF48" s="2156"/>
      <c r="AG48" s="2156"/>
      <c r="AH48" s="2156"/>
      <c r="AI48" s="2156"/>
      <c r="AJ48" s="2156"/>
      <c r="AK48" s="2156"/>
      <c r="AL48" s="2156"/>
      <c r="AM48" s="2156"/>
      <c r="AN48" s="408"/>
    </row>
    <row r="49" spans="2:40" ht="15" customHeight="1">
      <c r="B49" s="149" t="s">
        <v>632</v>
      </c>
      <c r="C49" s="2856" t="s">
        <v>672</v>
      </c>
      <c r="D49" s="2857"/>
      <c r="E49" s="2857"/>
      <c r="F49" s="2857"/>
      <c r="G49" s="2857"/>
      <c r="H49" s="2857"/>
      <c r="I49" s="2857"/>
      <c r="J49" s="2857"/>
      <c r="K49" s="2857"/>
      <c r="L49" s="2857"/>
      <c r="M49" s="2857"/>
      <c r="N49" s="2857"/>
      <c r="O49" s="2857"/>
      <c r="P49" s="2857"/>
      <c r="Q49" s="2858"/>
      <c r="R49" s="810"/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27"/>
      <c r="AD49" s="810"/>
      <c r="AE49" s="302"/>
      <c r="AF49" s="302"/>
      <c r="AG49" s="302"/>
      <c r="AH49" s="302"/>
      <c r="AI49" s="302"/>
      <c r="AJ49" s="302"/>
      <c r="AK49" s="302"/>
      <c r="AL49" s="302"/>
      <c r="AM49" s="302"/>
      <c r="AN49" s="300"/>
    </row>
    <row r="50" spans="2:40" ht="15" customHeight="1">
      <c r="B50" s="1337"/>
      <c r="C50" s="2859"/>
      <c r="D50" s="2860"/>
      <c r="E50" s="2860"/>
      <c r="F50" s="2860"/>
      <c r="G50" s="2860"/>
      <c r="H50" s="2860"/>
      <c r="I50" s="2860"/>
      <c r="J50" s="2860"/>
      <c r="K50" s="2860"/>
      <c r="L50" s="2860"/>
      <c r="M50" s="2860"/>
      <c r="N50" s="2860"/>
      <c r="O50" s="2860"/>
      <c r="P50" s="2860"/>
      <c r="Q50" s="2861"/>
      <c r="R50" s="625"/>
      <c r="S50" s="2157"/>
      <c r="T50" s="2157"/>
      <c r="U50" s="2157"/>
      <c r="V50" s="2157"/>
      <c r="W50" s="2157"/>
      <c r="X50" s="2157"/>
      <c r="Y50" s="2157"/>
      <c r="Z50" s="2157"/>
      <c r="AA50" s="2157"/>
      <c r="AB50" s="2157"/>
      <c r="AC50" s="333"/>
      <c r="AD50" s="625"/>
      <c r="AE50" s="2157"/>
      <c r="AF50" s="2157"/>
      <c r="AG50" s="2157"/>
      <c r="AH50" s="2157"/>
      <c r="AI50" s="2157"/>
      <c r="AJ50" s="2157"/>
      <c r="AK50" s="2157"/>
      <c r="AL50" s="2157"/>
      <c r="AM50" s="2157"/>
      <c r="AN50" s="335"/>
    </row>
    <row r="51" spans="2:40" ht="3" customHeight="1">
      <c r="B51" s="151"/>
      <c r="C51" s="1441"/>
      <c r="D51" s="1442"/>
      <c r="E51" s="1442"/>
      <c r="F51" s="1442"/>
      <c r="G51" s="1442"/>
      <c r="H51" s="1442"/>
      <c r="I51" s="1442"/>
      <c r="J51" s="1442"/>
      <c r="K51" s="1442"/>
      <c r="L51" s="1442"/>
      <c r="M51" s="1442"/>
      <c r="N51" s="1442"/>
      <c r="O51" s="1448"/>
      <c r="P51" s="1448"/>
      <c r="Q51" s="1443"/>
      <c r="R51" s="1449"/>
      <c r="S51" s="1450"/>
      <c r="T51" s="1450"/>
      <c r="U51" s="1450"/>
      <c r="V51" s="1450"/>
      <c r="W51" s="1450"/>
      <c r="X51" s="1450"/>
      <c r="Y51" s="1450"/>
      <c r="Z51" s="1450"/>
      <c r="AA51" s="1450"/>
      <c r="AB51" s="1450"/>
      <c r="AC51" s="1450"/>
      <c r="AD51" s="2862"/>
      <c r="AE51" s="2863"/>
      <c r="AF51" s="2863"/>
      <c r="AG51" s="2863"/>
      <c r="AH51" s="2863"/>
      <c r="AI51" s="2863"/>
      <c r="AJ51" s="2863"/>
      <c r="AK51" s="2863"/>
      <c r="AL51" s="2863"/>
      <c r="AM51" s="2863"/>
      <c r="AN51" s="1451"/>
    </row>
    <row r="52" spans="2:40" ht="15" customHeight="1">
      <c r="B52" s="149" t="s">
        <v>633</v>
      </c>
      <c r="C52" s="2207" t="s">
        <v>673</v>
      </c>
      <c r="D52" s="2208"/>
      <c r="E52" s="2208"/>
      <c r="F52" s="2208"/>
      <c r="G52" s="2208"/>
      <c r="H52" s="2208"/>
      <c r="I52" s="2208"/>
      <c r="J52" s="2208"/>
      <c r="K52" s="2208"/>
      <c r="L52" s="2208"/>
      <c r="M52" s="2208"/>
      <c r="N52" s="2208"/>
      <c r="O52" s="2208"/>
      <c r="P52" s="2208"/>
      <c r="Q52" s="2212"/>
      <c r="R52" s="2864"/>
      <c r="S52" s="2865"/>
      <c r="T52" s="2865"/>
      <c r="U52" s="2865"/>
      <c r="V52" s="2865"/>
      <c r="W52" s="2865"/>
      <c r="X52" s="2865"/>
      <c r="Y52" s="2865"/>
      <c r="Z52" s="2865"/>
      <c r="AA52" s="2865"/>
      <c r="AB52" s="2865"/>
      <c r="AC52" s="626"/>
      <c r="AD52" s="2864"/>
      <c r="AE52" s="2865"/>
      <c r="AF52" s="2865"/>
      <c r="AG52" s="2865"/>
      <c r="AH52" s="2865"/>
      <c r="AI52" s="2865"/>
      <c r="AJ52" s="2865"/>
      <c r="AK52" s="2865"/>
      <c r="AL52" s="2865"/>
      <c r="AM52" s="2865"/>
      <c r="AN52" s="627"/>
    </row>
    <row r="53" spans="2:40" ht="7.5" customHeight="1">
      <c r="B53" s="1337"/>
      <c r="C53" s="2209"/>
      <c r="D53" s="2210"/>
      <c r="E53" s="2210"/>
      <c r="F53" s="2210"/>
      <c r="G53" s="2210"/>
      <c r="H53" s="2210"/>
      <c r="I53" s="2210"/>
      <c r="J53" s="2210"/>
      <c r="K53" s="2210"/>
      <c r="L53" s="2210"/>
      <c r="M53" s="2210"/>
      <c r="N53" s="2210"/>
      <c r="O53" s="2210"/>
      <c r="P53" s="2210"/>
      <c r="Q53" s="2213"/>
      <c r="R53" s="2866"/>
      <c r="S53" s="2867"/>
      <c r="T53" s="2867"/>
      <c r="U53" s="2867"/>
      <c r="V53" s="2867"/>
      <c r="W53" s="2867"/>
      <c r="X53" s="2867"/>
      <c r="Y53" s="2867"/>
      <c r="Z53" s="2867"/>
      <c r="AA53" s="2867"/>
      <c r="AB53" s="2867"/>
      <c r="AC53" s="1452"/>
      <c r="AD53" s="2866"/>
      <c r="AE53" s="2867"/>
      <c r="AF53" s="2867"/>
      <c r="AG53" s="2867"/>
      <c r="AH53" s="2867"/>
      <c r="AI53" s="2867"/>
      <c r="AJ53" s="2867"/>
      <c r="AK53" s="2867"/>
      <c r="AL53" s="2867"/>
      <c r="AM53" s="2867"/>
      <c r="AN53" s="1453"/>
    </row>
    <row r="54" spans="2:40" ht="3" customHeight="1">
      <c r="B54" s="151"/>
      <c r="C54" s="1441"/>
      <c r="D54" s="1442"/>
      <c r="E54" s="1442"/>
      <c r="F54" s="1442"/>
      <c r="G54" s="1442"/>
      <c r="H54" s="1442"/>
      <c r="I54" s="1442"/>
      <c r="J54" s="1442"/>
      <c r="K54" s="1442"/>
      <c r="L54" s="1442"/>
      <c r="M54" s="1442"/>
      <c r="N54" s="1442"/>
      <c r="O54" s="1448"/>
      <c r="P54" s="1448"/>
      <c r="Q54" s="1443"/>
      <c r="R54" s="1444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2155"/>
      <c r="AE54" s="2156"/>
      <c r="AF54" s="2156"/>
      <c r="AG54" s="2156"/>
      <c r="AH54" s="2156"/>
      <c r="AI54" s="2156"/>
      <c r="AJ54" s="2156"/>
      <c r="AK54" s="2156"/>
      <c r="AL54" s="2156"/>
      <c r="AM54" s="2156"/>
      <c r="AN54" s="408"/>
    </row>
    <row r="55" spans="2:40" ht="15" customHeight="1">
      <c r="B55" s="149" t="s">
        <v>634</v>
      </c>
      <c r="C55" s="2207" t="s">
        <v>139</v>
      </c>
      <c r="D55" s="2208"/>
      <c r="E55" s="2208"/>
      <c r="F55" s="2208"/>
      <c r="G55" s="2208"/>
      <c r="H55" s="2208"/>
      <c r="I55" s="2208"/>
      <c r="J55" s="2208"/>
      <c r="K55" s="2208"/>
      <c r="L55" s="2208"/>
      <c r="M55" s="2208"/>
      <c r="N55" s="2208"/>
      <c r="O55" s="2208"/>
      <c r="P55" s="2208"/>
      <c r="Q55" s="2212"/>
      <c r="R55" s="810"/>
      <c r="S55" s="302"/>
      <c r="T55" s="302"/>
      <c r="U55" s="302"/>
      <c r="V55" s="302"/>
      <c r="W55" s="302"/>
      <c r="X55" s="302"/>
      <c r="Y55" s="302"/>
      <c r="Z55" s="302"/>
      <c r="AA55" s="302"/>
      <c r="AB55" s="302"/>
      <c r="AC55" s="327"/>
      <c r="AD55" s="810"/>
      <c r="AE55" s="302"/>
      <c r="AF55" s="302"/>
      <c r="AG55" s="302"/>
      <c r="AH55" s="302"/>
      <c r="AI55" s="302"/>
      <c r="AJ55" s="302"/>
      <c r="AK55" s="302"/>
      <c r="AL55" s="302"/>
      <c r="AM55" s="302"/>
      <c r="AN55" s="300"/>
    </row>
    <row r="56" spans="2:40" ht="9" customHeight="1">
      <c r="B56" s="1337"/>
      <c r="C56" s="2209"/>
      <c r="D56" s="2210"/>
      <c r="E56" s="2210"/>
      <c r="F56" s="2210"/>
      <c r="G56" s="2210"/>
      <c r="H56" s="2210"/>
      <c r="I56" s="2210"/>
      <c r="J56" s="2210"/>
      <c r="K56" s="2210"/>
      <c r="L56" s="2210"/>
      <c r="M56" s="2210"/>
      <c r="N56" s="2210"/>
      <c r="O56" s="2210"/>
      <c r="P56" s="2210"/>
      <c r="Q56" s="2213"/>
      <c r="R56" s="625"/>
      <c r="S56" s="2157"/>
      <c r="T56" s="2157"/>
      <c r="U56" s="2157"/>
      <c r="V56" s="2157"/>
      <c r="W56" s="2157"/>
      <c r="X56" s="2157"/>
      <c r="Y56" s="2157"/>
      <c r="Z56" s="2157"/>
      <c r="AA56" s="2157"/>
      <c r="AB56" s="2157"/>
      <c r="AC56" s="333"/>
      <c r="AD56" s="625"/>
      <c r="AE56" s="2157"/>
      <c r="AF56" s="2157"/>
      <c r="AG56" s="2157"/>
      <c r="AH56" s="2157"/>
      <c r="AI56" s="2157"/>
      <c r="AJ56" s="2157"/>
      <c r="AK56" s="2157"/>
      <c r="AL56" s="2157"/>
      <c r="AM56" s="2157"/>
      <c r="AN56" s="335"/>
    </row>
    <row r="57" spans="2:40" ht="3" customHeight="1">
      <c r="B57" s="411"/>
      <c r="C57" s="230"/>
      <c r="D57" s="118"/>
      <c r="E57" s="118"/>
      <c r="F57" s="118"/>
      <c r="G57" s="118"/>
      <c r="H57" s="118"/>
      <c r="I57" s="118"/>
      <c r="J57" s="228"/>
      <c r="K57" s="228"/>
      <c r="L57" s="228"/>
      <c r="M57" s="228"/>
      <c r="N57" s="228"/>
      <c r="O57" s="228"/>
      <c r="P57" s="228"/>
      <c r="Q57" s="229"/>
      <c r="R57" s="71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149"/>
      <c r="AE57" s="70"/>
      <c r="AF57" s="70"/>
      <c r="AG57" s="70"/>
      <c r="AH57" s="70"/>
      <c r="AI57" s="70"/>
      <c r="AJ57" s="70"/>
      <c r="AK57" s="70"/>
      <c r="AL57" s="70"/>
      <c r="AM57" s="70"/>
      <c r="AN57" s="154"/>
    </row>
    <row r="58" spans="2:40" ht="15" customHeight="1">
      <c r="B58" s="398" t="s">
        <v>635</v>
      </c>
      <c r="C58" s="2184" t="s">
        <v>674</v>
      </c>
      <c r="D58" s="396"/>
      <c r="E58" s="396"/>
      <c r="F58" s="396"/>
      <c r="G58" s="396"/>
      <c r="H58" s="396"/>
      <c r="I58" s="396"/>
      <c r="J58" s="396"/>
      <c r="K58" s="396"/>
      <c r="L58" s="396"/>
      <c r="M58" s="396"/>
      <c r="N58" s="396"/>
      <c r="O58" s="396"/>
      <c r="P58" s="396"/>
      <c r="Q58" s="402"/>
      <c r="R58" s="810"/>
      <c r="S58" s="302"/>
      <c r="T58" s="302"/>
      <c r="U58" s="302"/>
      <c r="V58" s="302"/>
      <c r="W58" s="302"/>
      <c r="X58" s="302"/>
      <c r="Y58" s="302"/>
      <c r="Z58" s="302"/>
      <c r="AA58" s="302"/>
      <c r="AB58" s="302"/>
      <c r="AC58" s="327"/>
      <c r="AD58" s="810"/>
      <c r="AE58" s="302"/>
      <c r="AF58" s="302"/>
      <c r="AG58" s="302"/>
      <c r="AH58" s="302"/>
      <c r="AI58" s="302"/>
      <c r="AJ58" s="302"/>
      <c r="AK58" s="302"/>
      <c r="AL58" s="302"/>
      <c r="AM58" s="302"/>
      <c r="AN58" s="300"/>
    </row>
    <row r="59" spans="2:40" ht="9" customHeight="1">
      <c r="B59" s="2211"/>
      <c r="C59" s="2185"/>
      <c r="D59" s="2186"/>
      <c r="E59" s="2186"/>
      <c r="F59" s="2186"/>
      <c r="G59" s="2186"/>
      <c r="H59" s="2186"/>
      <c r="I59" s="2186"/>
      <c r="J59" s="2186"/>
      <c r="K59" s="2186"/>
      <c r="L59" s="2186"/>
      <c r="M59" s="2186"/>
      <c r="N59" s="2186"/>
      <c r="O59" s="2186"/>
      <c r="P59" s="2186"/>
      <c r="Q59" s="2188"/>
      <c r="R59" s="625"/>
      <c r="S59" s="2157"/>
      <c r="T59" s="2157"/>
      <c r="U59" s="2157"/>
      <c r="V59" s="2157"/>
      <c r="W59" s="2157"/>
      <c r="X59" s="2157"/>
      <c r="Y59" s="2157"/>
      <c r="Z59" s="2157"/>
      <c r="AA59" s="2157"/>
      <c r="AB59" s="2157"/>
      <c r="AC59" s="333"/>
      <c r="AD59" s="625"/>
      <c r="AE59" s="2157"/>
      <c r="AF59" s="2157"/>
      <c r="AG59" s="2157"/>
      <c r="AH59" s="2157"/>
      <c r="AI59" s="2157"/>
      <c r="AJ59" s="2157"/>
      <c r="AK59" s="2157"/>
      <c r="AL59" s="2157"/>
      <c r="AM59" s="2157"/>
      <c r="AN59" s="335"/>
    </row>
    <row r="60" spans="2:40" ht="3" customHeight="1">
      <c r="B60" s="411"/>
      <c r="C60" s="227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9"/>
      <c r="R60" s="347"/>
      <c r="S60" s="348"/>
      <c r="T60" s="348"/>
      <c r="U60" s="348"/>
      <c r="V60" s="348"/>
      <c r="W60" s="348"/>
      <c r="X60" s="348"/>
      <c r="Y60" s="348"/>
      <c r="Z60" s="348"/>
      <c r="AA60" s="348"/>
      <c r="AB60" s="348"/>
      <c r="AC60" s="348"/>
      <c r="AD60" s="349"/>
      <c r="AE60" s="70"/>
      <c r="AF60" s="70"/>
      <c r="AG60" s="70"/>
      <c r="AH60" s="70"/>
      <c r="AI60" s="70"/>
      <c r="AJ60" s="70"/>
      <c r="AK60" s="70"/>
      <c r="AL60" s="70"/>
      <c r="AM60" s="70"/>
      <c r="AN60" s="154"/>
    </row>
    <row r="61" spans="2:40" ht="15" customHeight="1">
      <c r="B61" s="149" t="s">
        <v>636</v>
      </c>
      <c r="C61" s="187" t="s">
        <v>173</v>
      </c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9"/>
      <c r="R61" s="810"/>
      <c r="S61" s="302"/>
      <c r="T61" s="302"/>
      <c r="U61" s="302"/>
      <c r="V61" s="302"/>
      <c r="W61" s="302"/>
      <c r="X61" s="302"/>
      <c r="Y61" s="302"/>
      <c r="Z61" s="302"/>
      <c r="AA61" s="302"/>
      <c r="AB61" s="302"/>
      <c r="AC61" s="327"/>
      <c r="AD61" s="810"/>
      <c r="AE61" s="302"/>
      <c r="AF61" s="302"/>
      <c r="AG61" s="302"/>
      <c r="AH61" s="302"/>
      <c r="AI61" s="302"/>
      <c r="AJ61" s="302"/>
      <c r="AK61" s="302"/>
      <c r="AL61" s="302"/>
      <c r="AM61" s="302"/>
      <c r="AN61" s="300"/>
    </row>
    <row r="62" spans="2:40" ht="15" customHeight="1">
      <c r="B62" s="149"/>
      <c r="C62" s="187" t="s">
        <v>126</v>
      </c>
      <c r="D62" s="228"/>
      <c r="E62" s="228"/>
      <c r="F62" s="228"/>
      <c r="G62" s="228"/>
      <c r="H62" s="232"/>
      <c r="I62" s="232"/>
      <c r="J62" s="232"/>
      <c r="K62" s="232"/>
      <c r="L62" s="232"/>
      <c r="M62" s="232"/>
      <c r="N62" s="232"/>
      <c r="O62" s="232"/>
      <c r="P62" s="232"/>
      <c r="Q62" s="2287"/>
      <c r="R62" s="625"/>
      <c r="S62" s="2157"/>
      <c r="T62" s="2157"/>
      <c r="U62" s="2157"/>
      <c r="V62" s="2157"/>
      <c r="W62" s="2157"/>
      <c r="X62" s="2157"/>
      <c r="Y62" s="2157"/>
      <c r="Z62" s="2157"/>
      <c r="AA62" s="2157"/>
      <c r="AB62" s="2157"/>
      <c r="AC62" s="333"/>
      <c r="AD62" s="625"/>
      <c r="AE62" s="2157"/>
      <c r="AF62" s="2157"/>
      <c r="AG62" s="2157"/>
      <c r="AH62" s="2157"/>
      <c r="AI62" s="2157"/>
      <c r="AJ62" s="2157"/>
      <c r="AK62" s="2157"/>
      <c r="AL62" s="2157"/>
      <c r="AM62" s="2157"/>
      <c r="AN62" s="335"/>
    </row>
    <row r="63" spans="2:40" ht="3" customHeight="1">
      <c r="B63" s="190"/>
      <c r="C63" s="151" t="s">
        <v>108</v>
      </c>
      <c r="D63" s="1444"/>
      <c r="E63" s="1444"/>
      <c r="F63" s="1444"/>
      <c r="G63" s="1444"/>
      <c r="H63" s="1444"/>
      <c r="I63" s="1444"/>
      <c r="J63" s="1444"/>
      <c r="K63" s="1444"/>
      <c r="L63" s="1444"/>
      <c r="M63" s="1444"/>
      <c r="N63" s="1444"/>
      <c r="O63" s="1444"/>
      <c r="P63" s="1444"/>
      <c r="Q63" s="2161"/>
      <c r="R63" s="350"/>
      <c r="S63" s="351"/>
      <c r="T63" s="351"/>
      <c r="U63" s="351"/>
      <c r="V63" s="351"/>
      <c r="W63" s="351"/>
      <c r="X63" s="351"/>
      <c r="Y63" s="351"/>
      <c r="Z63" s="351"/>
      <c r="AA63" s="351"/>
      <c r="AB63" s="151" t="s">
        <v>107</v>
      </c>
      <c r="AC63" s="2161"/>
      <c r="AD63" s="2155">
        <f>'FE-1770 S-II'!AD63:AM65</f>
        <v>0</v>
      </c>
      <c r="AE63" s="2156"/>
      <c r="AF63" s="2156"/>
      <c r="AG63" s="2156"/>
      <c r="AH63" s="2156"/>
      <c r="AI63" s="2156"/>
      <c r="AJ63" s="2156"/>
      <c r="AK63" s="2156"/>
      <c r="AL63" s="2156"/>
      <c r="AM63" s="2156"/>
      <c r="AN63" s="325"/>
    </row>
    <row r="64" spans="2:40" ht="14.25" customHeight="1">
      <c r="B64" s="186"/>
      <c r="C64" s="149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395"/>
      <c r="R64" s="352"/>
      <c r="S64" s="353"/>
      <c r="T64" s="354"/>
      <c r="U64" s="354"/>
      <c r="V64" s="354"/>
      <c r="W64" s="354"/>
      <c r="X64" s="354"/>
      <c r="Y64" s="354"/>
      <c r="Z64" s="354"/>
      <c r="AA64" s="354"/>
      <c r="AB64" s="149"/>
      <c r="AC64" s="395"/>
      <c r="AD64" s="810"/>
      <c r="AE64" s="302"/>
      <c r="AF64" s="302"/>
      <c r="AG64" s="302"/>
      <c r="AH64" s="302"/>
      <c r="AI64" s="302"/>
      <c r="AJ64" s="302"/>
      <c r="AK64" s="302"/>
      <c r="AL64" s="302"/>
      <c r="AM64" s="302"/>
      <c r="AN64" s="300"/>
    </row>
    <row r="65" spans="2:40" ht="3" customHeight="1">
      <c r="B65" s="183"/>
      <c r="C65" s="1337"/>
      <c r="D65" s="2187"/>
      <c r="E65" s="2187"/>
      <c r="F65" s="2187"/>
      <c r="G65" s="2187"/>
      <c r="H65" s="2187"/>
      <c r="I65" s="2187"/>
      <c r="J65" s="2187"/>
      <c r="K65" s="2187"/>
      <c r="L65" s="2187"/>
      <c r="M65" s="2187"/>
      <c r="N65" s="2187"/>
      <c r="O65" s="2187"/>
      <c r="P65" s="2187"/>
      <c r="Q65" s="2180"/>
      <c r="R65" s="355"/>
      <c r="S65" s="355"/>
      <c r="T65" s="356"/>
      <c r="U65" s="356"/>
      <c r="V65" s="356"/>
      <c r="W65" s="356"/>
      <c r="X65" s="356"/>
      <c r="Y65" s="356"/>
      <c r="Z65" s="356"/>
      <c r="AA65" s="356"/>
      <c r="AB65" s="1337"/>
      <c r="AC65" s="2180"/>
      <c r="AD65" s="625"/>
      <c r="AE65" s="2157"/>
      <c r="AF65" s="2157"/>
      <c r="AG65" s="2157"/>
      <c r="AH65" s="2157"/>
      <c r="AI65" s="2157"/>
      <c r="AJ65" s="2157"/>
      <c r="AK65" s="2157"/>
      <c r="AL65" s="2157"/>
      <c r="AM65" s="2157"/>
      <c r="AN65" s="335"/>
    </row>
    <row r="66" spans="2:40" ht="8.15" customHeight="1">
      <c r="B66" s="175"/>
      <c r="C66" s="175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</row>
    <row r="67" spans="2:40" ht="15" customHeight="1">
      <c r="B67" s="75" t="s">
        <v>46</v>
      </c>
      <c r="C67" s="75"/>
      <c r="D67" s="75"/>
      <c r="E67" s="15"/>
      <c r="F67" s="75" t="s">
        <v>26</v>
      </c>
      <c r="G67" s="75" t="s">
        <v>666</v>
      </c>
      <c r="H67" s="75"/>
      <c r="I67" s="75"/>
      <c r="J67" s="75"/>
      <c r="K67" s="7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4.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.75" customHeight="1">
      <c r="B69" s="2203" t="s">
        <v>76</v>
      </c>
      <c r="C69" s="2257" t="s">
        <v>879</v>
      </c>
      <c r="D69" s="2259"/>
      <c r="E69" s="151" t="s">
        <v>878</v>
      </c>
      <c r="F69" s="1444"/>
      <c r="G69" s="1444"/>
      <c r="H69" s="1444"/>
      <c r="I69" s="1444"/>
      <c r="J69" s="1444"/>
      <c r="K69" s="1444"/>
      <c r="L69" s="1444"/>
      <c r="M69" s="2161"/>
      <c r="N69" s="156" t="s">
        <v>71</v>
      </c>
      <c r="O69" s="159"/>
      <c r="P69" s="159"/>
      <c r="Q69" s="2162"/>
      <c r="R69" s="156" t="s">
        <v>69</v>
      </c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2162"/>
      <c r="AD69" s="151" t="s">
        <v>73</v>
      </c>
      <c r="AE69" s="1444"/>
      <c r="AF69" s="1444"/>
      <c r="AG69" s="1444"/>
      <c r="AH69" s="1444"/>
      <c r="AI69" s="1444"/>
      <c r="AJ69" s="1444"/>
      <c r="AK69" s="1444"/>
      <c r="AL69" s="1444"/>
      <c r="AM69" s="1444"/>
      <c r="AN69" s="2161"/>
    </row>
    <row r="70" spans="2:40" ht="12" customHeight="1">
      <c r="B70" s="2184"/>
      <c r="C70" s="2260"/>
      <c r="D70" s="2262"/>
      <c r="E70" s="149"/>
      <c r="F70" s="71"/>
      <c r="G70" s="71"/>
      <c r="H70" s="71"/>
      <c r="I70" s="71"/>
      <c r="J70" s="71"/>
      <c r="K70" s="71"/>
      <c r="L70" s="71"/>
      <c r="M70" s="395"/>
      <c r="N70" s="164" t="s">
        <v>72</v>
      </c>
      <c r="O70" s="69"/>
      <c r="P70" s="69"/>
      <c r="Q70" s="2181"/>
      <c r="R70" s="164" t="s">
        <v>70</v>
      </c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2181"/>
      <c r="AD70" s="149"/>
      <c r="AE70" s="71"/>
      <c r="AF70" s="71"/>
      <c r="AG70" s="71"/>
      <c r="AH70" s="71"/>
      <c r="AI70" s="71"/>
      <c r="AJ70" s="71"/>
      <c r="AK70" s="71"/>
      <c r="AL70" s="71"/>
      <c r="AM70" s="71"/>
      <c r="AN70" s="395"/>
    </row>
    <row r="71" spans="2:40" ht="3" customHeight="1">
      <c r="B71" s="2184"/>
      <c r="C71" s="2312"/>
      <c r="D71" s="2314"/>
      <c r="E71" s="628"/>
      <c r="F71" s="162"/>
      <c r="G71" s="162"/>
      <c r="H71" s="162"/>
      <c r="I71" s="162"/>
      <c r="J71" s="162"/>
      <c r="K71" s="162"/>
      <c r="L71" s="162"/>
      <c r="M71" s="629"/>
      <c r="N71" s="165"/>
      <c r="O71" s="630"/>
      <c r="P71" s="630"/>
      <c r="Q71" s="631"/>
      <c r="R71" s="165"/>
      <c r="S71" s="630"/>
      <c r="T71" s="630"/>
      <c r="U71" s="630"/>
      <c r="V71" s="630"/>
      <c r="W71" s="630"/>
      <c r="X71" s="630"/>
      <c r="Y71" s="630"/>
      <c r="Z71" s="630"/>
      <c r="AA71" s="630"/>
      <c r="AB71" s="630"/>
      <c r="AC71" s="630"/>
      <c r="AD71" s="153"/>
      <c r="AE71" s="70"/>
      <c r="AF71" s="630"/>
      <c r="AG71" s="70"/>
      <c r="AH71" s="70"/>
      <c r="AI71" s="70"/>
      <c r="AJ71" s="70"/>
      <c r="AK71" s="70"/>
      <c r="AL71" s="70"/>
      <c r="AM71" s="70"/>
      <c r="AN71" s="161"/>
    </row>
    <row r="72" spans="2:40" s="72" customFormat="1" ht="11.25" customHeight="1">
      <c r="B72" s="155" t="s">
        <v>65</v>
      </c>
      <c r="C72" s="155" t="s">
        <v>64</v>
      </c>
      <c r="D72" s="2183"/>
      <c r="E72" s="155" t="s">
        <v>66</v>
      </c>
      <c r="F72" s="2182"/>
      <c r="G72" s="2182"/>
      <c r="H72" s="2182"/>
      <c r="I72" s="2182"/>
      <c r="J72" s="2182"/>
      <c r="K72" s="2182"/>
      <c r="L72" s="2182"/>
      <c r="M72" s="2183"/>
      <c r="N72" s="155" t="s">
        <v>67</v>
      </c>
      <c r="O72" s="2182"/>
      <c r="P72" s="2182"/>
      <c r="Q72" s="2183"/>
      <c r="R72" s="155" t="s">
        <v>68</v>
      </c>
      <c r="S72" s="2182"/>
      <c r="T72" s="2182"/>
      <c r="U72" s="2182"/>
      <c r="V72" s="2182"/>
      <c r="W72" s="2182"/>
      <c r="X72" s="2182"/>
      <c r="Y72" s="2182"/>
      <c r="Z72" s="2182"/>
      <c r="AA72" s="2182"/>
      <c r="AB72" s="2182"/>
      <c r="AC72" s="2183"/>
      <c r="AD72" s="155" t="s">
        <v>99</v>
      </c>
      <c r="AE72" s="2182"/>
      <c r="AF72" s="2182"/>
      <c r="AG72" s="2182"/>
      <c r="AH72" s="2182"/>
      <c r="AI72" s="2182"/>
      <c r="AJ72" s="2182"/>
      <c r="AK72" s="2182"/>
      <c r="AL72" s="2182"/>
      <c r="AM72" s="2182"/>
      <c r="AN72" s="2183"/>
    </row>
    <row r="73" spans="2:40" ht="18" customHeight="1">
      <c r="B73" s="1341" t="s">
        <v>621</v>
      </c>
      <c r="C73" s="2390"/>
      <c r="D73" s="2392"/>
      <c r="E73" s="2881" t="s">
        <v>1086</v>
      </c>
      <c r="F73" s="2882"/>
      <c r="G73" s="2882"/>
      <c r="H73" s="2882"/>
      <c r="I73" s="2882"/>
      <c r="J73" s="2882"/>
      <c r="K73" s="2882"/>
      <c r="L73" s="2882"/>
      <c r="M73" s="2883"/>
      <c r="N73" s="2869"/>
      <c r="O73" s="2870"/>
      <c r="P73" s="2870"/>
      <c r="Q73" s="2871"/>
      <c r="R73" s="2884">
        <f ca="1">'1770 S-II'!R88</f>
        <v>0</v>
      </c>
      <c r="S73" s="2885"/>
      <c r="T73" s="2885"/>
      <c r="U73" s="2885"/>
      <c r="V73" s="2885"/>
      <c r="W73" s="2885"/>
      <c r="X73" s="2885"/>
      <c r="Y73" s="2885"/>
      <c r="Z73" s="2885"/>
      <c r="AA73" s="2885"/>
      <c r="AB73" s="2885"/>
      <c r="AC73" s="2886"/>
      <c r="AD73" s="2898" t="str">
        <f>IF(dateofdeparture&gt;0,"Saya telah meninggalkan Indonesia selama-lamanya","")</f>
        <v/>
      </c>
      <c r="AE73" s="2899"/>
      <c r="AF73" s="2899"/>
      <c r="AG73" s="2899"/>
      <c r="AH73" s="2899"/>
      <c r="AI73" s="2899"/>
      <c r="AJ73" s="2899"/>
      <c r="AK73" s="2899"/>
      <c r="AL73" s="2899"/>
      <c r="AM73" s="2899"/>
      <c r="AN73" s="2900"/>
    </row>
    <row r="74" spans="2:40" ht="18" customHeight="1">
      <c r="B74" s="398"/>
      <c r="C74" s="973"/>
      <c r="D74" s="2394"/>
      <c r="E74" s="1370"/>
      <c r="F74" s="977"/>
      <c r="G74" s="977"/>
      <c r="H74" s="977"/>
      <c r="I74" s="977"/>
      <c r="J74" s="977"/>
      <c r="K74" s="977"/>
      <c r="L74" s="977"/>
      <c r="M74" s="978"/>
      <c r="N74" s="2872"/>
      <c r="O74" s="2873"/>
      <c r="P74" s="2873"/>
      <c r="Q74" s="2874"/>
      <c r="R74" s="975"/>
      <c r="S74" s="976"/>
      <c r="T74" s="976"/>
      <c r="U74" s="976"/>
      <c r="V74" s="976"/>
      <c r="W74" s="976"/>
      <c r="X74" s="976"/>
      <c r="Y74" s="976"/>
      <c r="Z74" s="976"/>
      <c r="AA74" s="976"/>
      <c r="AB74" s="976"/>
      <c r="AC74" s="2887"/>
      <c r="AD74" s="2901"/>
      <c r="AE74" s="2902"/>
      <c r="AF74" s="2902"/>
      <c r="AG74" s="2902"/>
      <c r="AH74" s="2902"/>
      <c r="AI74" s="2902"/>
      <c r="AJ74" s="2902"/>
      <c r="AK74" s="2902"/>
      <c r="AL74" s="2902"/>
      <c r="AM74" s="2902"/>
      <c r="AN74" s="2903"/>
    </row>
    <row r="75" spans="2:40" ht="3" customHeight="1">
      <c r="B75" s="149"/>
      <c r="C75" s="973"/>
      <c r="D75" s="974"/>
      <c r="E75" s="1370"/>
      <c r="F75" s="977"/>
      <c r="G75" s="977"/>
      <c r="H75" s="977"/>
      <c r="I75" s="977"/>
      <c r="J75" s="977"/>
      <c r="K75" s="977"/>
      <c r="L75" s="977"/>
      <c r="M75" s="978"/>
      <c r="N75" s="817"/>
      <c r="O75" s="817"/>
      <c r="P75" s="817"/>
      <c r="Q75" s="817"/>
      <c r="R75" s="975"/>
      <c r="S75" s="976"/>
      <c r="T75" s="976"/>
      <c r="U75" s="976"/>
      <c r="V75" s="976"/>
      <c r="W75" s="976"/>
      <c r="X75" s="976"/>
      <c r="Y75" s="976"/>
      <c r="Z75" s="976"/>
      <c r="AA75" s="976"/>
      <c r="AB75" s="976"/>
      <c r="AC75" s="976"/>
      <c r="AD75" s="811"/>
      <c r="AE75" s="299"/>
      <c r="AF75" s="850"/>
      <c r="AG75" s="267"/>
      <c r="AH75" s="299"/>
      <c r="AI75" s="299"/>
      <c r="AJ75" s="299"/>
      <c r="AK75" s="299"/>
      <c r="AL75" s="299"/>
      <c r="AM75" s="299"/>
      <c r="AN75" s="300"/>
    </row>
    <row r="76" spans="2:42" ht="18" customHeight="1">
      <c r="B76" s="1341" t="s">
        <v>622</v>
      </c>
      <c r="C76" s="2390" t="str">
        <f ca="1">'LAMPIRAN'!B123</f>
        <v/>
      </c>
      <c r="D76" s="2392"/>
      <c r="E76" s="2881" t="str">
        <f ca="1">'LAMPIRAN'!D123</f>
        <v/>
      </c>
      <c r="F76" s="2882"/>
      <c r="G76" s="2882"/>
      <c r="H76" s="2882"/>
      <c r="I76" s="2882"/>
      <c r="J76" s="2882"/>
      <c r="K76" s="2882"/>
      <c r="L76" s="2882"/>
      <c r="M76" s="2883"/>
      <c r="N76" s="2869" t="str">
        <f ca="1">'LAMPIRAN'!O123</f>
        <v/>
      </c>
      <c r="O76" s="2870"/>
      <c r="P76" s="2870"/>
      <c r="Q76" s="2871"/>
      <c r="R76" s="2884" t="str">
        <f ca="1">'LAMPIRAN'!S123</f>
        <v/>
      </c>
      <c r="S76" s="2885"/>
      <c r="T76" s="2885"/>
      <c r="U76" s="2885"/>
      <c r="V76" s="2885"/>
      <c r="W76" s="2885"/>
      <c r="X76" s="2885"/>
      <c r="Y76" s="2885"/>
      <c r="Z76" s="2885"/>
      <c r="AA76" s="2885"/>
      <c r="AB76" s="2885"/>
      <c r="AC76" s="2886"/>
      <c r="AD76" s="2875" t="str">
        <f>IF(dateofdeparture&gt;0,"Fotokopi EPO terlampir","")</f>
        <v/>
      </c>
      <c r="AE76" s="2876"/>
      <c r="AF76" s="2876"/>
      <c r="AG76" s="2876"/>
      <c r="AH76" s="2876"/>
      <c r="AI76" s="2876"/>
      <c r="AJ76" s="2876"/>
      <c r="AK76" s="2876"/>
      <c r="AL76" s="2876"/>
      <c r="AM76" s="2876"/>
      <c r="AN76" s="2877"/>
      <c r="AP76" s="1321" t="s">
        <v>1333</v>
      </c>
    </row>
    <row r="77" spans="2:40" ht="18" customHeight="1">
      <c r="B77" s="398"/>
      <c r="C77" s="973"/>
      <c r="D77" s="2394"/>
      <c r="E77" s="1370"/>
      <c r="F77" s="977"/>
      <c r="G77" s="977"/>
      <c r="H77" s="977"/>
      <c r="I77" s="977"/>
      <c r="J77" s="977"/>
      <c r="K77" s="977"/>
      <c r="L77" s="977"/>
      <c r="M77" s="978"/>
      <c r="N77" s="2872"/>
      <c r="O77" s="2873"/>
      <c r="P77" s="2873"/>
      <c r="Q77" s="2874"/>
      <c r="R77" s="975"/>
      <c r="S77" s="976"/>
      <c r="T77" s="976"/>
      <c r="U77" s="976"/>
      <c r="V77" s="976"/>
      <c r="W77" s="976"/>
      <c r="X77" s="976"/>
      <c r="Y77" s="976"/>
      <c r="Z77" s="976"/>
      <c r="AA77" s="976"/>
      <c r="AB77" s="976"/>
      <c r="AC77" s="2887"/>
      <c r="AD77" s="2878"/>
      <c r="AE77" s="2879"/>
      <c r="AF77" s="2879"/>
      <c r="AG77" s="2879"/>
      <c r="AH77" s="2879"/>
      <c r="AI77" s="2879"/>
      <c r="AJ77" s="2879"/>
      <c r="AK77" s="2879"/>
      <c r="AL77" s="2879"/>
      <c r="AM77" s="2879"/>
      <c r="AN77" s="2880"/>
    </row>
    <row r="78" spans="2:40" ht="3" customHeight="1">
      <c r="B78" s="149"/>
      <c r="C78" s="973"/>
      <c r="D78" s="974"/>
      <c r="E78" s="977"/>
      <c r="F78" s="977"/>
      <c r="G78" s="977"/>
      <c r="H78" s="977"/>
      <c r="I78" s="977"/>
      <c r="J78" s="977"/>
      <c r="K78" s="977"/>
      <c r="L78" s="977"/>
      <c r="M78" s="978"/>
      <c r="N78" s="817"/>
      <c r="O78" s="817"/>
      <c r="P78" s="817"/>
      <c r="Q78" s="817"/>
      <c r="R78" s="975"/>
      <c r="S78" s="976"/>
      <c r="T78" s="976"/>
      <c r="U78" s="976"/>
      <c r="V78" s="976"/>
      <c r="W78" s="976"/>
      <c r="X78" s="976"/>
      <c r="Y78" s="976"/>
      <c r="Z78" s="976"/>
      <c r="AA78" s="976"/>
      <c r="AB78" s="976"/>
      <c r="AC78" s="976"/>
      <c r="AD78" s="811"/>
      <c r="AE78" s="299"/>
      <c r="AF78" s="850"/>
      <c r="AG78" s="267"/>
      <c r="AH78" s="299"/>
      <c r="AI78" s="299"/>
      <c r="AJ78" s="299"/>
      <c r="AK78" s="299"/>
      <c r="AL78" s="299"/>
      <c r="AM78" s="299"/>
      <c r="AN78" s="300"/>
    </row>
    <row r="79" spans="2:40" ht="18" customHeight="1">
      <c r="B79" s="1341" t="s">
        <v>623</v>
      </c>
      <c r="C79" s="2390" t="str">
        <f ca="1">'LAMPIRAN'!B124</f>
        <v/>
      </c>
      <c r="D79" s="2392"/>
      <c r="E79" s="2881" t="str">
        <f ca="1">'LAMPIRAN'!D124</f>
        <v/>
      </c>
      <c r="F79" s="2882"/>
      <c r="G79" s="2882"/>
      <c r="H79" s="2882"/>
      <c r="I79" s="2882"/>
      <c r="J79" s="2882"/>
      <c r="K79" s="2882"/>
      <c r="L79" s="2882"/>
      <c r="M79" s="2883"/>
      <c r="N79" s="2869" t="str">
        <f ca="1">'LAMPIRAN'!O124</f>
        <v/>
      </c>
      <c r="O79" s="2870"/>
      <c r="P79" s="2870"/>
      <c r="Q79" s="2871"/>
      <c r="R79" s="2884" t="str">
        <f ca="1">'LAMPIRAN'!S124</f>
        <v/>
      </c>
      <c r="S79" s="2885"/>
      <c r="T79" s="2885"/>
      <c r="U79" s="2885"/>
      <c r="V79" s="2885"/>
      <c r="W79" s="2885"/>
      <c r="X79" s="2885"/>
      <c r="Y79" s="2885"/>
      <c r="Z79" s="2885"/>
      <c r="AA79" s="2885"/>
      <c r="AB79" s="2885"/>
      <c r="AC79" s="2886"/>
      <c r="AD79" s="2875"/>
      <c r="AE79" s="2876"/>
      <c r="AF79" s="2876"/>
      <c r="AG79" s="2876"/>
      <c r="AH79" s="2876"/>
      <c r="AI79" s="2876"/>
      <c r="AJ79" s="2876"/>
      <c r="AK79" s="2876"/>
      <c r="AL79" s="2876"/>
      <c r="AM79" s="2876"/>
      <c r="AN79" s="2877"/>
    </row>
    <row r="80" spans="2:40" ht="18" customHeight="1">
      <c r="B80" s="398"/>
      <c r="C80" s="973"/>
      <c r="D80" s="2394"/>
      <c r="E80" s="1370"/>
      <c r="F80" s="977"/>
      <c r="G80" s="977"/>
      <c r="H80" s="977"/>
      <c r="I80" s="977"/>
      <c r="J80" s="977"/>
      <c r="K80" s="977"/>
      <c r="L80" s="977"/>
      <c r="M80" s="978"/>
      <c r="N80" s="2872"/>
      <c r="O80" s="2873"/>
      <c r="P80" s="2873"/>
      <c r="Q80" s="2874"/>
      <c r="R80" s="975"/>
      <c r="S80" s="976"/>
      <c r="T80" s="976"/>
      <c r="U80" s="976"/>
      <c r="V80" s="976"/>
      <c r="W80" s="976"/>
      <c r="X80" s="976"/>
      <c r="Y80" s="976"/>
      <c r="Z80" s="976"/>
      <c r="AA80" s="976"/>
      <c r="AB80" s="976"/>
      <c r="AC80" s="2887"/>
      <c r="AD80" s="2878"/>
      <c r="AE80" s="2879"/>
      <c r="AF80" s="2879"/>
      <c r="AG80" s="2879"/>
      <c r="AH80" s="2879"/>
      <c r="AI80" s="2879"/>
      <c r="AJ80" s="2879"/>
      <c r="AK80" s="2879"/>
      <c r="AL80" s="2879"/>
      <c r="AM80" s="2879"/>
      <c r="AN80" s="2880"/>
    </row>
    <row r="81" spans="2:40" ht="3" customHeight="1">
      <c r="B81" s="149"/>
      <c r="C81" s="973"/>
      <c r="D81" s="974"/>
      <c r="E81" s="977"/>
      <c r="F81" s="977"/>
      <c r="G81" s="977"/>
      <c r="H81" s="977"/>
      <c r="I81" s="977"/>
      <c r="J81" s="977"/>
      <c r="K81" s="977"/>
      <c r="L81" s="977"/>
      <c r="M81" s="978"/>
      <c r="N81" s="817"/>
      <c r="O81" s="817"/>
      <c r="P81" s="817"/>
      <c r="Q81" s="817"/>
      <c r="R81" s="975"/>
      <c r="S81" s="976"/>
      <c r="T81" s="976"/>
      <c r="U81" s="976"/>
      <c r="V81" s="976"/>
      <c r="W81" s="976"/>
      <c r="X81" s="976"/>
      <c r="Y81" s="976"/>
      <c r="Z81" s="976"/>
      <c r="AA81" s="976"/>
      <c r="AB81" s="976"/>
      <c r="AC81" s="976"/>
      <c r="AD81" s="811"/>
      <c r="AE81" s="299"/>
      <c r="AF81" s="850"/>
      <c r="AG81" s="267"/>
      <c r="AH81" s="299"/>
      <c r="AI81" s="299"/>
      <c r="AJ81" s="299"/>
      <c r="AK81" s="299"/>
      <c r="AL81" s="299"/>
      <c r="AM81" s="299"/>
      <c r="AN81" s="300"/>
    </row>
    <row r="82" spans="2:40" ht="18.75" customHeight="1">
      <c r="B82" s="1341" t="s">
        <v>624</v>
      </c>
      <c r="C82" s="2390" t="str">
        <f ca="1">'LAMPIRAN'!B125</f>
        <v/>
      </c>
      <c r="D82" s="2392"/>
      <c r="E82" s="2881" t="str">
        <f ca="1">'LAMPIRAN'!D125</f>
        <v/>
      </c>
      <c r="F82" s="2882"/>
      <c r="G82" s="2882"/>
      <c r="H82" s="2882"/>
      <c r="I82" s="2882"/>
      <c r="J82" s="2882"/>
      <c r="K82" s="2882"/>
      <c r="L82" s="2882"/>
      <c r="M82" s="2883"/>
      <c r="N82" s="2869" t="str">
        <f ca="1">'LAMPIRAN'!O125</f>
        <v/>
      </c>
      <c r="O82" s="2870"/>
      <c r="P82" s="2870"/>
      <c r="Q82" s="2871"/>
      <c r="R82" s="2884" t="str">
        <f ca="1">'LAMPIRAN'!S125</f>
        <v/>
      </c>
      <c r="S82" s="2885"/>
      <c r="T82" s="2885"/>
      <c r="U82" s="2885"/>
      <c r="V82" s="2885"/>
      <c r="W82" s="2885"/>
      <c r="X82" s="2885"/>
      <c r="Y82" s="2885"/>
      <c r="Z82" s="2885"/>
      <c r="AA82" s="2885"/>
      <c r="AB82" s="2885"/>
      <c r="AC82" s="2886"/>
      <c r="AD82" s="2875"/>
      <c r="AE82" s="2876"/>
      <c r="AF82" s="2876"/>
      <c r="AG82" s="2876"/>
      <c r="AH82" s="2876"/>
      <c r="AI82" s="2876"/>
      <c r="AJ82" s="2876"/>
      <c r="AK82" s="2876"/>
      <c r="AL82" s="2876"/>
      <c r="AM82" s="2876"/>
      <c r="AN82" s="2877"/>
    </row>
    <row r="83" spans="2:40" ht="18.75" customHeight="1">
      <c r="B83" s="398"/>
      <c r="C83" s="973"/>
      <c r="D83" s="2394"/>
      <c r="E83" s="1370"/>
      <c r="F83" s="977"/>
      <c r="G83" s="977"/>
      <c r="H83" s="977"/>
      <c r="I83" s="977"/>
      <c r="J83" s="977"/>
      <c r="K83" s="977"/>
      <c r="L83" s="977"/>
      <c r="M83" s="978"/>
      <c r="N83" s="2872"/>
      <c r="O83" s="2873"/>
      <c r="P83" s="2873"/>
      <c r="Q83" s="2874"/>
      <c r="R83" s="975"/>
      <c r="S83" s="976"/>
      <c r="T83" s="976"/>
      <c r="U83" s="976"/>
      <c r="V83" s="976"/>
      <c r="W83" s="976"/>
      <c r="X83" s="976"/>
      <c r="Y83" s="976"/>
      <c r="Z83" s="976"/>
      <c r="AA83" s="976"/>
      <c r="AB83" s="976"/>
      <c r="AC83" s="2887"/>
      <c r="AD83" s="2878"/>
      <c r="AE83" s="2879"/>
      <c r="AF83" s="2879"/>
      <c r="AG83" s="2879"/>
      <c r="AH83" s="2879"/>
      <c r="AI83" s="2879"/>
      <c r="AJ83" s="2879"/>
      <c r="AK83" s="2879"/>
      <c r="AL83" s="2879"/>
      <c r="AM83" s="2879"/>
      <c r="AN83" s="2880"/>
    </row>
    <row r="84" spans="2:40" ht="3" customHeight="1">
      <c r="B84" s="398"/>
      <c r="C84" s="973"/>
      <c r="D84" s="974"/>
      <c r="E84" s="977"/>
      <c r="F84" s="977"/>
      <c r="G84" s="977"/>
      <c r="H84" s="977"/>
      <c r="I84" s="977"/>
      <c r="J84" s="977"/>
      <c r="K84" s="977"/>
      <c r="L84" s="977"/>
      <c r="M84" s="978"/>
      <c r="N84" s="817"/>
      <c r="O84" s="817"/>
      <c r="P84" s="817"/>
      <c r="Q84" s="817"/>
      <c r="R84" s="975"/>
      <c r="S84" s="976"/>
      <c r="T84" s="976"/>
      <c r="U84" s="976"/>
      <c r="V84" s="976"/>
      <c r="W84" s="976"/>
      <c r="X84" s="976"/>
      <c r="Y84" s="976"/>
      <c r="Z84" s="976"/>
      <c r="AA84" s="976"/>
      <c r="AB84" s="976"/>
      <c r="AC84" s="976"/>
      <c r="AD84" s="811"/>
      <c r="AE84" s="299"/>
      <c r="AF84" s="850"/>
      <c r="AG84" s="267"/>
      <c r="AH84" s="299"/>
      <c r="AI84" s="299"/>
      <c r="AJ84" s="299"/>
      <c r="AK84" s="299"/>
      <c r="AL84" s="299"/>
      <c r="AM84" s="299"/>
      <c r="AN84" s="300"/>
    </row>
    <row r="85" spans="2:40" ht="18" customHeight="1">
      <c r="B85" s="1341" t="s">
        <v>625</v>
      </c>
      <c r="C85" s="2390" t="str">
        <f ca="1">'LAMPIRAN'!B126</f>
        <v/>
      </c>
      <c r="D85" s="2392"/>
      <c r="E85" s="2881" t="str">
        <f ca="1">'LAMPIRAN'!D126</f>
        <v/>
      </c>
      <c r="F85" s="2882"/>
      <c r="G85" s="2882"/>
      <c r="H85" s="2882"/>
      <c r="I85" s="2882"/>
      <c r="J85" s="2882"/>
      <c r="K85" s="2882"/>
      <c r="L85" s="2882"/>
      <c r="M85" s="2883"/>
      <c r="N85" s="2869" t="str">
        <f ca="1">'LAMPIRAN'!O126</f>
        <v/>
      </c>
      <c r="O85" s="2870"/>
      <c r="P85" s="2870"/>
      <c r="Q85" s="2871"/>
      <c r="R85" s="2884" t="str">
        <f ca="1">'LAMPIRAN'!S126</f>
        <v/>
      </c>
      <c r="S85" s="2885"/>
      <c r="T85" s="2885"/>
      <c r="U85" s="2885"/>
      <c r="V85" s="2885"/>
      <c r="W85" s="2885"/>
      <c r="X85" s="2885"/>
      <c r="Y85" s="2885"/>
      <c r="Z85" s="2885"/>
      <c r="AA85" s="2885"/>
      <c r="AB85" s="2885"/>
      <c r="AC85" s="2886"/>
      <c r="AD85" s="2875"/>
      <c r="AE85" s="2876"/>
      <c r="AF85" s="2876"/>
      <c r="AG85" s="2876"/>
      <c r="AH85" s="2876"/>
      <c r="AI85" s="2876"/>
      <c r="AJ85" s="2876"/>
      <c r="AK85" s="2876"/>
      <c r="AL85" s="2876"/>
      <c r="AM85" s="2876"/>
      <c r="AN85" s="2877"/>
    </row>
    <row r="86" spans="2:40" ht="18" customHeight="1">
      <c r="B86" s="398" t="s">
        <v>124</v>
      </c>
      <c r="C86" s="973"/>
      <c r="D86" s="2394"/>
      <c r="E86" s="1370"/>
      <c r="F86" s="977"/>
      <c r="G86" s="977"/>
      <c r="H86" s="977"/>
      <c r="I86" s="977"/>
      <c r="J86" s="977"/>
      <c r="K86" s="977"/>
      <c r="L86" s="977"/>
      <c r="M86" s="978"/>
      <c r="N86" s="2872"/>
      <c r="O86" s="2873"/>
      <c r="P86" s="2873"/>
      <c r="Q86" s="2874"/>
      <c r="R86" s="975"/>
      <c r="S86" s="976"/>
      <c r="T86" s="976"/>
      <c r="U86" s="976"/>
      <c r="V86" s="976"/>
      <c r="W86" s="976"/>
      <c r="X86" s="976"/>
      <c r="Y86" s="976"/>
      <c r="Z86" s="976"/>
      <c r="AA86" s="976"/>
      <c r="AB86" s="976"/>
      <c r="AC86" s="2887"/>
      <c r="AD86" s="2878"/>
      <c r="AE86" s="2879"/>
      <c r="AF86" s="2879"/>
      <c r="AG86" s="2879"/>
      <c r="AH86" s="2879"/>
      <c r="AI86" s="2879"/>
      <c r="AJ86" s="2879"/>
      <c r="AK86" s="2879"/>
      <c r="AL86" s="2879"/>
      <c r="AM86" s="2879"/>
      <c r="AN86" s="2880"/>
    </row>
    <row r="87" spans="2:40" ht="3" customHeight="1">
      <c r="B87" s="418"/>
      <c r="C87" s="625"/>
      <c r="D87" s="333"/>
      <c r="E87" s="326"/>
      <c r="F87" s="326"/>
      <c r="G87" s="326"/>
      <c r="H87" s="326"/>
      <c r="I87" s="326"/>
      <c r="J87" s="326"/>
      <c r="K87" s="326"/>
      <c r="L87" s="326"/>
      <c r="M87" s="327"/>
      <c r="N87" s="302"/>
      <c r="O87" s="326"/>
      <c r="P87" s="326"/>
      <c r="Q87" s="326"/>
      <c r="R87" s="371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811"/>
      <c r="AE87" s="299"/>
      <c r="AF87" s="851"/>
      <c r="AG87" s="267"/>
      <c r="AH87" s="299"/>
      <c r="AI87" s="299"/>
      <c r="AJ87" s="299"/>
      <c r="AK87" s="299"/>
      <c r="AL87" s="299"/>
      <c r="AM87" s="299"/>
      <c r="AN87" s="300"/>
    </row>
    <row r="88" spans="2:40" ht="15" customHeight="1">
      <c r="B88" s="156"/>
      <c r="C88" s="151" t="s">
        <v>109</v>
      </c>
      <c r="D88" s="1444"/>
      <c r="E88" s="1444"/>
      <c r="F88" s="1444"/>
      <c r="G88" s="1444"/>
      <c r="H88" s="1444"/>
      <c r="I88" s="1444"/>
      <c r="J88" s="1444"/>
      <c r="K88" s="1444"/>
      <c r="L88" s="1444"/>
      <c r="M88" s="2161"/>
      <c r="N88" s="181"/>
      <c r="O88" s="181"/>
      <c r="P88" s="151" t="s">
        <v>110</v>
      </c>
      <c r="Q88" s="2161"/>
      <c r="R88" s="2246">
        <f ca="1">SUM(R73:AC86)</f>
        <v>0</v>
      </c>
      <c r="S88" s="1348"/>
      <c r="T88" s="1348"/>
      <c r="U88" s="1348"/>
      <c r="V88" s="1348"/>
      <c r="W88" s="1348"/>
      <c r="X88" s="1348"/>
      <c r="Y88" s="1348"/>
      <c r="Z88" s="1348"/>
      <c r="AA88" s="1348"/>
      <c r="AB88" s="1348"/>
      <c r="AC88" s="359"/>
      <c r="AD88" s="852"/>
      <c r="AE88" s="195"/>
      <c r="AF88" s="195"/>
      <c r="AG88" s="195"/>
      <c r="AH88" s="195"/>
      <c r="AI88" s="195"/>
      <c r="AJ88" s="195"/>
      <c r="AK88" s="196"/>
      <c r="AL88" s="196"/>
      <c r="AM88" s="196"/>
      <c r="AN88" s="197"/>
    </row>
    <row r="89" spans="2:40" ht="4.5" customHeight="1">
      <c r="B89" s="164"/>
      <c r="C89" s="149"/>
      <c r="D89" s="71"/>
      <c r="E89" s="71"/>
      <c r="F89" s="71"/>
      <c r="G89" s="71"/>
      <c r="H89" s="71"/>
      <c r="I89" s="71"/>
      <c r="J89" s="71"/>
      <c r="K89" s="71"/>
      <c r="L89" s="71"/>
      <c r="M89" s="395"/>
      <c r="N89" s="105"/>
      <c r="O89" s="105"/>
      <c r="P89" s="149"/>
      <c r="Q89" s="395"/>
      <c r="R89" s="1347"/>
      <c r="S89" s="1194"/>
      <c r="T89" s="1194"/>
      <c r="U89" s="1194"/>
      <c r="V89" s="1194"/>
      <c r="W89" s="1194"/>
      <c r="X89" s="1194"/>
      <c r="Y89" s="1194"/>
      <c r="Z89" s="1194"/>
      <c r="AA89" s="1194"/>
      <c r="AB89" s="1194"/>
      <c r="AC89" s="360"/>
      <c r="AD89" s="853"/>
      <c r="AE89" s="102"/>
      <c r="AF89" s="102"/>
      <c r="AG89" s="102"/>
      <c r="AH89" s="102"/>
      <c r="AI89" s="102"/>
      <c r="AJ89" s="102"/>
      <c r="AK89" s="103"/>
      <c r="AL89" s="103"/>
      <c r="AM89" s="103"/>
      <c r="AN89" s="191"/>
    </row>
    <row r="90" spans="2:40" ht="3" customHeight="1" hidden="1">
      <c r="B90" s="189"/>
      <c r="C90" s="1337"/>
      <c r="D90" s="2187"/>
      <c r="E90" s="2187"/>
      <c r="F90" s="2187"/>
      <c r="G90" s="2187"/>
      <c r="H90" s="2187"/>
      <c r="I90" s="2187"/>
      <c r="J90" s="2187"/>
      <c r="K90" s="2187"/>
      <c r="L90" s="2187"/>
      <c r="M90" s="2180"/>
      <c r="N90" s="166"/>
      <c r="O90" s="166"/>
      <c r="P90" s="1337"/>
      <c r="Q90" s="2180"/>
      <c r="R90" s="2267"/>
      <c r="S90" s="2268"/>
      <c r="T90" s="2268"/>
      <c r="U90" s="2268"/>
      <c r="V90" s="2268"/>
      <c r="W90" s="2268"/>
      <c r="X90" s="2268"/>
      <c r="Y90" s="2268"/>
      <c r="Z90" s="2268"/>
      <c r="AA90" s="2268"/>
      <c r="AB90" s="2268"/>
      <c r="AC90" s="357"/>
      <c r="AD90" s="357"/>
      <c r="AE90" s="357"/>
      <c r="AF90" s="358"/>
      <c r="AG90" s="192"/>
      <c r="AH90" s="192"/>
      <c r="AI90" s="192"/>
      <c r="AJ90" s="192"/>
      <c r="AK90" s="193"/>
      <c r="AL90" s="193"/>
      <c r="AM90" s="193"/>
      <c r="AN90" s="194"/>
    </row>
    <row r="91" spans="2:40" ht="5.25" customHeight="1"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47"/>
      <c r="AE91" s="47"/>
      <c r="AF91" s="47"/>
      <c r="AG91" s="47"/>
      <c r="AH91" s="47"/>
      <c r="AI91" s="47"/>
      <c r="AJ91" s="175"/>
      <c r="AK91" s="175"/>
      <c r="AL91" s="175"/>
      <c r="AM91" s="175"/>
      <c r="AN91" s="175"/>
    </row>
    <row r="92" spans="2:40" ht="3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4"/>
      <c r="AE92" s="4"/>
      <c r="AF92" s="4"/>
      <c r="AG92" s="4"/>
      <c r="AH92" s="4"/>
      <c r="AI92" s="4"/>
      <c r="AJ92"/>
      <c r="AK92"/>
      <c r="AL92"/>
      <c r="AM92"/>
      <c r="AN92"/>
    </row>
    <row r="93" spans="2:40" ht="15" customHeight="1">
      <c r="B93" s="75"/>
      <c r="C93" s="76" t="s">
        <v>59</v>
      </c>
      <c r="D93" s="76"/>
      <c r="E93" s="15"/>
      <c r="F93" s="76" t="s">
        <v>26</v>
      </c>
      <c r="G93" s="83" t="s">
        <v>667</v>
      </c>
      <c r="H93" s="15"/>
      <c r="I93" s="76"/>
      <c r="J93" s="76"/>
      <c r="K93" s="76"/>
      <c r="L93" s="69"/>
      <c r="M93" s="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7"/>
      <c r="AC93" s="11"/>
      <c r="AD93" s="4"/>
      <c r="AE93" s="4"/>
      <c r="AF93" s="4"/>
      <c r="AG93" s="4"/>
      <c r="AH93" s="4"/>
      <c r="AI93" s="4"/>
      <c r="AJ93"/>
      <c r="AK93"/>
      <c r="AL93"/>
      <c r="AM93"/>
      <c r="AN93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15" customHeight="1">
      <c r="B96" s="2203" t="s">
        <v>76</v>
      </c>
      <c r="C96" s="2257" t="s">
        <v>881</v>
      </c>
      <c r="D96" s="2259"/>
      <c r="E96" s="151" t="s">
        <v>880</v>
      </c>
      <c r="F96" s="1444"/>
      <c r="G96" s="1444"/>
      <c r="H96" s="1444"/>
      <c r="I96" s="1444"/>
      <c r="J96" s="1444"/>
      <c r="K96" s="1444"/>
      <c r="L96" s="1444"/>
      <c r="M96" s="2161"/>
      <c r="N96" s="156" t="s">
        <v>102</v>
      </c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2162"/>
      <c r="Z96" s="156" t="s">
        <v>71</v>
      </c>
      <c r="AA96" s="159"/>
      <c r="AB96" s="159"/>
      <c r="AC96" s="2162"/>
      <c r="AD96" s="151" t="s">
        <v>74</v>
      </c>
      <c r="AE96" s="1444"/>
      <c r="AF96" s="1444"/>
      <c r="AG96" s="1444"/>
      <c r="AH96" s="1444"/>
      <c r="AI96" s="1444"/>
      <c r="AJ96" s="1444"/>
      <c r="AK96" s="1444"/>
      <c r="AL96" s="1444"/>
      <c r="AM96" s="1444"/>
      <c r="AN96" s="2161"/>
    </row>
    <row r="97" spans="2:55" ht="15.75" customHeight="1">
      <c r="B97" s="2184"/>
      <c r="C97" s="2260"/>
      <c r="D97" s="2262"/>
      <c r="E97" s="149"/>
      <c r="F97" s="71"/>
      <c r="G97" s="71"/>
      <c r="H97" s="71"/>
      <c r="I97" s="71"/>
      <c r="J97" s="71"/>
      <c r="K97" s="71"/>
      <c r="L97" s="71"/>
      <c r="M97" s="395"/>
      <c r="N97" s="164" t="s">
        <v>75</v>
      </c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2181"/>
      <c r="Z97" s="164" t="s">
        <v>119</v>
      </c>
      <c r="AA97" s="69"/>
      <c r="AB97" s="69"/>
      <c r="AC97" s="2181"/>
      <c r="AD97" s="149"/>
      <c r="AE97" s="71"/>
      <c r="AF97" s="71"/>
      <c r="AG97" s="71"/>
      <c r="AH97" s="71"/>
      <c r="AI97" s="71"/>
      <c r="AJ97" s="71"/>
      <c r="AK97" s="71"/>
      <c r="AL97" s="71"/>
      <c r="AM97" s="71"/>
      <c r="AN97" s="395"/>
      <c r="BC97" s="3036" t="s">
        <v>295</v>
      </c>
    </row>
    <row r="98" spans="2:40" ht="3" customHeight="1">
      <c r="B98" s="2184"/>
      <c r="C98" s="2312"/>
      <c r="D98" s="2314"/>
      <c r="E98" s="628"/>
      <c r="F98" s="162"/>
      <c r="G98" s="162"/>
      <c r="H98" s="162"/>
      <c r="I98" s="162"/>
      <c r="J98" s="162"/>
      <c r="K98" s="162"/>
      <c r="L98" s="162"/>
      <c r="M98" s="162"/>
      <c r="N98" s="163"/>
      <c r="O98" s="162"/>
      <c r="P98" s="15"/>
      <c r="Q98" s="15"/>
      <c r="R98" s="15"/>
      <c r="S98" s="15"/>
      <c r="T98" s="15"/>
      <c r="U98" s="15"/>
      <c r="V98" s="15"/>
      <c r="W98" s="15"/>
      <c r="X98" s="15"/>
      <c r="Y98" s="154"/>
      <c r="Z98" s="165"/>
      <c r="AA98" s="630"/>
      <c r="AB98" s="184"/>
      <c r="AC98" s="631"/>
      <c r="AD98" s="70"/>
      <c r="AE98" s="15"/>
      <c r="AF98" s="70"/>
      <c r="AG98" s="70"/>
      <c r="AH98" s="70"/>
      <c r="AI98" s="70"/>
      <c r="AJ98" s="70"/>
      <c r="AK98" s="70"/>
      <c r="AL98" s="70"/>
      <c r="AM98" s="70"/>
      <c r="AN98" s="161"/>
    </row>
    <row r="99" spans="2:48" s="16" customFormat="1" ht="12" customHeight="1">
      <c r="B99" s="155" t="s">
        <v>65</v>
      </c>
      <c r="C99" s="155" t="s">
        <v>64</v>
      </c>
      <c r="D99" s="2183"/>
      <c r="E99" s="155" t="s">
        <v>66</v>
      </c>
      <c r="F99" s="2182"/>
      <c r="G99" s="2182"/>
      <c r="H99" s="2182"/>
      <c r="I99" s="2182"/>
      <c r="J99" s="2182"/>
      <c r="K99" s="2182"/>
      <c r="L99" s="2182"/>
      <c r="M99" s="2182"/>
      <c r="N99" s="155" t="s">
        <v>67</v>
      </c>
      <c r="O99" s="2182"/>
      <c r="P99" s="2182"/>
      <c r="Q99" s="2182"/>
      <c r="R99" s="2182"/>
      <c r="S99" s="2182"/>
      <c r="T99" s="2182"/>
      <c r="U99" s="2182"/>
      <c r="V99" s="2182"/>
      <c r="W99" s="2182"/>
      <c r="X99" s="2182"/>
      <c r="Y99" s="2183"/>
      <c r="Z99" s="2842" t="s">
        <v>68</v>
      </c>
      <c r="AA99" s="2843"/>
      <c r="AB99" s="2843"/>
      <c r="AC99" s="2844"/>
      <c r="AD99" s="155" t="s">
        <v>99</v>
      </c>
      <c r="AE99" s="2182"/>
      <c r="AF99" s="2182"/>
      <c r="AG99" s="2182"/>
      <c r="AH99" s="2182"/>
      <c r="AI99" s="2182"/>
      <c r="AJ99" s="2182"/>
      <c r="AK99" s="2182"/>
      <c r="AL99" s="2182"/>
      <c r="AM99" s="2182"/>
      <c r="AN99" s="2183"/>
      <c r="AP99"/>
      <c r="AQ99"/>
      <c r="AR99"/>
      <c r="AS99"/>
      <c r="AT99"/>
      <c r="AU99"/>
      <c r="AV99"/>
    </row>
    <row r="100" spans="2:42" ht="19.5" customHeight="1">
      <c r="B100" s="1341" t="s">
        <v>621</v>
      </c>
      <c r="C100" s="1334"/>
      <c r="D100" s="1336"/>
      <c r="E100" s="2881" t="s">
        <v>1086</v>
      </c>
      <c r="F100" s="2882"/>
      <c r="G100" s="2882"/>
      <c r="H100" s="2882"/>
      <c r="I100" s="2882"/>
      <c r="J100" s="2882"/>
      <c r="K100" s="2882"/>
      <c r="L100" s="2882"/>
      <c r="M100" s="2883"/>
      <c r="N100" s="632"/>
      <c r="O100" s="337"/>
      <c r="P100" s="337"/>
      <c r="Q100" s="337"/>
      <c r="R100" s="337"/>
      <c r="S100" s="337"/>
      <c r="T100" s="337"/>
      <c r="U100" s="337"/>
      <c r="V100" s="337"/>
      <c r="W100" s="337"/>
      <c r="X100" s="337"/>
      <c r="Y100" s="633"/>
      <c r="Z100" s="824"/>
      <c r="AA100" s="337"/>
      <c r="AB100" s="825"/>
      <c r="AC100" s="826"/>
      <c r="AD100" s="2246">
        <f ca="1">'1770 S-II'!AD115</f>
        <v>0</v>
      </c>
      <c r="AE100" s="1348"/>
      <c r="AF100" s="1348"/>
      <c r="AG100" s="1348"/>
      <c r="AH100" s="1348"/>
      <c r="AI100" s="1348"/>
      <c r="AJ100" s="1348"/>
      <c r="AK100" s="1348"/>
      <c r="AL100" s="1348"/>
      <c r="AM100" s="1348"/>
      <c r="AN100" s="323"/>
      <c r="AP100" s="1321" t="s">
        <v>1334</v>
      </c>
    </row>
    <row r="101" spans="2:48" ht="19.5" customHeight="1">
      <c r="B101" s="398"/>
      <c r="C101" s="340"/>
      <c r="D101" s="341"/>
      <c r="E101" s="1370"/>
      <c r="F101" s="977"/>
      <c r="G101" s="977"/>
      <c r="H101" s="977"/>
      <c r="I101" s="977"/>
      <c r="J101" s="977"/>
      <c r="K101" s="977"/>
      <c r="L101" s="977"/>
      <c r="M101" s="978"/>
      <c r="N101" s="343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344"/>
      <c r="Z101" s="821"/>
      <c r="AA101" s="40"/>
      <c r="AB101" s="822"/>
      <c r="AC101" s="823"/>
      <c r="AD101" s="1347"/>
      <c r="AE101" s="1194"/>
      <c r="AF101" s="1194"/>
      <c r="AG101" s="1194"/>
      <c r="AH101" s="1194"/>
      <c r="AI101" s="1194"/>
      <c r="AJ101" s="1194"/>
      <c r="AK101" s="1194"/>
      <c r="AL101" s="1194"/>
      <c r="AM101" s="1194"/>
      <c r="AN101" s="324"/>
      <c r="AP101" s="16"/>
      <c r="AQ101" s="16"/>
      <c r="AR101" s="16"/>
      <c r="AS101" s="16"/>
      <c r="AT101" s="16"/>
      <c r="AU101" s="16"/>
      <c r="AV101" s="16"/>
    </row>
    <row r="102" spans="2:48" ht="3" customHeight="1">
      <c r="B102" s="149"/>
      <c r="C102" s="343"/>
      <c r="D102" s="344"/>
      <c r="E102" s="1369"/>
      <c r="F102" s="441"/>
      <c r="G102" s="441"/>
      <c r="H102" s="441"/>
      <c r="I102" s="441"/>
      <c r="J102" s="441"/>
      <c r="K102" s="441"/>
      <c r="L102" s="441"/>
      <c r="M102" s="441"/>
      <c r="N102" s="343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344"/>
      <c r="Z102" s="821"/>
      <c r="AA102" s="40"/>
      <c r="AB102" s="817"/>
      <c r="AC102" s="818"/>
      <c r="AD102" s="362"/>
      <c r="AE102" s="362"/>
      <c r="AF102" s="362"/>
      <c r="AG102" s="362"/>
      <c r="AH102" s="362"/>
      <c r="AI102" s="362"/>
      <c r="AJ102" s="362"/>
      <c r="AK102" s="362"/>
      <c r="AL102" s="362"/>
      <c r="AM102" s="362"/>
      <c r="AN102" s="373"/>
      <c r="AP102" s="2409"/>
      <c r="AQ102" s="2409"/>
      <c r="AR102" s="2409"/>
      <c r="AS102" s="2409"/>
      <c r="AT102" s="2409"/>
      <c r="AU102" s="2409"/>
      <c r="AV102" s="2409"/>
    </row>
    <row r="103" spans="2:48" ht="15" customHeight="1">
      <c r="B103" s="1341" t="s">
        <v>622</v>
      </c>
      <c r="C103" s="2155"/>
      <c r="D103" s="2169"/>
      <c r="E103" s="2785"/>
      <c r="F103" s="2786"/>
      <c r="G103" s="2786"/>
      <c r="H103" s="2786"/>
      <c r="I103" s="2786"/>
      <c r="J103" s="2786"/>
      <c r="K103" s="2786"/>
      <c r="L103" s="2786"/>
      <c r="M103" s="2787"/>
      <c r="N103" s="1454"/>
      <c r="O103" s="1455"/>
      <c r="P103" s="1455"/>
      <c r="Q103" s="1455"/>
      <c r="R103" s="1455"/>
      <c r="S103" s="1455"/>
      <c r="T103" s="1455"/>
      <c r="U103" s="1455"/>
      <c r="V103" s="1455"/>
      <c r="W103" s="1455"/>
      <c r="X103" s="1455"/>
      <c r="Y103" s="334"/>
      <c r="Z103" s="824"/>
      <c r="AA103" s="1455"/>
      <c r="AB103" s="825"/>
      <c r="AC103" s="826"/>
      <c r="AD103" s="1456"/>
      <c r="AE103" s="1457"/>
      <c r="AF103" s="1457"/>
      <c r="AG103" s="1457"/>
      <c r="AH103" s="1457"/>
      <c r="AI103" s="1457"/>
      <c r="AJ103" s="1457"/>
      <c r="AK103" s="1457"/>
      <c r="AL103" s="1457"/>
      <c r="AM103" s="1457"/>
      <c r="AN103" s="1411"/>
      <c r="AP103" s="2409"/>
      <c r="AQ103" s="2409"/>
      <c r="AR103" s="2409"/>
      <c r="AS103" s="2409"/>
      <c r="AT103" s="2409"/>
      <c r="AU103" s="2409"/>
      <c r="AV103" s="2409"/>
    </row>
    <row r="104" spans="2:40" ht="12.75" customHeight="1">
      <c r="B104" s="398"/>
      <c r="C104" s="810"/>
      <c r="D104" s="2171"/>
      <c r="E104" s="2779"/>
      <c r="F104" s="2780"/>
      <c r="G104" s="2780"/>
      <c r="H104" s="2780"/>
      <c r="I104" s="2780"/>
      <c r="J104" s="2780"/>
      <c r="K104" s="2780"/>
      <c r="L104" s="2780"/>
      <c r="M104" s="2781"/>
      <c r="N104" s="634"/>
      <c r="O104" s="326"/>
      <c r="P104" s="326"/>
      <c r="Q104" s="326"/>
      <c r="R104" s="326"/>
      <c r="S104" s="326"/>
      <c r="T104" s="326"/>
      <c r="U104" s="326"/>
      <c r="V104" s="326"/>
      <c r="W104" s="326"/>
      <c r="X104" s="326"/>
      <c r="Y104" s="327"/>
      <c r="Z104" s="821"/>
      <c r="AA104" s="326"/>
      <c r="AB104" s="822"/>
      <c r="AC104" s="823"/>
      <c r="AD104" s="1351"/>
      <c r="AE104" s="1352"/>
      <c r="AF104" s="1352"/>
      <c r="AG104" s="1352"/>
      <c r="AH104" s="1352"/>
      <c r="AI104" s="1352"/>
      <c r="AJ104" s="1352"/>
      <c r="AK104" s="1352"/>
      <c r="AL104" s="1352"/>
      <c r="AM104" s="1352"/>
      <c r="AN104" s="1353"/>
    </row>
    <row r="105" spans="2:40" ht="3" customHeight="1">
      <c r="B105" s="149"/>
      <c r="C105" s="634"/>
      <c r="D105" s="327"/>
      <c r="E105" s="968"/>
      <c r="F105" s="968"/>
      <c r="G105" s="968"/>
      <c r="H105" s="968"/>
      <c r="I105" s="968"/>
      <c r="J105" s="968"/>
      <c r="K105" s="968"/>
      <c r="L105" s="968"/>
      <c r="M105" s="968"/>
      <c r="N105" s="634"/>
      <c r="O105" s="326"/>
      <c r="P105" s="326"/>
      <c r="Q105" s="326"/>
      <c r="R105" s="326"/>
      <c r="S105" s="326"/>
      <c r="T105" s="326"/>
      <c r="U105" s="326"/>
      <c r="V105" s="326"/>
      <c r="W105" s="326"/>
      <c r="X105" s="326"/>
      <c r="Y105" s="327"/>
      <c r="Z105" s="821"/>
      <c r="AA105" s="326"/>
      <c r="AB105" s="817"/>
      <c r="AC105" s="818"/>
      <c r="AD105" s="1352"/>
      <c r="AE105" s="1352"/>
      <c r="AF105" s="1352"/>
      <c r="AG105" s="1352"/>
      <c r="AH105" s="1352"/>
      <c r="AI105" s="1352"/>
      <c r="AJ105" s="1352"/>
      <c r="AK105" s="1352"/>
      <c r="AL105" s="1352"/>
      <c r="AM105" s="1352"/>
      <c r="AN105" s="1353"/>
    </row>
    <row r="106" spans="2:40" ht="15" customHeight="1">
      <c r="B106" s="1341" t="s">
        <v>623</v>
      </c>
      <c r="C106" s="151"/>
      <c r="D106" s="2161"/>
      <c r="E106" s="2257"/>
      <c r="F106" s="2258"/>
      <c r="G106" s="2258"/>
      <c r="H106" s="2258"/>
      <c r="I106" s="2258"/>
      <c r="J106" s="2258"/>
      <c r="K106" s="2258"/>
      <c r="L106" s="2258"/>
      <c r="M106" s="2259"/>
      <c r="N106" s="1454"/>
      <c r="O106" s="182"/>
      <c r="P106" s="1455"/>
      <c r="Q106" s="1455"/>
      <c r="R106" s="1455"/>
      <c r="S106" s="1455"/>
      <c r="T106" s="1455"/>
      <c r="U106" s="1455"/>
      <c r="V106" s="1455"/>
      <c r="W106" s="1455"/>
      <c r="X106" s="1455"/>
      <c r="Y106" s="334"/>
      <c r="Z106" s="824"/>
      <c r="AA106" s="1455"/>
      <c r="AB106" s="825"/>
      <c r="AC106" s="826"/>
      <c r="AD106" s="1463"/>
      <c r="AE106" s="1365"/>
      <c r="AF106" s="1365"/>
      <c r="AG106" s="1365"/>
      <c r="AH106" s="1365"/>
      <c r="AI106" s="1365"/>
      <c r="AJ106" s="1365"/>
      <c r="AK106" s="1365"/>
      <c r="AL106" s="1365"/>
      <c r="AM106" s="1365"/>
      <c r="AN106" s="1464"/>
    </row>
    <row r="107" spans="2:40" ht="12" customHeight="1">
      <c r="B107" s="398"/>
      <c r="C107" s="149"/>
      <c r="D107" s="395"/>
      <c r="E107" s="2260"/>
      <c r="F107" s="2261"/>
      <c r="G107" s="2261"/>
      <c r="H107" s="2261"/>
      <c r="I107" s="2261"/>
      <c r="J107" s="2261"/>
      <c r="K107" s="2261"/>
      <c r="L107" s="2261"/>
      <c r="M107" s="2262"/>
      <c r="N107" s="634"/>
      <c r="O107" s="70"/>
      <c r="P107" s="326"/>
      <c r="Q107" s="326"/>
      <c r="R107" s="326"/>
      <c r="S107" s="326"/>
      <c r="T107" s="326"/>
      <c r="U107" s="326"/>
      <c r="V107" s="326"/>
      <c r="W107" s="326"/>
      <c r="X107" s="326"/>
      <c r="Y107" s="327"/>
      <c r="Z107" s="821"/>
      <c r="AA107" s="326"/>
      <c r="AB107" s="822"/>
      <c r="AC107" s="823"/>
      <c r="AD107" s="1371"/>
      <c r="AE107" s="819"/>
      <c r="AF107" s="819"/>
      <c r="AG107" s="819"/>
      <c r="AH107" s="819"/>
      <c r="AI107" s="819"/>
      <c r="AJ107" s="819"/>
      <c r="AK107" s="819"/>
      <c r="AL107" s="819"/>
      <c r="AM107" s="819"/>
      <c r="AN107" s="820"/>
    </row>
    <row r="108" spans="2:40" ht="3" customHeight="1">
      <c r="B108" s="149"/>
      <c r="C108" s="153"/>
      <c r="D108" s="161"/>
      <c r="E108" s="1458"/>
      <c r="F108" s="1458"/>
      <c r="G108" s="1458"/>
      <c r="H108" s="1458"/>
      <c r="I108" s="1458"/>
      <c r="J108" s="1458"/>
      <c r="K108" s="1458"/>
      <c r="L108" s="1458"/>
      <c r="M108" s="1458"/>
      <c r="N108" s="634"/>
      <c r="O108" s="70"/>
      <c r="P108" s="326"/>
      <c r="Q108" s="326"/>
      <c r="R108" s="326"/>
      <c r="S108" s="326"/>
      <c r="T108" s="326"/>
      <c r="U108" s="326"/>
      <c r="V108" s="326"/>
      <c r="W108" s="326"/>
      <c r="X108" s="326"/>
      <c r="Y108" s="327"/>
      <c r="Z108" s="438"/>
      <c r="AA108" s="326"/>
      <c r="AB108" s="439"/>
      <c r="AC108" s="440"/>
      <c r="AD108" s="819"/>
      <c r="AE108" s="819"/>
      <c r="AF108" s="819"/>
      <c r="AG108" s="819"/>
      <c r="AH108" s="819"/>
      <c r="AI108" s="819"/>
      <c r="AJ108" s="819"/>
      <c r="AK108" s="819"/>
      <c r="AL108" s="819"/>
      <c r="AM108" s="819"/>
      <c r="AN108" s="820"/>
    </row>
    <row r="109" spans="2:40" ht="15" customHeight="1">
      <c r="B109" s="1341" t="s">
        <v>624</v>
      </c>
      <c r="C109" s="2888"/>
      <c r="D109" s="2889"/>
      <c r="E109" s="2892"/>
      <c r="F109" s="2893"/>
      <c r="G109" s="2893"/>
      <c r="H109" s="2893"/>
      <c r="I109" s="2893"/>
      <c r="J109" s="2893"/>
      <c r="K109" s="2893"/>
      <c r="L109" s="2893"/>
      <c r="M109" s="2894"/>
      <c r="N109" s="1454"/>
      <c r="O109" s="1459"/>
      <c r="P109" s="1455"/>
      <c r="Q109" s="1455"/>
      <c r="R109" s="1455"/>
      <c r="S109" s="1455"/>
      <c r="T109" s="1455"/>
      <c r="U109" s="1455"/>
      <c r="V109" s="1455"/>
      <c r="W109" s="1455"/>
      <c r="X109" s="1455"/>
      <c r="Y109" s="334"/>
      <c r="Z109" s="824"/>
      <c r="AA109" s="1455"/>
      <c r="AB109" s="825"/>
      <c r="AC109" s="826"/>
      <c r="AD109" s="1463"/>
      <c r="AE109" s="1365"/>
      <c r="AF109" s="1365"/>
      <c r="AG109" s="1365"/>
      <c r="AH109" s="1365"/>
      <c r="AI109" s="1365"/>
      <c r="AJ109" s="1365"/>
      <c r="AK109" s="1365"/>
      <c r="AL109" s="1365"/>
      <c r="AM109" s="1365"/>
      <c r="AN109" s="1464"/>
    </row>
    <row r="110" spans="2:40" ht="12.75" customHeight="1">
      <c r="B110" s="398"/>
      <c r="C110" s="2890"/>
      <c r="D110" s="2891"/>
      <c r="E110" s="2895"/>
      <c r="F110" s="2896"/>
      <c r="G110" s="2896"/>
      <c r="H110" s="2896"/>
      <c r="I110" s="2896"/>
      <c r="J110" s="2896"/>
      <c r="K110" s="2896"/>
      <c r="L110" s="2896"/>
      <c r="M110" s="2897"/>
      <c r="N110" s="634"/>
      <c r="O110" s="375"/>
      <c r="P110" s="326"/>
      <c r="Q110" s="326"/>
      <c r="R110" s="326"/>
      <c r="S110" s="326"/>
      <c r="T110" s="326"/>
      <c r="U110" s="326"/>
      <c r="V110" s="326"/>
      <c r="W110" s="326"/>
      <c r="X110" s="326"/>
      <c r="Y110" s="327"/>
      <c r="Z110" s="821"/>
      <c r="AA110" s="326"/>
      <c r="AB110" s="822"/>
      <c r="AC110" s="823"/>
      <c r="AD110" s="1371"/>
      <c r="AE110" s="819"/>
      <c r="AF110" s="819"/>
      <c r="AG110" s="819"/>
      <c r="AH110" s="819"/>
      <c r="AI110" s="819"/>
      <c r="AJ110" s="819"/>
      <c r="AK110" s="819"/>
      <c r="AL110" s="819"/>
      <c r="AM110" s="819"/>
      <c r="AN110" s="820"/>
    </row>
    <row r="111" spans="2:40" ht="3" customHeight="1">
      <c r="B111" s="149"/>
      <c r="C111" s="374"/>
      <c r="D111" s="376"/>
      <c r="E111" s="1460"/>
      <c r="F111" s="1460"/>
      <c r="G111" s="1460"/>
      <c r="H111" s="1460"/>
      <c r="I111" s="1460"/>
      <c r="J111" s="1460"/>
      <c r="K111" s="1460"/>
      <c r="L111" s="1460"/>
      <c r="M111" s="1460"/>
      <c r="N111" s="634"/>
      <c r="O111" s="375"/>
      <c r="P111" s="326"/>
      <c r="Q111" s="326"/>
      <c r="R111" s="326"/>
      <c r="S111" s="326"/>
      <c r="T111" s="326"/>
      <c r="U111" s="326"/>
      <c r="V111" s="326"/>
      <c r="W111" s="326"/>
      <c r="X111" s="326"/>
      <c r="Y111" s="327"/>
      <c r="Z111" s="438"/>
      <c r="AA111" s="326"/>
      <c r="AB111" s="439"/>
      <c r="AC111" s="440"/>
      <c r="AD111" s="819"/>
      <c r="AE111" s="819"/>
      <c r="AF111" s="819"/>
      <c r="AG111" s="819"/>
      <c r="AH111" s="819"/>
      <c r="AI111" s="819"/>
      <c r="AJ111" s="819"/>
      <c r="AK111" s="819"/>
      <c r="AL111" s="819"/>
      <c r="AM111" s="819"/>
      <c r="AN111" s="820"/>
    </row>
    <row r="112" spans="2:40" ht="15" customHeight="1">
      <c r="B112" s="1341" t="s">
        <v>625</v>
      </c>
      <c r="C112" s="1461"/>
      <c r="D112" s="1412"/>
      <c r="E112" s="1462"/>
      <c r="F112" s="1462"/>
      <c r="G112" s="1462"/>
      <c r="H112" s="1462"/>
      <c r="I112" s="1462"/>
      <c r="J112" s="1462"/>
      <c r="K112" s="1462"/>
      <c r="L112" s="1462"/>
      <c r="M112" s="1462"/>
      <c r="N112" s="1454"/>
      <c r="O112" s="1459"/>
      <c r="P112" s="1455"/>
      <c r="Q112" s="1455"/>
      <c r="R112" s="1455"/>
      <c r="S112" s="1455"/>
      <c r="T112" s="1455"/>
      <c r="U112" s="1455"/>
      <c r="V112" s="1455"/>
      <c r="W112" s="1455"/>
      <c r="X112" s="1455"/>
      <c r="Y112" s="334"/>
      <c r="Z112" s="824"/>
      <c r="AA112" s="1455"/>
      <c r="AB112" s="825"/>
      <c r="AC112" s="826"/>
      <c r="AD112" s="1463"/>
      <c r="AE112" s="1365"/>
      <c r="AF112" s="1365"/>
      <c r="AG112" s="1365"/>
      <c r="AH112" s="1365"/>
      <c r="AI112" s="1365"/>
      <c r="AJ112" s="1365"/>
      <c r="AK112" s="1365"/>
      <c r="AL112" s="1365"/>
      <c r="AM112" s="1365"/>
      <c r="AN112" s="1464"/>
    </row>
    <row r="113" spans="2:40" ht="13.5" customHeight="1">
      <c r="B113" s="398" t="s">
        <v>124</v>
      </c>
      <c r="C113" s="374"/>
      <c r="D113" s="376"/>
      <c r="E113" s="375"/>
      <c r="F113" s="375"/>
      <c r="G113" s="375"/>
      <c r="H113" s="375"/>
      <c r="I113" s="375"/>
      <c r="J113" s="375"/>
      <c r="K113" s="375"/>
      <c r="L113" s="375"/>
      <c r="M113" s="375"/>
      <c r="N113" s="634"/>
      <c r="O113" s="375"/>
      <c r="P113" s="326"/>
      <c r="Q113" s="326"/>
      <c r="R113" s="326"/>
      <c r="S113" s="326"/>
      <c r="T113" s="326"/>
      <c r="U113" s="326"/>
      <c r="V113" s="326"/>
      <c r="W113" s="326"/>
      <c r="X113" s="326"/>
      <c r="Y113" s="327"/>
      <c r="Z113" s="821"/>
      <c r="AA113" s="326"/>
      <c r="AB113" s="822"/>
      <c r="AC113" s="823"/>
      <c r="AD113" s="1371"/>
      <c r="AE113" s="819"/>
      <c r="AF113" s="819"/>
      <c r="AG113" s="819"/>
      <c r="AH113" s="819"/>
      <c r="AI113" s="819"/>
      <c r="AJ113" s="819"/>
      <c r="AK113" s="819"/>
      <c r="AL113" s="819"/>
      <c r="AM113" s="819"/>
      <c r="AN113" s="820"/>
    </row>
    <row r="114" spans="2:40" ht="3" customHeight="1">
      <c r="B114" s="152"/>
      <c r="C114" s="827"/>
      <c r="D114" s="829"/>
      <c r="E114" s="828"/>
      <c r="F114" s="828"/>
      <c r="G114" s="828"/>
      <c r="H114" s="828"/>
      <c r="I114" s="828"/>
      <c r="J114" s="828"/>
      <c r="K114" s="828"/>
      <c r="L114" s="828"/>
      <c r="M114" s="828"/>
      <c r="N114" s="854"/>
      <c r="O114" s="828"/>
      <c r="P114" s="635"/>
      <c r="Q114" s="635"/>
      <c r="R114" s="635"/>
      <c r="S114" s="635"/>
      <c r="T114" s="635"/>
      <c r="U114" s="635"/>
      <c r="V114" s="635"/>
      <c r="W114" s="635"/>
      <c r="X114" s="635"/>
      <c r="Y114" s="333"/>
      <c r="Z114" s="374"/>
      <c r="AA114" s="635"/>
      <c r="AB114" s="828"/>
      <c r="AC114" s="376"/>
      <c r="AD114" s="819"/>
      <c r="AE114" s="819"/>
      <c r="AF114" s="819"/>
      <c r="AG114" s="819"/>
      <c r="AH114" s="819"/>
      <c r="AI114" s="819"/>
      <c r="AJ114" s="819"/>
      <c r="AK114" s="819"/>
      <c r="AL114" s="819"/>
      <c r="AM114" s="819"/>
      <c r="AN114" s="820"/>
    </row>
    <row r="115" spans="2:40" ht="15" customHeight="1">
      <c r="B115" s="156"/>
      <c r="C115" s="151" t="s">
        <v>115</v>
      </c>
      <c r="D115" s="1444"/>
      <c r="E115" s="1444"/>
      <c r="F115" s="1444"/>
      <c r="G115" s="1444"/>
      <c r="H115" s="1444"/>
      <c r="I115" s="1444"/>
      <c r="J115" s="1444"/>
      <c r="K115" s="1444"/>
      <c r="L115" s="1444"/>
      <c r="M115" s="1444"/>
      <c r="N115" s="1444"/>
      <c r="O115" s="1444"/>
      <c r="P115" s="1444"/>
      <c r="Q115" s="1444"/>
      <c r="R115" s="1444"/>
      <c r="S115" s="1444"/>
      <c r="T115" s="1444"/>
      <c r="U115" s="1444"/>
      <c r="V115" s="1444"/>
      <c r="W115" s="1444"/>
      <c r="X115" s="1444"/>
      <c r="Y115" s="2161"/>
      <c r="Z115" s="201"/>
      <c r="AA115" s="195"/>
      <c r="AB115" s="151" t="s">
        <v>114</v>
      </c>
      <c r="AC115" s="2161"/>
      <c r="AD115" s="2246">
        <f ca="1">SUM(AD100:AN113)</f>
        <v>0</v>
      </c>
      <c r="AE115" s="1348"/>
      <c r="AF115" s="1348"/>
      <c r="AG115" s="1348"/>
      <c r="AH115" s="1348"/>
      <c r="AI115" s="1348"/>
      <c r="AJ115" s="1348"/>
      <c r="AK115" s="1348"/>
      <c r="AL115" s="1348"/>
      <c r="AM115" s="1348"/>
      <c r="AN115" s="323"/>
    </row>
    <row r="116" spans="2:40" ht="3.75" customHeight="1">
      <c r="B116" s="163"/>
      <c r="C116" s="149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395"/>
      <c r="Z116" s="199"/>
      <c r="AA116" s="102"/>
      <c r="AB116" s="149"/>
      <c r="AC116" s="395"/>
      <c r="AD116" s="1347"/>
      <c r="AE116" s="1194"/>
      <c r="AF116" s="1194"/>
      <c r="AG116" s="1194"/>
      <c r="AH116" s="1194"/>
      <c r="AI116" s="1194"/>
      <c r="AJ116" s="1194"/>
      <c r="AK116" s="1194"/>
      <c r="AL116" s="1194"/>
      <c r="AM116" s="1194"/>
      <c r="AN116" s="324"/>
    </row>
    <row r="117" spans="2:40" ht="3" customHeight="1">
      <c r="B117" s="189"/>
      <c r="C117" s="1337"/>
      <c r="D117" s="2187"/>
      <c r="E117" s="2187"/>
      <c r="F117" s="2187"/>
      <c r="G117" s="2187"/>
      <c r="H117" s="2187"/>
      <c r="I117" s="2187"/>
      <c r="J117" s="2187"/>
      <c r="K117" s="2187"/>
      <c r="L117" s="2187"/>
      <c r="M117" s="2187"/>
      <c r="N117" s="2187"/>
      <c r="O117" s="2187"/>
      <c r="P117" s="2187"/>
      <c r="Q117" s="2187"/>
      <c r="R117" s="2187"/>
      <c r="S117" s="2187"/>
      <c r="T117" s="2187"/>
      <c r="U117" s="2187"/>
      <c r="V117" s="2187"/>
      <c r="W117" s="2187"/>
      <c r="X117" s="2187"/>
      <c r="Y117" s="2180"/>
      <c r="Z117" s="200"/>
      <c r="AA117" s="198"/>
      <c r="AB117" s="1337"/>
      <c r="AC117" s="2180"/>
      <c r="AD117" s="2267"/>
      <c r="AE117" s="2268"/>
      <c r="AF117" s="2268"/>
      <c r="AG117" s="2268"/>
      <c r="AH117" s="2268"/>
      <c r="AI117" s="2268"/>
      <c r="AJ117" s="2268"/>
      <c r="AK117" s="2268"/>
      <c r="AL117" s="2268"/>
      <c r="AM117" s="2268"/>
      <c r="AN117" s="972"/>
    </row>
    <row r="118" spans="2:40" ht="6.75" customHeight="1">
      <c r="B118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11"/>
      <c r="AC118" s="11"/>
      <c r="AD118" s="11"/>
      <c r="AE118" s="71"/>
      <c r="AF118" s="71"/>
      <c r="AG118" s="70"/>
      <c r="AH118"/>
      <c r="AI118"/>
      <c r="AJ118" s="4"/>
      <c r="AK118"/>
      <c r="AL118"/>
      <c r="AM118"/>
      <c r="AN118"/>
    </row>
    <row r="119" spans="2:40" ht="3" customHeight="1">
      <c r="B119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11"/>
      <c r="AC119" s="11"/>
      <c r="AD119" s="11"/>
      <c r="AE119" s="71"/>
      <c r="AF119" s="71"/>
      <c r="AG119" s="70"/>
      <c r="AH119"/>
      <c r="AI119"/>
      <c r="AJ119" s="4"/>
      <c r="AK119"/>
      <c r="AL119"/>
      <c r="AM119"/>
      <c r="AN119"/>
    </row>
    <row r="120" spans="2:40" ht="13.5" customHeight="1">
      <c r="B120" s="75"/>
      <c r="C120" s="76" t="s">
        <v>701</v>
      </c>
      <c r="D120" s="76"/>
      <c r="E120" s="15"/>
      <c r="F120" s="76" t="s">
        <v>26</v>
      </c>
      <c r="G120" s="83" t="s">
        <v>668</v>
      </c>
      <c r="H120" s="15"/>
      <c r="I120" s="76"/>
      <c r="J120" s="76"/>
      <c r="K120" s="76"/>
      <c r="L120" s="69"/>
      <c r="M120" s="4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7"/>
      <c r="AC120" s="11"/>
      <c r="AD120" s="4"/>
      <c r="AE120" s="4"/>
      <c r="AF120" s="4"/>
      <c r="AG120" s="4"/>
      <c r="AH120" s="4"/>
      <c r="AI120" s="4"/>
      <c r="AJ120"/>
      <c r="AK120"/>
      <c r="AL120"/>
      <c r="AM120"/>
      <c r="AN120"/>
    </row>
    <row r="121" spans="2:40" ht="3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4"/>
      <c r="AE121" s="4"/>
      <c r="AF121" s="4"/>
      <c r="AG121" s="4"/>
      <c r="AH121" s="4"/>
      <c r="AI121" s="4"/>
      <c r="AJ121"/>
      <c r="AK121"/>
      <c r="AL121"/>
      <c r="AM121"/>
      <c r="AN121"/>
    </row>
    <row r="122" spans="2:40" ht="3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4"/>
      <c r="AE122" s="4"/>
      <c r="AF122" s="4"/>
      <c r="AG122" s="4"/>
      <c r="AH122" s="4"/>
      <c r="AI122" s="4"/>
      <c r="AJ122"/>
      <c r="AK122"/>
      <c r="AL122"/>
      <c r="AM122"/>
      <c r="AN122"/>
    </row>
    <row r="123" spans="2:40" ht="9.75" customHeight="1">
      <c r="B123" s="2203" t="s">
        <v>76</v>
      </c>
      <c r="C123" s="151" t="s">
        <v>103</v>
      </c>
      <c r="D123" s="1444"/>
      <c r="E123" s="1444"/>
      <c r="F123" s="1444"/>
      <c r="G123" s="1444"/>
      <c r="H123" s="1444"/>
      <c r="I123" s="1444"/>
      <c r="J123" s="1444"/>
      <c r="K123" s="1444"/>
      <c r="L123" s="1444"/>
      <c r="M123" s="1444"/>
      <c r="N123" s="1444"/>
      <c r="O123" s="2161"/>
      <c r="P123" s="151" t="s">
        <v>822</v>
      </c>
      <c r="Q123" s="2352"/>
      <c r="R123" s="2352"/>
      <c r="S123" s="2352"/>
      <c r="T123" s="2352"/>
      <c r="U123" s="2352"/>
      <c r="V123" s="2352"/>
      <c r="W123" s="2353"/>
      <c r="X123" s="151" t="s">
        <v>702</v>
      </c>
      <c r="Y123" s="1444"/>
      <c r="Z123" s="1444"/>
      <c r="AA123" s="1444"/>
      <c r="AB123" s="1444"/>
      <c r="AC123" s="1444"/>
      <c r="AD123" s="1444"/>
      <c r="AE123" s="1444"/>
      <c r="AF123" s="2161"/>
      <c r="AG123" s="151" t="s">
        <v>28</v>
      </c>
      <c r="AH123" s="1444"/>
      <c r="AI123" s="1444"/>
      <c r="AJ123" s="1444"/>
      <c r="AK123" s="1444"/>
      <c r="AL123" s="1444"/>
      <c r="AM123" s="1444"/>
      <c r="AN123" s="2161"/>
    </row>
    <row r="124" spans="2:40" ht="8.25" customHeight="1">
      <c r="B124" s="2184"/>
      <c r="C124" s="149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395"/>
      <c r="P124" s="411"/>
      <c r="Q124" s="119"/>
      <c r="R124" s="119"/>
      <c r="S124" s="119"/>
      <c r="T124" s="119"/>
      <c r="U124" s="119"/>
      <c r="V124" s="119"/>
      <c r="W124" s="2354"/>
      <c r="X124" s="149"/>
      <c r="Y124" s="71"/>
      <c r="Z124" s="71"/>
      <c r="AA124" s="71"/>
      <c r="AB124" s="71"/>
      <c r="AC124" s="71"/>
      <c r="AD124" s="71"/>
      <c r="AE124" s="71"/>
      <c r="AF124" s="395"/>
      <c r="AG124" s="149"/>
      <c r="AH124" s="71"/>
      <c r="AI124" s="71"/>
      <c r="AJ124" s="71"/>
      <c r="AK124" s="71"/>
      <c r="AL124" s="71"/>
      <c r="AM124" s="71"/>
      <c r="AN124" s="395"/>
    </row>
    <row r="125" spans="2:40" ht="3" customHeight="1">
      <c r="B125" s="2184"/>
      <c r="C125" s="1337"/>
      <c r="D125" s="2187"/>
      <c r="E125" s="2187"/>
      <c r="F125" s="2187"/>
      <c r="G125" s="2187"/>
      <c r="H125" s="2187"/>
      <c r="I125" s="2187"/>
      <c r="J125" s="2187"/>
      <c r="K125" s="2187"/>
      <c r="L125" s="2187"/>
      <c r="M125" s="2187"/>
      <c r="N125" s="2187"/>
      <c r="O125" s="2180"/>
      <c r="P125" s="2355"/>
      <c r="Q125" s="2356"/>
      <c r="R125" s="2356"/>
      <c r="S125" s="2356"/>
      <c r="T125" s="2356"/>
      <c r="U125" s="2356"/>
      <c r="V125" s="2356"/>
      <c r="W125" s="2357"/>
      <c r="X125" s="1337"/>
      <c r="Y125" s="2187"/>
      <c r="Z125" s="2187"/>
      <c r="AA125" s="2187"/>
      <c r="AB125" s="2187"/>
      <c r="AC125" s="2187"/>
      <c r="AD125" s="2187"/>
      <c r="AE125" s="2187"/>
      <c r="AF125" s="2180"/>
      <c r="AG125" s="1337"/>
      <c r="AH125" s="2187"/>
      <c r="AI125" s="2187"/>
      <c r="AJ125" s="2187"/>
      <c r="AK125" s="2187"/>
      <c r="AL125" s="2187"/>
      <c r="AM125" s="2187"/>
      <c r="AN125" s="2180"/>
    </row>
    <row r="126" spans="2:40" s="16" customFormat="1" ht="15" customHeight="1">
      <c r="B126" s="155" t="s">
        <v>65</v>
      </c>
      <c r="C126" s="155" t="s">
        <v>64</v>
      </c>
      <c r="D126" s="2182"/>
      <c r="E126" s="2182"/>
      <c r="F126" s="2182"/>
      <c r="G126" s="2182"/>
      <c r="H126" s="2182"/>
      <c r="I126" s="2182"/>
      <c r="J126" s="2182"/>
      <c r="K126" s="2182"/>
      <c r="L126" s="2182"/>
      <c r="M126" s="2182"/>
      <c r="N126" s="2182"/>
      <c r="O126" s="2183"/>
      <c r="P126" s="155" t="s">
        <v>66</v>
      </c>
      <c r="Q126" s="2182"/>
      <c r="R126" s="2182"/>
      <c r="S126" s="2182"/>
      <c r="T126" s="2182"/>
      <c r="U126" s="2182"/>
      <c r="V126" s="2182"/>
      <c r="W126" s="2183"/>
      <c r="X126" s="155" t="s">
        <v>67</v>
      </c>
      <c r="Y126" s="2182"/>
      <c r="Z126" s="2182"/>
      <c r="AA126" s="2182"/>
      <c r="AB126" s="2182"/>
      <c r="AC126" s="2182"/>
      <c r="AD126" s="2182"/>
      <c r="AE126" s="2182"/>
      <c r="AF126" s="2183"/>
      <c r="AG126" s="2182" t="s">
        <v>68</v>
      </c>
      <c r="AH126" s="2182"/>
      <c r="AI126" s="2182"/>
      <c r="AJ126" s="2182"/>
      <c r="AK126" s="2182"/>
      <c r="AL126" s="2182"/>
      <c r="AM126" s="2182"/>
      <c r="AN126" s="2183"/>
    </row>
    <row r="127" spans="2:40" ht="15" customHeight="1">
      <c r="B127" s="1341" t="s">
        <v>621</v>
      </c>
      <c r="C127" s="2321"/>
      <c r="D127" s="2322"/>
      <c r="E127" s="2322"/>
      <c r="F127" s="2322"/>
      <c r="G127" s="2322"/>
      <c r="H127" s="2322"/>
      <c r="I127" s="2322"/>
      <c r="J127" s="2322"/>
      <c r="K127" s="2322"/>
      <c r="L127" s="2322"/>
      <c r="M127" s="2322"/>
      <c r="N127" s="2322"/>
      <c r="O127" s="2323"/>
      <c r="P127" s="2328"/>
      <c r="Q127" s="2329"/>
      <c r="R127" s="2329"/>
      <c r="S127" s="2329"/>
      <c r="T127" s="2329"/>
      <c r="U127" s="2329"/>
      <c r="V127" s="2329"/>
      <c r="W127" s="2330"/>
      <c r="X127" s="2337"/>
      <c r="Y127" s="2338"/>
      <c r="Z127" s="2338"/>
      <c r="AA127" s="2338"/>
      <c r="AB127" s="2338"/>
      <c r="AC127" s="2338"/>
      <c r="AD127" s="2338"/>
      <c r="AE127" s="2338"/>
      <c r="AF127" s="2339"/>
      <c r="AG127" s="2361"/>
      <c r="AH127" s="2362"/>
      <c r="AI127" s="2362"/>
      <c r="AJ127" s="2362"/>
      <c r="AK127" s="2362"/>
      <c r="AL127" s="2362"/>
      <c r="AM127" s="2362"/>
      <c r="AN127" s="323"/>
    </row>
    <row r="128" spans="2:40" ht="6" customHeight="1">
      <c r="B128" s="398"/>
      <c r="C128" s="2324"/>
      <c r="D128" s="955"/>
      <c r="E128" s="955"/>
      <c r="F128" s="955"/>
      <c r="G128" s="955"/>
      <c r="H128" s="955"/>
      <c r="I128" s="955"/>
      <c r="J128" s="955"/>
      <c r="K128" s="955"/>
      <c r="L128" s="955"/>
      <c r="M128" s="955"/>
      <c r="N128" s="955"/>
      <c r="O128" s="956"/>
      <c r="P128" s="2331"/>
      <c r="Q128" s="2332"/>
      <c r="R128" s="2332"/>
      <c r="S128" s="2332"/>
      <c r="T128" s="2332"/>
      <c r="U128" s="2332"/>
      <c r="V128" s="2332"/>
      <c r="W128" s="2333"/>
      <c r="X128" s="2340"/>
      <c r="Y128" s="2341"/>
      <c r="Z128" s="2341"/>
      <c r="AA128" s="2341"/>
      <c r="AB128" s="2341"/>
      <c r="AC128" s="2341"/>
      <c r="AD128" s="2341"/>
      <c r="AE128" s="2341"/>
      <c r="AF128" s="2342"/>
      <c r="AG128" s="2363"/>
      <c r="AH128" s="2364"/>
      <c r="AI128" s="2364"/>
      <c r="AJ128" s="2364"/>
      <c r="AK128" s="2364"/>
      <c r="AL128" s="2364"/>
      <c r="AM128" s="2364"/>
      <c r="AN128" s="324"/>
    </row>
    <row r="129" spans="2:40" ht="3" customHeight="1">
      <c r="B129" s="149"/>
      <c r="C129" s="2324"/>
      <c r="D129" s="955"/>
      <c r="E129" s="955"/>
      <c r="F129" s="955"/>
      <c r="G129" s="955"/>
      <c r="H129" s="955"/>
      <c r="I129" s="955"/>
      <c r="J129" s="955"/>
      <c r="K129" s="955"/>
      <c r="L129" s="955"/>
      <c r="M129" s="955"/>
      <c r="N129" s="955"/>
      <c r="O129" s="956"/>
      <c r="P129" s="2331"/>
      <c r="Q129" s="2332"/>
      <c r="R129" s="2332"/>
      <c r="S129" s="2332"/>
      <c r="T129" s="2332"/>
      <c r="U129" s="2332"/>
      <c r="V129" s="2332"/>
      <c r="W129" s="2333"/>
      <c r="X129" s="2343"/>
      <c r="Y129" s="2344"/>
      <c r="Z129" s="2344"/>
      <c r="AA129" s="2344"/>
      <c r="AB129" s="2344"/>
      <c r="AC129" s="2344"/>
      <c r="AD129" s="2344"/>
      <c r="AE129" s="2344"/>
      <c r="AF129" s="2345"/>
      <c r="AG129" s="322"/>
      <c r="AH129" s="322"/>
      <c r="AI129" s="322"/>
      <c r="AJ129" s="322"/>
      <c r="AK129" s="322"/>
      <c r="AL129" s="322"/>
      <c r="AM129" s="322"/>
      <c r="AN129" s="373"/>
    </row>
    <row r="130" spans="2:40" ht="15" customHeight="1">
      <c r="B130" s="1341" t="s">
        <v>622</v>
      </c>
      <c r="C130" s="2321"/>
      <c r="D130" s="2322"/>
      <c r="E130" s="2322"/>
      <c r="F130" s="2322"/>
      <c r="G130" s="2322"/>
      <c r="H130" s="2322"/>
      <c r="I130" s="2322"/>
      <c r="J130" s="2322"/>
      <c r="K130" s="2322"/>
      <c r="L130" s="2322"/>
      <c r="M130" s="2322"/>
      <c r="N130" s="2322"/>
      <c r="O130" s="2323"/>
      <c r="P130" s="2328"/>
      <c r="Q130" s="2329"/>
      <c r="R130" s="2329"/>
      <c r="S130" s="2329"/>
      <c r="T130" s="2329"/>
      <c r="U130" s="2329"/>
      <c r="V130" s="2329"/>
      <c r="W130" s="2330"/>
      <c r="X130" s="2337"/>
      <c r="Y130" s="2338"/>
      <c r="Z130" s="2338"/>
      <c r="AA130" s="2338"/>
      <c r="AB130" s="2338"/>
      <c r="AC130" s="2338"/>
      <c r="AD130" s="2338"/>
      <c r="AE130" s="2338"/>
      <c r="AF130" s="2339"/>
      <c r="AG130" s="2155"/>
      <c r="AH130" s="2156"/>
      <c r="AI130" s="2156"/>
      <c r="AJ130" s="2156"/>
      <c r="AK130" s="2156"/>
      <c r="AL130" s="2156"/>
      <c r="AM130" s="2156"/>
      <c r="AN130" s="1411"/>
    </row>
    <row r="131" spans="2:40" ht="6" customHeight="1">
      <c r="B131" s="398"/>
      <c r="C131" s="2324"/>
      <c r="D131" s="955"/>
      <c r="E131" s="955"/>
      <c r="F131" s="955"/>
      <c r="G131" s="955"/>
      <c r="H131" s="955"/>
      <c r="I131" s="955"/>
      <c r="J131" s="955"/>
      <c r="K131" s="955"/>
      <c r="L131" s="955"/>
      <c r="M131" s="955"/>
      <c r="N131" s="955"/>
      <c r="O131" s="956"/>
      <c r="P131" s="2331"/>
      <c r="Q131" s="2332"/>
      <c r="R131" s="2332"/>
      <c r="S131" s="2332"/>
      <c r="T131" s="2332"/>
      <c r="U131" s="2332"/>
      <c r="V131" s="2332"/>
      <c r="W131" s="2333"/>
      <c r="X131" s="2340"/>
      <c r="Y131" s="2341"/>
      <c r="Z131" s="2341"/>
      <c r="AA131" s="2341"/>
      <c r="AB131" s="2341"/>
      <c r="AC131" s="2341"/>
      <c r="AD131" s="2341"/>
      <c r="AE131" s="2341"/>
      <c r="AF131" s="2342"/>
      <c r="AG131" s="810"/>
      <c r="AH131" s="302"/>
      <c r="AI131" s="302"/>
      <c r="AJ131" s="302"/>
      <c r="AK131" s="302"/>
      <c r="AL131" s="302"/>
      <c r="AM131" s="302"/>
      <c r="AN131" s="1353"/>
    </row>
    <row r="132" spans="2:40" ht="3" customHeight="1">
      <c r="B132" s="149"/>
      <c r="C132" s="2324"/>
      <c r="D132" s="955"/>
      <c r="E132" s="955"/>
      <c r="F132" s="955"/>
      <c r="G132" s="955"/>
      <c r="H132" s="955"/>
      <c r="I132" s="955"/>
      <c r="J132" s="955"/>
      <c r="K132" s="955"/>
      <c r="L132" s="955"/>
      <c r="M132" s="955"/>
      <c r="N132" s="955"/>
      <c r="O132" s="956"/>
      <c r="P132" s="2331"/>
      <c r="Q132" s="2332"/>
      <c r="R132" s="2332"/>
      <c r="S132" s="2332"/>
      <c r="T132" s="2332"/>
      <c r="U132" s="2332"/>
      <c r="V132" s="2332"/>
      <c r="W132" s="2333"/>
      <c r="X132" s="2343"/>
      <c r="Y132" s="2344"/>
      <c r="Z132" s="2344"/>
      <c r="AA132" s="2344"/>
      <c r="AB132" s="2344"/>
      <c r="AC132" s="2344"/>
      <c r="AD132" s="2344"/>
      <c r="AE132" s="2344"/>
      <c r="AF132" s="2345"/>
      <c r="AG132" s="302"/>
      <c r="AH132" s="302"/>
      <c r="AI132" s="302"/>
      <c r="AJ132" s="302"/>
      <c r="AK132" s="302"/>
      <c r="AL132" s="302"/>
      <c r="AM132" s="302"/>
      <c r="AN132" s="1353"/>
    </row>
    <row r="133" spans="2:40" ht="15" customHeight="1">
      <c r="B133" s="1341" t="s">
        <v>623</v>
      </c>
      <c r="C133" s="2321"/>
      <c r="D133" s="2322"/>
      <c r="E133" s="2322"/>
      <c r="F133" s="2322"/>
      <c r="G133" s="2322"/>
      <c r="H133" s="2322"/>
      <c r="I133" s="2322"/>
      <c r="J133" s="2322"/>
      <c r="K133" s="2322"/>
      <c r="L133" s="2322"/>
      <c r="M133" s="2322"/>
      <c r="N133" s="2322"/>
      <c r="O133" s="2323"/>
      <c r="P133" s="2328"/>
      <c r="Q133" s="2329"/>
      <c r="R133" s="2329"/>
      <c r="S133" s="2329"/>
      <c r="T133" s="2329"/>
      <c r="U133" s="2329"/>
      <c r="V133" s="2329"/>
      <c r="W133" s="2330"/>
      <c r="X133" s="2337"/>
      <c r="Y133" s="2338"/>
      <c r="Z133" s="2338"/>
      <c r="AA133" s="2338"/>
      <c r="AB133" s="2338"/>
      <c r="AC133" s="2338"/>
      <c r="AD133" s="2338"/>
      <c r="AE133" s="2338"/>
      <c r="AF133" s="2339"/>
      <c r="AG133" s="2155"/>
      <c r="AH133" s="2156"/>
      <c r="AI133" s="2156"/>
      <c r="AJ133" s="2156"/>
      <c r="AK133" s="2156"/>
      <c r="AL133" s="2156"/>
      <c r="AM133" s="2156"/>
      <c r="AN133" s="1412"/>
    </row>
    <row r="134" spans="2:40" ht="6" customHeight="1">
      <c r="B134" s="398"/>
      <c r="C134" s="2324"/>
      <c r="D134" s="955"/>
      <c r="E134" s="955"/>
      <c r="F134" s="955"/>
      <c r="G134" s="955"/>
      <c r="H134" s="955"/>
      <c r="I134" s="955"/>
      <c r="J134" s="955"/>
      <c r="K134" s="955"/>
      <c r="L134" s="955"/>
      <c r="M134" s="955"/>
      <c r="N134" s="955"/>
      <c r="O134" s="956"/>
      <c r="P134" s="2331"/>
      <c r="Q134" s="2332"/>
      <c r="R134" s="2332"/>
      <c r="S134" s="2332"/>
      <c r="T134" s="2332"/>
      <c r="U134" s="2332"/>
      <c r="V134" s="2332"/>
      <c r="W134" s="2333"/>
      <c r="X134" s="2340"/>
      <c r="Y134" s="2341"/>
      <c r="Z134" s="2341"/>
      <c r="AA134" s="2341"/>
      <c r="AB134" s="2341"/>
      <c r="AC134" s="2341"/>
      <c r="AD134" s="2341"/>
      <c r="AE134" s="2341"/>
      <c r="AF134" s="2342"/>
      <c r="AG134" s="810"/>
      <c r="AH134" s="302"/>
      <c r="AI134" s="302"/>
      <c r="AJ134" s="302"/>
      <c r="AK134" s="302"/>
      <c r="AL134" s="302"/>
      <c r="AM134" s="302"/>
      <c r="AN134" s="376"/>
    </row>
    <row r="135" spans="2:40" ht="3" customHeight="1">
      <c r="B135" s="149"/>
      <c r="C135" s="2324"/>
      <c r="D135" s="955"/>
      <c r="E135" s="955"/>
      <c r="F135" s="955"/>
      <c r="G135" s="955"/>
      <c r="H135" s="955"/>
      <c r="I135" s="955"/>
      <c r="J135" s="955"/>
      <c r="K135" s="955"/>
      <c r="L135" s="955"/>
      <c r="M135" s="955"/>
      <c r="N135" s="955"/>
      <c r="O135" s="956"/>
      <c r="P135" s="2331"/>
      <c r="Q135" s="2332"/>
      <c r="R135" s="2332"/>
      <c r="S135" s="2332"/>
      <c r="T135" s="2332"/>
      <c r="U135" s="2332"/>
      <c r="V135" s="2332"/>
      <c r="W135" s="2333"/>
      <c r="X135" s="2343"/>
      <c r="Y135" s="2344"/>
      <c r="Z135" s="2344"/>
      <c r="AA135" s="2344"/>
      <c r="AB135" s="2344"/>
      <c r="AC135" s="2344"/>
      <c r="AD135" s="2344"/>
      <c r="AE135" s="2344"/>
      <c r="AF135" s="2345"/>
      <c r="AG135" s="302"/>
      <c r="AH135" s="302"/>
      <c r="AI135" s="302"/>
      <c r="AJ135" s="302"/>
      <c r="AK135" s="302"/>
      <c r="AL135" s="302"/>
      <c r="AM135" s="302"/>
      <c r="AN135" s="820"/>
    </row>
    <row r="136" spans="2:40" ht="15" customHeight="1">
      <c r="B136" s="1341" t="s">
        <v>624</v>
      </c>
      <c r="C136" s="2321"/>
      <c r="D136" s="2322"/>
      <c r="E136" s="2322"/>
      <c r="F136" s="2322"/>
      <c r="G136" s="2322"/>
      <c r="H136" s="2322"/>
      <c r="I136" s="2322"/>
      <c r="J136" s="2322"/>
      <c r="K136" s="2322"/>
      <c r="L136" s="2322"/>
      <c r="M136" s="2322"/>
      <c r="N136" s="2322"/>
      <c r="O136" s="2323"/>
      <c r="P136" s="2328"/>
      <c r="Q136" s="2329"/>
      <c r="R136" s="2329"/>
      <c r="S136" s="2329"/>
      <c r="T136" s="2329"/>
      <c r="U136" s="2329"/>
      <c r="V136" s="2329"/>
      <c r="W136" s="2330"/>
      <c r="X136" s="2337"/>
      <c r="Y136" s="2338"/>
      <c r="Z136" s="2338"/>
      <c r="AA136" s="2338"/>
      <c r="AB136" s="2338"/>
      <c r="AC136" s="2338"/>
      <c r="AD136" s="2338"/>
      <c r="AE136" s="2338"/>
      <c r="AF136" s="2339"/>
      <c r="AG136" s="2155"/>
      <c r="AH136" s="2156"/>
      <c r="AI136" s="2156"/>
      <c r="AJ136" s="2156"/>
      <c r="AK136" s="2156"/>
      <c r="AL136" s="2156"/>
      <c r="AM136" s="2156"/>
      <c r="AN136" s="1412"/>
    </row>
    <row r="137" spans="2:40" ht="3.75" customHeight="1">
      <c r="B137" s="398"/>
      <c r="C137" s="2324"/>
      <c r="D137" s="955"/>
      <c r="E137" s="955"/>
      <c r="F137" s="955"/>
      <c r="G137" s="955"/>
      <c r="H137" s="955"/>
      <c r="I137" s="955"/>
      <c r="J137" s="955"/>
      <c r="K137" s="955"/>
      <c r="L137" s="955"/>
      <c r="M137" s="955"/>
      <c r="N137" s="955"/>
      <c r="O137" s="956"/>
      <c r="P137" s="2331"/>
      <c r="Q137" s="2332"/>
      <c r="R137" s="2332"/>
      <c r="S137" s="2332"/>
      <c r="T137" s="2332"/>
      <c r="U137" s="2332"/>
      <c r="V137" s="2332"/>
      <c r="W137" s="2333"/>
      <c r="X137" s="2340"/>
      <c r="Y137" s="2341"/>
      <c r="Z137" s="2341"/>
      <c r="AA137" s="2341"/>
      <c r="AB137" s="2341"/>
      <c r="AC137" s="2341"/>
      <c r="AD137" s="2341"/>
      <c r="AE137" s="2341"/>
      <c r="AF137" s="2342"/>
      <c r="AG137" s="810"/>
      <c r="AH137" s="302"/>
      <c r="AI137" s="302"/>
      <c r="AJ137" s="302"/>
      <c r="AK137" s="302"/>
      <c r="AL137" s="302"/>
      <c r="AM137" s="302"/>
      <c r="AN137" s="376"/>
    </row>
    <row r="138" spans="2:40" ht="3" customHeight="1">
      <c r="B138" s="149"/>
      <c r="C138" s="2324"/>
      <c r="D138" s="955"/>
      <c r="E138" s="955"/>
      <c r="F138" s="955"/>
      <c r="G138" s="955"/>
      <c r="H138" s="955"/>
      <c r="I138" s="955"/>
      <c r="J138" s="955"/>
      <c r="K138" s="955"/>
      <c r="L138" s="955"/>
      <c r="M138" s="955"/>
      <c r="N138" s="955"/>
      <c r="O138" s="956"/>
      <c r="P138" s="2331"/>
      <c r="Q138" s="2332"/>
      <c r="R138" s="2332"/>
      <c r="S138" s="2332"/>
      <c r="T138" s="2332"/>
      <c r="U138" s="2332"/>
      <c r="V138" s="2332"/>
      <c r="W138" s="2333"/>
      <c r="X138" s="2343"/>
      <c r="Y138" s="2344"/>
      <c r="Z138" s="2344"/>
      <c r="AA138" s="2344"/>
      <c r="AB138" s="2344"/>
      <c r="AC138" s="2344"/>
      <c r="AD138" s="2344"/>
      <c r="AE138" s="2344"/>
      <c r="AF138" s="2345"/>
      <c r="AG138" s="302"/>
      <c r="AH138" s="302"/>
      <c r="AI138" s="302"/>
      <c r="AJ138" s="302"/>
      <c r="AK138" s="302"/>
      <c r="AL138" s="302"/>
      <c r="AM138" s="302"/>
      <c r="AN138" s="820"/>
    </row>
    <row r="139" spans="2:40" ht="15" customHeight="1">
      <c r="B139" s="1341" t="s">
        <v>625</v>
      </c>
      <c r="C139" s="2321"/>
      <c r="D139" s="2322"/>
      <c r="E139" s="2322"/>
      <c r="F139" s="2322"/>
      <c r="G139" s="2322"/>
      <c r="H139" s="2322"/>
      <c r="I139" s="2322"/>
      <c r="J139" s="2322"/>
      <c r="K139" s="2322"/>
      <c r="L139" s="2322"/>
      <c r="M139" s="2322"/>
      <c r="N139" s="2322"/>
      <c r="O139" s="2323"/>
      <c r="P139" s="2328"/>
      <c r="Q139" s="2329"/>
      <c r="R139" s="2329"/>
      <c r="S139" s="2329"/>
      <c r="T139" s="2329"/>
      <c r="U139" s="2329"/>
      <c r="V139" s="2329"/>
      <c r="W139" s="2330"/>
      <c r="X139" s="2337"/>
      <c r="Y139" s="2338"/>
      <c r="Z139" s="2338"/>
      <c r="AA139" s="2338"/>
      <c r="AB139" s="2338"/>
      <c r="AC139" s="2338"/>
      <c r="AD139" s="2338"/>
      <c r="AE139" s="2338"/>
      <c r="AF139" s="2339"/>
      <c r="AG139" s="2155"/>
      <c r="AH139" s="2156"/>
      <c r="AI139" s="2156"/>
      <c r="AJ139" s="2156"/>
      <c r="AK139" s="2156"/>
      <c r="AL139" s="2156"/>
      <c r="AM139" s="2156"/>
      <c r="AN139" s="1412"/>
    </row>
    <row r="140" spans="2:40" ht="3.75" customHeight="1">
      <c r="B140" s="398"/>
      <c r="C140" s="2324"/>
      <c r="D140" s="955"/>
      <c r="E140" s="955"/>
      <c r="F140" s="955"/>
      <c r="G140" s="955"/>
      <c r="H140" s="955"/>
      <c r="I140" s="955"/>
      <c r="J140" s="955"/>
      <c r="K140" s="955"/>
      <c r="L140" s="955"/>
      <c r="M140" s="955"/>
      <c r="N140" s="955"/>
      <c r="O140" s="956"/>
      <c r="P140" s="2331"/>
      <c r="Q140" s="2332"/>
      <c r="R140" s="2332"/>
      <c r="S140" s="2332"/>
      <c r="T140" s="2332"/>
      <c r="U140" s="2332"/>
      <c r="V140" s="2332"/>
      <c r="W140" s="2333"/>
      <c r="X140" s="2340"/>
      <c r="Y140" s="2341"/>
      <c r="Z140" s="2341"/>
      <c r="AA140" s="2341"/>
      <c r="AB140" s="2341"/>
      <c r="AC140" s="2341"/>
      <c r="AD140" s="2341"/>
      <c r="AE140" s="2341"/>
      <c r="AF140" s="2342"/>
      <c r="AG140" s="810"/>
      <c r="AH140" s="302"/>
      <c r="AI140" s="302"/>
      <c r="AJ140" s="302"/>
      <c r="AK140" s="302"/>
      <c r="AL140" s="302"/>
      <c r="AM140" s="302"/>
      <c r="AN140" s="376"/>
    </row>
    <row r="141" spans="2:40" ht="3" customHeight="1">
      <c r="B141" s="2211"/>
      <c r="C141" s="2325"/>
      <c r="D141" s="2326"/>
      <c r="E141" s="2326"/>
      <c r="F141" s="2326"/>
      <c r="G141" s="2326"/>
      <c r="H141" s="2326"/>
      <c r="I141" s="2326"/>
      <c r="J141" s="2326"/>
      <c r="K141" s="2326"/>
      <c r="L141" s="2326"/>
      <c r="M141" s="2326"/>
      <c r="N141" s="2326"/>
      <c r="O141" s="2327"/>
      <c r="P141" s="2334"/>
      <c r="Q141" s="2335"/>
      <c r="R141" s="2335"/>
      <c r="S141" s="2335"/>
      <c r="T141" s="2335"/>
      <c r="U141" s="2335"/>
      <c r="V141" s="2335"/>
      <c r="W141" s="2336"/>
      <c r="X141" s="2358"/>
      <c r="Y141" s="2359"/>
      <c r="Z141" s="2359"/>
      <c r="AA141" s="2359"/>
      <c r="AB141" s="2359"/>
      <c r="AC141" s="2359"/>
      <c r="AD141" s="2359"/>
      <c r="AE141" s="2359"/>
      <c r="AF141" s="2360"/>
      <c r="AG141" s="420"/>
      <c r="AH141" s="420"/>
      <c r="AI141" s="420"/>
      <c r="AJ141" s="420"/>
      <c r="AK141" s="420"/>
      <c r="AL141" s="420"/>
      <c r="AM141" s="420"/>
      <c r="AN141" s="421"/>
    </row>
    <row r="142" spans="2:40" customHeight="1" thickBo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36" ht="15" customHeight="1" thickBot="1">
      <c r="B143" s="427" t="s">
        <v>132</v>
      </c>
      <c r="C143" s="428"/>
      <c r="D143" s="428"/>
      <c r="E143" s="428"/>
      <c r="F143" s="428"/>
      <c r="G143" s="428"/>
      <c r="H143" s="428"/>
      <c r="I143" s="428"/>
      <c r="J143" s="428"/>
      <c r="K143" s="428"/>
      <c r="L143" s="428"/>
      <c r="M143" s="428"/>
      <c r="N143" s="428"/>
      <c r="O143" s="428"/>
      <c r="P143" s="428"/>
      <c r="Q143" s="428"/>
      <c r="R143" s="428"/>
      <c r="S143" s="429"/>
      <c r="T143" s="427"/>
      <c r="U143" s="429"/>
      <c r="V143" s="56"/>
      <c r="W143" s="56"/>
      <c r="X143" s="56"/>
      <c r="Y143" s="56"/>
      <c r="Z143" s="56"/>
      <c r="AC143" s="65" t="s">
        <v>136</v>
      </c>
      <c r="AD143" s="65"/>
      <c r="AE143" s="65"/>
      <c r="AF143"/>
      <c r="AG143" s="1392">
        <v>2</v>
      </c>
      <c r="AH143" s="61" t="s">
        <v>137</v>
      </c>
      <c r="AI143" s="1395">
        <f ca="1">TOTAL_PAGES</f>
        <v>-2</v>
      </c>
      <c r="AJ143" s="65" t="s">
        <v>164</v>
      </c>
    </row>
    <row r="144" spans="1:41" customHeight="1">
      <c r="A144" s="1"/>
      <c r="B144" s="4"/>
      <c r="C144" s="4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O144" s="58"/>
    </row>
    <row r="147" spans="21:21" customHeight="1">
      <c r="U147" s="22"/>
    </row>
  </sheetData>
  <sheetProtection password="BDAF" sheet="1" objects="1" scenarios="1" selectLockedCells="1" selectUnlockedCells="1"/>
  <mergeCells count="194">
    <mergeCell ref="AP102:AV103"/>
    <mergeCell ref="B17:B19"/>
    <mergeCell ref="C17:Q19"/>
    <mergeCell ref="R17:AC17"/>
    <mergeCell ref="AD17:AN17"/>
    <mergeCell ref="R18:AC18"/>
    <mergeCell ref="R19:AC19"/>
    <mergeCell ref="AD19:AN19"/>
    <mergeCell ref="AK2:AL3"/>
    <mergeCell ref="AM2:AN3"/>
    <mergeCell ref="K3:AD3"/>
    <mergeCell ref="C5:J5"/>
    <mergeCell ref="L5:W5"/>
    <mergeCell ref="C6:J6"/>
    <mergeCell ref="B2:B8"/>
    <mergeCell ref="C2:J4"/>
    <mergeCell ref="K2:AD2"/>
    <mergeCell ref="AE2:AF8"/>
    <mergeCell ref="AG2:AH3"/>
    <mergeCell ref="AI2:AJ3"/>
    <mergeCell ref="B25:B26"/>
    <mergeCell ref="C25:Q26"/>
    <mergeCell ref="R25:AB26"/>
    <mergeCell ref="AD25:AM26"/>
    <mergeCell ref="AD27:AM29"/>
    <mergeCell ref="B28:B29"/>
    <mergeCell ref="C28:M29"/>
    <mergeCell ref="R28:AB29"/>
    <mergeCell ref="C20:Q20"/>
    <mergeCell ref="R20:AC20"/>
    <mergeCell ref="AD20:AN20"/>
    <mergeCell ref="B22:B23"/>
    <mergeCell ref="C22:Q23"/>
    <mergeCell ref="R22:AB23"/>
    <mergeCell ref="AD22:AM23"/>
    <mergeCell ref="B37:B38"/>
    <mergeCell ref="C37:Q38"/>
    <mergeCell ref="R37:AB38"/>
    <mergeCell ref="AD37:AM38"/>
    <mergeCell ref="B40:B41"/>
    <mergeCell ref="C40:P41"/>
    <mergeCell ref="R40:AB41"/>
    <mergeCell ref="AD40:AM41"/>
    <mergeCell ref="AD30:AM32"/>
    <mergeCell ref="B31:B32"/>
    <mergeCell ref="C31:Q32"/>
    <mergeCell ref="R31:AB32"/>
    <mergeCell ref="AD33:AM35"/>
    <mergeCell ref="B34:B35"/>
    <mergeCell ref="R34:AB35"/>
    <mergeCell ref="C35:P35"/>
    <mergeCell ref="AD48:AM50"/>
    <mergeCell ref="B49:B50"/>
    <mergeCell ref="C49:Q50"/>
    <mergeCell ref="R49:AB50"/>
    <mergeCell ref="AD51:AM53"/>
    <mergeCell ref="B52:B53"/>
    <mergeCell ref="C52:Q53"/>
    <mergeCell ref="R52:AB53"/>
    <mergeCell ref="B43:B44"/>
    <mergeCell ref="C43:M44"/>
    <mergeCell ref="N43:Q44"/>
    <mergeCell ref="R43:AB44"/>
    <mergeCell ref="AD43:AM44"/>
    <mergeCell ref="AD45:AM47"/>
    <mergeCell ref="B46:B47"/>
    <mergeCell ref="C46:Q47"/>
    <mergeCell ref="R46:AB47"/>
    <mergeCell ref="B61:B62"/>
    <mergeCell ref="R61:AB62"/>
    <mergeCell ref="AD61:AM62"/>
    <mergeCell ref="H62:Q62"/>
    <mergeCell ref="C63:Q65"/>
    <mergeCell ref="AB63:AC65"/>
    <mergeCell ref="AD63:AM65"/>
    <mergeCell ref="AD54:AM56"/>
    <mergeCell ref="B55:B56"/>
    <mergeCell ref="C55:Q56"/>
    <mergeCell ref="R55:AB56"/>
    <mergeCell ref="B58:B59"/>
    <mergeCell ref="C58:Q59"/>
    <mergeCell ref="R58:AB59"/>
    <mergeCell ref="AD58:AM59"/>
    <mergeCell ref="C72:D72"/>
    <mergeCell ref="N72:Q72"/>
    <mergeCell ref="R72:AC72"/>
    <mergeCell ref="AD72:AN72"/>
    <mergeCell ref="B73:B74"/>
    <mergeCell ref="E73:M74"/>
    <mergeCell ref="R73:AC74"/>
    <mergeCell ref="AD73:AN74"/>
    <mergeCell ref="B69:B71"/>
    <mergeCell ref="C69:D71"/>
    <mergeCell ref="E69:M70"/>
    <mergeCell ref="N69:Q69"/>
    <mergeCell ref="R69:AC69"/>
    <mergeCell ref="AD69:AN70"/>
    <mergeCell ref="N70:Q70"/>
    <mergeCell ref="R70:AC70"/>
    <mergeCell ref="E72:M72"/>
    <mergeCell ref="C73:D74"/>
    <mergeCell ref="N73:Q74"/>
    <mergeCell ref="B96:B98"/>
    <mergeCell ref="C96:D98"/>
    <mergeCell ref="E96:M97"/>
    <mergeCell ref="N96:Y96"/>
    <mergeCell ref="Z96:AC96"/>
    <mergeCell ref="AD96:AN97"/>
    <mergeCell ref="N97:Y97"/>
    <mergeCell ref="Z97:AC97"/>
    <mergeCell ref="B76:B77"/>
    <mergeCell ref="B79:B80"/>
    <mergeCell ref="B82:B84"/>
    <mergeCell ref="C88:M90"/>
    <mergeCell ref="P88:Q90"/>
    <mergeCell ref="R88:AB90"/>
    <mergeCell ref="C76:D77"/>
    <mergeCell ref="E76:M77"/>
    <mergeCell ref="R76:AC77"/>
    <mergeCell ref="C79:D80"/>
    <mergeCell ref="E79:M80"/>
    <mergeCell ref="R79:AC80"/>
    <mergeCell ref="C82:D83"/>
    <mergeCell ref="E82:M83"/>
    <mergeCell ref="R82:AC83"/>
    <mergeCell ref="C85:D86"/>
    <mergeCell ref="B103:B104"/>
    <mergeCell ref="B106:B107"/>
    <mergeCell ref="B109:B110"/>
    <mergeCell ref="C115:Y117"/>
    <mergeCell ref="AB115:AC117"/>
    <mergeCell ref="AD115:AM117"/>
    <mergeCell ref="C99:D99"/>
    <mergeCell ref="E99:M99"/>
    <mergeCell ref="N99:Y99"/>
    <mergeCell ref="Z99:AC99"/>
    <mergeCell ref="AD99:AN99"/>
    <mergeCell ref="B100:B101"/>
    <mergeCell ref="E100:M101"/>
    <mergeCell ref="AD100:AN101"/>
    <mergeCell ref="C109:D110"/>
    <mergeCell ref="E109:M110"/>
    <mergeCell ref="AD109:AN110"/>
    <mergeCell ref="C100:D101"/>
    <mergeCell ref="C103:D104"/>
    <mergeCell ref="E103:M104"/>
    <mergeCell ref="AD103:AN104"/>
    <mergeCell ref="C106:D107"/>
    <mergeCell ref="E106:M107"/>
    <mergeCell ref="AD106:AN107"/>
    <mergeCell ref="P127:W129"/>
    <mergeCell ref="X127:AF129"/>
    <mergeCell ref="AG127:AM128"/>
    <mergeCell ref="B130:B131"/>
    <mergeCell ref="C130:O132"/>
    <mergeCell ref="P130:W132"/>
    <mergeCell ref="X130:AF132"/>
    <mergeCell ref="AG130:AM131"/>
    <mergeCell ref="B123:B125"/>
    <mergeCell ref="C123:O125"/>
    <mergeCell ref="P123:W125"/>
    <mergeCell ref="X123:AF125"/>
    <mergeCell ref="AG123:AN125"/>
    <mergeCell ref="C126:O126"/>
    <mergeCell ref="P126:W126"/>
    <mergeCell ref="X126:AF126"/>
    <mergeCell ref="AG126:AN126"/>
    <mergeCell ref="B127:B128"/>
    <mergeCell ref="C127:O129"/>
    <mergeCell ref="B139:B141"/>
    <mergeCell ref="C139:O141"/>
    <mergeCell ref="P139:W141"/>
    <mergeCell ref="X139:AF141"/>
    <mergeCell ref="AG139:AM140"/>
    <mergeCell ref="B133:B134"/>
    <mergeCell ref="C133:O135"/>
    <mergeCell ref="P133:W135"/>
    <mergeCell ref="X133:AF135"/>
    <mergeCell ref="AG133:AM134"/>
    <mergeCell ref="B136:B137"/>
    <mergeCell ref="C136:O138"/>
    <mergeCell ref="P136:W138"/>
    <mergeCell ref="X136:AF138"/>
    <mergeCell ref="AG136:AM137"/>
    <mergeCell ref="N76:Q77"/>
    <mergeCell ref="N79:Q80"/>
    <mergeCell ref="N82:Q83"/>
    <mergeCell ref="N85:Q86"/>
    <mergeCell ref="AD76:AN77"/>
    <mergeCell ref="AD79:AN80"/>
    <mergeCell ref="AD82:AN83"/>
    <mergeCell ref="AD85:AN86"/>
    <mergeCell ref="E85:M86"/>
    <mergeCell ref="R85:AC86"/>
  </mergeCells>
  <printOptions horizontalCentered="1"/>
  <pageMargins left="0.23622047244094491" right="0.19685039370078741" top="0.38" bottom="0" header="0.31" footer="0.23622047244094491"/>
  <pageSetup paperSize="5" scale="65" orientation="portrait" r:id="rId1"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</sheetPr>
  <dimension ref="A2:BX158"/>
  <sheetViews>
    <sheetView zoomScale="75" zoomScaleNormal="75" zoomScaleSheetLayoutView="75" view="pageBreakPreview" workbookViewId="0">
      <selection pane="topLeft" activeCell="O116" sqref="O116"/>
    </sheetView>
  </sheetViews>
  <sheetFormatPr defaultColWidth="4.56640625" defaultRowHeight="12.5" baseColWidth="0"/>
  <cols>
    <col min="1" max="1" width="6.56640625" style="636" customWidth="1"/>
    <col min="2" max="2" width="7.56640625" style="636" customWidth="1"/>
    <col min="3" max="3" width="5.99609375" style="636" customWidth="1"/>
    <col min="4" max="4" width="6.421875" style="636" customWidth="1"/>
    <col min="5" max="5" width="6.28125" style="636" customWidth="1"/>
    <col min="6" max="6" width="4.421875" style="636" customWidth="1"/>
    <col min="7" max="7" width="5.8515625" style="636" customWidth="1"/>
    <col min="8" max="8" width="4.421875" style="636" customWidth="1"/>
    <col min="9" max="9" width="5.8515625" style="636" customWidth="1"/>
    <col min="10" max="10" width="5.56640625" style="636" customWidth="1"/>
    <col min="11" max="11" width="6.13671875" style="636" customWidth="1"/>
    <col min="12" max="12" width="5.28125" style="636" customWidth="1"/>
    <col min="13" max="13" width="2.99609375" style="636" customWidth="1"/>
    <col min="14" max="14" width="4.7109375" style="636" customWidth="1"/>
    <col min="15" max="15" width="4.13671875" style="636" customWidth="1"/>
    <col min="16" max="16" width="4.28125" style="636" customWidth="1"/>
    <col min="17" max="17" width="5.421875" style="636" customWidth="1"/>
    <col min="18" max="18" width="4.7109375" style="636" customWidth="1"/>
    <col min="19" max="19" width="4.99609375" style="636" customWidth="1"/>
    <col min="20" max="20" width="3.8515625" style="636" customWidth="1"/>
    <col min="21" max="21" width="5.99609375" style="636" customWidth="1"/>
    <col min="22" max="22" width="5.8515625" style="636" customWidth="1"/>
    <col min="23" max="23" width="5.28125" style="636" customWidth="1"/>
    <col min="24" max="24" width="8.28125" style="636" customWidth="1"/>
    <col min="25" max="25" width="3.7109375" style="636" customWidth="1"/>
    <col min="26" max="26" width="4.13671875" style="636" customWidth="1"/>
    <col min="27" max="27" width="3.7109375" style="636" customWidth="1"/>
    <col min="28" max="28" width="5.8515625" style="636" customWidth="1"/>
    <col min="29" max="29" width="4.421875" style="636" customWidth="1"/>
    <col min="30" max="16384" width="4.56640625" style="636" customWidth="1"/>
  </cols>
  <sheetData>
    <row r="2" spans="1:29" ht="11.25" customHeight="1">
      <c r="A2" s="636"/>
      <c r="B2" s="636"/>
      <c r="C2" s="636"/>
      <c r="D2" s="636"/>
      <c r="E2" s="636"/>
      <c r="F2" s="636"/>
      <c r="G2" s="636"/>
      <c r="H2" s="636"/>
      <c r="I2" s="636"/>
      <c r="Z2" s="636"/>
      <c r="AA2" s="636"/>
      <c r="AB2" s="636"/>
      <c r="AC2" s="637"/>
    </row>
    <row r="3" spans="26:29" ht="3.75" customHeight="1">
      <c r="Z3" s="636"/>
      <c r="AA3" s="636"/>
      <c r="AB3" s="636"/>
      <c r="AC3" s="637"/>
    </row>
    <row r="4" spans="1:29" ht="6" customHeight="1">
      <c r="A4" s="636"/>
      <c r="B4" s="636"/>
      <c r="C4" s="636"/>
      <c r="D4" s="636"/>
      <c r="E4" s="636"/>
      <c r="F4" s="636"/>
      <c r="G4" s="636"/>
      <c r="H4" s="636"/>
      <c r="I4" s="636"/>
      <c r="Z4" s="636"/>
      <c r="AA4" s="636"/>
      <c r="AB4" s="636"/>
      <c r="AC4" s="637"/>
    </row>
    <row r="5" spans="1:29" ht="33" customHeight="1">
      <c r="A5" s="2967" t="s">
        <v>474</v>
      </c>
      <c r="B5" s="2967"/>
      <c r="C5" s="2967"/>
      <c r="D5" s="2967"/>
      <c r="E5" s="2967"/>
      <c r="F5" s="2967"/>
      <c r="G5" s="2967"/>
      <c r="H5" s="2967"/>
      <c r="I5" s="2967"/>
      <c r="J5" s="2967"/>
      <c r="K5" s="2967"/>
      <c r="L5" s="2967"/>
      <c r="M5" s="2967"/>
      <c r="N5" s="2967"/>
      <c r="O5" s="2967"/>
      <c r="P5" s="2967"/>
      <c r="Q5" s="2967"/>
      <c r="R5" s="2967"/>
      <c r="S5" s="2967"/>
      <c r="T5" s="2967"/>
      <c r="U5" s="2967"/>
      <c r="V5" s="2967"/>
      <c r="W5" s="2967"/>
      <c r="X5" s="2967"/>
      <c r="Y5" s="2967"/>
      <c r="Z5" s="2967"/>
      <c r="AA5" s="2967"/>
      <c r="AB5" s="2967"/>
      <c r="AC5" s="2967"/>
    </row>
    <row r="6" spans="1:29" s="636" customFormat="1" ht="33.65" customHeight="1">
      <c r="A6" s="638" t="s">
        <v>887</v>
      </c>
      <c r="B6" s="638"/>
      <c r="C6" s="638"/>
      <c r="D6" s="638"/>
      <c r="E6" s="638"/>
      <c r="F6" s="638"/>
      <c r="G6" s="638">
        <f>'Attachment'!G5</f>
        <v>0</v>
      </c>
      <c r="H6" s="638"/>
      <c r="I6" s="638"/>
      <c r="S6" s="639"/>
      <c r="T6" s="637"/>
      <c r="U6" s="637"/>
      <c r="V6" s="637"/>
      <c r="W6" s="637"/>
      <c r="X6" s="637"/>
      <c r="Y6" s="640"/>
      <c r="Z6" s="641"/>
      <c r="AA6" s="642"/>
      <c r="AB6" s="637"/>
      <c r="AC6" s="637"/>
    </row>
    <row r="7" spans="1:29" s="636" customFormat="1" ht="23.5" customHeight="1">
      <c r="A7" s="638" t="s">
        <v>888</v>
      </c>
      <c r="B7" s="638"/>
      <c r="C7" s="638"/>
      <c r="D7" s="638"/>
      <c r="E7" s="638"/>
      <c r="F7" s="638"/>
      <c r="G7" s="638" t="str">
        <f>'Attachment'!G6</f>
        <v>...-.</v>
      </c>
      <c r="H7" s="638"/>
      <c r="I7" s="638"/>
      <c r="J7" s="636"/>
      <c r="K7" s="636"/>
      <c r="L7" s="636"/>
      <c r="M7" s="636"/>
      <c r="N7" s="636"/>
      <c r="O7" s="636"/>
      <c r="P7" s="636"/>
      <c r="Q7" s="636"/>
      <c r="R7" s="636"/>
      <c r="S7" s="639"/>
      <c r="T7" s="637"/>
      <c r="U7" s="637"/>
      <c r="V7" s="637"/>
      <c r="W7" s="637"/>
      <c r="X7" s="637"/>
      <c r="Y7" s="640"/>
      <c r="Z7" s="641"/>
      <c r="AA7" s="642"/>
      <c r="AB7" s="637"/>
      <c r="AC7" s="637"/>
    </row>
    <row r="8" spans="1:29" s="636" customFormat="1" ht="6" customHeight="1">
      <c r="A8" s="638"/>
      <c r="B8" s="638"/>
      <c r="C8" s="638"/>
      <c r="D8" s="638"/>
      <c r="E8" s="638"/>
      <c r="F8" s="638"/>
      <c r="G8" s="638"/>
      <c r="H8" s="638"/>
      <c r="I8" s="638"/>
      <c r="J8" s="636"/>
      <c r="K8" s="636"/>
      <c r="L8" s="636"/>
      <c r="M8" s="636"/>
      <c r="N8" s="636"/>
      <c r="O8" s="636"/>
      <c r="P8" s="636"/>
      <c r="Q8" s="636"/>
      <c r="R8" s="636"/>
      <c r="S8" s="639"/>
      <c r="T8" s="637"/>
      <c r="U8" s="637"/>
      <c r="V8" s="637"/>
      <c r="W8" s="637"/>
      <c r="X8" s="637"/>
      <c r="Y8" s="640"/>
      <c r="Z8" s="641"/>
      <c r="AA8" s="642"/>
      <c r="AB8" s="637"/>
      <c r="AC8" s="637"/>
    </row>
    <row r="9" spans="1:30" ht="3" customHeight="1">
      <c r="A9" s="843"/>
      <c r="B9" s="843"/>
      <c r="C9" s="843"/>
      <c r="D9" s="843"/>
      <c r="E9" s="843"/>
      <c r="F9" s="843"/>
      <c r="G9" s="843"/>
      <c r="H9" s="843"/>
      <c r="I9" s="843"/>
      <c r="J9" s="843"/>
      <c r="K9" s="843"/>
      <c r="L9" s="843"/>
      <c r="M9" s="843"/>
      <c r="N9" s="843"/>
      <c r="O9" s="843"/>
      <c r="P9" s="843"/>
      <c r="Q9" s="843"/>
      <c r="R9" s="843"/>
      <c r="S9" s="843"/>
      <c r="T9" s="843"/>
      <c r="U9" s="843"/>
      <c r="V9" s="843"/>
      <c r="W9" s="843"/>
      <c r="X9" s="843"/>
      <c r="Y9" s="843"/>
      <c r="Z9" s="843"/>
      <c r="AA9" s="843"/>
      <c r="AB9" s="843"/>
      <c r="AC9" s="844"/>
      <c r="AD9" s="643"/>
    </row>
    <row r="10" spans="1:30" ht="3.75" customHeight="1">
      <c r="A10" s="843"/>
      <c r="B10" s="843"/>
      <c r="C10" s="843"/>
      <c r="D10" s="843"/>
      <c r="E10" s="843"/>
      <c r="F10" s="843"/>
      <c r="G10" s="843"/>
      <c r="H10" s="843"/>
      <c r="I10" s="843"/>
      <c r="J10" s="843"/>
      <c r="K10" s="843"/>
      <c r="L10" s="843"/>
      <c r="M10" s="843"/>
      <c r="N10" s="843"/>
      <c r="O10" s="843"/>
      <c r="P10" s="843"/>
      <c r="Q10" s="843"/>
      <c r="R10" s="843"/>
      <c r="S10" s="843"/>
      <c r="T10" s="843"/>
      <c r="U10" s="843"/>
      <c r="V10" s="843"/>
      <c r="W10" s="843"/>
      <c r="X10" s="843"/>
      <c r="Y10" s="843"/>
      <c r="Z10" s="843"/>
      <c r="AA10" s="843"/>
      <c r="AB10" s="843"/>
      <c r="AC10" s="844"/>
      <c r="AD10" s="643"/>
    </row>
    <row r="11" spans="3:27" s="644" customFormat="1" ht="24" customHeight="1">
      <c r="C11" s="645"/>
      <c r="D11" s="646"/>
      <c r="E11" s="646"/>
      <c r="F11" s="646"/>
      <c r="G11" s="646"/>
      <c r="H11" s="646"/>
      <c r="I11" s="646"/>
      <c r="J11" s="646"/>
      <c r="K11" s="646"/>
      <c r="L11" s="645"/>
      <c r="M11" s="645"/>
      <c r="N11" s="645"/>
      <c r="O11" s="645"/>
      <c r="P11" s="645"/>
      <c r="Q11" s="645"/>
      <c r="R11" s="645"/>
      <c r="S11" s="646"/>
      <c r="T11" s="646"/>
      <c r="U11" s="646"/>
      <c r="V11" s="646"/>
      <c r="W11" s="645"/>
      <c r="X11" s="647"/>
      <c r="Y11" s="647"/>
      <c r="Z11" s="647"/>
      <c r="AA11" s="647"/>
    </row>
    <row r="12" spans="3:27" s="644" customFormat="1" ht="24" customHeight="1">
      <c r="C12" s="645"/>
      <c r="D12" s="646"/>
      <c r="E12" s="646"/>
      <c r="F12" s="646"/>
      <c r="G12" s="646"/>
      <c r="H12" s="646"/>
      <c r="I12" s="646"/>
      <c r="J12" s="646"/>
      <c r="K12" s="646"/>
      <c r="L12" s="645"/>
      <c r="M12" s="645"/>
      <c r="N12" s="645"/>
      <c r="O12" s="645"/>
      <c r="P12" s="645"/>
      <c r="Q12" s="645"/>
      <c r="R12" s="645"/>
      <c r="S12" s="646"/>
      <c r="T12" s="646"/>
      <c r="U12" s="646"/>
      <c r="V12" s="646"/>
      <c r="W12" s="645"/>
      <c r="X12" s="647"/>
      <c r="Y12" s="647"/>
      <c r="Z12" s="647"/>
      <c r="AA12" s="647"/>
    </row>
    <row r="13" spans="1:54" s="644" customFormat="1" ht="17.25" customHeight="1">
      <c r="A13" s="648" t="s">
        <v>560</v>
      </c>
      <c r="B13" s="636"/>
      <c r="C13" s="636"/>
      <c r="D13" s="636"/>
      <c r="E13" s="636"/>
      <c r="F13" s="636"/>
      <c r="G13" s="636"/>
      <c r="H13" s="636"/>
      <c r="I13" s="636"/>
      <c r="J13" s="636"/>
      <c r="K13" s="636"/>
      <c r="L13" s="636"/>
      <c r="M13" s="636"/>
      <c r="N13" s="636"/>
      <c r="O13" s="636"/>
      <c r="P13" s="636"/>
      <c r="Q13" s="636"/>
      <c r="R13" s="636"/>
      <c r="S13" s="636"/>
      <c r="T13" s="636"/>
      <c r="U13" s="636"/>
      <c r="V13" s="636"/>
      <c r="W13" s="636"/>
      <c r="X13" s="636"/>
      <c r="Y13" s="636"/>
      <c r="Z13" s="636"/>
      <c r="AA13" s="636"/>
      <c r="AB13" s="636"/>
      <c r="AC13" s="636"/>
      <c r="AD13" s="645"/>
      <c r="AE13" s="645"/>
      <c r="AF13" s="645"/>
      <c r="AG13" s="645"/>
      <c r="AH13" s="645"/>
      <c r="AI13" s="645"/>
      <c r="AJ13" s="645"/>
      <c r="AK13" s="645"/>
      <c r="AL13" s="645"/>
      <c r="AM13" s="645"/>
      <c r="AN13" s="645"/>
      <c r="AO13" s="645"/>
      <c r="AP13" s="645"/>
      <c r="AQ13" s="645"/>
      <c r="AR13" s="645"/>
      <c r="AS13" s="645"/>
      <c r="AT13" s="645"/>
      <c r="AU13" s="645"/>
      <c r="AV13" s="645"/>
      <c r="AW13" s="645"/>
      <c r="AX13" s="645"/>
      <c r="AY13" s="649"/>
      <c r="AZ13" s="650"/>
      <c r="BA13" s="650"/>
      <c r="BB13" s="650"/>
    </row>
    <row r="14" spans="1:55" s="644" customFormat="1" ht="17.25" customHeight="1" thickBot="1">
      <c r="A14" s="648"/>
      <c r="B14" s="636"/>
      <c r="C14" s="636"/>
      <c r="D14" s="636"/>
      <c r="E14" s="636"/>
      <c r="F14" s="636"/>
      <c r="G14" s="636"/>
      <c r="H14" s="636"/>
      <c r="I14" s="636"/>
      <c r="J14" s="636"/>
      <c r="K14" s="636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636"/>
      <c r="Y14" s="636"/>
      <c r="Z14" s="636"/>
      <c r="AA14" s="636"/>
      <c r="AB14" s="636"/>
      <c r="AC14" s="636"/>
      <c r="AD14" s="645"/>
      <c r="AE14" s="645"/>
      <c r="AF14" s="645"/>
      <c r="AG14" s="645"/>
      <c r="AH14" s="645"/>
      <c r="AI14" s="645"/>
      <c r="AJ14" s="645"/>
      <c r="AK14" s="645"/>
      <c r="AL14" s="645"/>
      <c r="AM14" s="645"/>
      <c r="AN14" s="645"/>
      <c r="AO14" s="645"/>
      <c r="AP14" s="645"/>
      <c r="AQ14" s="645"/>
      <c r="AR14" s="645"/>
      <c r="AS14" s="645"/>
      <c r="AT14" s="645"/>
      <c r="AU14" s="645"/>
      <c r="AV14" s="645"/>
      <c r="AW14" s="645"/>
      <c r="AX14" s="645"/>
      <c r="AY14" s="645"/>
      <c r="AZ14" s="649"/>
      <c r="BA14" s="650"/>
      <c r="BB14" s="650"/>
      <c r="BC14" s="650"/>
    </row>
    <row r="15" spans="1:52" ht="38.5" customHeight="1">
      <c r="A15" s="2586" t="s">
        <v>561</v>
      </c>
      <c r="B15" s="2587"/>
      <c r="C15" s="2587"/>
      <c r="D15" s="2587"/>
      <c r="E15" s="2588"/>
      <c r="F15" s="2592" t="s">
        <v>562</v>
      </c>
      <c r="G15" s="2593"/>
      <c r="H15" s="2593"/>
      <c r="I15" s="2593"/>
      <c r="J15" s="2593"/>
      <c r="K15" s="2593"/>
      <c r="L15" s="2593"/>
      <c r="M15" s="2594"/>
      <c r="N15" s="2592" t="s">
        <v>865</v>
      </c>
      <c r="O15" s="2593"/>
      <c r="P15" s="2593"/>
      <c r="Q15" s="2593"/>
      <c r="R15" s="2593"/>
      <c r="S15" s="2593"/>
      <c r="T15" s="2593"/>
      <c r="U15" s="2594"/>
      <c r="V15" s="2592" t="s">
        <v>1314</v>
      </c>
      <c r="W15" s="2593"/>
      <c r="X15" s="2593"/>
      <c r="Y15" s="2593"/>
      <c r="Z15" s="2593"/>
      <c r="AA15" s="2593"/>
      <c r="AB15" s="2593"/>
      <c r="AC15" s="2971"/>
      <c r="AZ15" s="644"/>
    </row>
    <row r="16" spans="1:52" ht="49.5" customHeight="1">
      <c r="A16" s="2979"/>
      <c r="B16" s="2980"/>
      <c r="C16" s="2980"/>
      <c r="D16" s="2980"/>
      <c r="E16" s="2981"/>
      <c r="F16" s="2968" t="s">
        <v>604</v>
      </c>
      <c r="G16" s="2969"/>
      <c r="H16" s="2969"/>
      <c r="I16" s="2970"/>
      <c r="J16" s="2968" t="s">
        <v>605</v>
      </c>
      <c r="K16" s="2969"/>
      <c r="L16" s="2969"/>
      <c r="M16" s="2970"/>
      <c r="N16" s="2968" t="s">
        <v>604</v>
      </c>
      <c r="O16" s="2969"/>
      <c r="P16" s="2969"/>
      <c r="Q16" s="2970"/>
      <c r="R16" s="2968" t="s">
        <v>605</v>
      </c>
      <c r="S16" s="2969"/>
      <c r="T16" s="2969"/>
      <c r="U16" s="2970"/>
      <c r="V16" s="2904" t="s">
        <v>1315</v>
      </c>
      <c r="W16" s="2905"/>
      <c r="X16" s="2905"/>
      <c r="Y16" s="2972"/>
      <c r="Z16" s="2904" t="s">
        <v>1316</v>
      </c>
      <c r="AA16" s="2905"/>
      <c r="AB16" s="2905"/>
      <c r="AC16" s="2906"/>
      <c r="AZ16" s="651"/>
    </row>
    <row r="17" spans="1:52" ht="15.65" customHeight="1" thickBot="1">
      <c r="A17" s="2928" t="s">
        <v>65</v>
      </c>
      <c r="B17" s="2929"/>
      <c r="C17" s="2929"/>
      <c r="D17" s="2929"/>
      <c r="E17" s="2930"/>
      <c r="F17" s="2931" t="s">
        <v>64</v>
      </c>
      <c r="G17" s="2932"/>
      <c r="H17" s="2932"/>
      <c r="I17" s="2933"/>
      <c r="J17" s="2931" t="s">
        <v>66</v>
      </c>
      <c r="K17" s="2932"/>
      <c r="L17" s="2932"/>
      <c r="M17" s="2933"/>
      <c r="N17" s="2931" t="s">
        <v>67</v>
      </c>
      <c r="O17" s="2932"/>
      <c r="P17" s="2932"/>
      <c r="Q17" s="2933"/>
      <c r="R17" s="2931" t="s">
        <v>68</v>
      </c>
      <c r="S17" s="2932"/>
      <c r="T17" s="2932"/>
      <c r="U17" s="2933"/>
      <c r="V17" s="2934" t="s">
        <v>99</v>
      </c>
      <c r="W17" s="2907"/>
      <c r="X17" s="2907"/>
      <c r="Y17" s="2935"/>
      <c r="Z17" s="2907" t="s">
        <v>149</v>
      </c>
      <c r="AA17" s="2907"/>
      <c r="AB17" s="2907"/>
      <c r="AC17" s="2908"/>
      <c r="AZ17" s="651"/>
    </row>
    <row r="18" spans="1:51" ht="13.5" customHeight="1">
      <c r="A18" s="652"/>
      <c r="B18" s="653"/>
      <c r="C18" s="653"/>
      <c r="D18" s="653"/>
      <c r="E18" s="653"/>
      <c r="F18" s="654"/>
      <c r="G18" s="654"/>
      <c r="H18" s="654"/>
      <c r="I18" s="654"/>
      <c r="J18" s="654"/>
      <c r="K18" s="654"/>
      <c r="L18" s="654"/>
      <c r="M18" s="654"/>
      <c r="N18" s="654"/>
      <c r="O18" s="654"/>
      <c r="P18" s="654"/>
      <c r="Q18" s="654"/>
      <c r="R18" s="654"/>
      <c r="S18" s="654"/>
      <c r="T18" s="654"/>
      <c r="U18" s="654"/>
      <c r="V18" s="1279"/>
      <c r="W18" s="1279"/>
      <c r="X18" s="1279"/>
      <c r="Y18" s="1279"/>
      <c r="Z18" s="1279"/>
      <c r="AA18" s="1279"/>
      <c r="AB18" s="1279"/>
      <c r="AC18" s="1280"/>
      <c r="AD18" s="1282"/>
      <c r="AE18" s="1282"/>
      <c r="AF18" s="1282"/>
      <c r="AG18" s="1282"/>
      <c r="AH18" s="1282"/>
      <c r="AI18" s="1282"/>
      <c r="AJ18" s="1282"/>
      <c r="AK18" s="3002"/>
      <c r="AL18" s="3002"/>
      <c r="AM18" s="3002"/>
      <c r="AN18" s="3002"/>
      <c r="AO18" s="3002"/>
      <c r="AP18" s="3002"/>
      <c r="AQ18" s="3002"/>
      <c r="AR18" s="3002"/>
      <c r="AS18" s="3002"/>
      <c r="AT18" s="3002"/>
      <c r="AU18" s="3002"/>
      <c r="AV18" s="3002"/>
      <c r="AW18" s="3002"/>
      <c r="AX18" s="3002"/>
      <c r="AY18" s="3002"/>
    </row>
    <row r="19" spans="1:51">
      <c r="A19" s="656" t="s">
        <v>603</v>
      </c>
      <c r="B19" s="636"/>
      <c r="C19" s="636"/>
      <c r="D19" s="636"/>
      <c r="E19" s="636"/>
      <c r="F19" s="3001">
        <f>'Attachment'!F61</f>
        <v>0</v>
      </c>
      <c r="G19" s="3001"/>
      <c r="H19" s="3001"/>
      <c r="I19" s="3001"/>
      <c r="J19" s="3001"/>
      <c r="K19" s="3001"/>
      <c r="L19" s="636"/>
      <c r="M19" s="636"/>
      <c r="N19" s="636"/>
      <c r="O19" s="636"/>
      <c r="P19" s="636"/>
      <c r="Q19" s="636"/>
      <c r="R19" s="636"/>
      <c r="S19" s="636"/>
      <c r="T19" s="636"/>
      <c r="U19" s="636"/>
      <c r="V19" s="682"/>
      <c r="W19" s="682"/>
      <c r="X19" s="682"/>
      <c r="Y19" s="682"/>
      <c r="Z19" s="682"/>
      <c r="AA19" s="682"/>
      <c r="AB19" s="682"/>
      <c r="AC19" s="1283"/>
      <c r="AD19" s="657"/>
      <c r="AE19" s="657"/>
      <c r="AF19" s="657"/>
      <c r="AG19" s="657"/>
      <c r="AH19" s="658"/>
      <c r="AI19" s="658"/>
      <c r="AJ19" s="658"/>
      <c r="AK19" s="658"/>
      <c r="AL19" s="658"/>
      <c r="AM19" s="658"/>
      <c r="AN19" s="658"/>
      <c r="AO19" s="658"/>
      <c r="AP19" s="658"/>
      <c r="AQ19" s="658"/>
      <c r="AR19" s="658"/>
      <c r="AS19" s="658"/>
      <c r="AT19" s="658"/>
      <c r="AU19" s="658"/>
      <c r="AV19" s="658"/>
      <c r="AW19" s="658"/>
      <c r="AX19" s="658"/>
      <c r="AY19" s="658"/>
    </row>
    <row r="20" spans="1:56">
      <c r="A20" s="2601" t="s">
        <v>602</v>
      </c>
      <c r="B20" s="2602"/>
      <c r="C20" s="2602"/>
      <c r="D20" s="2602"/>
      <c r="E20" s="2603"/>
      <c r="F20" s="2541">
        <f>'Attachment'!F62</f>
        <v>0</v>
      </c>
      <c r="G20" s="2542"/>
      <c r="H20" s="2542"/>
      <c r="I20" s="2543"/>
      <c r="J20" s="2529">
        <f>'Attachment'!J62</f>
        <v>0</v>
      </c>
      <c r="K20" s="2530"/>
      <c r="L20" s="2530"/>
      <c r="M20" s="2531"/>
      <c r="N20" s="2541">
        <f>'Attachment'!N62</f>
        <v>0</v>
      </c>
      <c r="O20" s="2542"/>
      <c r="P20" s="2542"/>
      <c r="Q20" s="2543"/>
      <c r="R20" s="2529">
        <f>'Attachment'!R62</f>
        <v>0</v>
      </c>
      <c r="S20" s="2530"/>
      <c r="T20" s="2530"/>
      <c r="U20" s="2531"/>
      <c r="V20" s="2529">
        <f>'Attachment'!V62</f>
        <v>0</v>
      </c>
      <c r="W20" s="2530"/>
      <c r="X20" s="2530"/>
      <c r="Y20" s="2531"/>
      <c r="Z20" s="2529">
        <f>'Attachment'!Z62</f>
        <v>0</v>
      </c>
      <c r="AA20" s="2530"/>
      <c r="AB20" s="2530"/>
      <c r="AC20" s="2531"/>
      <c r="AD20" s="657"/>
      <c r="AE20" s="657"/>
      <c r="AF20" s="657"/>
      <c r="AG20" s="657"/>
      <c r="AH20" s="636"/>
      <c r="AI20" s="706"/>
      <c r="AJ20" s="706"/>
      <c r="AK20" s="706"/>
      <c r="AL20" s="706"/>
      <c r="AM20" s="636"/>
      <c r="AN20" s="636"/>
      <c r="AO20" s="636"/>
      <c r="AP20" s="636"/>
      <c r="AQ20" s="636"/>
      <c r="AR20" s="636"/>
      <c r="AS20" s="636"/>
      <c r="AT20" s="636"/>
      <c r="AU20" s="636"/>
      <c r="AV20" s="636"/>
      <c r="AW20" s="636"/>
      <c r="AX20" s="636"/>
      <c r="AY20" s="636"/>
      <c r="BA20" s="659"/>
      <c r="BB20" s="659"/>
      <c r="BC20" s="659"/>
      <c r="BD20" s="659"/>
    </row>
    <row r="21" spans="1:56">
      <c r="A21" s="1428" t="s">
        <v>563</v>
      </c>
      <c r="B21" s="675"/>
      <c r="C21" s="675"/>
      <c r="D21" s="675"/>
      <c r="E21" s="1425"/>
      <c r="F21" s="2541">
        <f>'Attachment'!F63</f>
        <v>0</v>
      </c>
      <c r="G21" s="2542"/>
      <c r="H21" s="2542"/>
      <c r="I21" s="2543"/>
      <c r="J21" s="2529">
        <f>'Attachment'!J63</f>
        <v>0</v>
      </c>
      <c r="K21" s="2530"/>
      <c r="L21" s="2530"/>
      <c r="M21" s="2531"/>
      <c r="N21" s="2541">
        <f>'Attachment'!N63</f>
        <v>0</v>
      </c>
      <c r="O21" s="2542"/>
      <c r="P21" s="2542"/>
      <c r="Q21" s="2543"/>
      <c r="R21" s="2529">
        <f>'Attachment'!R63</f>
        <v>0</v>
      </c>
      <c r="S21" s="2530"/>
      <c r="T21" s="2530"/>
      <c r="U21" s="2531"/>
      <c r="V21" s="2529">
        <f>'Attachment'!V63</f>
        <v>0</v>
      </c>
      <c r="W21" s="2530"/>
      <c r="X21" s="2530"/>
      <c r="Y21" s="2531"/>
      <c r="Z21" s="2529">
        <f>'Attachment'!Z63</f>
        <v>0</v>
      </c>
      <c r="AA21" s="2530"/>
      <c r="AB21" s="2530"/>
      <c r="AC21" s="2531"/>
      <c r="AD21" s="657"/>
      <c r="AE21" s="657"/>
      <c r="AF21" s="657"/>
      <c r="AG21" s="657"/>
      <c r="AH21" s="660"/>
      <c r="AI21" s="660"/>
      <c r="AJ21" s="661"/>
      <c r="AK21" s="669"/>
      <c r="AL21" s="669"/>
      <c r="AM21" s="669"/>
      <c r="AN21" s="669"/>
      <c r="AO21" s="669"/>
      <c r="AP21" s="669"/>
      <c r="AQ21" s="669"/>
      <c r="AR21" s="669"/>
      <c r="AS21" s="669"/>
      <c r="AT21" s="669"/>
      <c r="AU21" s="669"/>
      <c r="AV21" s="669"/>
      <c r="AW21" s="669"/>
      <c r="AX21" s="669"/>
      <c r="AY21" s="669"/>
      <c r="BA21" s="659"/>
      <c r="BB21" s="659"/>
      <c r="BC21" s="659"/>
      <c r="BD21" s="659"/>
    </row>
    <row r="22" spans="1:64" s="662" customFormat="1">
      <c r="A22" s="1428" t="s">
        <v>564</v>
      </c>
      <c r="B22" s="675"/>
      <c r="C22" s="675"/>
      <c r="D22" s="675"/>
      <c r="E22" s="1425"/>
      <c r="F22" s="2541">
        <f>'Attachment'!F64</f>
        <v>0</v>
      </c>
      <c r="G22" s="2542"/>
      <c r="H22" s="2542"/>
      <c r="I22" s="2543"/>
      <c r="J22" s="2529">
        <f>'Attachment'!J64</f>
        <v>0</v>
      </c>
      <c r="K22" s="2530"/>
      <c r="L22" s="2530"/>
      <c r="M22" s="2531"/>
      <c r="N22" s="2541">
        <f>'Attachment'!N64</f>
        <v>0</v>
      </c>
      <c r="O22" s="2542"/>
      <c r="P22" s="2542"/>
      <c r="Q22" s="2543"/>
      <c r="R22" s="2529">
        <f>'Attachment'!R64</f>
        <v>0</v>
      </c>
      <c r="S22" s="2530"/>
      <c r="T22" s="2530"/>
      <c r="U22" s="2531"/>
      <c r="V22" s="2529">
        <f>'Attachment'!V64</f>
        <v>0</v>
      </c>
      <c r="W22" s="2530"/>
      <c r="X22" s="2530"/>
      <c r="Y22" s="2531"/>
      <c r="Z22" s="2529">
        <f>'Attachment'!Z64</f>
        <v>0</v>
      </c>
      <c r="AA22" s="2530"/>
      <c r="AB22" s="2530"/>
      <c r="AC22" s="2531"/>
      <c r="AD22" s="657"/>
      <c r="AE22" s="657"/>
      <c r="AF22" s="657"/>
      <c r="AG22" s="657"/>
      <c r="AH22" s="660"/>
      <c r="AI22" s="660"/>
      <c r="AJ22" s="661"/>
      <c r="AK22" s="669"/>
      <c r="AL22" s="669"/>
      <c r="AM22" s="669"/>
      <c r="AN22" s="669"/>
      <c r="AO22" s="669"/>
      <c r="AP22" s="669"/>
      <c r="AQ22" s="669"/>
      <c r="AR22" s="669"/>
      <c r="AS22" s="669"/>
      <c r="AT22" s="669"/>
      <c r="AU22" s="669"/>
      <c r="AV22" s="669"/>
      <c r="AW22" s="669"/>
      <c r="AX22" s="669"/>
      <c r="AY22" s="669"/>
      <c r="AZ22" s="636"/>
      <c r="BA22" s="663"/>
      <c r="BB22" s="663"/>
      <c r="BC22" s="663"/>
      <c r="BD22" s="663"/>
      <c r="BE22" s="663"/>
      <c r="BF22" s="663"/>
      <c r="BG22" s="663"/>
      <c r="BH22" s="663"/>
      <c r="BI22" s="663"/>
      <c r="BJ22" s="663"/>
      <c r="BK22" s="663"/>
      <c r="BL22" s="663"/>
    </row>
    <row r="23" spans="1:64" s="662" customFormat="1">
      <c r="A23" s="1428" t="s">
        <v>565</v>
      </c>
      <c r="B23" s="675"/>
      <c r="C23" s="675"/>
      <c r="D23" s="675"/>
      <c r="E23" s="1425"/>
      <c r="F23" s="2541">
        <f>'Attachment'!F65</f>
        <v>0</v>
      </c>
      <c r="G23" s="2542"/>
      <c r="H23" s="2542"/>
      <c r="I23" s="2543"/>
      <c r="J23" s="2529">
        <f>'Attachment'!J65</f>
        <v>0</v>
      </c>
      <c r="K23" s="2530"/>
      <c r="L23" s="2530"/>
      <c r="M23" s="2531"/>
      <c r="N23" s="2541">
        <f>'Attachment'!N65</f>
        <v>0</v>
      </c>
      <c r="O23" s="2542"/>
      <c r="P23" s="2542"/>
      <c r="Q23" s="2543"/>
      <c r="R23" s="2529">
        <f>'Attachment'!R65</f>
        <v>0</v>
      </c>
      <c r="S23" s="2530"/>
      <c r="T23" s="2530"/>
      <c r="U23" s="2531"/>
      <c r="V23" s="2529">
        <f>'Attachment'!V65</f>
        <v>0</v>
      </c>
      <c r="W23" s="2530"/>
      <c r="X23" s="2530"/>
      <c r="Y23" s="2531"/>
      <c r="Z23" s="2529">
        <f>'Attachment'!Z65</f>
        <v>0</v>
      </c>
      <c r="AA23" s="2530"/>
      <c r="AB23" s="2530"/>
      <c r="AC23" s="2531"/>
      <c r="AD23" s="657"/>
      <c r="AE23" s="657"/>
      <c r="AF23" s="657"/>
      <c r="AG23" s="657"/>
      <c r="AH23" s="660"/>
      <c r="AI23" s="660"/>
      <c r="AJ23" s="661"/>
      <c r="AK23" s="669"/>
      <c r="AL23" s="669"/>
      <c r="AM23" s="669"/>
      <c r="AN23" s="669"/>
      <c r="AO23" s="669"/>
      <c r="AP23" s="669"/>
      <c r="AQ23" s="669"/>
      <c r="AR23" s="669"/>
      <c r="AS23" s="669"/>
      <c r="AT23" s="669"/>
      <c r="AU23" s="669"/>
      <c r="AV23" s="669"/>
      <c r="AW23" s="669"/>
      <c r="AX23" s="669"/>
      <c r="AY23" s="669"/>
      <c r="AZ23" s="636"/>
      <c r="BA23" s="663"/>
      <c r="BB23" s="663"/>
      <c r="BC23" s="663"/>
      <c r="BD23" s="663"/>
      <c r="BE23" s="663"/>
      <c r="BF23" s="663"/>
      <c r="BG23" s="663"/>
      <c r="BH23" s="663"/>
      <c r="BI23" s="663"/>
      <c r="BJ23" s="663"/>
      <c r="BK23" s="663"/>
      <c r="BL23" s="663"/>
    </row>
    <row r="24" spans="1:52" s="663" customFormat="1">
      <c r="A24" s="1428" t="s">
        <v>566</v>
      </c>
      <c r="B24" s="675"/>
      <c r="C24" s="675"/>
      <c r="D24" s="675"/>
      <c r="E24" s="1425"/>
      <c r="F24" s="2541">
        <f>'Attachment'!F66</f>
        <v>0</v>
      </c>
      <c r="G24" s="2542"/>
      <c r="H24" s="2542"/>
      <c r="I24" s="2543"/>
      <c r="J24" s="2529">
        <f>'Attachment'!J66</f>
        <v>0</v>
      </c>
      <c r="K24" s="2530"/>
      <c r="L24" s="2530"/>
      <c r="M24" s="2531"/>
      <c r="N24" s="2541">
        <f>'Attachment'!N66</f>
        <v>0</v>
      </c>
      <c r="O24" s="2542"/>
      <c r="P24" s="2542"/>
      <c r="Q24" s="2543"/>
      <c r="R24" s="2529">
        <f>'Attachment'!R66</f>
        <v>0</v>
      </c>
      <c r="S24" s="2530"/>
      <c r="T24" s="2530"/>
      <c r="U24" s="2531"/>
      <c r="V24" s="2529">
        <f>'Attachment'!V66</f>
        <v>0</v>
      </c>
      <c r="W24" s="2530"/>
      <c r="X24" s="2530"/>
      <c r="Y24" s="2531"/>
      <c r="Z24" s="2529">
        <f>'Attachment'!Z66</f>
        <v>0</v>
      </c>
      <c r="AA24" s="2530"/>
      <c r="AB24" s="2530"/>
      <c r="AC24" s="2531"/>
      <c r="AD24" s="657"/>
      <c r="AE24" s="657"/>
      <c r="AF24" s="657"/>
      <c r="AG24" s="657"/>
      <c r="AH24" s="660"/>
      <c r="AI24" s="660"/>
      <c r="AJ24" s="661"/>
      <c r="AK24" s="669"/>
      <c r="AL24" s="669"/>
      <c r="AM24" s="669"/>
      <c r="AN24" s="669"/>
      <c r="AO24" s="669"/>
      <c r="AP24" s="669"/>
      <c r="AQ24" s="669"/>
      <c r="AR24" s="669"/>
      <c r="AS24" s="669"/>
      <c r="AT24" s="669"/>
      <c r="AU24" s="669"/>
      <c r="AV24" s="669"/>
      <c r="AW24" s="669"/>
      <c r="AX24" s="669"/>
      <c r="AY24" s="669"/>
      <c r="AZ24" s="636"/>
    </row>
    <row r="25" spans="1:52" s="663" customFormat="1">
      <c r="A25" s="665" t="s">
        <v>567</v>
      </c>
      <c r="B25" s="666"/>
      <c r="C25" s="666"/>
      <c r="D25" s="666"/>
      <c r="E25" s="667"/>
      <c r="F25" s="2604">
        <f>SUM(F20:I24)</f>
        <v>0</v>
      </c>
      <c r="G25" s="2605"/>
      <c r="H25" s="2605"/>
      <c r="I25" s="2606"/>
      <c r="J25" s="2538">
        <f>SUM(J20:M24)</f>
        <v>0</v>
      </c>
      <c r="K25" s="2539"/>
      <c r="L25" s="2539"/>
      <c r="M25" s="2540"/>
      <c r="N25" s="2604">
        <f>SUM(N20:Q24)</f>
        <v>0</v>
      </c>
      <c r="O25" s="2605"/>
      <c r="P25" s="2605"/>
      <c r="Q25" s="2606"/>
      <c r="R25" s="2538">
        <f>SUM(R20:U24)</f>
        <v>0</v>
      </c>
      <c r="S25" s="2539"/>
      <c r="T25" s="2539"/>
      <c r="U25" s="2540"/>
      <c r="V25" s="2538">
        <f t="shared" si="0" ref="V25">SUM(V20:Y24)</f>
        <v>0</v>
      </c>
      <c r="W25" s="2539"/>
      <c r="X25" s="2539"/>
      <c r="Y25" s="2540"/>
      <c r="Z25" s="2538">
        <f t="shared" si="1" ref="Z25">SUM(Z20:AC24)</f>
        <v>0</v>
      </c>
      <c r="AA25" s="2539"/>
      <c r="AB25" s="2539"/>
      <c r="AC25" s="2540"/>
      <c r="AD25" s="657"/>
      <c r="AE25" s="657"/>
      <c r="AF25" s="657"/>
      <c r="AG25" s="657"/>
      <c r="AH25" s="660"/>
      <c r="AI25" s="660"/>
      <c r="AJ25" s="661"/>
      <c r="AK25" s="669"/>
      <c r="AL25" s="669"/>
      <c r="AM25" s="669"/>
      <c r="AN25" s="669"/>
      <c r="AO25" s="669"/>
      <c r="AP25" s="669"/>
      <c r="AQ25" s="669"/>
      <c r="AR25" s="669"/>
      <c r="AS25" s="669"/>
      <c r="AT25" s="669"/>
      <c r="AU25" s="669"/>
      <c r="AV25" s="669"/>
      <c r="AW25" s="669"/>
      <c r="AX25" s="669"/>
      <c r="AY25" s="669"/>
      <c r="AZ25" s="636"/>
    </row>
    <row r="26" spans="1:53" s="663" customFormat="1">
      <c r="A26" s="656" t="s">
        <v>603</v>
      </c>
      <c r="B26" s="636"/>
      <c r="C26" s="636"/>
      <c r="D26" s="636"/>
      <c r="E26" s="636"/>
      <c r="F26" s="3001" t="str">
        <f>'Attachment'!F68</f>
        <v> </v>
      </c>
      <c r="G26" s="3001"/>
      <c r="H26" s="3001"/>
      <c r="I26" s="3001"/>
      <c r="J26" s="3001"/>
      <c r="K26" s="3001"/>
      <c r="L26" s="636"/>
      <c r="M26" s="636"/>
      <c r="N26" s="636"/>
      <c r="O26" s="636"/>
      <c r="P26" s="636"/>
      <c r="Q26" s="636"/>
      <c r="R26" s="636"/>
      <c r="S26" s="636"/>
      <c r="T26" s="636"/>
      <c r="U26" s="636"/>
      <c r="V26" s="636"/>
      <c r="W26" s="636"/>
      <c r="X26" s="636"/>
      <c r="Y26" s="636"/>
      <c r="Z26" s="636"/>
      <c r="AA26" s="636"/>
      <c r="AB26" s="636"/>
      <c r="AC26" s="636"/>
      <c r="AD26" s="657"/>
      <c r="AE26" s="657"/>
      <c r="AF26" s="657"/>
      <c r="AG26" s="657"/>
      <c r="AH26" s="668"/>
      <c r="AI26" s="668"/>
      <c r="AJ26" s="661"/>
      <c r="AK26" s="672"/>
      <c r="AL26" s="672"/>
      <c r="AM26" s="672"/>
      <c r="AN26" s="672"/>
      <c r="AO26" s="672"/>
      <c r="AP26" s="672"/>
      <c r="AQ26" s="672"/>
      <c r="AR26" s="672"/>
      <c r="AS26" s="672"/>
      <c r="AT26" s="672"/>
      <c r="AU26" s="672"/>
      <c r="AV26" s="672"/>
      <c r="AW26" s="672"/>
      <c r="AX26" s="672"/>
      <c r="AY26" s="672"/>
      <c r="AZ26" s="669"/>
      <c r="BA26" s="669"/>
    </row>
    <row r="27" spans="1:52" s="663" customFormat="1">
      <c r="A27" s="2601" t="s">
        <v>602</v>
      </c>
      <c r="B27" s="2602"/>
      <c r="C27" s="2602"/>
      <c r="D27" s="2602"/>
      <c r="E27" s="2603"/>
      <c r="F27" s="2541">
        <f>'Attachment'!F69</f>
        <v>0</v>
      </c>
      <c r="G27" s="2542"/>
      <c r="H27" s="2542"/>
      <c r="I27" s="2543"/>
      <c r="J27" s="2529">
        <f>'Attachment'!J69</f>
        <v>0</v>
      </c>
      <c r="K27" s="2530"/>
      <c r="L27" s="2530"/>
      <c r="M27" s="2531"/>
      <c r="N27" s="2541">
        <f>'Attachment'!N69</f>
        <v>0</v>
      </c>
      <c r="O27" s="2542"/>
      <c r="P27" s="2542"/>
      <c r="Q27" s="2543"/>
      <c r="R27" s="2529">
        <f>'Attachment'!R69</f>
        <v>0</v>
      </c>
      <c r="S27" s="2530"/>
      <c r="T27" s="2530"/>
      <c r="U27" s="2531"/>
      <c r="V27" s="2529">
        <f>'Attachment'!V69</f>
        <v>0</v>
      </c>
      <c r="W27" s="2530"/>
      <c r="X27" s="2530"/>
      <c r="Y27" s="2531"/>
      <c r="Z27" s="2529">
        <f>'Attachment'!Z69</f>
        <v>0</v>
      </c>
      <c r="AA27" s="2530"/>
      <c r="AB27" s="2530"/>
      <c r="AC27" s="2531"/>
      <c r="AD27" s="657"/>
      <c r="AE27" s="657"/>
      <c r="AF27" s="657"/>
      <c r="AG27" s="657"/>
      <c r="AH27" s="636"/>
      <c r="AI27" s="706"/>
      <c r="AJ27" s="706"/>
      <c r="AK27" s="706"/>
      <c r="AL27" s="636"/>
      <c r="AM27" s="636"/>
      <c r="AN27" s="636"/>
      <c r="AO27" s="636"/>
      <c r="AP27" s="636"/>
      <c r="AQ27" s="636"/>
      <c r="AR27" s="636"/>
      <c r="AS27" s="636"/>
      <c r="AT27" s="636"/>
      <c r="AU27" s="636"/>
      <c r="AV27" s="636"/>
      <c r="AW27" s="636"/>
      <c r="AX27" s="636"/>
      <c r="AY27" s="636"/>
      <c r="AZ27" s="636"/>
    </row>
    <row r="28" spans="1:64" s="662" customFormat="1">
      <c r="A28" s="1428" t="s">
        <v>563</v>
      </c>
      <c r="B28" s="675"/>
      <c r="C28" s="675"/>
      <c r="D28" s="675"/>
      <c r="E28" s="1425"/>
      <c r="F28" s="2541">
        <f>'Attachment'!F70</f>
        <v>0</v>
      </c>
      <c r="G28" s="2542"/>
      <c r="H28" s="2542"/>
      <c r="I28" s="2543"/>
      <c r="J28" s="2529">
        <f>'Attachment'!J70</f>
        <v>0</v>
      </c>
      <c r="K28" s="2530"/>
      <c r="L28" s="2530"/>
      <c r="M28" s="2531"/>
      <c r="N28" s="2541">
        <f>'Attachment'!N70</f>
        <v>0</v>
      </c>
      <c r="O28" s="2542"/>
      <c r="P28" s="2542"/>
      <c r="Q28" s="2543"/>
      <c r="R28" s="2529">
        <f>'Attachment'!R70</f>
        <v>0</v>
      </c>
      <c r="S28" s="2530"/>
      <c r="T28" s="2530"/>
      <c r="U28" s="2531"/>
      <c r="V28" s="2529">
        <f>'Attachment'!V70</f>
        <v>0</v>
      </c>
      <c r="W28" s="2530"/>
      <c r="X28" s="2530"/>
      <c r="Y28" s="2531"/>
      <c r="Z28" s="2529">
        <f>'Attachment'!Z70</f>
        <v>0</v>
      </c>
      <c r="AA28" s="2530"/>
      <c r="AB28" s="2530"/>
      <c r="AC28" s="2531"/>
      <c r="AD28" s="657"/>
      <c r="AE28" s="657"/>
      <c r="AF28" s="657"/>
      <c r="AG28" s="657"/>
      <c r="AH28" s="660"/>
      <c r="AI28" s="660"/>
      <c r="AJ28" s="661"/>
      <c r="AK28" s="669"/>
      <c r="AL28" s="669"/>
      <c r="AM28" s="669"/>
      <c r="AN28" s="669"/>
      <c r="AO28" s="669"/>
      <c r="AP28" s="669"/>
      <c r="AQ28" s="669"/>
      <c r="AR28" s="669"/>
      <c r="AS28" s="669"/>
      <c r="AT28" s="669"/>
      <c r="AU28" s="669"/>
      <c r="AV28" s="669"/>
      <c r="AW28" s="669"/>
      <c r="AX28" s="669"/>
      <c r="AY28" s="669"/>
      <c r="AZ28" s="669"/>
      <c r="BA28" s="669"/>
      <c r="BB28" s="663"/>
      <c r="BC28" s="663"/>
      <c r="BD28" s="663"/>
      <c r="BE28" s="663"/>
      <c r="BF28" s="663"/>
      <c r="BG28" s="663"/>
      <c r="BH28" s="663"/>
      <c r="BI28" s="663"/>
      <c r="BJ28" s="663"/>
      <c r="BK28" s="663"/>
      <c r="BL28" s="663"/>
    </row>
    <row r="29" spans="1:54" s="663" customFormat="1">
      <c r="A29" s="1428" t="s">
        <v>564</v>
      </c>
      <c r="B29" s="675"/>
      <c r="C29" s="675"/>
      <c r="D29" s="675"/>
      <c r="E29" s="1425"/>
      <c r="F29" s="2541">
        <f>'Attachment'!F71</f>
        <v>0</v>
      </c>
      <c r="G29" s="2542"/>
      <c r="H29" s="2542"/>
      <c r="I29" s="2543"/>
      <c r="J29" s="2529">
        <f>'Attachment'!J71</f>
        <v>0</v>
      </c>
      <c r="K29" s="2530"/>
      <c r="L29" s="2530"/>
      <c r="M29" s="2531"/>
      <c r="N29" s="2541">
        <f>'Attachment'!N71</f>
        <v>0</v>
      </c>
      <c r="O29" s="2542"/>
      <c r="P29" s="2542"/>
      <c r="Q29" s="2543"/>
      <c r="R29" s="2529">
        <f>'Attachment'!R71</f>
        <v>0</v>
      </c>
      <c r="S29" s="2530"/>
      <c r="T29" s="2530"/>
      <c r="U29" s="2531"/>
      <c r="V29" s="2529">
        <f>'Attachment'!V71</f>
        <v>0</v>
      </c>
      <c r="W29" s="2530"/>
      <c r="X29" s="2530"/>
      <c r="Y29" s="2531"/>
      <c r="Z29" s="2529">
        <f>'Attachment'!Z71</f>
        <v>0</v>
      </c>
      <c r="AA29" s="2530"/>
      <c r="AB29" s="2530"/>
      <c r="AC29" s="2531"/>
      <c r="AD29" s="657"/>
      <c r="AE29" s="657"/>
      <c r="AF29" s="657"/>
      <c r="AG29" s="657"/>
      <c r="AH29" s="660"/>
      <c r="AI29" s="660"/>
      <c r="AJ29" s="661"/>
      <c r="AK29" s="669"/>
      <c r="AL29" s="669"/>
      <c r="AM29" s="669"/>
      <c r="AN29" s="669"/>
      <c r="AO29" s="669"/>
      <c r="AP29" s="669"/>
      <c r="AQ29" s="669"/>
      <c r="AR29" s="669"/>
      <c r="AS29" s="669"/>
      <c r="AT29" s="669"/>
      <c r="AU29" s="669"/>
      <c r="AV29" s="669"/>
      <c r="AW29" s="669"/>
      <c r="AX29" s="669"/>
      <c r="AY29" s="669"/>
      <c r="AZ29" s="636"/>
      <c r="BA29" s="663"/>
      <c r="BB29" s="663"/>
    </row>
    <row r="30" spans="1:54" s="663" customFormat="1">
      <c r="A30" s="1428" t="s">
        <v>565</v>
      </c>
      <c r="B30" s="675"/>
      <c r="C30" s="675"/>
      <c r="D30" s="675"/>
      <c r="E30" s="1425"/>
      <c r="F30" s="2541">
        <f>'Attachment'!F72</f>
        <v>0</v>
      </c>
      <c r="G30" s="2542"/>
      <c r="H30" s="2542"/>
      <c r="I30" s="2543"/>
      <c r="J30" s="2529">
        <f>'Attachment'!J72</f>
        <v>0</v>
      </c>
      <c r="K30" s="2530"/>
      <c r="L30" s="2530"/>
      <c r="M30" s="2531"/>
      <c r="N30" s="2541">
        <f>'Attachment'!N72</f>
        <v>0</v>
      </c>
      <c r="O30" s="2542"/>
      <c r="P30" s="2542"/>
      <c r="Q30" s="2543"/>
      <c r="R30" s="2529">
        <f>'Attachment'!R72</f>
        <v>0</v>
      </c>
      <c r="S30" s="2530"/>
      <c r="T30" s="2530"/>
      <c r="U30" s="2531"/>
      <c r="V30" s="2529">
        <f>'Attachment'!V72</f>
        <v>0</v>
      </c>
      <c r="W30" s="2530"/>
      <c r="X30" s="2530"/>
      <c r="Y30" s="2531"/>
      <c r="Z30" s="2529">
        <f>'Attachment'!Z72</f>
        <v>0</v>
      </c>
      <c r="AA30" s="2530"/>
      <c r="AB30" s="2530"/>
      <c r="AC30" s="2531"/>
      <c r="AD30" s="657"/>
      <c r="AE30" s="657"/>
      <c r="AF30" s="657"/>
      <c r="AG30" s="657"/>
      <c r="AH30" s="660"/>
      <c r="AI30" s="660"/>
      <c r="AJ30" s="661"/>
      <c r="AK30" s="669"/>
      <c r="AL30" s="669"/>
      <c r="AM30" s="669"/>
      <c r="AN30" s="669"/>
      <c r="AO30" s="669"/>
      <c r="AP30" s="669"/>
      <c r="AQ30" s="669"/>
      <c r="AR30" s="669"/>
      <c r="AS30" s="669"/>
      <c r="AT30" s="669"/>
      <c r="AU30" s="669"/>
      <c r="AV30" s="669"/>
      <c r="AW30" s="669"/>
      <c r="AX30" s="669"/>
      <c r="AY30" s="669"/>
      <c r="AZ30" s="636"/>
      <c r="BA30" s="669"/>
      <c r="BB30" s="663"/>
    </row>
    <row r="31" spans="1:54" s="663" customFormat="1">
      <c r="A31" s="1427" t="s">
        <v>566</v>
      </c>
      <c r="B31" s="682"/>
      <c r="C31" s="682"/>
      <c r="D31" s="682"/>
      <c r="E31" s="1426"/>
      <c r="F31" s="2595">
        <f>'Attachment'!F73</f>
        <v>0</v>
      </c>
      <c r="G31" s="2596"/>
      <c r="H31" s="2596"/>
      <c r="I31" s="2597"/>
      <c r="J31" s="2532">
        <f>'Attachment'!J73</f>
        <v>0</v>
      </c>
      <c r="K31" s="2533"/>
      <c r="L31" s="2533"/>
      <c r="M31" s="2534"/>
      <c r="N31" s="2595">
        <f>'Attachment'!N73</f>
        <v>0</v>
      </c>
      <c r="O31" s="2596"/>
      <c r="P31" s="2596"/>
      <c r="Q31" s="2597"/>
      <c r="R31" s="2532">
        <f>'Attachment'!R73</f>
        <v>0</v>
      </c>
      <c r="S31" s="2533"/>
      <c r="T31" s="2533"/>
      <c r="U31" s="2534"/>
      <c r="V31" s="2532">
        <f>'Attachment'!V73</f>
        <v>0</v>
      </c>
      <c r="W31" s="2533"/>
      <c r="X31" s="2533"/>
      <c r="Y31" s="2534"/>
      <c r="Z31" s="2532">
        <f>'Attachment'!Z73</f>
        <v>0</v>
      </c>
      <c r="AA31" s="2533"/>
      <c r="AB31" s="2533"/>
      <c r="AC31" s="2534"/>
      <c r="AD31" s="657"/>
      <c r="AE31" s="657"/>
      <c r="AF31" s="657"/>
      <c r="AG31" s="657"/>
      <c r="AH31" s="660"/>
      <c r="AI31" s="660"/>
      <c r="AJ31" s="661"/>
      <c r="AK31" s="669"/>
      <c r="AL31" s="669"/>
      <c r="AM31" s="669"/>
      <c r="AN31" s="669"/>
      <c r="AO31" s="669"/>
      <c r="AP31" s="669"/>
      <c r="AQ31" s="669"/>
      <c r="AR31" s="669"/>
      <c r="AS31" s="669"/>
      <c r="AT31" s="669"/>
      <c r="AU31" s="669"/>
      <c r="AV31" s="669"/>
      <c r="AW31" s="669"/>
      <c r="AX31" s="669"/>
      <c r="AY31" s="669"/>
      <c r="AZ31" s="636"/>
      <c r="BA31" s="663"/>
      <c r="BB31" s="663"/>
    </row>
    <row r="32" spans="1:54" s="663" customFormat="1">
      <c r="A32" s="665" t="s">
        <v>567</v>
      </c>
      <c r="B32" s="666"/>
      <c r="C32" s="666"/>
      <c r="D32" s="666"/>
      <c r="E32" s="667"/>
      <c r="F32" s="2604">
        <f>'Attachment'!F74</f>
        <v>0</v>
      </c>
      <c r="G32" s="2605"/>
      <c r="H32" s="2605"/>
      <c r="I32" s="2606"/>
      <c r="J32" s="2538">
        <f>'Attachment'!J74</f>
        <v>0</v>
      </c>
      <c r="K32" s="2539"/>
      <c r="L32" s="2539"/>
      <c r="M32" s="2540"/>
      <c r="N32" s="2604">
        <f>'Attachment'!N74</f>
        <v>0</v>
      </c>
      <c r="O32" s="2605"/>
      <c r="P32" s="2605"/>
      <c r="Q32" s="2606"/>
      <c r="R32" s="2538">
        <f>'Attachment'!R74</f>
        <v>0</v>
      </c>
      <c r="S32" s="2539"/>
      <c r="T32" s="2539"/>
      <c r="U32" s="2540"/>
      <c r="V32" s="2538">
        <f>'Attachment'!V74</f>
        <v>0</v>
      </c>
      <c r="W32" s="2539"/>
      <c r="X32" s="2539"/>
      <c r="Y32" s="2540"/>
      <c r="Z32" s="2538">
        <f>'Attachment'!Z74</f>
        <v>0</v>
      </c>
      <c r="AA32" s="2539"/>
      <c r="AB32" s="2539"/>
      <c r="AC32" s="2540"/>
      <c r="AD32" s="657"/>
      <c r="AE32" s="657"/>
      <c r="AF32" s="657"/>
      <c r="AG32" s="657"/>
      <c r="AH32" s="660"/>
      <c r="AI32" s="660"/>
      <c r="AJ32" s="661"/>
      <c r="AK32" s="669"/>
      <c r="AL32" s="669"/>
      <c r="AM32" s="669"/>
      <c r="AN32" s="669"/>
      <c r="AO32" s="669"/>
      <c r="AP32" s="669"/>
      <c r="AQ32" s="669"/>
      <c r="AR32" s="669"/>
      <c r="AS32" s="669"/>
      <c r="AT32" s="669"/>
      <c r="AU32" s="669"/>
      <c r="AV32" s="669"/>
      <c r="AW32" s="669"/>
      <c r="AX32" s="669"/>
      <c r="AY32" s="669"/>
      <c r="AZ32" s="636"/>
      <c r="BA32" s="669"/>
      <c r="BB32" s="663"/>
    </row>
    <row r="33" spans="1:64" s="670" customFormat="1">
      <c r="A33" s="656" t="s">
        <v>603</v>
      </c>
      <c r="B33" s="636"/>
      <c r="C33" s="636"/>
      <c r="D33" s="636"/>
      <c r="E33" s="636"/>
      <c r="F33" s="3001" t="str">
        <f>'Attachment'!F75</f>
        <v> </v>
      </c>
      <c r="G33" s="3001"/>
      <c r="H33" s="3001"/>
      <c r="I33" s="3001"/>
      <c r="J33" s="3001"/>
      <c r="K33" s="3001"/>
      <c r="L33" s="636"/>
      <c r="M33" s="636"/>
      <c r="N33" s="636"/>
      <c r="O33" s="636"/>
      <c r="P33" s="636"/>
      <c r="Q33" s="636"/>
      <c r="R33" s="636"/>
      <c r="S33" s="636"/>
      <c r="T33" s="636"/>
      <c r="U33" s="636"/>
      <c r="V33" s="636"/>
      <c r="W33" s="636"/>
      <c r="X33" s="636"/>
      <c r="Y33" s="636"/>
      <c r="Z33" s="636"/>
      <c r="AA33" s="636"/>
      <c r="AB33" s="636"/>
      <c r="AC33" s="636"/>
      <c r="AD33" s="657"/>
      <c r="AE33" s="657"/>
      <c r="AF33" s="657"/>
      <c r="AG33" s="657"/>
      <c r="AH33" s="668"/>
      <c r="AI33" s="668"/>
      <c r="AJ33" s="661"/>
      <c r="AK33" s="672"/>
      <c r="AL33" s="672"/>
      <c r="AM33" s="672"/>
      <c r="AN33" s="672"/>
      <c r="AO33" s="672"/>
      <c r="AP33" s="672"/>
      <c r="AQ33" s="672"/>
      <c r="AR33" s="672"/>
      <c r="AS33" s="672"/>
      <c r="AT33" s="672"/>
      <c r="AU33" s="672"/>
      <c r="AV33" s="672"/>
      <c r="AW33" s="672"/>
      <c r="AX33" s="672"/>
      <c r="AY33" s="672"/>
      <c r="AZ33" s="636"/>
      <c r="BA33" s="671"/>
      <c r="BB33" s="671"/>
      <c r="BC33" s="671"/>
      <c r="BD33" s="671"/>
      <c r="BE33" s="671"/>
      <c r="BF33" s="671"/>
      <c r="BG33" s="671"/>
      <c r="BH33" s="671"/>
      <c r="BI33" s="671"/>
      <c r="BJ33" s="671"/>
      <c r="BK33" s="671"/>
      <c r="BL33" s="671"/>
    </row>
    <row r="34" spans="1:76" s="662" customFormat="1">
      <c r="A34" s="2601" t="s">
        <v>602</v>
      </c>
      <c r="B34" s="2602"/>
      <c r="C34" s="2602"/>
      <c r="D34" s="2602"/>
      <c r="E34" s="2603"/>
      <c r="F34" s="2541">
        <f>'Attachment'!F76</f>
        <v>0</v>
      </c>
      <c r="G34" s="2542"/>
      <c r="H34" s="2542"/>
      <c r="I34" s="2543"/>
      <c r="J34" s="2529">
        <f>'Attachment'!J76</f>
        <v>0</v>
      </c>
      <c r="K34" s="2530"/>
      <c r="L34" s="2530"/>
      <c r="M34" s="2531"/>
      <c r="N34" s="2541">
        <f>'Attachment'!N76</f>
        <v>0</v>
      </c>
      <c r="O34" s="2542"/>
      <c r="P34" s="2542"/>
      <c r="Q34" s="2543"/>
      <c r="R34" s="2529">
        <f>'Attachment'!R76</f>
        <v>0</v>
      </c>
      <c r="S34" s="2530"/>
      <c r="T34" s="2530"/>
      <c r="U34" s="2531"/>
      <c r="V34" s="2529">
        <f>'Attachment'!V76</f>
        <v>0</v>
      </c>
      <c r="W34" s="2530"/>
      <c r="X34" s="2530"/>
      <c r="Y34" s="2531"/>
      <c r="Z34" s="2529">
        <f>'Attachment'!Z76</f>
        <v>0</v>
      </c>
      <c r="AA34" s="2530"/>
      <c r="AB34" s="2530"/>
      <c r="AC34" s="2531"/>
      <c r="AD34" s="657"/>
      <c r="AE34" s="657"/>
      <c r="AF34" s="657"/>
      <c r="AG34" s="657"/>
      <c r="AH34" s="636"/>
      <c r="AI34" s="706"/>
      <c r="AJ34" s="706"/>
      <c r="AK34" s="706"/>
      <c r="AL34" s="706"/>
      <c r="AM34" s="636"/>
      <c r="AN34" s="636"/>
      <c r="AO34" s="636"/>
      <c r="AP34" s="636"/>
      <c r="AQ34" s="636"/>
      <c r="AR34" s="636"/>
      <c r="AS34" s="636"/>
      <c r="AT34" s="636"/>
      <c r="AU34" s="636"/>
      <c r="AV34" s="636"/>
      <c r="AW34" s="636"/>
      <c r="AX34" s="636"/>
      <c r="AY34" s="636"/>
      <c r="AZ34" s="636"/>
      <c r="BA34" s="672"/>
      <c r="BB34" s="673"/>
      <c r="BC34" s="673"/>
      <c r="BD34" s="674"/>
      <c r="BE34" s="674"/>
      <c r="BF34" s="674"/>
      <c r="BG34" s="674"/>
      <c r="BH34" s="663"/>
      <c r="BI34" s="663"/>
      <c r="BJ34" s="663"/>
      <c r="BK34" s="663"/>
      <c r="BL34" s="663"/>
      <c r="BM34" s="663"/>
      <c r="BN34" s="663"/>
      <c r="BO34" s="663"/>
      <c r="BP34" s="663"/>
      <c r="BQ34" s="663"/>
      <c r="BR34" s="663"/>
      <c r="BS34" s="663"/>
      <c r="BT34" s="663"/>
      <c r="BU34" s="663"/>
      <c r="BV34" s="663"/>
      <c r="BW34" s="663"/>
      <c r="BX34" s="663"/>
    </row>
    <row r="35" spans="1:54">
      <c r="A35" s="1428" t="s">
        <v>563</v>
      </c>
      <c r="B35" s="675"/>
      <c r="C35" s="675"/>
      <c r="D35" s="675"/>
      <c r="E35" s="1425"/>
      <c r="F35" s="2541">
        <f>'Attachment'!F77</f>
        <v>0</v>
      </c>
      <c r="G35" s="2542"/>
      <c r="H35" s="2542"/>
      <c r="I35" s="2543"/>
      <c r="J35" s="2529">
        <f>'Attachment'!J77</f>
        <v>0</v>
      </c>
      <c r="K35" s="2530"/>
      <c r="L35" s="2530"/>
      <c r="M35" s="2531"/>
      <c r="N35" s="2541">
        <f>'Attachment'!N77</f>
        <v>0</v>
      </c>
      <c r="O35" s="2542"/>
      <c r="P35" s="2542"/>
      <c r="Q35" s="2543"/>
      <c r="R35" s="2529">
        <f>'Attachment'!R77</f>
        <v>0</v>
      </c>
      <c r="S35" s="2530"/>
      <c r="T35" s="2530"/>
      <c r="U35" s="2531"/>
      <c r="V35" s="2529">
        <f>'Attachment'!V77</f>
        <v>0</v>
      </c>
      <c r="W35" s="2530"/>
      <c r="X35" s="2530"/>
      <c r="Y35" s="2531"/>
      <c r="Z35" s="2529">
        <f>'Attachment'!Z77</f>
        <v>0</v>
      </c>
      <c r="AA35" s="2530"/>
      <c r="AB35" s="2530"/>
      <c r="AC35" s="2531"/>
      <c r="AD35" s="657"/>
      <c r="AE35" s="657"/>
      <c r="AF35" s="657"/>
      <c r="AG35" s="657"/>
      <c r="AH35" s="660"/>
      <c r="AI35" s="660"/>
      <c r="AJ35" s="661"/>
      <c r="AK35" s="669"/>
      <c r="AL35" s="669"/>
      <c r="AM35" s="669"/>
      <c r="AN35" s="669"/>
      <c r="AO35" s="669"/>
      <c r="AP35" s="669"/>
      <c r="AQ35" s="669"/>
      <c r="AR35" s="669"/>
      <c r="AS35" s="669"/>
      <c r="AT35" s="669"/>
      <c r="AU35" s="669"/>
      <c r="AV35" s="669"/>
      <c r="AW35" s="669"/>
      <c r="AX35" s="669"/>
      <c r="AY35" s="669"/>
      <c r="BA35" s="636"/>
      <c r="BB35" s="636"/>
    </row>
    <row r="36" spans="1:54">
      <c r="A36" s="1428" t="s">
        <v>564</v>
      </c>
      <c r="B36" s="675"/>
      <c r="C36" s="675"/>
      <c r="D36" s="675"/>
      <c r="E36" s="1425"/>
      <c r="F36" s="2541">
        <f>'Attachment'!F78</f>
        <v>0</v>
      </c>
      <c r="G36" s="2542"/>
      <c r="H36" s="2542"/>
      <c r="I36" s="2543"/>
      <c r="J36" s="2529">
        <f>'Attachment'!J78</f>
        <v>0</v>
      </c>
      <c r="K36" s="2530"/>
      <c r="L36" s="2530"/>
      <c r="M36" s="2531"/>
      <c r="N36" s="2541">
        <f>'Attachment'!N78</f>
        <v>0</v>
      </c>
      <c r="O36" s="2542"/>
      <c r="P36" s="2542"/>
      <c r="Q36" s="2543"/>
      <c r="R36" s="2529">
        <f>'Attachment'!R78</f>
        <v>0</v>
      </c>
      <c r="S36" s="2530"/>
      <c r="T36" s="2530"/>
      <c r="U36" s="2531"/>
      <c r="V36" s="2529">
        <f>'Attachment'!V78</f>
        <v>0</v>
      </c>
      <c r="W36" s="2530"/>
      <c r="X36" s="2530"/>
      <c r="Y36" s="2531"/>
      <c r="Z36" s="2529">
        <f>'Attachment'!Z78</f>
        <v>0</v>
      </c>
      <c r="AA36" s="2530"/>
      <c r="AB36" s="2530"/>
      <c r="AC36" s="2531"/>
      <c r="AD36" s="657"/>
      <c r="AE36" s="657"/>
      <c r="AF36" s="657"/>
      <c r="AG36" s="657"/>
      <c r="AH36" s="660"/>
      <c r="AI36" s="660"/>
      <c r="AJ36" s="661"/>
      <c r="AK36" s="669"/>
      <c r="AL36" s="669"/>
      <c r="AM36" s="669"/>
      <c r="AN36" s="669"/>
      <c r="AO36" s="669"/>
      <c r="AP36" s="669"/>
      <c r="AQ36" s="669"/>
      <c r="AR36" s="669"/>
      <c r="AS36" s="669"/>
      <c r="AT36" s="669"/>
      <c r="AU36" s="669"/>
      <c r="AV36" s="669"/>
      <c r="AW36" s="669"/>
      <c r="AX36" s="669"/>
      <c r="AY36" s="669"/>
      <c r="BA36" s="669"/>
      <c r="BB36" s="636"/>
    </row>
    <row r="37" spans="1:54">
      <c r="A37" s="1428" t="s">
        <v>565</v>
      </c>
      <c r="B37" s="675"/>
      <c r="C37" s="675"/>
      <c r="D37" s="675"/>
      <c r="E37" s="1425"/>
      <c r="F37" s="2541">
        <f>'Attachment'!F79</f>
        <v>0</v>
      </c>
      <c r="G37" s="2542"/>
      <c r="H37" s="2542"/>
      <c r="I37" s="2543"/>
      <c r="J37" s="2529">
        <f>'Attachment'!J79</f>
        <v>0</v>
      </c>
      <c r="K37" s="2530"/>
      <c r="L37" s="2530"/>
      <c r="M37" s="2531"/>
      <c r="N37" s="2541">
        <f>'Attachment'!N79</f>
        <v>0</v>
      </c>
      <c r="O37" s="2542"/>
      <c r="P37" s="2542"/>
      <c r="Q37" s="2543"/>
      <c r="R37" s="2529">
        <f>'Attachment'!R79</f>
        <v>0</v>
      </c>
      <c r="S37" s="2530"/>
      <c r="T37" s="2530"/>
      <c r="U37" s="2531"/>
      <c r="V37" s="2529">
        <f>'Attachment'!V79</f>
        <v>0</v>
      </c>
      <c r="W37" s="2530"/>
      <c r="X37" s="2530"/>
      <c r="Y37" s="2531"/>
      <c r="Z37" s="2529">
        <f>'Attachment'!Z79</f>
        <v>0</v>
      </c>
      <c r="AA37" s="2530"/>
      <c r="AB37" s="2530"/>
      <c r="AC37" s="2531"/>
      <c r="AD37" s="657"/>
      <c r="AE37" s="657"/>
      <c r="AF37" s="657"/>
      <c r="AG37" s="657"/>
      <c r="AH37" s="660"/>
      <c r="AI37" s="660"/>
      <c r="AJ37" s="661"/>
      <c r="AK37" s="669"/>
      <c r="AL37" s="669"/>
      <c r="AM37" s="669"/>
      <c r="AN37" s="669"/>
      <c r="AO37" s="669"/>
      <c r="AP37" s="669"/>
      <c r="AQ37" s="669"/>
      <c r="AR37" s="669"/>
      <c r="AS37" s="669"/>
      <c r="AT37" s="669"/>
      <c r="AU37" s="669"/>
      <c r="AV37" s="669"/>
      <c r="AW37" s="669"/>
      <c r="AX37" s="669"/>
      <c r="AY37" s="669"/>
      <c r="BA37" s="636"/>
      <c r="BB37" s="636"/>
    </row>
    <row r="38" spans="1:54">
      <c r="A38" s="1427" t="s">
        <v>566</v>
      </c>
      <c r="B38" s="682"/>
      <c r="C38" s="682"/>
      <c r="D38" s="682"/>
      <c r="E38" s="1426"/>
      <c r="F38" s="2595">
        <f>'Attachment'!F80</f>
        <v>0</v>
      </c>
      <c r="G38" s="2596"/>
      <c r="H38" s="2596"/>
      <c r="I38" s="2597"/>
      <c r="J38" s="2532">
        <f>'Attachment'!J80</f>
        <v>0</v>
      </c>
      <c r="K38" s="2533"/>
      <c r="L38" s="2533"/>
      <c r="M38" s="2534"/>
      <c r="N38" s="2595">
        <f>'Attachment'!N80</f>
        <v>0</v>
      </c>
      <c r="O38" s="2596"/>
      <c r="P38" s="2596"/>
      <c r="Q38" s="2597"/>
      <c r="R38" s="2532">
        <f>'Attachment'!R80</f>
        <v>0</v>
      </c>
      <c r="S38" s="2533"/>
      <c r="T38" s="2533"/>
      <c r="U38" s="2534"/>
      <c r="V38" s="2532">
        <f>'Attachment'!V80</f>
        <v>0</v>
      </c>
      <c r="W38" s="2533"/>
      <c r="X38" s="2533"/>
      <c r="Y38" s="2534"/>
      <c r="Z38" s="2532">
        <f>'Attachment'!Z80</f>
        <v>0</v>
      </c>
      <c r="AA38" s="2533"/>
      <c r="AB38" s="2533"/>
      <c r="AC38" s="2534"/>
      <c r="AD38" s="657"/>
      <c r="AE38" s="657"/>
      <c r="AF38" s="657"/>
      <c r="AG38" s="657"/>
      <c r="AH38" s="660"/>
      <c r="AI38" s="660"/>
      <c r="AJ38" s="661"/>
      <c r="AK38" s="669"/>
      <c r="AL38" s="669"/>
      <c r="AM38" s="669"/>
      <c r="AN38" s="669"/>
      <c r="AO38" s="669"/>
      <c r="AP38" s="669"/>
      <c r="AQ38" s="669"/>
      <c r="AR38" s="669"/>
      <c r="AS38" s="669"/>
      <c r="AT38" s="669"/>
      <c r="AU38" s="669"/>
      <c r="AV38" s="669"/>
      <c r="AW38" s="669"/>
      <c r="AX38" s="669"/>
      <c r="AY38" s="669"/>
      <c r="BA38" s="636"/>
      <c r="BB38" s="636"/>
    </row>
    <row r="39" spans="1:54">
      <c r="A39" s="665" t="s">
        <v>567</v>
      </c>
      <c r="B39" s="666"/>
      <c r="C39" s="666"/>
      <c r="D39" s="666"/>
      <c r="E39" s="667"/>
      <c r="F39" s="2604">
        <f>'Attachment'!F81</f>
        <v>0</v>
      </c>
      <c r="G39" s="2605"/>
      <c r="H39" s="2605"/>
      <c r="I39" s="2606"/>
      <c r="J39" s="2538">
        <f>'Attachment'!J81</f>
        <v>0</v>
      </c>
      <c r="K39" s="2539"/>
      <c r="L39" s="2539"/>
      <c r="M39" s="2540"/>
      <c r="N39" s="2604">
        <f>'Attachment'!N81</f>
        <v>0</v>
      </c>
      <c r="O39" s="2605"/>
      <c r="P39" s="2605"/>
      <c r="Q39" s="2606"/>
      <c r="R39" s="2538">
        <f>'Attachment'!R81</f>
        <v>0</v>
      </c>
      <c r="S39" s="2539"/>
      <c r="T39" s="2539"/>
      <c r="U39" s="2540"/>
      <c r="V39" s="2538">
        <f>'Attachment'!V81</f>
        <v>0</v>
      </c>
      <c r="W39" s="2539"/>
      <c r="X39" s="2539"/>
      <c r="Y39" s="2540"/>
      <c r="Z39" s="2538">
        <f>'Attachment'!Z81</f>
        <v>0</v>
      </c>
      <c r="AA39" s="2539"/>
      <c r="AB39" s="2539"/>
      <c r="AC39" s="2540"/>
      <c r="AD39" s="657"/>
      <c r="AE39" s="657"/>
      <c r="AF39" s="657"/>
      <c r="AG39" s="657"/>
      <c r="AH39" s="660"/>
      <c r="AI39" s="660"/>
      <c r="AJ39" s="661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BA39" s="669"/>
      <c r="BB39" s="636"/>
    </row>
    <row r="40" spans="1:54">
      <c r="A40" s="656" t="s">
        <v>603</v>
      </c>
      <c r="B40" s="636"/>
      <c r="C40" s="675"/>
      <c r="D40" s="636"/>
      <c r="E40" s="636"/>
      <c r="F40" s="3001" t="str">
        <f>'Attachment'!F82</f>
        <v> </v>
      </c>
      <c r="G40" s="3001"/>
      <c r="H40" s="3001"/>
      <c r="I40" s="3001"/>
      <c r="J40" s="3001"/>
      <c r="K40" s="3001"/>
      <c r="L40" s="676"/>
      <c r="M40" s="676"/>
      <c r="N40" s="636"/>
      <c r="O40" s="636"/>
      <c r="P40" s="636"/>
      <c r="Q40" s="636"/>
      <c r="R40" s="676"/>
      <c r="S40" s="676"/>
      <c r="T40" s="676"/>
      <c r="U40" s="676"/>
      <c r="V40" s="676"/>
      <c r="W40" s="676"/>
      <c r="X40" s="676"/>
      <c r="Y40" s="676"/>
      <c r="Z40" s="676"/>
      <c r="AA40" s="676"/>
      <c r="AB40" s="676"/>
      <c r="AC40" s="676"/>
      <c r="AD40" s="657"/>
      <c r="AE40" s="657"/>
      <c r="AF40" s="657"/>
      <c r="AG40" s="657"/>
      <c r="AH40" s="668"/>
      <c r="AI40" s="668"/>
      <c r="AJ40" s="661"/>
      <c r="AK40" s="672"/>
      <c r="AL40" s="672"/>
      <c r="AM40" s="672"/>
      <c r="AN40" s="672"/>
      <c r="AO40" s="672"/>
      <c r="AP40" s="672"/>
      <c r="AQ40" s="672"/>
      <c r="AR40" s="672"/>
      <c r="AS40" s="672"/>
      <c r="AT40" s="672"/>
      <c r="AU40" s="672"/>
      <c r="AV40" s="672"/>
      <c r="AW40" s="672"/>
      <c r="AX40" s="672"/>
      <c r="AY40" s="672"/>
      <c r="BA40" s="669"/>
      <c r="BB40" s="636"/>
    </row>
    <row r="41" spans="1:54">
      <c r="A41" s="2601" t="s">
        <v>602</v>
      </c>
      <c r="B41" s="2602"/>
      <c r="C41" s="2602"/>
      <c r="D41" s="2602"/>
      <c r="E41" s="2603"/>
      <c r="F41" s="2541">
        <f>'Attachment'!F83</f>
        <v>0</v>
      </c>
      <c r="G41" s="2542"/>
      <c r="H41" s="2542"/>
      <c r="I41" s="2543"/>
      <c r="J41" s="2529">
        <f>'Attachment'!J83</f>
        <v>0</v>
      </c>
      <c r="K41" s="2530"/>
      <c r="L41" s="2530"/>
      <c r="M41" s="2531"/>
      <c r="N41" s="2541">
        <f>'Attachment'!N83</f>
        <v>0</v>
      </c>
      <c r="O41" s="2542"/>
      <c r="P41" s="2542"/>
      <c r="Q41" s="2543"/>
      <c r="R41" s="2529">
        <f>'Attachment'!R83</f>
        <v>0</v>
      </c>
      <c r="S41" s="2530"/>
      <c r="T41" s="2530"/>
      <c r="U41" s="2531"/>
      <c r="V41" s="2529">
        <f>'Attachment'!V83</f>
        <v>0</v>
      </c>
      <c r="W41" s="2530"/>
      <c r="X41" s="2530"/>
      <c r="Y41" s="2531"/>
      <c r="Z41" s="2529">
        <f>'Attachment'!Z83</f>
        <v>0</v>
      </c>
      <c r="AA41" s="2530"/>
      <c r="AB41" s="2530"/>
      <c r="AC41" s="2531"/>
      <c r="AD41" s="657"/>
      <c r="AE41" s="657"/>
      <c r="AF41" s="657"/>
      <c r="AG41" s="657"/>
      <c r="AH41" s="636"/>
      <c r="AI41" s="706"/>
      <c r="AJ41" s="706"/>
      <c r="AK41" s="706"/>
      <c r="AL41" s="706"/>
      <c r="AM41" s="636"/>
      <c r="AN41" s="636"/>
      <c r="AO41" s="636"/>
      <c r="AP41" s="636"/>
      <c r="AQ41" s="636"/>
      <c r="AR41" s="636"/>
      <c r="AS41" s="636"/>
      <c r="AT41" s="636"/>
      <c r="AU41" s="636"/>
      <c r="AV41" s="636"/>
      <c r="AW41" s="636"/>
      <c r="AX41" s="636"/>
      <c r="AY41" s="636"/>
      <c r="BA41" s="677"/>
      <c r="BB41" s="636"/>
    </row>
    <row r="42" spans="1:54">
      <c r="A42" s="1428" t="s">
        <v>563</v>
      </c>
      <c r="B42" s="675"/>
      <c r="C42" s="675"/>
      <c r="D42" s="675"/>
      <c r="E42" s="1425"/>
      <c r="F42" s="2541">
        <f>'Attachment'!F84</f>
        <v>0</v>
      </c>
      <c r="G42" s="2542"/>
      <c r="H42" s="2542"/>
      <c r="I42" s="2543"/>
      <c r="J42" s="2529">
        <f>'Attachment'!J84</f>
        <v>0</v>
      </c>
      <c r="K42" s="2530"/>
      <c r="L42" s="2530"/>
      <c r="M42" s="2531"/>
      <c r="N42" s="2541">
        <f>'Attachment'!N84</f>
        <v>0</v>
      </c>
      <c r="O42" s="2542"/>
      <c r="P42" s="2542"/>
      <c r="Q42" s="2543"/>
      <c r="R42" s="2529">
        <f>'Attachment'!R84</f>
        <v>0</v>
      </c>
      <c r="S42" s="2530"/>
      <c r="T42" s="2530"/>
      <c r="U42" s="2531"/>
      <c r="V42" s="2529">
        <f>'Attachment'!V84</f>
        <v>0</v>
      </c>
      <c r="W42" s="2530"/>
      <c r="X42" s="2530"/>
      <c r="Y42" s="2531"/>
      <c r="Z42" s="2529">
        <f>'Attachment'!Z84</f>
        <v>0</v>
      </c>
      <c r="AA42" s="2530"/>
      <c r="AB42" s="2530"/>
      <c r="AC42" s="2531"/>
      <c r="AD42" s="657"/>
      <c r="AE42" s="657"/>
      <c r="AF42" s="657"/>
      <c r="AG42" s="657"/>
      <c r="AH42" s="660"/>
      <c r="AI42" s="660"/>
      <c r="AJ42" s="661"/>
      <c r="AK42" s="669"/>
      <c r="AL42" s="669"/>
      <c r="AM42" s="669"/>
      <c r="AN42" s="669"/>
      <c r="AO42" s="669"/>
      <c r="AP42" s="669"/>
      <c r="AQ42" s="669"/>
      <c r="AR42" s="669"/>
      <c r="AS42" s="669"/>
      <c r="AT42" s="669"/>
      <c r="AU42" s="669"/>
      <c r="AV42" s="669"/>
      <c r="AW42" s="669"/>
      <c r="AX42" s="669"/>
      <c r="AY42" s="669"/>
      <c r="BA42" s="672"/>
      <c r="BB42" s="636"/>
    </row>
    <row r="43" spans="1:54">
      <c r="A43" s="1428" t="s">
        <v>564</v>
      </c>
      <c r="B43" s="675"/>
      <c r="C43" s="675"/>
      <c r="D43" s="675"/>
      <c r="E43" s="1425"/>
      <c r="F43" s="2541">
        <f>'Attachment'!F85</f>
        <v>0</v>
      </c>
      <c r="G43" s="2542"/>
      <c r="H43" s="2542"/>
      <c r="I43" s="2543"/>
      <c r="J43" s="2529">
        <f>'Attachment'!J85</f>
        <v>0</v>
      </c>
      <c r="K43" s="2530"/>
      <c r="L43" s="2530"/>
      <c r="M43" s="2531"/>
      <c r="N43" s="2541">
        <f>'Attachment'!N85</f>
        <v>0</v>
      </c>
      <c r="O43" s="2542"/>
      <c r="P43" s="2542"/>
      <c r="Q43" s="2543"/>
      <c r="R43" s="2529">
        <f>'Attachment'!R85</f>
        <v>0</v>
      </c>
      <c r="S43" s="2530"/>
      <c r="T43" s="2530"/>
      <c r="U43" s="2531"/>
      <c r="V43" s="2529">
        <f>'Attachment'!V85</f>
        <v>0</v>
      </c>
      <c r="W43" s="2530"/>
      <c r="X43" s="2530"/>
      <c r="Y43" s="2531"/>
      <c r="Z43" s="2529">
        <f>'Attachment'!Z85</f>
        <v>0</v>
      </c>
      <c r="AA43" s="2530"/>
      <c r="AB43" s="2530"/>
      <c r="AC43" s="2531"/>
      <c r="AD43" s="657"/>
      <c r="AE43" s="657"/>
      <c r="AF43" s="657"/>
      <c r="AG43" s="657"/>
      <c r="AH43" s="660"/>
      <c r="AI43" s="660"/>
      <c r="AJ43" s="661"/>
      <c r="AK43" s="669"/>
      <c r="AL43" s="669"/>
      <c r="AM43" s="669"/>
      <c r="AN43" s="669"/>
      <c r="AO43" s="669"/>
      <c r="AP43" s="669"/>
      <c r="AQ43" s="669"/>
      <c r="AR43" s="669"/>
      <c r="AS43" s="669"/>
      <c r="AT43" s="669"/>
      <c r="AU43" s="669"/>
      <c r="AV43" s="669"/>
      <c r="AW43" s="669"/>
      <c r="AX43" s="669"/>
      <c r="AY43" s="669"/>
      <c r="BA43" s="636"/>
      <c r="BB43" s="636"/>
    </row>
    <row r="44" spans="1:54">
      <c r="A44" s="1428" t="s">
        <v>565</v>
      </c>
      <c r="B44" s="675"/>
      <c r="C44" s="675"/>
      <c r="D44" s="675"/>
      <c r="E44" s="1425"/>
      <c r="F44" s="2541">
        <f>'Attachment'!F86</f>
        <v>0</v>
      </c>
      <c r="G44" s="2542"/>
      <c r="H44" s="2542"/>
      <c r="I44" s="2543"/>
      <c r="J44" s="2529">
        <f>'Attachment'!J86</f>
        <v>0</v>
      </c>
      <c r="K44" s="2530"/>
      <c r="L44" s="2530"/>
      <c r="M44" s="2531"/>
      <c r="N44" s="2541">
        <f>'Attachment'!N86</f>
        <v>0</v>
      </c>
      <c r="O44" s="2542"/>
      <c r="P44" s="2542"/>
      <c r="Q44" s="2543"/>
      <c r="R44" s="2529">
        <f>'Attachment'!R86</f>
        <v>0</v>
      </c>
      <c r="S44" s="2530"/>
      <c r="T44" s="2530"/>
      <c r="U44" s="2531"/>
      <c r="V44" s="2529">
        <f>'Attachment'!V86</f>
        <v>0</v>
      </c>
      <c r="W44" s="2530"/>
      <c r="X44" s="2530"/>
      <c r="Y44" s="2531"/>
      <c r="Z44" s="2529">
        <f>'Attachment'!Z86</f>
        <v>0</v>
      </c>
      <c r="AA44" s="2530"/>
      <c r="AB44" s="2530"/>
      <c r="AC44" s="2531"/>
      <c r="AD44" s="657"/>
      <c r="AE44" s="657"/>
      <c r="AF44" s="657"/>
      <c r="AG44" s="657"/>
      <c r="AH44" s="660"/>
      <c r="AI44" s="660"/>
      <c r="AJ44" s="661"/>
      <c r="AK44" s="669"/>
      <c r="AL44" s="669"/>
      <c r="AM44" s="669"/>
      <c r="AN44" s="669"/>
      <c r="AO44" s="669"/>
      <c r="AP44" s="669"/>
      <c r="AQ44" s="669"/>
      <c r="AR44" s="669"/>
      <c r="AS44" s="669"/>
      <c r="AT44" s="669"/>
      <c r="AU44" s="669"/>
      <c r="AV44" s="669"/>
      <c r="AW44" s="669"/>
      <c r="AX44" s="669"/>
      <c r="AY44" s="669"/>
      <c r="BA44" s="678"/>
      <c r="BB44" s="636"/>
    </row>
    <row r="45" spans="1:54">
      <c r="A45" s="1427" t="s">
        <v>566</v>
      </c>
      <c r="B45" s="682"/>
      <c r="C45" s="682"/>
      <c r="D45" s="682"/>
      <c r="E45" s="1426"/>
      <c r="F45" s="2595">
        <f>'Attachment'!F87</f>
        <v>0</v>
      </c>
      <c r="G45" s="2596"/>
      <c r="H45" s="2596"/>
      <c r="I45" s="2597"/>
      <c r="J45" s="2532">
        <f>'Attachment'!J87</f>
        <v>0</v>
      </c>
      <c r="K45" s="2533"/>
      <c r="L45" s="2533"/>
      <c r="M45" s="2534"/>
      <c r="N45" s="2595">
        <f>'Attachment'!N87</f>
        <v>0</v>
      </c>
      <c r="O45" s="2596"/>
      <c r="P45" s="2596"/>
      <c r="Q45" s="2597"/>
      <c r="R45" s="2532">
        <f>'Attachment'!R87</f>
        <v>0</v>
      </c>
      <c r="S45" s="2533"/>
      <c r="T45" s="2533"/>
      <c r="U45" s="2534"/>
      <c r="V45" s="2532">
        <f>'Attachment'!V87</f>
        <v>0</v>
      </c>
      <c r="W45" s="2533"/>
      <c r="X45" s="2533"/>
      <c r="Y45" s="2534"/>
      <c r="Z45" s="2532">
        <f>'Attachment'!Z87</f>
        <v>0</v>
      </c>
      <c r="AA45" s="2533"/>
      <c r="AB45" s="2533"/>
      <c r="AC45" s="2534"/>
      <c r="AD45" s="657"/>
      <c r="AE45" s="657"/>
      <c r="AF45" s="657"/>
      <c r="AG45" s="657"/>
      <c r="AH45" s="660"/>
      <c r="AI45" s="660"/>
      <c r="AJ45" s="661"/>
      <c r="AK45" s="669"/>
      <c r="AL45" s="669"/>
      <c r="AM45" s="669"/>
      <c r="AN45" s="669"/>
      <c r="AO45" s="669"/>
      <c r="AP45" s="669"/>
      <c r="AQ45" s="669"/>
      <c r="AR45" s="669"/>
      <c r="AS45" s="669"/>
      <c r="AT45" s="669"/>
      <c r="AU45" s="669"/>
      <c r="AV45" s="669"/>
      <c r="AW45" s="669"/>
      <c r="AX45" s="669"/>
      <c r="AY45" s="669"/>
      <c r="BA45" s="636"/>
      <c r="BB45" s="636"/>
    </row>
    <row r="46" spans="1:54">
      <c r="A46" s="665" t="s">
        <v>567</v>
      </c>
      <c r="B46" s="666"/>
      <c r="C46" s="666"/>
      <c r="D46" s="666"/>
      <c r="E46" s="667"/>
      <c r="F46" s="2604">
        <f>'Attachment'!F88</f>
        <v>0</v>
      </c>
      <c r="G46" s="2605"/>
      <c r="H46" s="2605"/>
      <c r="I46" s="2606"/>
      <c r="J46" s="2538">
        <f>'Attachment'!J88</f>
        <v>0</v>
      </c>
      <c r="K46" s="2539"/>
      <c r="L46" s="2539"/>
      <c r="M46" s="2540"/>
      <c r="N46" s="2604">
        <f>'Attachment'!N88</f>
        <v>0</v>
      </c>
      <c r="O46" s="2605"/>
      <c r="P46" s="2605"/>
      <c r="Q46" s="2606"/>
      <c r="R46" s="2538">
        <f>'Attachment'!R88</f>
        <v>0</v>
      </c>
      <c r="S46" s="2539"/>
      <c r="T46" s="2539"/>
      <c r="U46" s="2540"/>
      <c r="V46" s="2538">
        <f>'Attachment'!V88</f>
        <v>0</v>
      </c>
      <c r="W46" s="2539"/>
      <c r="X46" s="2539"/>
      <c r="Y46" s="2540"/>
      <c r="Z46" s="2538">
        <f>'Attachment'!Z88</f>
        <v>0</v>
      </c>
      <c r="AA46" s="2539"/>
      <c r="AB46" s="2539"/>
      <c r="AC46" s="2540"/>
      <c r="AD46" s="657"/>
      <c r="AE46" s="657"/>
      <c r="AF46" s="657"/>
      <c r="AG46" s="657"/>
      <c r="AH46" s="660"/>
      <c r="AI46" s="660"/>
      <c r="AJ46" s="661"/>
      <c r="AK46" s="669"/>
      <c r="AL46" s="669"/>
      <c r="AM46" s="669"/>
      <c r="AN46" s="669"/>
      <c r="AO46" s="669"/>
      <c r="AP46" s="669"/>
      <c r="AQ46" s="669"/>
      <c r="AR46" s="669"/>
      <c r="AS46" s="669"/>
      <c r="AT46" s="669"/>
      <c r="AU46" s="669"/>
      <c r="AV46" s="669"/>
      <c r="AW46" s="669"/>
      <c r="AX46" s="669"/>
      <c r="AY46" s="669"/>
      <c r="BA46" s="636"/>
      <c r="BB46" s="636"/>
    </row>
    <row r="47" spans="1:54" ht="14">
      <c r="A47" s="679"/>
      <c r="B47" s="680"/>
      <c r="C47" s="681"/>
      <c r="D47" s="680"/>
      <c r="E47" s="680"/>
      <c r="F47" s="682"/>
      <c r="G47" s="682"/>
      <c r="H47" s="682"/>
      <c r="I47" s="682"/>
      <c r="J47" s="683"/>
      <c r="K47" s="683"/>
      <c r="L47" s="683"/>
      <c r="M47" s="683"/>
      <c r="N47" s="682"/>
      <c r="O47" s="682"/>
      <c r="P47" s="682"/>
      <c r="Q47" s="682"/>
      <c r="R47" s="683"/>
      <c r="S47" s="683"/>
      <c r="T47" s="683"/>
      <c r="U47" s="683"/>
      <c r="V47" s="683"/>
      <c r="W47" s="683"/>
      <c r="X47" s="683"/>
      <c r="Y47" s="683"/>
      <c r="Z47" s="683"/>
      <c r="AA47" s="683"/>
      <c r="AB47" s="683"/>
      <c r="AC47" s="683"/>
      <c r="AD47" s="657"/>
      <c r="AE47" s="657"/>
      <c r="AF47" s="657"/>
      <c r="AG47" s="657"/>
      <c r="AH47" s="668"/>
      <c r="AI47" s="668"/>
      <c r="AJ47" s="661"/>
      <c r="AK47" s="672"/>
      <c r="AL47" s="672"/>
      <c r="AM47" s="672"/>
      <c r="AN47" s="672"/>
      <c r="AO47" s="672"/>
      <c r="AP47" s="672"/>
      <c r="AQ47" s="672"/>
      <c r="AR47" s="672"/>
      <c r="AS47" s="672"/>
      <c r="AT47" s="672"/>
      <c r="AU47" s="672"/>
      <c r="AV47" s="672"/>
      <c r="AW47" s="672"/>
      <c r="AX47" s="672"/>
      <c r="AY47" s="672"/>
      <c r="AZ47" s="644"/>
      <c r="BA47" s="684"/>
      <c r="BB47" s="636"/>
    </row>
    <row r="48" spans="1:54" ht="14.5" thickBot="1">
      <c r="A48" s="685" t="s">
        <v>568</v>
      </c>
      <c r="B48" s="686"/>
      <c r="C48" s="687"/>
      <c r="D48" s="686"/>
      <c r="E48" s="686"/>
      <c r="F48" s="2614"/>
      <c r="G48" s="2500"/>
      <c r="H48" s="2500"/>
      <c r="I48" s="2501"/>
      <c r="J48" s="2617">
        <f>'Attachment'!J90</f>
        <v>0</v>
      </c>
      <c r="K48" s="2618"/>
      <c r="L48" s="2618"/>
      <c r="M48" s="2619"/>
      <c r="N48" s="2614"/>
      <c r="O48" s="2500"/>
      <c r="P48" s="2500"/>
      <c r="Q48" s="2501"/>
      <c r="R48" s="2617">
        <f>'Attachment'!R90</f>
        <v>0</v>
      </c>
      <c r="S48" s="2618"/>
      <c r="T48" s="2618"/>
      <c r="U48" s="2619"/>
      <c r="V48" s="2617">
        <f>'Attachment'!V90</f>
        <v>0</v>
      </c>
      <c r="W48" s="2618"/>
      <c r="X48" s="2618"/>
      <c r="Y48" s="2619"/>
      <c r="Z48" s="2617">
        <f>'Attachment'!Z90</f>
        <v>0</v>
      </c>
      <c r="AA48" s="2618"/>
      <c r="AB48" s="2618"/>
      <c r="AC48" s="2619"/>
      <c r="AD48" s="657"/>
      <c r="AE48" s="657"/>
      <c r="AF48" s="657"/>
      <c r="AG48" s="657"/>
      <c r="AH48" s="676"/>
      <c r="AI48" s="676"/>
      <c r="AJ48" s="676"/>
      <c r="AK48" s="676"/>
      <c r="AL48" s="676"/>
      <c r="AM48" s="676"/>
      <c r="AN48" s="676"/>
      <c r="AO48" s="676"/>
      <c r="AP48" s="676"/>
      <c r="AQ48" s="676"/>
      <c r="AR48" s="676"/>
      <c r="AS48" s="676"/>
      <c r="AT48" s="672"/>
      <c r="AU48" s="672"/>
      <c r="AV48" s="672"/>
      <c r="AW48" s="672"/>
      <c r="AX48" s="672"/>
      <c r="AY48" s="672"/>
      <c r="BA48" s="636"/>
      <c r="BB48" s="636"/>
    </row>
    <row r="49" spans="29:54" ht="19.5" customHeight="1">
      <c r="AC49" s="657"/>
      <c r="AD49" s="657"/>
      <c r="AE49" s="657"/>
      <c r="AF49" s="657"/>
      <c r="AG49" s="657"/>
      <c r="AH49" s="688"/>
      <c r="AI49" s="688"/>
      <c r="AJ49" s="689"/>
      <c r="AK49" s="684"/>
      <c r="AL49" s="684"/>
      <c r="AM49" s="684"/>
      <c r="AN49" s="684"/>
      <c r="AO49" s="684"/>
      <c r="AP49" s="684"/>
      <c r="AQ49" s="684"/>
      <c r="AR49" s="684"/>
      <c r="AS49" s="684"/>
      <c r="AT49" s="684"/>
      <c r="AU49" s="684"/>
      <c r="AV49" s="684"/>
      <c r="AW49" s="684"/>
      <c r="AX49" s="684"/>
      <c r="AY49" s="684"/>
      <c r="BA49" s="636"/>
      <c r="BB49" s="636"/>
    </row>
    <row r="50" spans="1:51">
      <c r="A50" s="639" t="s">
        <v>866</v>
      </c>
      <c r="AC50" s="657"/>
      <c r="AD50" s="657"/>
      <c r="AE50" s="657"/>
      <c r="AF50" s="657"/>
      <c r="AG50" s="657"/>
      <c r="AH50" s="668"/>
      <c r="AI50" s="668"/>
      <c r="AJ50" s="661"/>
      <c r="AK50" s="672"/>
      <c r="AL50" s="672"/>
      <c r="AM50" s="672"/>
      <c r="AN50" s="672"/>
      <c r="AO50" s="672"/>
      <c r="AP50" s="672"/>
      <c r="AQ50" s="672"/>
      <c r="AR50" s="672"/>
      <c r="AS50" s="672"/>
      <c r="AT50" s="672"/>
      <c r="AU50" s="672"/>
      <c r="AV50" s="672"/>
      <c r="AW50" s="672"/>
      <c r="AX50" s="672"/>
      <c r="AY50" s="672"/>
    </row>
    <row r="51" spans="2:51">
      <c r="B51" s="645"/>
      <c r="C51" s="645"/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4"/>
      <c r="W51" s="644"/>
      <c r="AC51" s="657"/>
      <c r="AD51" s="657"/>
      <c r="AE51" s="657"/>
      <c r="AF51" s="657"/>
      <c r="AG51" s="657"/>
      <c r="AH51" s="636"/>
      <c r="AI51" s="636"/>
      <c r="AJ51" s="636"/>
      <c r="AK51" s="636"/>
      <c r="AL51" s="636"/>
      <c r="AM51" s="636"/>
      <c r="AN51" s="636"/>
      <c r="AO51" s="636"/>
      <c r="AP51" s="636"/>
      <c r="AQ51" s="636"/>
      <c r="AR51" s="636"/>
      <c r="AS51" s="636"/>
      <c r="AT51" s="636"/>
      <c r="AU51" s="636"/>
      <c r="AV51" s="636"/>
      <c r="AW51" s="636"/>
      <c r="AX51" s="636"/>
      <c r="AY51" s="636"/>
    </row>
    <row r="52" spans="3:55">
      <c r="C52" s="639"/>
      <c r="D52" s="639"/>
      <c r="E52" s="639"/>
      <c r="F52" s="639"/>
      <c r="G52" s="639"/>
      <c r="H52" s="668"/>
      <c r="I52" s="668"/>
      <c r="J52" s="661"/>
      <c r="K52" s="672"/>
      <c r="L52" s="672"/>
      <c r="M52" s="672"/>
      <c r="N52" s="672"/>
      <c r="O52" s="672"/>
      <c r="P52" s="672"/>
      <c r="Q52" s="672"/>
      <c r="R52" s="672"/>
      <c r="S52" s="672"/>
      <c r="T52" s="672"/>
      <c r="U52" s="672"/>
      <c r="V52" s="672"/>
      <c r="W52" s="672"/>
      <c r="X52" s="672"/>
      <c r="Y52" s="672"/>
      <c r="AB52" s="644"/>
      <c r="AC52" s="657"/>
      <c r="AD52" s="657"/>
      <c r="AE52" s="657"/>
      <c r="AF52" s="657"/>
      <c r="AG52" s="657"/>
      <c r="AH52" s="636"/>
      <c r="AI52" s="636"/>
      <c r="AJ52" s="636"/>
      <c r="AK52" s="636"/>
      <c r="AL52" s="636"/>
      <c r="AM52" s="636"/>
      <c r="AN52" s="636"/>
      <c r="AO52" s="636"/>
      <c r="AP52" s="636"/>
      <c r="AQ52" s="636"/>
      <c r="AR52" s="636"/>
      <c r="AS52" s="636"/>
      <c r="AT52" s="636"/>
      <c r="AU52" s="636"/>
      <c r="AV52" s="636"/>
      <c r="AW52" s="636"/>
      <c r="AX52" s="636"/>
      <c r="AY52" s="636"/>
      <c r="AZ52" s="636"/>
      <c r="BA52" s="636"/>
      <c r="BB52" s="636"/>
      <c r="BC52" s="636"/>
    </row>
    <row r="53" spans="3:33">
      <c r="C53" s="645"/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9"/>
      <c r="W53" s="650"/>
      <c r="X53" s="650"/>
      <c r="Y53" s="650"/>
      <c r="Z53" s="659"/>
      <c r="AA53" s="659"/>
      <c r="AB53" s="644"/>
      <c r="AC53" s="657"/>
      <c r="AD53" s="657"/>
      <c r="AE53" s="657"/>
      <c r="AF53" s="657"/>
      <c r="AG53" s="657"/>
    </row>
    <row r="54" spans="3:33" ht="20">
      <c r="C54" s="648" t="s">
        <v>476</v>
      </c>
      <c r="D54" s="636"/>
      <c r="E54" s="636"/>
      <c r="X54" s="651"/>
      <c r="Y54" s="651"/>
      <c r="Z54" s="659"/>
      <c r="AA54" s="659"/>
      <c r="AB54" s="651"/>
      <c r="AC54" s="657"/>
      <c r="AD54" s="657"/>
      <c r="AE54" s="657"/>
      <c r="AF54" s="657"/>
      <c r="AG54" s="657"/>
    </row>
    <row r="55" spans="3:33" ht="20">
      <c r="C55" s="648" t="s">
        <v>477</v>
      </c>
      <c r="D55" s="636"/>
      <c r="E55" s="636"/>
      <c r="G55" s="648"/>
      <c r="H55" s="648"/>
      <c r="I55" s="2936" t="e">
        <f>'Attachment'!G98</f>
        <v>#VALUE!</v>
      </c>
      <c r="J55" s="2936"/>
      <c r="AC55" s="657"/>
      <c r="AD55" s="657"/>
      <c r="AE55" s="657"/>
      <c r="AF55" s="657"/>
      <c r="AG55" s="657"/>
    </row>
    <row r="56" spans="26:33">
      <c r="Z56" s="659"/>
      <c r="AA56" s="659"/>
      <c r="AC56" s="657"/>
      <c r="AD56" s="657"/>
      <c r="AE56" s="657"/>
      <c r="AF56" s="657"/>
      <c r="AG56" s="657"/>
    </row>
    <row r="57" spans="3:33">
      <c r="C57" s="639" t="s">
        <v>716</v>
      </c>
      <c r="Z57" s="659"/>
      <c r="AA57" s="659"/>
      <c r="AC57" s="657"/>
      <c r="AD57" s="657"/>
      <c r="AE57" s="657"/>
      <c r="AF57" s="657"/>
      <c r="AG57" s="657"/>
    </row>
    <row r="58" spans="20:33">
      <c r="T58" s="677"/>
      <c r="U58" s="677"/>
      <c r="V58" s="677"/>
      <c r="W58" s="677"/>
      <c r="X58" s="677"/>
      <c r="Y58" s="677"/>
      <c r="Z58" s="692"/>
      <c r="AA58" s="692"/>
      <c r="AB58" s="677"/>
      <c r="AC58" s="657"/>
      <c r="AD58" s="657"/>
      <c r="AE58" s="657"/>
      <c r="AF58" s="657"/>
      <c r="AG58" s="657"/>
    </row>
    <row r="59" spans="4:33">
      <c r="D59" s="636" t="s">
        <v>613</v>
      </c>
      <c r="T59" s="669" t="e">
        <f>'Attachment'!T102</f>
        <v>#VALUE!</v>
      </c>
      <c r="U59" s="669"/>
      <c r="V59" s="669"/>
      <c r="W59" s="669"/>
      <c r="X59" s="669"/>
      <c r="Y59" s="669"/>
      <c r="Z59" s="669"/>
      <c r="AA59" s="669"/>
      <c r="AB59" s="693"/>
      <c r="AC59" s="657"/>
      <c r="AD59" s="657"/>
      <c r="AE59" s="657"/>
      <c r="AF59" s="657"/>
      <c r="AG59" s="657"/>
    </row>
    <row r="60" spans="4:33">
      <c r="D60" s="636" t="s">
        <v>614</v>
      </c>
      <c r="T60" s="669" t="e">
        <f>'Attachment'!T103</f>
        <v>#VALUE!</v>
      </c>
      <c r="U60" s="669"/>
      <c r="V60" s="669"/>
      <c r="W60" s="669"/>
      <c r="X60" s="669"/>
      <c r="Y60" s="669"/>
      <c r="Z60" s="669"/>
      <c r="AA60" s="669"/>
      <c r="AB60" s="693"/>
      <c r="AC60" s="657"/>
      <c r="AD60" s="657"/>
      <c r="AE60" s="657"/>
      <c r="AF60" s="657"/>
      <c r="AG60" s="657"/>
    </row>
    <row r="61" spans="4:33">
      <c r="D61" s="636" t="s">
        <v>615</v>
      </c>
      <c r="T61" s="2533" t="e">
        <f>'Attachment'!T104</f>
        <v>#VALUE!</v>
      </c>
      <c r="U61" s="2533"/>
      <c r="V61" s="2533"/>
      <c r="W61" s="2533"/>
      <c r="X61" s="669"/>
      <c r="Y61" s="669"/>
      <c r="Z61" s="669"/>
      <c r="AA61" s="669"/>
      <c r="AB61" s="693"/>
      <c r="AC61" s="657"/>
      <c r="AD61" s="657"/>
      <c r="AE61" s="657"/>
      <c r="AF61" s="657"/>
      <c r="AG61" s="657"/>
    </row>
    <row r="62" spans="4:33">
      <c r="D62" s="636" t="s">
        <v>475</v>
      </c>
      <c r="T62" s="669"/>
      <c r="U62" s="669"/>
      <c r="V62" s="669"/>
      <c r="W62" s="669"/>
      <c r="X62" s="669" t="e">
        <f>'Attachment'!X105</f>
        <v>#VALUE!</v>
      </c>
      <c r="Y62" s="669"/>
      <c r="Z62" s="669"/>
      <c r="AA62" s="669"/>
      <c r="AB62" s="693"/>
      <c r="AC62" s="657"/>
      <c r="AD62" s="657"/>
      <c r="AE62" s="657"/>
      <c r="AF62" s="657"/>
      <c r="AG62" s="657"/>
    </row>
    <row r="63" spans="20:33">
      <c r="T63" s="669"/>
      <c r="U63" s="669"/>
      <c r="V63" s="669"/>
      <c r="W63" s="669"/>
      <c r="X63" s="669"/>
      <c r="Y63" s="669"/>
      <c r="Z63" s="669"/>
      <c r="AA63" s="669"/>
      <c r="AB63" s="693"/>
      <c r="AC63" s="657"/>
      <c r="AD63" s="657"/>
      <c r="AE63" s="657"/>
      <c r="AF63" s="657"/>
      <c r="AG63" s="657"/>
    </row>
    <row r="64" spans="2:33">
      <c r="B64" s="662"/>
      <c r="C64" s="639" t="s">
        <v>478</v>
      </c>
      <c r="T64" s="669"/>
      <c r="U64" s="669"/>
      <c r="V64" s="669"/>
      <c r="W64" s="669"/>
      <c r="X64" s="2533" t="e">
        <f>'Attachment'!X107</f>
        <v>#VALUE!</v>
      </c>
      <c r="Y64" s="2533"/>
      <c r="Z64" s="2533"/>
      <c r="AA64" s="2533"/>
      <c r="AC64" s="657"/>
      <c r="AD64" s="657"/>
      <c r="AE64" s="657"/>
      <c r="AF64" s="657"/>
      <c r="AG64" s="657"/>
    </row>
    <row r="65" spans="2:33">
      <c r="B65" s="662"/>
      <c r="C65" s="639"/>
      <c r="T65" s="669"/>
      <c r="U65" s="669"/>
      <c r="V65" s="669"/>
      <c r="W65" s="669"/>
      <c r="X65" s="669"/>
      <c r="Y65" s="669"/>
      <c r="Z65" s="669"/>
      <c r="AA65" s="669"/>
      <c r="AC65" s="657"/>
      <c r="AD65" s="657"/>
      <c r="AE65" s="657"/>
      <c r="AF65" s="657"/>
      <c r="AG65" s="657"/>
    </row>
    <row r="66" spans="2:33">
      <c r="B66" s="662"/>
      <c r="C66" s="639" t="s">
        <v>717</v>
      </c>
      <c r="T66" s="669"/>
      <c r="U66" s="669"/>
      <c r="V66" s="669"/>
      <c r="W66" s="669"/>
      <c r="X66" s="669" t="e">
        <f>'Attachment'!X109</f>
        <v>#VALUE!</v>
      </c>
      <c r="Y66" s="669"/>
      <c r="Z66" s="669"/>
      <c r="AA66" s="669"/>
      <c r="AC66" s="657"/>
      <c r="AD66" s="657"/>
      <c r="AE66" s="657"/>
      <c r="AF66" s="657"/>
      <c r="AG66" s="657"/>
    </row>
    <row r="67" spans="2:33">
      <c r="B67" s="662"/>
      <c r="C67" s="639"/>
      <c r="Z67" s="663"/>
      <c r="AA67" s="663"/>
      <c r="AC67" s="657"/>
      <c r="AD67" s="657"/>
      <c r="AE67" s="657"/>
      <c r="AF67" s="657"/>
      <c r="AG67" s="657"/>
    </row>
    <row r="68" spans="2:33">
      <c r="B68" s="663"/>
      <c r="C68" s="639" t="s">
        <v>479</v>
      </c>
      <c r="D68" s="694"/>
      <c r="X68" s="669" t="e">
        <f>'Attachment'!X111</f>
        <v>#VALUE!</v>
      </c>
      <c r="Y68" s="669"/>
      <c r="Z68" s="669"/>
      <c r="AA68" s="669"/>
      <c r="AC68" s="657"/>
      <c r="AD68" s="657"/>
      <c r="AE68" s="657"/>
      <c r="AF68" s="657"/>
      <c r="AG68" s="657"/>
    </row>
    <row r="69" spans="2:33">
      <c r="B69" s="663"/>
      <c r="C69" s="639"/>
      <c r="D69" s="694"/>
      <c r="Z69" s="663"/>
      <c r="AA69" s="663"/>
      <c r="AC69" s="657"/>
      <c r="AD69" s="657"/>
      <c r="AE69" s="657"/>
      <c r="AF69" s="657"/>
      <c r="AG69" s="657"/>
    </row>
    <row r="70" spans="2:33">
      <c r="B70" s="663"/>
      <c r="C70" s="639" t="s">
        <v>710</v>
      </c>
      <c r="D70" s="694"/>
      <c r="X70" s="669">
        <f>'Attachment'!X113</f>
        <v>0</v>
      </c>
      <c r="Y70" s="669"/>
      <c r="Z70" s="669"/>
      <c r="AA70" s="669"/>
      <c r="AC70" s="657"/>
      <c r="AD70" s="657"/>
      <c r="AE70" s="657"/>
      <c r="AF70" s="657"/>
      <c r="AG70" s="657"/>
    </row>
    <row r="71" spans="2:33">
      <c r="B71" s="670"/>
      <c r="C71" s="636"/>
      <c r="X71" s="2533"/>
      <c r="Y71" s="2533"/>
      <c r="Z71" s="2533"/>
      <c r="AA71" s="2533"/>
      <c r="AC71" s="657"/>
      <c r="AD71" s="657"/>
      <c r="AE71" s="657"/>
      <c r="AF71" s="657"/>
      <c r="AG71" s="657"/>
    </row>
    <row r="72" spans="2:33">
      <c r="B72" s="662"/>
      <c r="C72" s="639" t="s">
        <v>480</v>
      </c>
      <c r="D72" s="694"/>
      <c r="X72" s="672" t="e">
        <f>'Attachment'!X115</f>
        <v>#VALUE!</v>
      </c>
      <c r="Y72" s="672"/>
      <c r="Z72" s="672"/>
      <c r="AA72" s="672"/>
      <c r="AC72" s="657"/>
      <c r="AD72" s="657"/>
      <c r="AE72" s="657"/>
      <c r="AF72" s="657"/>
      <c r="AG72" s="657"/>
    </row>
    <row r="73" spans="3:33">
      <c r="C73" s="639"/>
      <c r="D73" s="694"/>
      <c r="X73" s="672"/>
      <c r="Y73" s="672"/>
      <c r="Z73" s="672"/>
      <c r="AA73" s="672"/>
      <c r="AC73" s="657"/>
      <c r="AD73" s="657"/>
      <c r="AE73" s="657"/>
      <c r="AF73" s="657"/>
      <c r="AG73" s="657"/>
    </row>
    <row r="74" spans="3:33">
      <c r="C74" s="639" t="s">
        <v>481</v>
      </c>
      <c r="X74" s="669" t="e">
        <f>'Attachment'!X117</f>
        <v>#VALUE!</v>
      </c>
      <c r="Y74" s="669"/>
      <c r="Z74" s="669"/>
      <c r="AA74" s="669"/>
      <c r="AC74" s="657"/>
      <c r="AD74" s="657"/>
      <c r="AE74" s="657"/>
      <c r="AF74" s="657"/>
      <c r="AG74" s="657"/>
    </row>
    <row r="75" spans="3:33">
      <c r="C75" s="636"/>
      <c r="X75" s="669"/>
      <c r="Y75" s="669"/>
      <c r="Z75" s="669"/>
      <c r="AA75" s="669"/>
      <c r="AC75" s="657"/>
      <c r="AD75" s="657"/>
      <c r="AE75" s="657"/>
      <c r="AF75" s="657"/>
      <c r="AG75" s="657"/>
    </row>
    <row r="76" spans="3:33">
      <c r="C76" s="639" t="s">
        <v>482</v>
      </c>
      <c r="X76" s="669"/>
      <c r="Y76" s="669"/>
      <c r="Z76" s="669"/>
      <c r="AA76" s="669"/>
      <c r="AC76" s="657"/>
      <c r="AD76" s="657"/>
      <c r="AE76" s="657"/>
      <c r="AF76" s="657"/>
      <c r="AG76" s="657"/>
    </row>
    <row r="77" spans="4:30">
      <c r="D77" s="639" t="s">
        <v>711</v>
      </c>
      <c r="X77" s="669" t="e">
        <f>'Attachment'!X120</f>
        <v>#VALUE!</v>
      </c>
      <c r="Y77" s="669"/>
      <c r="Z77" s="669"/>
      <c r="AA77" s="669"/>
      <c r="AD77" s="691"/>
    </row>
    <row r="78" spans="3:30">
      <c r="C78" s="636"/>
      <c r="X78" s="2533"/>
      <c r="Y78" s="2533"/>
      <c r="Z78" s="2533"/>
      <c r="AA78" s="2533"/>
      <c r="AD78" s="691"/>
    </row>
    <row r="79" spans="3:30">
      <c r="C79" s="639" t="s">
        <v>483</v>
      </c>
      <c r="X79" s="672" t="e">
        <f>'Attachment'!X122</f>
        <v>#VALUE!</v>
      </c>
      <c r="Y79" s="672"/>
      <c r="Z79" s="672"/>
      <c r="AA79" s="672"/>
      <c r="AD79" s="691"/>
    </row>
    <row r="80" spans="3:30">
      <c r="C80" s="636"/>
      <c r="X80" s="669"/>
      <c r="Y80" s="669"/>
      <c r="Z80" s="669"/>
      <c r="AA80" s="669"/>
      <c r="AD80" s="691"/>
    </row>
    <row r="81" spans="3:30">
      <c r="C81" s="639" t="s">
        <v>484</v>
      </c>
      <c r="X81" s="2579">
        <f>'Attachment'!X124</f>
        <v>0</v>
      </c>
      <c r="Y81" s="2579"/>
      <c r="Z81" s="2579"/>
      <c r="AA81" s="2579"/>
      <c r="AD81" s="691"/>
    </row>
    <row r="82" spans="3:30" ht="3" customHeight="1">
      <c r="C82" s="636"/>
      <c r="X82" s="2533"/>
      <c r="Y82" s="2533"/>
      <c r="Z82" s="2533"/>
      <c r="AA82" s="2533"/>
      <c r="AD82" s="691"/>
    </row>
    <row r="83" spans="3:30" ht="15" customHeight="1" thickBot="1">
      <c r="C83" s="636"/>
      <c r="X83" s="669"/>
      <c r="Y83" s="669"/>
      <c r="Z83" s="669"/>
      <c r="AA83" s="669"/>
      <c r="AD83" s="691"/>
    </row>
    <row r="84" spans="3:30" ht="12.75" customHeight="1" thickBot="1">
      <c r="C84" s="645" t="e">
        <f>IF(OR('GENERAL INFO'!W55="X",AND(T61=X64,T61&gt;0)),"JUMLAH SETORAN PPh PASAL 25 PER BULAN **)","JUMLAH SETORAN PPh PASAL 25 PER BULAN")</f>
        <v>#VALUE!</v>
      </c>
      <c r="D84" s="644"/>
      <c r="E84" s="644"/>
      <c r="F84" s="644"/>
      <c r="G84" s="644"/>
      <c r="H84" s="644"/>
      <c r="I84" s="644"/>
      <c r="J84" s="644"/>
      <c r="K84" s="644"/>
      <c r="L84" s="644"/>
      <c r="M84" s="644"/>
      <c r="N84" s="644"/>
      <c r="O84" s="644"/>
      <c r="P84" s="644"/>
      <c r="Q84" s="644"/>
      <c r="R84" s="644"/>
      <c r="S84" s="644"/>
      <c r="T84" s="644"/>
      <c r="U84" s="644"/>
      <c r="V84" s="644"/>
      <c r="W84" s="644"/>
      <c r="X84" s="2973" t="e">
        <f>'Attachment'!X127</f>
        <v>#VALUE!</v>
      </c>
      <c r="Y84" s="2974"/>
      <c r="Z84" s="2974"/>
      <c r="AA84" s="2975"/>
      <c r="AD84" s="691"/>
    </row>
    <row r="85" spans="24:30">
      <c r="X85" s="669"/>
      <c r="Y85" s="669"/>
      <c r="Z85" s="669"/>
      <c r="AA85" s="669"/>
      <c r="AB85" s="644"/>
      <c r="AC85" s="644"/>
      <c r="AD85" s="690"/>
    </row>
    <row r="86" spans="3:31">
      <c r="C86" s="694" t="str">
        <f>IF(ISBLANK(dateofdeparture)=True,"*)  Tidak termasuk yang dikenai PPh final dan penghasilan yang bukan obyek pajak","*)   Sebagaimana terlihat pada EPO terlampir, saya meninggalkan Indonesia pada "&amp;TEXT(dateofdeparture,"dd/mm/yy")&amp;" "&amp;" sehingga PPh 25 saya NIHIL")</f>
        <v>*)  Tidak termasuk yang dikenai PPh final dan penghasilan yang bukan obyek pajak</v>
      </c>
      <c r="AD86" s="691"/>
      <c r="AE86" s="636" t="str">
        <f>IF('GENERAL INFO'!W55="X","**)  Perhitungan PPh 25 untuk tahun "&amp;(taxyear+1)&amp;" "&amp;" adalah Nihil, karena SPT PPh Tahun "&amp;(taxyear)&amp;" "&amp;"telah saya laporkan bersamaan dengan SPT PPh Tahun "&amp;(taxyear+1)&amp;" "&amp;" (KEP-28/PJ.41/1993).","")</f>
        <v/>
      </c>
    </row>
    <row r="87" spans="3:31" ht="39.75" customHeight="1">
      <c r="C87" s="3000" t="e">
        <f>IF('GENERAL INFO'!W55="X","**)  Perhitungan PPh 25 untuk tahun "&amp;(taxyear+1)&amp;" "&amp;" adalah Nihil, karena SPT PPh Tahun "&amp;(taxyear)&amp;" "&amp;"telah saya laporkan bersamaan dengan SPT PPh Tahun "&amp;(taxyear+1)&amp;" "&amp;" (KEP-28/PJ.41/1993).",IF(X64&gt;0, AE87, " "))</f>
        <v>#VALUE!</v>
      </c>
      <c r="D87" s="3000"/>
      <c r="E87" s="3000"/>
      <c r="F87" s="3000"/>
      <c r="G87" s="3000"/>
      <c r="H87" s="3000"/>
      <c r="I87" s="3000"/>
      <c r="J87" s="3000"/>
      <c r="K87" s="3000"/>
      <c r="L87" s="3000"/>
      <c r="M87" s="3000"/>
      <c r="N87" s="3000"/>
      <c r="O87" s="3000"/>
      <c r="P87" s="3000"/>
      <c r="Q87" s="3000"/>
      <c r="R87" s="3000"/>
      <c r="S87" s="3000"/>
      <c r="T87" s="3000"/>
      <c r="U87" s="3000"/>
      <c r="V87" s="3000"/>
      <c r="W87" s="3000"/>
      <c r="X87" s="3000"/>
      <c r="Y87" s="3000"/>
      <c r="Z87" s="3000"/>
      <c r="AA87" s="3000"/>
      <c r="AD87" s="691"/>
      <c r="AE87" s="636" t="s">
        <v>1133</v>
      </c>
    </row>
    <row r="88" spans="3:30" ht="4.5" customHeight="1">
      <c r="C88" s="694"/>
      <c r="D88" s="639"/>
      <c r="E88" s="639"/>
      <c r="F88" s="639"/>
      <c r="G88" s="639"/>
      <c r="H88" s="639"/>
      <c r="I88" s="668"/>
      <c r="J88" s="668"/>
      <c r="K88" s="661"/>
      <c r="L88" s="672"/>
      <c r="M88" s="672"/>
      <c r="N88" s="672"/>
      <c r="O88" s="672"/>
      <c r="P88" s="672"/>
      <c r="Q88" s="672"/>
      <c r="R88" s="672"/>
      <c r="S88" s="672"/>
      <c r="T88" s="672"/>
      <c r="U88" s="672"/>
      <c r="V88" s="672"/>
      <c r="W88" s="672"/>
      <c r="X88" s="672"/>
      <c r="Y88" s="672"/>
      <c r="Z88" s="672"/>
      <c r="AD88" s="691"/>
    </row>
    <row r="89" spans="4:30" ht="9.75" customHeight="1">
      <c r="D89" s="695"/>
      <c r="E89" s="659"/>
      <c r="F89" s="659"/>
      <c r="G89" s="659"/>
      <c r="H89" s="659"/>
      <c r="I89" s="659"/>
      <c r="J89" s="659"/>
      <c r="K89" s="659"/>
      <c r="L89" s="659"/>
      <c r="M89" s="659"/>
      <c r="N89" s="659"/>
      <c r="O89" s="659"/>
      <c r="P89" s="659"/>
      <c r="Q89" s="659"/>
      <c r="R89" s="659"/>
      <c r="S89" s="659"/>
      <c r="T89" s="659"/>
      <c r="U89" s="659"/>
      <c r="V89" s="659"/>
      <c r="W89" s="659"/>
      <c r="X89" s="659"/>
      <c r="Y89" s="659"/>
      <c r="Z89" s="659"/>
      <c r="AD89" s="691"/>
    </row>
    <row r="90" spans="30:30">
      <c r="AD90" s="691"/>
    </row>
    <row r="91" spans="30:30">
      <c r="AD91" s="691"/>
    </row>
    <row r="92" spans="30:30">
      <c r="AD92" s="691"/>
    </row>
    <row r="93" spans="3:27" ht="20">
      <c r="C93" s="648" t="s">
        <v>569</v>
      </c>
      <c r="E93" s="659"/>
      <c r="F93" s="659"/>
      <c r="G93" s="659"/>
      <c r="H93" s="659"/>
      <c r="I93" s="659"/>
      <c r="J93" s="659"/>
      <c r="K93" s="659"/>
      <c r="L93" s="659"/>
      <c r="M93" s="659"/>
      <c r="N93" s="659"/>
      <c r="O93" s="659"/>
      <c r="P93" s="659"/>
      <c r="Q93" s="659"/>
      <c r="R93" s="659"/>
      <c r="S93" s="659"/>
      <c r="T93" s="659"/>
      <c r="U93" s="659"/>
      <c r="V93" s="659"/>
      <c r="W93" s="659"/>
      <c r="AA93" s="691"/>
    </row>
    <row r="94" spans="4:27" ht="13" thickBot="1">
      <c r="D94" s="659"/>
      <c r="E94" s="659"/>
      <c r="F94" s="659"/>
      <c r="G94" s="659"/>
      <c r="H94" s="659"/>
      <c r="I94" s="659"/>
      <c r="J94" s="659"/>
      <c r="K94" s="659"/>
      <c r="L94" s="659"/>
      <c r="M94" s="659"/>
      <c r="N94" s="659"/>
      <c r="O94" s="659"/>
      <c r="P94" s="659"/>
      <c r="Q94" s="659"/>
      <c r="R94" s="659"/>
      <c r="S94" s="659"/>
      <c r="T94" s="659"/>
      <c r="U94" s="659"/>
      <c r="V94" s="659"/>
      <c r="W94" s="659"/>
      <c r="AA94" s="691"/>
    </row>
    <row r="95" spans="2:33" ht="18" customHeight="1">
      <c r="B95" s="663"/>
      <c r="C95" s="2622" t="s">
        <v>601</v>
      </c>
      <c r="D95" s="2623"/>
      <c r="E95" s="2623"/>
      <c r="F95" s="2623"/>
      <c r="G95" s="2623"/>
      <c r="H95" s="2624"/>
      <c r="I95" s="2622" t="s">
        <v>570</v>
      </c>
      <c r="J95" s="2623"/>
      <c r="K95" s="2623"/>
      <c r="L95" s="2623"/>
      <c r="M95" s="2623"/>
      <c r="N95" s="2624"/>
      <c r="O95" s="2989" t="s">
        <v>562</v>
      </c>
      <c r="P95" s="2989"/>
      <c r="Q95" s="2989"/>
      <c r="R95" s="2989"/>
      <c r="S95" s="2991" t="s">
        <v>571</v>
      </c>
      <c r="T95" s="2992"/>
      <c r="U95" s="2992"/>
      <c r="V95" s="2992"/>
      <c r="W95" s="2992"/>
      <c r="X95" s="2992"/>
      <c r="Y95" s="2992"/>
      <c r="Z95" s="2993"/>
      <c r="AA95" s="663"/>
      <c r="AB95" s="663"/>
      <c r="AC95" s="663"/>
      <c r="AG95" s="691"/>
    </row>
    <row r="96" spans="2:33" ht="30.75" customHeight="1" thickBot="1">
      <c r="B96" s="663"/>
      <c r="C96" s="2976"/>
      <c r="D96" s="2977"/>
      <c r="E96" s="2977"/>
      <c r="F96" s="2977"/>
      <c r="G96" s="2977"/>
      <c r="H96" s="2978"/>
      <c r="I96" s="2976"/>
      <c r="J96" s="2977"/>
      <c r="K96" s="2977"/>
      <c r="L96" s="2977"/>
      <c r="M96" s="2977"/>
      <c r="N96" s="2978"/>
      <c r="O96" s="2990"/>
      <c r="P96" s="2990"/>
      <c r="Q96" s="2990"/>
      <c r="R96" s="2990"/>
      <c r="S96" s="2994" t="s">
        <v>572</v>
      </c>
      <c r="T96" s="2995"/>
      <c r="U96" s="2995"/>
      <c r="V96" s="2996"/>
      <c r="W96" s="2997" t="s">
        <v>573</v>
      </c>
      <c r="X96" s="2998"/>
      <c r="Y96" s="2998"/>
      <c r="Z96" s="2999"/>
      <c r="AA96" s="663"/>
      <c r="AB96" s="663"/>
      <c r="AC96" s="663"/>
      <c r="AG96" s="691"/>
    </row>
    <row r="97" spans="2:33" ht="13" thickTop="1">
      <c r="B97" s="663"/>
      <c r="C97" s="2982"/>
      <c r="D97" s="2983"/>
      <c r="E97" s="2983"/>
      <c r="F97" s="2983"/>
      <c r="G97" s="2983"/>
      <c r="H97" s="2984"/>
      <c r="I97" s="2982"/>
      <c r="J97" s="2983"/>
      <c r="K97" s="2983"/>
      <c r="L97" s="2983"/>
      <c r="M97" s="2983"/>
      <c r="N97" s="2984"/>
      <c r="O97" s="2985"/>
      <c r="P97" s="2985"/>
      <c r="Q97" s="2985"/>
      <c r="R97" s="2985"/>
      <c r="S97" s="2985"/>
      <c r="T97" s="2985"/>
      <c r="U97" s="2985"/>
      <c r="V97" s="2985"/>
      <c r="W97" s="2986"/>
      <c r="X97" s="2987"/>
      <c r="Y97" s="2987"/>
      <c r="Z97" s="2988"/>
      <c r="AA97" s="663"/>
      <c r="AB97" s="663"/>
      <c r="AC97" s="663"/>
      <c r="AG97" s="691"/>
    </row>
    <row r="98" spans="2:33">
      <c r="B98" s="663"/>
      <c r="C98" s="2552" t="str">
        <f>'Attachment'!C139</f>
        <v> </v>
      </c>
      <c r="D98" s="2553"/>
      <c r="E98" s="2553"/>
      <c r="F98" s="2553"/>
      <c r="G98" s="2553"/>
      <c r="H98" s="2554"/>
      <c r="I98" s="2552" t="str">
        <f>'Attachment'!I139</f>
        <v> </v>
      </c>
      <c r="J98" s="2553"/>
      <c r="K98" s="2553"/>
      <c r="L98" s="2553"/>
      <c r="M98" s="2553"/>
      <c r="N98" s="2554"/>
      <c r="O98" s="2549">
        <f>'Attachment'!O139</f>
        <v>0</v>
      </c>
      <c r="P98" s="2549"/>
      <c r="Q98" s="2549"/>
      <c r="R98" s="2549"/>
      <c r="S98" s="2549" t="str">
        <f>'Attachment'!S139</f>
        <v> </v>
      </c>
      <c r="T98" s="2549"/>
      <c r="U98" s="2549"/>
      <c r="V98" s="2549"/>
      <c r="W98" s="2549">
        <f>'Attachment'!W139</f>
        <v>0</v>
      </c>
      <c r="X98" s="2549"/>
      <c r="Y98" s="2549"/>
      <c r="Z98" s="2550"/>
      <c r="AA98" s="663"/>
      <c r="AB98" s="663"/>
      <c r="AC98" s="663"/>
      <c r="AG98" s="691"/>
    </row>
    <row r="99" spans="2:33">
      <c r="B99" s="663"/>
      <c r="C99" s="2552" t="str">
        <f>'Attachment'!C140</f>
        <v> </v>
      </c>
      <c r="D99" s="2553"/>
      <c r="E99" s="2553"/>
      <c r="F99" s="2553"/>
      <c r="G99" s="2553"/>
      <c r="H99" s="2554"/>
      <c r="I99" s="2552" t="str">
        <f>'Attachment'!I140</f>
        <v> </v>
      </c>
      <c r="J99" s="2553"/>
      <c r="K99" s="2553"/>
      <c r="L99" s="2553"/>
      <c r="M99" s="2553"/>
      <c r="N99" s="2554"/>
      <c r="O99" s="2549">
        <f>'Attachment'!O140</f>
        <v>0</v>
      </c>
      <c r="P99" s="2549"/>
      <c r="Q99" s="2549"/>
      <c r="R99" s="2549"/>
      <c r="S99" s="2549" t="str">
        <f>'Attachment'!S140</f>
        <v> </v>
      </c>
      <c r="T99" s="2549"/>
      <c r="U99" s="2549"/>
      <c r="V99" s="2549"/>
      <c r="W99" s="2549">
        <f>'Attachment'!W140</f>
        <v>0</v>
      </c>
      <c r="X99" s="2549"/>
      <c r="Y99" s="2549"/>
      <c r="Z99" s="2550"/>
      <c r="AA99" s="663"/>
      <c r="AB99" s="663"/>
      <c r="AC99" s="663"/>
      <c r="AG99" s="691"/>
    </row>
    <row r="100" spans="2:33">
      <c r="B100" s="663"/>
      <c r="C100" s="2552" t="str">
        <f>'Attachment'!C141</f>
        <v> </v>
      </c>
      <c r="D100" s="2553"/>
      <c r="E100" s="2553"/>
      <c r="F100" s="2553"/>
      <c r="G100" s="2553"/>
      <c r="H100" s="2554"/>
      <c r="I100" s="2552" t="str">
        <f>'Attachment'!I141</f>
        <v> </v>
      </c>
      <c r="J100" s="2553"/>
      <c r="K100" s="2553"/>
      <c r="L100" s="2553"/>
      <c r="M100" s="2553"/>
      <c r="N100" s="2554"/>
      <c r="O100" s="2549" t="str">
        <f>'Attachment'!O141</f>
        <v> </v>
      </c>
      <c r="P100" s="2549"/>
      <c r="Q100" s="2549"/>
      <c r="R100" s="2549"/>
      <c r="S100" s="2549" t="str">
        <f>'Attachment'!S141</f>
        <v> </v>
      </c>
      <c r="T100" s="2549"/>
      <c r="U100" s="2549"/>
      <c r="V100" s="2549"/>
      <c r="W100" s="2549">
        <f>'Attachment'!W141</f>
        <v>0</v>
      </c>
      <c r="X100" s="2549"/>
      <c r="Y100" s="2549"/>
      <c r="Z100" s="2550"/>
      <c r="AA100" s="663"/>
      <c r="AB100" s="663"/>
      <c r="AC100" s="663"/>
      <c r="AG100" s="691"/>
    </row>
    <row r="101" spans="2:33">
      <c r="B101" s="663"/>
      <c r="C101" s="2552" t="str">
        <f>'Attachment'!C142</f>
        <v> </v>
      </c>
      <c r="D101" s="2553"/>
      <c r="E101" s="2553"/>
      <c r="F101" s="2553"/>
      <c r="G101" s="2553"/>
      <c r="H101" s="2554"/>
      <c r="I101" s="2552" t="str">
        <f>'Attachment'!I142</f>
        <v> </v>
      </c>
      <c r="J101" s="2553"/>
      <c r="K101" s="2553"/>
      <c r="L101" s="2553"/>
      <c r="M101" s="2553"/>
      <c r="N101" s="2554"/>
      <c r="O101" s="2549" t="str">
        <f>'Attachment'!O142</f>
        <v> </v>
      </c>
      <c r="P101" s="2549"/>
      <c r="Q101" s="2549"/>
      <c r="R101" s="2549"/>
      <c r="S101" s="2549" t="str">
        <f>'Attachment'!S142</f>
        <v> </v>
      </c>
      <c r="T101" s="2549"/>
      <c r="U101" s="2549"/>
      <c r="V101" s="2549"/>
      <c r="W101" s="2549">
        <f>'Attachment'!W142</f>
        <v>0</v>
      </c>
      <c r="X101" s="2549"/>
      <c r="Y101" s="2549"/>
      <c r="Z101" s="2550"/>
      <c r="AA101" s="663"/>
      <c r="AB101" s="663"/>
      <c r="AC101" s="663"/>
      <c r="AG101" s="691"/>
    </row>
    <row r="102" spans="2:33">
      <c r="B102" s="663"/>
      <c r="C102" s="2552" t="str">
        <f>'Attachment'!C143</f>
        <v> </v>
      </c>
      <c r="D102" s="2553"/>
      <c r="E102" s="2553"/>
      <c r="F102" s="2553"/>
      <c r="G102" s="2553"/>
      <c r="H102" s="2554"/>
      <c r="I102" s="2552" t="str">
        <f>'Attachment'!I143</f>
        <v> </v>
      </c>
      <c r="J102" s="2553"/>
      <c r="K102" s="2553"/>
      <c r="L102" s="2553"/>
      <c r="M102" s="2553"/>
      <c r="N102" s="2554"/>
      <c r="O102" s="2549" t="str">
        <f>'Attachment'!O143</f>
        <v> </v>
      </c>
      <c r="P102" s="2549"/>
      <c r="Q102" s="2549"/>
      <c r="R102" s="2549"/>
      <c r="S102" s="2549" t="str">
        <f>'Attachment'!S143</f>
        <v> </v>
      </c>
      <c r="T102" s="2549"/>
      <c r="U102" s="2549"/>
      <c r="V102" s="2549"/>
      <c r="W102" s="2549">
        <f>'Attachment'!W143</f>
        <v>0</v>
      </c>
      <c r="X102" s="2549"/>
      <c r="Y102" s="2549"/>
      <c r="Z102" s="2550"/>
      <c r="AA102" s="663"/>
      <c r="AB102" s="663"/>
      <c r="AC102" s="663"/>
      <c r="AG102" s="691"/>
    </row>
    <row r="103" spans="2:33">
      <c r="B103" s="663"/>
      <c r="C103" s="2552" t="str">
        <f>'Attachment'!C144</f>
        <v> </v>
      </c>
      <c r="D103" s="2553"/>
      <c r="E103" s="2553"/>
      <c r="F103" s="2553"/>
      <c r="G103" s="2553"/>
      <c r="H103" s="2554"/>
      <c r="I103" s="2552" t="str">
        <f>'Attachment'!I144</f>
        <v> </v>
      </c>
      <c r="J103" s="2553"/>
      <c r="K103" s="2553"/>
      <c r="L103" s="2553"/>
      <c r="M103" s="2553"/>
      <c r="N103" s="2554"/>
      <c r="O103" s="2549" t="str">
        <f>'Attachment'!O144</f>
        <v> </v>
      </c>
      <c r="P103" s="2549"/>
      <c r="Q103" s="2549"/>
      <c r="R103" s="2549"/>
      <c r="S103" s="2549" t="str">
        <f>'Attachment'!S144</f>
        <v> </v>
      </c>
      <c r="T103" s="2549"/>
      <c r="U103" s="2549"/>
      <c r="V103" s="2549"/>
      <c r="W103" s="2549">
        <f>'Attachment'!W144</f>
        <v>0</v>
      </c>
      <c r="X103" s="2549"/>
      <c r="Y103" s="2549"/>
      <c r="Z103" s="2550"/>
      <c r="AA103" s="663"/>
      <c r="AB103" s="663"/>
      <c r="AC103" s="663"/>
      <c r="AG103" s="691"/>
    </row>
    <row r="104" spans="2:33">
      <c r="B104" s="663"/>
      <c r="C104" s="2552" t="str">
        <f>'Attachment'!C145</f>
        <v> </v>
      </c>
      <c r="D104" s="2553"/>
      <c r="E104" s="2553"/>
      <c r="F104" s="2553"/>
      <c r="G104" s="2553"/>
      <c r="H104" s="2554"/>
      <c r="I104" s="2552" t="str">
        <f>'Attachment'!I145</f>
        <v> </v>
      </c>
      <c r="J104" s="2553"/>
      <c r="K104" s="2553"/>
      <c r="L104" s="2553"/>
      <c r="M104" s="2553"/>
      <c r="N104" s="2554"/>
      <c r="O104" s="2549" t="str">
        <f>'Attachment'!O145</f>
        <v> </v>
      </c>
      <c r="P104" s="2549"/>
      <c r="Q104" s="2549"/>
      <c r="R104" s="2549"/>
      <c r="S104" s="2549" t="str">
        <f>'Attachment'!S145</f>
        <v> </v>
      </c>
      <c r="T104" s="2549"/>
      <c r="U104" s="2549"/>
      <c r="V104" s="2549"/>
      <c r="W104" s="2549">
        <f>'Attachment'!W145</f>
        <v>0</v>
      </c>
      <c r="X104" s="2549"/>
      <c r="Y104" s="2549"/>
      <c r="Z104" s="2550"/>
      <c r="AA104" s="663"/>
      <c r="AB104" s="663"/>
      <c r="AC104" s="663"/>
      <c r="AG104" s="691"/>
    </row>
    <row r="105" spans="2:33">
      <c r="B105" s="663"/>
      <c r="C105" s="2552" t="str">
        <f>'Attachment'!C146</f>
        <v> </v>
      </c>
      <c r="D105" s="2553"/>
      <c r="E105" s="2553"/>
      <c r="F105" s="2553"/>
      <c r="G105" s="2553"/>
      <c r="H105" s="2554"/>
      <c r="I105" s="2552" t="str">
        <f>'Attachment'!I146</f>
        <v> </v>
      </c>
      <c r="J105" s="2553"/>
      <c r="K105" s="2553"/>
      <c r="L105" s="2553"/>
      <c r="M105" s="2553"/>
      <c r="N105" s="2554"/>
      <c r="O105" s="2549" t="str">
        <f>'Attachment'!O146</f>
        <v> </v>
      </c>
      <c r="P105" s="2549"/>
      <c r="Q105" s="2549"/>
      <c r="R105" s="2549"/>
      <c r="S105" s="2549" t="str">
        <f>'Attachment'!S146</f>
        <v> </v>
      </c>
      <c r="T105" s="2549"/>
      <c r="U105" s="2549"/>
      <c r="V105" s="2549"/>
      <c r="W105" s="2549">
        <f>'Attachment'!W146</f>
        <v>0</v>
      </c>
      <c r="X105" s="2549"/>
      <c r="Y105" s="2549"/>
      <c r="Z105" s="2550"/>
      <c r="AA105" s="663"/>
      <c r="AB105" s="663"/>
      <c r="AC105" s="663"/>
      <c r="AG105" s="691"/>
    </row>
    <row r="106" spans="2:33">
      <c r="B106" s="663"/>
      <c r="C106" s="2552"/>
      <c r="D106" s="2553"/>
      <c r="E106" s="2553"/>
      <c r="F106" s="2553"/>
      <c r="G106" s="2553"/>
      <c r="H106" s="2554"/>
      <c r="I106" s="2552"/>
      <c r="J106" s="2553"/>
      <c r="K106" s="2553"/>
      <c r="L106" s="2553"/>
      <c r="M106" s="2553"/>
      <c r="N106" s="2554"/>
      <c r="O106" s="2549"/>
      <c r="P106" s="2549"/>
      <c r="Q106" s="2549"/>
      <c r="R106" s="2549"/>
      <c r="S106" s="2549"/>
      <c r="T106" s="2549"/>
      <c r="U106" s="2549"/>
      <c r="V106" s="2549"/>
      <c r="W106" s="2549"/>
      <c r="X106" s="2549"/>
      <c r="Y106" s="2549"/>
      <c r="Z106" s="2550"/>
      <c r="AA106" s="663"/>
      <c r="AB106" s="663"/>
      <c r="AC106" s="663"/>
      <c r="AG106" s="691"/>
    </row>
    <row r="107" spans="2:33" s="639" customFormat="1" ht="13" thickBot="1">
      <c r="B107" s="670"/>
      <c r="C107" s="2525"/>
      <c r="D107" s="2526"/>
      <c r="E107" s="2526"/>
      <c r="F107" s="2526"/>
      <c r="G107" s="2526"/>
      <c r="H107" s="2527"/>
      <c r="I107" s="2525" t="s">
        <v>74</v>
      </c>
      <c r="J107" s="2526"/>
      <c r="K107" s="2526"/>
      <c r="L107" s="2526"/>
      <c r="M107" s="2526"/>
      <c r="N107" s="2527"/>
      <c r="O107" s="2528">
        <f>'Attachment'!O148</f>
        <v>0</v>
      </c>
      <c r="P107" s="2528"/>
      <c r="Q107" s="2528"/>
      <c r="R107" s="2528"/>
      <c r="S107" s="2528">
        <f>'Attachment'!S148</f>
        <v>0</v>
      </c>
      <c r="T107" s="2528"/>
      <c r="U107" s="2528"/>
      <c r="V107" s="2528"/>
      <c r="W107" s="2555">
        <f>'Attachment'!W148</f>
        <v>0</v>
      </c>
      <c r="X107" s="2556"/>
      <c r="Y107" s="2556"/>
      <c r="Z107" s="2557"/>
      <c r="AA107" s="670"/>
      <c r="AB107" s="670"/>
      <c r="AC107" s="670"/>
      <c r="AG107" s="696"/>
    </row>
    <row r="108" spans="4:30">
      <c r="D108" s="662"/>
      <c r="E108" s="663"/>
      <c r="F108" s="663"/>
      <c r="G108" s="663"/>
      <c r="H108" s="663"/>
      <c r="I108" s="663"/>
      <c r="J108" s="663"/>
      <c r="K108" s="663"/>
      <c r="L108" s="663"/>
      <c r="M108" s="663"/>
      <c r="N108" s="663"/>
      <c r="O108" s="697"/>
      <c r="P108" s="697"/>
      <c r="Q108" s="697"/>
      <c r="R108" s="697"/>
      <c r="S108" s="697"/>
      <c r="T108" s="697"/>
      <c r="U108" s="697"/>
      <c r="V108" s="697"/>
      <c r="W108" s="697"/>
      <c r="X108" s="673"/>
      <c r="Y108" s="673"/>
      <c r="Z108" s="673"/>
      <c r="AD108" s="691"/>
    </row>
    <row r="109" spans="30:30">
      <c r="AD109" s="691"/>
    </row>
    <row r="110" spans="30:30">
      <c r="AD110" s="691"/>
    </row>
    <row r="111" spans="30:30">
      <c r="AD111" s="691"/>
    </row>
    <row r="112" spans="1:30" ht="20">
      <c r="A112" s="648" t="s">
        <v>831</v>
      </c>
      <c r="AC112" s="691"/>
      <c r="AD112" s="691"/>
    </row>
    <row r="113" spans="29:30">
      <c r="AC113" s="691"/>
      <c r="AD113" s="691"/>
    </row>
    <row r="114" spans="1:1" ht="14">
      <c r="A114" s="698" t="s">
        <v>666</v>
      </c>
    </row>
    <row r="115" ht="13" thickBot="1"/>
    <row r="116" spans="1:29" s="644" customFormat="1" ht="28.15" customHeight="1">
      <c r="A116" s="846" t="s">
        <v>321</v>
      </c>
      <c r="B116" s="2470" t="s">
        <v>832</v>
      </c>
      <c r="C116" s="2472"/>
      <c r="D116" s="2470" t="s">
        <v>833</v>
      </c>
      <c r="E116" s="2471"/>
      <c r="F116" s="2471"/>
      <c r="G116" s="2471"/>
      <c r="H116" s="2471"/>
      <c r="I116" s="2471"/>
      <c r="J116" s="2471"/>
      <c r="K116" s="2471"/>
      <c r="L116" s="2471"/>
      <c r="M116" s="2471"/>
      <c r="N116" s="2472"/>
      <c r="O116" s="2470" t="s">
        <v>834</v>
      </c>
      <c r="P116" s="2471"/>
      <c r="Q116" s="2471"/>
      <c r="R116" s="2472"/>
      <c r="S116" s="2470" t="s">
        <v>835</v>
      </c>
      <c r="T116" s="2471"/>
      <c r="U116" s="2471"/>
      <c r="V116" s="2471"/>
      <c r="W116" s="2472"/>
      <c r="X116" s="2470" t="s">
        <v>836</v>
      </c>
      <c r="Y116" s="2471"/>
      <c r="Z116" s="2471"/>
      <c r="AA116" s="2471"/>
      <c r="AB116" s="2471"/>
      <c r="AC116" s="2473"/>
    </row>
    <row r="117" spans="1:29" s="699" customFormat="1" ht="15.65" customHeight="1" thickBot="1">
      <c r="A117" s="847" t="s">
        <v>65</v>
      </c>
      <c r="B117" s="1488" t="s">
        <v>64</v>
      </c>
      <c r="C117" s="2060"/>
      <c r="D117" s="1488" t="s">
        <v>66</v>
      </c>
      <c r="E117" s="2474"/>
      <c r="F117" s="2474"/>
      <c r="G117" s="2474"/>
      <c r="H117" s="2474"/>
      <c r="I117" s="2474"/>
      <c r="J117" s="2474"/>
      <c r="K117" s="2474"/>
      <c r="L117" s="2474"/>
      <c r="M117" s="2474"/>
      <c r="N117" s="2060"/>
      <c r="O117" s="1488" t="s">
        <v>67</v>
      </c>
      <c r="P117" s="2474"/>
      <c r="Q117" s="2474"/>
      <c r="R117" s="2060"/>
      <c r="S117" s="1488" t="s">
        <v>68</v>
      </c>
      <c r="T117" s="2474"/>
      <c r="U117" s="2474"/>
      <c r="V117" s="2474"/>
      <c r="W117" s="2060"/>
      <c r="X117" s="1488" t="s">
        <v>99</v>
      </c>
      <c r="Y117" s="2474"/>
      <c r="Z117" s="2474"/>
      <c r="AA117" s="2474"/>
      <c r="AB117" s="2474"/>
      <c r="AC117" s="2478"/>
    </row>
    <row r="118" spans="1:29">
      <c r="A118" s="700">
        <v>1</v>
      </c>
      <c r="B118" s="2965" t="str">
        <f ca="1">'A &amp; L INFO'!W8</f>
        <v/>
      </c>
      <c r="C118" s="2966"/>
      <c r="D118" s="2962" t="str">
        <f ca="1">'A &amp; L INFO'!Z8</f>
        <v/>
      </c>
      <c r="E118" s="2963"/>
      <c r="F118" s="2963"/>
      <c r="G118" s="2963"/>
      <c r="H118" s="2963"/>
      <c r="I118" s="2963"/>
      <c r="J118" s="2963"/>
      <c r="K118" s="2963"/>
      <c r="L118" s="2963"/>
      <c r="M118" s="2963"/>
      <c r="N118" s="2964"/>
      <c r="O118" s="2922" t="str">
        <f ca="1">IF('A &amp; L INFO'!AB8&lt;&gt;"", 'A &amp; L INFO'!AB8,"")</f>
        <v/>
      </c>
      <c r="P118" s="2923"/>
      <c r="Q118" s="2923"/>
      <c r="R118" s="2924"/>
      <c r="S118" s="2959" t="str">
        <f ca="1">'A &amp; L INFO'!AA8</f>
        <v/>
      </c>
      <c r="T118" s="2960"/>
      <c r="U118" s="2960"/>
      <c r="V118" s="2960"/>
      <c r="W118" s="2961"/>
      <c r="X118" s="1048"/>
      <c r="Y118" s="1047"/>
      <c r="Z118" s="1047"/>
      <c r="AA118" s="1047"/>
      <c r="AB118" s="1047"/>
      <c r="AC118" s="1049"/>
    </row>
    <row r="119" spans="1:29">
      <c r="A119" s="700">
        <v>2</v>
      </c>
      <c r="B119" s="2945" t="str">
        <f ca="1">'A &amp; L INFO'!W9</f>
        <v/>
      </c>
      <c r="C119" s="2946"/>
      <c r="D119" s="2937" t="str">
        <f ca="1">'A &amp; L INFO'!Z9</f>
        <v/>
      </c>
      <c r="E119" s="2938"/>
      <c r="F119" s="2938"/>
      <c r="G119" s="2938"/>
      <c r="H119" s="2938"/>
      <c r="I119" s="2938"/>
      <c r="J119" s="2938"/>
      <c r="K119" s="2938"/>
      <c r="L119" s="2938"/>
      <c r="M119" s="2938"/>
      <c r="N119" s="2949"/>
      <c r="O119" s="2915" t="str">
        <f ca="1">IF('A &amp; L INFO'!AB9&lt;&gt;"", 'A &amp; L INFO'!AB9,"")</f>
        <v/>
      </c>
      <c r="P119" s="2916"/>
      <c r="Q119" s="2916"/>
      <c r="R119" s="2917"/>
      <c r="S119" s="2918" t="str">
        <f ca="1">'A &amp; L INFO'!AA9</f>
        <v/>
      </c>
      <c r="T119" s="678"/>
      <c r="U119" s="678"/>
      <c r="V119" s="678"/>
      <c r="W119" s="2919"/>
      <c r="X119" s="880"/>
      <c r="Y119" s="875"/>
      <c r="Z119" s="875"/>
      <c r="AA119" s="875"/>
      <c r="AB119" s="875"/>
      <c r="AC119" s="881"/>
    </row>
    <row r="120" spans="1:29">
      <c r="A120" s="700">
        <v>3</v>
      </c>
      <c r="B120" s="2945" t="str">
        <f ca="1">'A &amp; L INFO'!W10</f>
        <v/>
      </c>
      <c r="C120" s="2946"/>
      <c r="D120" s="2937" t="str">
        <f ca="1">'A &amp; L INFO'!Z10</f>
        <v/>
      </c>
      <c r="E120" s="2938"/>
      <c r="F120" s="2938"/>
      <c r="G120" s="2938"/>
      <c r="H120" s="2938"/>
      <c r="I120" s="2938"/>
      <c r="J120" s="2938"/>
      <c r="K120" s="2938"/>
      <c r="L120" s="2938"/>
      <c r="M120" s="2938"/>
      <c r="N120" s="2949"/>
      <c r="O120" s="2915" t="str">
        <f ca="1">IF('A &amp; L INFO'!AB10&lt;&gt;"", 'A &amp; L INFO'!AB10,"")</f>
        <v/>
      </c>
      <c r="P120" s="2916"/>
      <c r="Q120" s="2916"/>
      <c r="R120" s="2917"/>
      <c r="S120" s="2918" t="str">
        <f ca="1">'A &amp; L INFO'!AA10</f>
        <v/>
      </c>
      <c r="T120" s="678"/>
      <c r="U120" s="678"/>
      <c r="V120" s="678"/>
      <c r="W120" s="2919"/>
      <c r="X120" s="880"/>
      <c r="Y120" s="875"/>
      <c r="Z120" s="875"/>
      <c r="AA120" s="875"/>
      <c r="AB120" s="875"/>
      <c r="AC120" s="881"/>
    </row>
    <row r="121" spans="1:29">
      <c r="A121" s="700">
        <v>4</v>
      </c>
      <c r="B121" s="2945" t="str">
        <f ca="1">'A &amp; L INFO'!W11</f>
        <v/>
      </c>
      <c r="C121" s="2946"/>
      <c r="D121" s="2937" t="str">
        <f ca="1">'A &amp; L INFO'!Z11</f>
        <v/>
      </c>
      <c r="E121" s="2938"/>
      <c r="F121" s="2938"/>
      <c r="G121" s="2938"/>
      <c r="H121" s="2938"/>
      <c r="I121" s="2938"/>
      <c r="J121" s="2938"/>
      <c r="K121" s="2938"/>
      <c r="L121" s="2938"/>
      <c r="M121" s="2938"/>
      <c r="N121" s="2949"/>
      <c r="O121" s="2915" t="str">
        <f ca="1">IF('A &amp; L INFO'!AB11&lt;&gt;"", 'A &amp; L INFO'!AB11,"")</f>
        <v/>
      </c>
      <c r="P121" s="2916"/>
      <c r="Q121" s="2916"/>
      <c r="R121" s="2917"/>
      <c r="S121" s="2918" t="str">
        <f ca="1">'A &amp; L INFO'!AA11</f>
        <v/>
      </c>
      <c r="T121" s="678"/>
      <c r="U121" s="678"/>
      <c r="V121" s="678"/>
      <c r="W121" s="2919"/>
      <c r="X121" s="880"/>
      <c r="Y121" s="875"/>
      <c r="Z121" s="875"/>
      <c r="AA121" s="875"/>
      <c r="AB121" s="875"/>
      <c r="AC121" s="881"/>
    </row>
    <row r="122" spans="1:29">
      <c r="A122" s="700">
        <v>5</v>
      </c>
      <c r="B122" s="2945" t="str">
        <f ca="1">'A &amp; L INFO'!W12</f>
        <v/>
      </c>
      <c r="C122" s="2946"/>
      <c r="D122" s="2937" t="str">
        <f ca="1">'A &amp; L INFO'!Z12</f>
        <v/>
      </c>
      <c r="E122" s="2938"/>
      <c r="F122" s="2938"/>
      <c r="G122" s="2938"/>
      <c r="H122" s="2938"/>
      <c r="I122" s="2938"/>
      <c r="J122" s="2938"/>
      <c r="K122" s="2938"/>
      <c r="L122" s="2938"/>
      <c r="M122" s="2938"/>
      <c r="N122" s="2949"/>
      <c r="O122" s="2915" t="str">
        <f ca="1">IF('A &amp; L INFO'!AB12&lt;&gt;"", 'A &amp; L INFO'!AB12,"")</f>
        <v/>
      </c>
      <c r="P122" s="2916"/>
      <c r="Q122" s="2916"/>
      <c r="R122" s="2917"/>
      <c r="S122" s="2918" t="str">
        <f ca="1">'A &amp; L INFO'!AA12</f>
        <v/>
      </c>
      <c r="T122" s="678"/>
      <c r="U122" s="678"/>
      <c r="V122" s="678"/>
      <c r="W122" s="2919"/>
      <c r="X122" s="880"/>
      <c r="Y122" s="875"/>
      <c r="Z122" s="875"/>
      <c r="AA122" s="875"/>
      <c r="AB122" s="875"/>
      <c r="AC122" s="881"/>
    </row>
    <row r="123" spans="1:29">
      <c r="A123" s="700">
        <v>6</v>
      </c>
      <c r="B123" s="2945" t="str">
        <f ca="1">'A &amp; L INFO'!W13</f>
        <v/>
      </c>
      <c r="C123" s="2946"/>
      <c r="D123" s="2937" t="str">
        <f ca="1">'A &amp; L INFO'!Z13</f>
        <v/>
      </c>
      <c r="E123" s="2938"/>
      <c r="F123" s="2938"/>
      <c r="G123" s="2938"/>
      <c r="H123" s="2938"/>
      <c r="I123" s="2938"/>
      <c r="J123" s="2938"/>
      <c r="K123" s="2938"/>
      <c r="L123" s="2938"/>
      <c r="M123" s="2938"/>
      <c r="N123" s="2949"/>
      <c r="O123" s="2915" t="str">
        <f ca="1">IF('A &amp; L INFO'!AB13&lt;&gt;"", 'A &amp; L INFO'!AB13,"")</f>
        <v/>
      </c>
      <c r="P123" s="2916"/>
      <c r="Q123" s="2916"/>
      <c r="R123" s="2917"/>
      <c r="S123" s="2918" t="str">
        <f ca="1">'A &amp; L INFO'!AA13</f>
        <v/>
      </c>
      <c r="T123" s="678"/>
      <c r="U123" s="678"/>
      <c r="V123" s="678"/>
      <c r="W123" s="2919"/>
      <c r="X123" s="880"/>
      <c r="Y123" s="875"/>
      <c r="Z123" s="875"/>
      <c r="AA123" s="875"/>
      <c r="AB123" s="875"/>
      <c r="AC123" s="881"/>
    </row>
    <row r="124" spans="1:29">
      <c r="A124" s="700">
        <v>7</v>
      </c>
      <c r="B124" s="2945" t="str">
        <f ca="1">'A &amp; L INFO'!W14</f>
        <v/>
      </c>
      <c r="C124" s="2946"/>
      <c r="D124" s="2937" t="str">
        <f ca="1">'A &amp; L INFO'!Z14</f>
        <v/>
      </c>
      <c r="E124" s="2938"/>
      <c r="F124" s="2938"/>
      <c r="G124" s="2938"/>
      <c r="H124" s="2938"/>
      <c r="I124" s="2938"/>
      <c r="J124" s="2938"/>
      <c r="K124" s="2938"/>
      <c r="L124" s="2938"/>
      <c r="M124" s="2938"/>
      <c r="N124" s="2949"/>
      <c r="O124" s="2915" t="str">
        <f ca="1">IF('A &amp; L INFO'!AB14&lt;&gt;"", 'A &amp; L INFO'!AB14,"")</f>
        <v/>
      </c>
      <c r="P124" s="2916"/>
      <c r="Q124" s="2916"/>
      <c r="R124" s="2917"/>
      <c r="S124" s="2918" t="str">
        <f ca="1">'A &amp; L INFO'!AA14</f>
        <v/>
      </c>
      <c r="T124" s="678"/>
      <c r="U124" s="678"/>
      <c r="V124" s="678"/>
      <c r="W124" s="2919"/>
      <c r="X124" s="880"/>
      <c r="Y124" s="875"/>
      <c r="Z124" s="875"/>
      <c r="AA124" s="875"/>
      <c r="AB124" s="875"/>
      <c r="AC124" s="881"/>
    </row>
    <row r="125" spans="1:29">
      <c r="A125" s="700">
        <v>8</v>
      </c>
      <c r="B125" s="2945" t="str">
        <f ca="1">'A &amp; L INFO'!W15</f>
        <v/>
      </c>
      <c r="C125" s="2946"/>
      <c r="D125" s="2937" t="str">
        <f ca="1">'A &amp; L INFO'!Z15</f>
        <v/>
      </c>
      <c r="E125" s="2938"/>
      <c r="F125" s="2938"/>
      <c r="G125" s="2938"/>
      <c r="H125" s="2938"/>
      <c r="I125" s="2938"/>
      <c r="J125" s="2938"/>
      <c r="K125" s="2938"/>
      <c r="L125" s="2938"/>
      <c r="M125" s="2938"/>
      <c r="N125" s="2949"/>
      <c r="O125" s="2915" t="str">
        <f ca="1">IF('A &amp; L INFO'!AB15&lt;&gt;"", 'A &amp; L INFO'!AB15,"")</f>
        <v/>
      </c>
      <c r="P125" s="2916"/>
      <c r="Q125" s="2916"/>
      <c r="R125" s="2917"/>
      <c r="S125" s="2918" t="str">
        <f ca="1">'A &amp; L INFO'!AA15</f>
        <v/>
      </c>
      <c r="T125" s="678"/>
      <c r="U125" s="678"/>
      <c r="V125" s="678"/>
      <c r="W125" s="2919"/>
      <c r="X125" s="880"/>
      <c r="Y125" s="875"/>
      <c r="Z125" s="875"/>
      <c r="AA125" s="875"/>
      <c r="AB125" s="875"/>
      <c r="AC125" s="881"/>
    </row>
    <row r="126" spans="1:29">
      <c r="A126" s="700">
        <v>9</v>
      </c>
      <c r="B126" s="2945" t="str">
        <f ca="1">'A &amp; L INFO'!W16</f>
        <v/>
      </c>
      <c r="C126" s="2946"/>
      <c r="D126" s="2937" t="str">
        <f ca="1">'A &amp; L INFO'!Z16</f>
        <v/>
      </c>
      <c r="E126" s="2938"/>
      <c r="F126" s="2938"/>
      <c r="G126" s="2938"/>
      <c r="H126" s="2938"/>
      <c r="I126" s="2938"/>
      <c r="J126" s="2938"/>
      <c r="K126" s="2938"/>
      <c r="L126" s="2938"/>
      <c r="M126" s="2938"/>
      <c r="N126" s="2949"/>
      <c r="O126" s="2915" t="str">
        <f ca="1">IF('A &amp; L INFO'!AB16&lt;&gt;"", 'A &amp; L INFO'!AB16,"")</f>
        <v/>
      </c>
      <c r="P126" s="2916"/>
      <c r="Q126" s="2916"/>
      <c r="R126" s="2917"/>
      <c r="S126" s="2918" t="str">
        <f ca="1">'A &amp; L INFO'!AA16</f>
        <v/>
      </c>
      <c r="T126" s="678"/>
      <c r="U126" s="678"/>
      <c r="V126" s="678"/>
      <c r="W126" s="2919"/>
      <c r="X126" s="880"/>
      <c r="Y126" s="875"/>
      <c r="Z126" s="875"/>
      <c r="AA126" s="875"/>
      <c r="AB126" s="875"/>
      <c r="AC126" s="881"/>
    </row>
    <row r="127" spans="1:29">
      <c r="A127" s="700">
        <v>10</v>
      </c>
      <c r="B127" s="2945" t="str">
        <f ca="1">'A &amp; L INFO'!W17</f>
        <v/>
      </c>
      <c r="C127" s="2946"/>
      <c r="D127" s="2937" t="str">
        <f ca="1">'A &amp; L INFO'!Z17</f>
        <v/>
      </c>
      <c r="E127" s="2938"/>
      <c r="F127" s="2938"/>
      <c r="G127" s="2938"/>
      <c r="H127" s="2938"/>
      <c r="I127" s="2938"/>
      <c r="J127" s="2938"/>
      <c r="K127" s="2938"/>
      <c r="L127" s="2938"/>
      <c r="M127" s="2938"/>
      <c r="N127" s="2949"/>
      <c r="O127" s="2915" t="str">
        <f ca="1">IF('A &amp; L INFO'!AB17&lt;&gt;"", 'A &amp; L INFO'!AB17,"")</f>
        <v/>
      </c>
      <c r="P127" s="2916"/>
      <c r="Q127" s="2916"/>
      <c r="R127" s="2917"/>
      <c r="S127" s="2918" t="str">
        <f ca="1">'A &amp; L INFO'!AA17</f>
        <v/>
      </c>
      <c r="T127" s="678"/>
      <c r="U127" s="678"/>
      <c r="V127" s="678"/>
      <c r="W127" s="2919"/>
      <c r="X127" s="880"/>
      <c r="Y127" s="875"/>
      <c r="Z127" s="875"/>
      <c r="AA127" s="875"/>
      <c r="AB127" s="875"/>
      <c r="AC127" s="881"/>
    </row>
    <row r="128" spans="1:29">
      <c r="A128" s="700">
        <v>11</v>
      </c>
      <c r="B128" s="2945" t="str">
        <f ca="1">'A &amp; L INFO'!W18</f>
        <v/>
      </c>
      <c r="C128" s="2946"/>
      <c r="D128" s="2937" t="str">
        <f ca="1">'A &amp; L INFO'!Z18</f>
        <v/>
      </c>
      <c r="E128" s="2938"/>
      <c r="F128" s="2938"/>
      <c r="G128" s="2938"/>
      <c r="H128" s="2938"/>
      <c r="I128" s="2938"/>
      <c r="J128" s="2938"/>
      <c r="K128" s="2938"/>
      <c r="L128" s="2938"/>
      <c r="M128" s="2938"/>
      <c r="N128" s="2949"/>
      <c r="O128" s="2915" t="str">
        <f ca="1">IF('A &amp; L INFO'!AB18&lt;&gt;"", 'A &amp; L INFO'!AB18,"")</f>
        <v/>
      </c>
      <c r="P128" s="2916"/>
      <c r="Q128" s="2916"/>
      <c r="R128" s="2917"/>
      <c r="S128" s="2918" t="str">
        <f ca="1">'A &amp; L INFO'!AA18</f>
        <v/>
      </c>
      <c r="T128" s="678"/>
      <c r="U128" s="678"/>
      <c r="V128" s="678"/>
      <c r="W128" s="2919"/>
      <c r="X128" s="880"/>
      <c r="Y128" s="875"/>
      <c r="Z128" s="875"/>
      <c r="AA128" s="875"/>
      <c r="AB128" s="875"/>
      <c r="AC128" s="881"/>
    </row>
    <row r="129" spans="1:29">
      <c r="A129" s="700">
        <v>12</v>
      </c>
      <c r="B129" s="2945" t="str">
        <f ca="1">'A &amp; L INFO'!W19</f>
        <v/>
      </c>
      <c r="C129" s="2946"/>
      <c r="D129" s="2937" t="str">
        <f ca="1">'A &amp; L INFO'!Z19</f>
        <v/>
      </c>
      <c r="E129" s="2938"/>
      <c r="F129" s="2938"/>
      <c r="G129" s="2938"/>
      <c r="H129" s="2938"/>
      <c r="I129" s="2938"/>
      <c r="J129" s="2938"/>
      <c r="K129" s="2938"/>
      <c r="L129" s="2938"/>
      <c r="M129" s="2938"/>
      <c r="N129" s="2949"/>
      <c r="O129" s="2915" t="str">
        <f ca="1">IF('A &amp; L INFO'!AB19&lt;&gt;"", 'A &amp; L INFO'!AB19,"")</f>
        <v/>
      </c>
      <c r="P129" s="2916"/>
      <c r="Q129" s="2916"/>
      <c r="R129" s="2917"/>
      <c r="S129" s="2918" t="str">
        <f ca="1">'A &amp; L INFO'!AA19</f>
        <v/>
      </c>
      <c r="T129" s="678"/>
      <c r="U129" s="678"/>
      <c r="V129" s="678"/>
      <c r="W129" s="2919"/>
      <c r="X129" s="880"/>
      <c r="Y129" s="875"/>
      <c r="Z129" s="875"/>
      <c r="AA129" s="875"/>
      <c r="AB129" s="875"/>
      <c r="AC129" s="881"/>
    </row>
    <row r="130" spans="1:29">
      <c r="A130" s="700">
        <v>13</v>
      </c>
      <c r="B130" s="2945" t="str">
        <f ca="1">'A &amp; L INFO'!W20</f>
        <v/>
      </c>
      <c r="C130" s="2946"/>
      <c r="D130" s="2937" t="str">
        <f ca="1">'A &amp; L INFO'!Z20</f>
        <v/>
      </c>
      <c r="E130" s="2938"/>
      <c r="F130" s="2938"/>
      <c r="G130" s="2938"/>
      <c r="H130" s="2938"/>
      <c r="I130" s="2938"/>
      <c r="J130" s="2938"/>
      <c r="K130" s="2938"/>
      <c r="L130" s="2938"/>
      <c r="M130" s="2938"/>
      <c r="N130" s="2949"/>
      <c r="O130" s="2915" t="str">
        <f ca="1">IF('A &amp; L INFO'!AB20&lt;&gt;"", 'A &amp; L INFO'!AB20,"")</f>
        <v/>
      </c>
      <c r="P130" s="2916"/>
      <c r="Q130" s="2916"/>
      <c r="R130" s="2917"/>
      <c r="S130" s="2918" t="str">
        <f ca="1">'A &amp; L INFO'!AA20</f>
        <v/>
      </c>
      <c r="T130" s="678"/>
      <c r="U130" s="678"/>
      <c r="V130" s="678"/>
      <c r="W130" s="2919"/>
      <c r="X130" s="880"/>
      <c r="Y130" s="875"/>
      <c r="Z130" s="875"/>
      <c r="AA130" s="875"/>
      <c r="AB130" s="875"/>
      <c r="AC130" s="881"/>
    </row>
    <row r="131" spans="1:29">
      <c r="A131" s="700">
        <v>14</v>
      </c>
      <c r="B131" s="2945" t="str">
        <f ca="1">'A &amp; L INFO'!W21</f>
        <v/>
      </c>
      <c r="C131" s="2946"/>
      <c r="D131" s="2937" t="str">
        <f ca="1">'A &amp; L INFO'!Z21</f>
        <v/>
      </c>
      <c r="E131" s="2938"/>
      <c r="F131" s="2938"/>
      <c r="G131" s="2938"/>
      <c r="H131" s="2938"/>
      <c r="I131" s="2938"/>
      <c r="J131" s="2938"/>
      <c r="K131" s="2938"/>
      <c r="L131" s="2938"/>
      <c r="M131" s="2938"/>
      <c r="N131" s="2949"/>
      <c r="O131" s="2915" t="str">
        <f ca="1">IF('A &amp; L INFO'!AB21&lt;&gt;"", 'A &amp; L INFO'!AB21,"")</f>
        <v/>
      </c>
      <c r="P131" s="2916"/>
      <c r="Q131" s="2916"/>
      <c r="R131" s="2917"/>
      <c r="S131" s="2918" t="str">
        <f ca="1">'A &amp; L INFO'!AA21</f>
        <v/>
      </c>
      <c r="T131" s="678"/>
      <c r="U131" s="678"/>
      <c r="V131" s="678"/>
      <c r="W131" s="2919"/>
      <c r="X131" s="880"/>
      <c r="Y131" s="875"/>
      <c r="Z131" s="875"/>
      <c r="AA131" s="875"/>
      <c r="AB131" s="875"/>
      <c r="AC131" s="881"/>
    </row>
    <row r="132" spans="1:29">
      <c r="A132" s="700">
        <v>15</v>
      </c>
      <c r="B132" s="2945" t="str">
        <f ca="1">'A &amp; L INFO'!W22</f>
        <v/>
      </c>
      <c r="C132" s="2946"/>
      <c r="D132" s="2937" t="str">
        <f ca="1">'A &amp; L INFO'!Z22</f>
        <v/>
      </c>
      <c r="E132" s="2938"/>
      <c r="F132" s="2938"/>
      <c r="G132" s="2938"/>
      <c r="H132" s="2938"/>
      <c r="I132" s="2938"/>
      <c r="J132" s="2938"/>
      <c r="K132" s="2938"/>
      <c r="L132" s="2938"/>
      <c r="M132" s="2938"/>
      <c r="N132" s="2949"/>
      <c r="O132" s="2915" t="str">
        <f ca="1">IF('A &amp; L INFO'!AB22&lt;&gt;"", 'A &amp; L INFO'!AB22,"")</f>
        <v/>
      </c>
      <c r="P132" s="2916"/>
      <c r="Q132" s="2916"/>
      <c r="R132" s="2917"/>
      <c r="S132" s="2918" t="str">
        <f ca="1">'A &amp; L INFO'!AA22</f>
        <v/>
      </c>
      <c r="T132" s="678"/>
      <c r="U132" s="678"/>
      <c r="V132" s="678"/>
      <c r="W132" s="2919"/>
      <c r="X132" s="880"/>
      <c r="Y132" s="875"/>
      <c r="Z132" s="875"/>
      <c r="AA132" s="875"/>
      <c r="AB132" s="875"/>
      <c r="AC132" s="881"/>
    </row>
    <row r="133" spans="1:29">
      <c r="A133" s="700">
        <v>16</v>
      </c>
      <c r="B133" s="2945" t="str">
        <f ca="1">'A &amp; L INFO'!W23</f>
        <v/>
      </c>
      <c r="C133" s="2946"/>
      <c r="D133" s="2937" t="str">
        <f ca="1">'A &amp; L INFO'!Z23</f>
        <v/>
      </c>
      <c r="E133" s="2938"/>
      <c r="F133" s="2938"/>
      <c r="G133" s="2938"/>
      <c r="H133" s="2938"/>
      <c r="I133" s="2938"/>
      <c r="J133" s="2938"/>
      <c r="K133" s="2938"/>
      <c r="L133" s="2938"/>
      <c r="M133" s="2938"/>
      <c r="N133" s="2949"/>
      <c r="O133" s="2915" t="str">
        <f ca="1">IF('A &amp; L INFO'!AB23&lt;&gt;"", 'A &amp; L INFO'!AB23,"")</f>
        <v/>
      </c>
      <c r="P133" s="2916"/>
      <c r="Q133" s="2916"/>
      <c r="R133" s="2917"/>
      <c r="S133" s="2918" t="str">
        <f ca="1">'A &amp; L INFO'!AA23</f>
        <v/>
      </c>
      <c r="T133" s="678"/>
      <c r="U133" s="678"/>
      <c r="V133" s="678"/>
      <c r="W133" s="2919"/>
      <c r="X133" s="880"/>
      <c r="Y133" s="875"/>
      <c r="Z133" s="875"/>
      <c r="AA133" s="875"/>
      <c r="AB133" s="875"/>
      <c r="AC133" s="881"/>
    </row>
    <row r="134" spans="1:29">
      <c r="A134" s="700">
        <v>17</v>
      </c>
      <c r="B134" s="2945" t="str">
        <f ca="1">'A &amp; L INFO'!W24</f>
        <v/>
      </c>
      <c r="C134" s="2946"/>
      <c r="D134" s="2937" t="str">
        <f ca="1">'A &amp; L INFO'!Z24</f>
        <v/>
      </c>
      <c r="E134" s="2938"/>
      <c r="F134" s="2938"/>
      <c r="G134" s="2938"/>
      <c r="H134" s="2938"/>
      <c r="I134" s="2938"/>
      <c r="J134" s="2938"/>
      <c r="K134" s="2938"/>
      <c r="L134" s="2938"/>
      <c r="M134" s="2938"/>
      <c r="N134" s="2949"/>
      <c r="O134" s="2915" t="str">
        <f ca="1">IF('A &amp; L INFO'!AB24&lt;&gt;"", 'A &amp; L INFO'!AB24,"")</f>
        <v/>
      </c>
      <c r="P134" s="2916"/>
      <c r="Q134" s="2916"/>
      <c r="R134" s="2917"/>
      <c r="S134" s="2918" t="str">
        <f ca="1">'A &amp; L INFO'!AA24</f>
        <v/>
      </c>
      <c r="T134" s="678"/>
      <c r="U134" s="678"/>
      <c r="V134" s="678"/>
      <c r="W134" s="2919"/>
      <c r="X134" s="880"/>
      <c r="Y134" s="875"/>
      <c r="Z134" s="875"/>
      <c r="AA134" s="875"/>
      <c r="AB134" s="875"/>
      <c r="AC134" s="881"/>
    </row>
    <row r="135" spans="1:29">
      <c r="A135" s="700">
        <v>18</v>
      </c>
      <c r="B135" s="2945" t="str">
        <f ca="1">'A &amp; L INFO'!W25</f>
        <v/>
      </c>
      <c r="C135" s="2946"/>
      <c r="D135" s="2937" t="str">
        <f ca="1">'A &amp; L INFO'!Z25</f>
        <v/>
      </c>
      <c r="E135" s="2938"/>
      <c r="F135" s="2938"/>
      <c r="G135" s="2938"/>
      <c r="H135" s="2938"/>
      <c r="I135" s="2938"/>
      <c r="J135" s="2938"/>
      <c r="K135" s="2938"/>
      <c r="L135" s="2938"/>
      <c r="M135" s="2938"/>
      <c r="N135" s="2949"/>
      <c r="O135" s="2915" t="str">
        <f ca="1">IF('A &amp; L INFO'!AB25&lt;&gt;"", 'A &amp; L INFO'!AB25,"")</f>
        <v/>
      </c>
      <c r="P135" s="2916"/>
      <c r="Q135" s="2916"/>
      <c r="R135" s="2917"/>
      <c r="S135" s="2918" t="str">
        <f ca="1">'A &amp; L INFO'!AA25</f>
        <v/>
      </c>
      <c r="T135" s="678"/>
      <c r="U135" s="678"/>
      <c r="V135" s="678"/>
      <c r="W135" s="2919"/>
      <c r="X135" s="880"/>
      <c r="Y135" s="875"/>
      <c r="Z135" s="875"/>
      <c r="AA135" s="875"/>
      <c r="AB135" s="875"/>
      <c r="AC135" s="881"/>
    </row>
    <row r="136" spans="1:29">
      <c r="A136" s="700">
        <v>19</v>
      </c>
      <c r="B136" s="2945" t="str">
        <f ca="1">'A &amp; L INFO'!W26</f>
        <v/>
      </c>
      <c r="C136" s="2946"/>
      <c r="D136" s="2937" t="str">
        <f ca="1">'A &amp; L INFO'!Z26</f>
        <v/>
      </c>
      <c r="E136" s="2938"/>
      <c r="F136" s="2938"/>
      <c r="G136" s="2938"/>
      <c r="H136" s="2938"/>
      <c r="I136" s="2938"/>
      <c r="J136" s="2938"/>
      <c r="K136" s="2938"/>
      <c r="L136" s="2938"/>
      <c r="M136" s="2938"/>
      <c r="N136" s="2949"/>
      <c r="O136" s="2915" t="str">
        <f ca="1">IF('A &amp; L INFO'!AB26&lt;&gt;"", 'A &amp; L INFO'!AB26,"")</f>
        <v/>
      </c>
      <c r="P136" s="2916"/>
      <c r="Q136" s="2916"/>
      <c r="R136" s="2917"/>
      <c r="S136" s="2918" t="str">
        <f ca="1">'A &amp; L INFO'!AA26</f>
        <v/>
      </c>
      <c r="T136" s="678"/>
      <c r="U136" s="678"/>
      <c r="V136" s="678"/>
      <c r="W136" s="2919"/>
      <c r="X136" s="880"/>
      <c r="Y136" s="875"/>
      <c r="Z136" s="875"/>
      <c r="AA136" s="875"/>
      <c r="AB136" s="875"/>
      <c r="AC136" s="881"/>
    </row>
    <row r="137" spans="1:29">
      <c r="A137" s="700">
        <v>20</v>
      </c>
      <c r="B137" s="2945" t="str">
        <f ca="1">'A &amp; L INFO'!W27</f>
        <v/>
      </c>
      <c r="C137" s="2946"/>
      <c r="D137" s="2937" t="str">
        <f ca="1">'A &amp; L INFO'!Z27</f>
        <v/>
      </c>
      <c r="E137" s="2938"/>
      <c r="F137" s="2938"/>
      <c r="G137" s="2938"/>
      <c r="H137" s="2938"/>
      <c r="I137" s="2938"/>
      <c r="J137" s="2938"/>
      <c r="K137" s="2938"/>
      <c r="L137" s="2938"/>
      <c r="M137" s="2938"/>
      <c r="N137" s="2949"/>
      <c r="O137" s="2915" t="str">
        <f ca="1">IF('A &amp; L INFO'!AB27&lt;&gt;"", 'A &amp; L INFO'!AB27,"")</f>
        <v/>
      </c>
      <c r="P137" s="2916"/>
      <c r="Q137" s="2916"/>
      <c r="R137" s="2917"/>
      <c r="S137" s="2918" t="str">
        <f ca="1">'A &amp; L INFO'!AA27</f>
        <v/>
      </c>
      <c r="T137" s="678"/>
      <c r="U137" s="678"/>
      <c r="V137" s="678"/>
      <c r="W137" s="2919"/>
      <c r="X137" s="880"/>
      <c r="Y137" s="875"/>
      <c r="Z137" s="875"/>
      <c r="AA137" s="875"/>
      <c r="AB137" s="875"/>
      <c r="AC137" s="881"/>
    </row>
    <row r="138" spans="1:29">
      <c r="A138" s="700">
        <v>21</v>
      </c>
      <c r="B138" s="2945" t="str">
        <f ca="1">'A &amp; L INFO'!W28</f>
        <v/>
      </c>
      <c r="C138" s="2946"/>
      <c r="D138" s="2937" t="str">
        <f ca="1">'A &amp; L INFO'!Z28</f>
        <v/>
      </c>
      <c r="E138" s="2938"/>
      <c r="F138" s="2938"/>
      <c r="G138" s="2938"/>
      <c r="H138" s="2938"/>
      <c r="I138" s="2938"/>
      <c r="J138" s="2938"/>
      <c r="K138" s="2938"/>
      <c r="L138" s="2938"/>
      <c r="M138" s="2938"/>
      <c r="N138" s="2949"/>
      <c r="O138" s="2915" t="str">
        <f ca="1">IF('A &amp; L INFO'!AB28&lt;&gt;"", 'A &amp; L INFO'!AB28,"")</f>
        <v/>
      </c>
      <c r="P138" s="2916"/>
      <c r="Q138" s="2916"/>
      <c r="R138" s="2917"/>
      <c r="S138" s="2918" t="str">
        <f ca="1">'A &amp; L INFO'!AA28</f>
        <v/>
      </c>
      <c r="T138" s="678"/>
      <c r="U138" s="678"/>
      <c r="V138" s="678"/>
      <c r="W138" s="2919"/>
      <c r="X138" s="880"/>
      <c r="Y138" s="875"/>
      <c r="Z138" s="875"/>
      <c r="AA138" s="875"/>
      <c r="AB138" s="875"/>
      <c r="AC138" s="881"/>
    </row>
    <row r="139" spans="1:29">
      <c r="A139" s="700">
        <v>22</v>
      </c>
      <c r="B139" s="2945" t="str">
        <f ca="1">'A &amp; L INFO'!W29</f>
        <v/>
      </c>
      <c r="C139" s="2946"/>
      <c r="D139" s="2937" t="str">
        <f ca="1">'A &amp; L INFO'!Z29</f>
        <v/>
      </c>
      <c r="E139" s="2938"/>
      <c r="F139" s="2938"/>
      <c r="G139" s="2938"/>
      <c r="H139" s="2938"/>
      <c r="I139" s="2938"/>
      <c r="J139" s="2938"/>
      <c r="K139" s="2938"/>
      <c r="L139" s="2938"/>
      <c r="M139" s="2938"/>
      <c r="N139" s="2949"/>
      <c r="O139" s="2915" t="str">
        <f ca="1">IF('A &amp; L INFO'!AB29&lt;&gt;"", 'A &amp; L INFO'!AB29,"")</f>
        <v/>
      </c>
      <c r="P139" s="2916"/>
      <c r="Q139" s="2916"/>
      <c r="R139" s="2917"/>
      <c r="S139" s="2918" t="str">
        <f ca="1">'A &amp; L INFO'!AA29</f>
        <v/>
      </c>
      <c r="T139" s="678"/>
      <c r="U139" s="678"/>
      <c r="V139" s="678"/>
      <c r="W139" s="2919"/>
      <c r="X139" s="880"/>
      <c r="Y139" s="875"/>
      <c r="Z139" s="875"/>
      <c r="AA139" s="875"/>
      <c r="AB139" s="875"/>
      <c r="AC139" s="881"/>
    </row>
    <row r="140" spans="1:29">
      <c r="A140" s="700">
        <v>23</v>
      </c>
      <c r="B140" s="2945" t="str">
        <f ca="1">'A &amp; L INFO'!W30</f>
        <v/>
      </c>
      <c r="C140" s="2946"/>
      <c r="D140" s="2937" t="str">
        <f ca="1">'A &amp; L INFO'!Z30</f>
        <v/>
      </c>
      <c r="E140" s="2938"/>
      <c r="F140" s="2938"/>
      <c r="G140" s="2938"/>
      <c r="H140" s="2938"/>
      <c r="I140" s="2938"/>
      <c r="J140" s="2938"/>
      <c r="K140" s="2938"/>
      <c r="L140" s="2938"/>
      <c r="M140" s="2938"/>
      <c r="N140" s="2949"/>
      <c r="O140" s="2915" t="str">
        <f ca="1">IF('A &amp; L INFO'!AB30&lt;&gt;"", 'A &amp; L INFO'!AB30,"")</f>
        <v/>
      </c>
      <c r="P140" s="2916"/>
      <c r="Q140" s="2916"/>
      <c r="R140" s="2917"/>
      <c r="S140" s="2918" t="str">
        <f ca="1">'A &amp; L INFO'!AA30</f>
        <v/>
      </c>
      <c r="T140" s="678"/>
      <c r="U140" s="678"/>
      <c r="V140" s="678"/>
      <c r="W140" s="2919"/>
      <c r="X140" s="880"/>
      <c r="Y140" s="875"/>
      <c r="Z140" s="875"/>
      <c r="AA140" s="875"/>
      <c r="AB140" s="875"/>
      <c r="AC140" s="881"/>
    </row>
    <row r="141" spans="1:29">
      <c r="A141" s="700">
        <v>24</v>
      </c>
      <c r="B141" s="2945" t="str">
        <f ca="1">'A &amp; L INFO'!W31</f>
        <v/>
      </c>
      <c r="C141" s="2946"/>
      <c r="D141" s="2937" t="str">
        <f ca="1">'A &amp; L INFO'!Z31</f>
        <v/>
      </c>
      <c r="E141" s="2938"/>
      <c r="F141" s="2938"/>
      <c r="G141" s="2938"/>
      <c r="H141" s="2938"/>
      <c r="I141" s="2938"/>
      <c r="J141" s="2938"/>
      <c r="K141" s="2938"/>
      <c r="L141" s="2938"/>
      <c r="M141" s="2938"/>
      <c r="N141" s="2949"/>
      <c r="O141" s="2915" t="str">
        <f ca="1">IF('A &amp; L INFO'!AB31&lt;&gt;"", 'A &amp; L INFO'!AB31,"")</f>
        <v/>
      </c>
      <c r="P141" s="2916"/>
      <c r="Q141" s="2916"/>
      <c r="R141" s="2917"/>
      <c r="S141" s="2918" t="str">
        <f ca="1">'A &amp; L INFO'!AA31</f>
        <v/>
      </c>
      <c r="T141" s="678"/>
      <c r="U141" s="678"/>
      <c r="V141" s="678"/>
      <c r="W141" s="2919"/>
      <c r="X141" s="880"/>
      <c r="Y141" s="875"/>
      <c r="Z141" s="875"/>
      <c r="AA141" s="875"/>
      <c r="AB141" s="875"/>
      <c r="AC141" s="881"/>
    </row>
    <row r="142" spans="1:29">
      <c r="A142" s="700">
        <v>25</v>
      </c>
      <c r="B142" s="2945" t="str">
        <f ca="1">'A &amp; L INFO'!W32</f>
        <v/>
      </c>
      <c r="C142" s="2946"/>
      <c r="D142" s="2937" t="str">
        <f ca="1">'A &amp; L INFO'!Z32</f>
        <v/>
      </c>
      <c r="E142" s="2938"/>
      <c r="F142" s="2938"/>
      <c r="G142" s="2938"/>
      <c r="H142" s="2938"/>
      <c r="I142" s="2938"/>
      <c r="J142" s="2938"/>
      <c r="K142" s="2938"/>
      <c r="L142" s="2938"/>
      <c r="M142" s="2938"/>
      <c r="N142" s="2949"/>
      <c r="O142" s="2915" t="str">
        <f ca="1">IF('A &amp; L INFO'!AB32&lt;&gt;"", 'A &amp; L INFO'!AB32,"")</f>
        <v/>
      </c>
      <c r="P142" s="2916"/>
      <c r="Q142" s="2916"/>
      <c r="R142" s="2917"/>
      <c r="S142" s="2918" t="str">
        <f ca="1">'A &amp; L INFO'!AA32</f>
        <v/>
      </c>
      <c r="T142" s="678"/>
      <c r="U142" s="678"/>
      <c r="V142" s="678"/>
      <c r="W142" s="2919"/>
      <c r="X142" s="880"/>
      <c r="Y142" s="875"/>
      <c r="Z142" s="875"/>
      <c r="AA142" s="875"/>
      <c r="AB142" s="875"/>
      <c r="AC142" s="881"/>
    </row>
    <row r="143" spans="1:29">
      <c r="A143" s="700">
        <v>26</v>
      </c>
      <c r="B143" s="2945" t="str">
        <f ca="1">'A &amp; L INFO'!W38</f>
        <v/>
      </c>
      <c r="C143" s="2946"/>
      <c r="D143" s="2937" t="str">
        <f ca="1">'A &amp; L INFO'!Z38</f>
        <v/>
      </c>
      <c r="E143" s="2938"/>
      <c r="F143" s="2938"/>
      <c r="G143" s="2938"/>
      <c r="H143" s="2938"/>
      <c r="I143" s="2938"/>
      <c r="J143" s="2938"/>
      <c r="K143" s="2938"/>
      <c r="L143" s="2938"/>
      <c r="M143" s="2938"/>
      <c r="N143" s="2949"/>
      <c r="O143" s="2915" t="str">
        <f ca="1">IF('A &amp; L INFO'!AB38&lt;&gt;"", 'A &amp; L INFO'!AB38,"")</f>
        <v/>
      </c>
      <c r="P143" s="2916"/>
      <c r="Q143" s="2916"/>
      <c r="R143" s="2917"/>
      <c r="S143" s="2918" t="str">
        <f ca="1">'A &amp; L INFO'!AA38</f>
        <v/>
      </c>
      <c r="T143" s="678"/>
      <c r="U143" s="678"/>
      <c r="V143" s="678"/>
      <c r="W143" s="2919"/>
      <c r="X143" s="880"/>
      <c r="Y143" s="875"/>
      <c r="Z143" s="875"/>
      <c r="AA143" s="875"/>
      <c r="AB143" s="875"/>
      <c r="AC143" s="881"/>
    </row>
    <row r="144" spans="1:29">
      <c r="A144" s="700">
        <v>27</v>
      </c>
      <c r="B144" s="2945" t="str">
        <f ca="1">'A &amp; L INFO'!W39</f>
        <v/>
      </c>
      <c r="C144" s="2946"/>
      <c r="D144" s="2937" t="str">
        <f ca="1">'A &amp; L INFO'!Z39</f>
        <v/>
      </c>
      <c r="E144" s="2938"/>
      <c r="F144" s="2938"/>
      <c r="G144" s="2938"/>
      <c r="H144" s="2938"/>
      <c r="I144" s="2938"/>
      <c r="J144" s="2938"/>
      <c r="K144" s="2938"/>
      <c r="L144" s="2938"/>
      <c r="M144" s="2938"/>
      <c r="N144" s="2949"/>
      <c r="O144" s="2915" t="str">
        <f ca="1">IF('A &amp; L INFO'!AB39&lt;&gt;"", 'A &amp; L INFO'!AB39,"")</f>
        <v/>
      </c>
      <c r="P144" s="2916"/>
      <c r="Q144" s="2916"/>
      <c r="R144" s="2917"/>
      <c r="S144" s="2918" t="str">
        <f ca="1">'A &amp; L INFO'!AA39</f>
        <v/>
      </c>
      <c r="T144" s="678"/>
      <c r="U144" s="678"/>
      <c r="V144" s="678"/>
      <c r="W144" s="2919"/>
      <c r="X144" s="880"/>
      <c r="Y144" s="875"/>
      <c r="Z144" s="875"/>
      <c r="AA144" s="875"/>
      <c r="AB144" s="875"/>
      <c r="AC144" s="881"/>
    </row>
    <row r="145" spans="1:29">
      <c r="A145" s="700">
        <v>28</v>
      </c>
      <c r="B145" s="2945" t="str">
        <f ca="1">'A &amp; L INFO'!W40</f>
        <v/>
      </c>
      <c r="C145" s="2946"/>
      <c r="D145" s="2937" t="str">
        <f ca="1">'A &amp; L INFO'!Z40</f>
        <v/>
      </c>
      <c r="E145" s="2938"/>
      <c r="F145" s="2938"/>
      <c r="G145" s="2938"/>
      <c r="H145" s="2938"/>
      <c r="I145" s="2938"/>
      <c r="J145" s="2938"/>
      <c r="K145" s="2938"/>
      <c r="L145" s="2938"/>
      <c r="M145" s="2938"/>
      <c r="N145" s="2949"/>
      <c r="O145" s="2915" t="str">
        <f ca="1">IF('A &amp; L INFO'!AB40&lt;&gt;"", 'A &amp; L INFO'!AB40,"")</f>
        <v/>
      </c>
      <c r="P145" s="2916"/>
      <c r="Q145" s="2916"/>
      <c r="R145" s="2917"/>
      <c r="S145" s="2918" t="str">
        <f ca="1">'A &amp; L INFO'!AA40</f>
        <v/>
      </c>
      <c r="T145" s="678"/>
      <c r="U145" s="678"/>
      <c r="V145" s="678"/>
      <c r="W145" s="2919"/>
      <c r="X145" s="880"/>
      <c r="Y145" s="875"/>
      <c r="Z145" s="875"/>
      <c r="AA145" s="875"/>
      <c r="AB145" s="875"/>
      <c r="AC145" s="881"/>
    </row>
    <row r="146" spans="1:29">
      <c r="A146" s="700">
        <v>29</v>
      </c>
      <c r="B146" s="2945" t="str">
        <f ca="1">'A &amp; L INFO'!W41</f>
        <v/>
      </c>
      <c r="C146" s="2946"/>
      <c r="D146" s="2937" t="str">
        <f ca="1">'A &amp; L INFO'!Z41</f>
        <v/>
      </c>
      <c r="E146" s="2938"/>
      <c r="F146" s="2938"/>
      <c r="G146" s="2938"/>
      <c r="H146" s="2938"/>
      <c r="I146" s="2938"/>
      <c r="J146" s="2938"/>
      <c r="K146" s="2938"/>
      <c r="L146" s="2938"/>
      <c r="M146" s="2938"/>
      <c r="N146" s="2949"/>
      <c r="O146" s="2915" t="str">
        <f ca="1">IF('A &amp; L INFO'!AB41&lt;&gt;"", 'A &amp; L INFO'!AB41,"")</f>
        <v/>
      </c>
      <c r="P146" s="2916"/>
      <c r="Q146" s="2916"/>
      <c r="R146" s="2917"/>
      <c r="S146" s="2918" t="str">
        <f ca="1">'A &amp; L INFO'!AA41</f>
        <v/>
      </c>
      <c r="T146" s="678"/>
      <c r="U146" s="678"/>
      <c r="V146" s="678"/>
      <c r="W146" s="2919"/>
      <c r="X146" s="880"/>
      <c r="Y146" s="875"/>
      <c r="Z146" s="875"/>
      <c r="AA146" s="875"/>
      <c r="AB146" s="875"/>
      <c r="AC146" s="881"/>
    </row>
    <row r="147" spans="1:29">
      <c r="A147" s="700">
        <v>30</v>
      </c>
      <c r="B147" s="2957" t="str">
        <f ca="1">'A &amp; L INFO'!W46</f>
        <v/>
      </c>
      <c r="C147" s="2958"/>
      <c r="D147" s="2950" t="str">
        <f ca="1">'A &amp; L INFO'!Z46</f>
        <v/>
      </c>
      <c r="E147" s="2951"/>
      <c r="F147" s="2951"/>
      <c r="G147" s="2951"/>
      <c r="H147" s="2951"/>
      <c r="I147" s="2951"/>
      <c r="J147" s="2951"/>
      <c r="K147" s="2951"/>
      <c r="L147" s="2951"/>
      <c r="M147" s="2951"/>
      <c r="N147" s="2952"/>
      <c r="O147" s="2915" t="str">
        <f ca="1">IF('A &amp; L INFO'!AB46&lt;&gt;"", 'A &amp; L INFO'!AB46,"")</f>
        <v/>
      </c>
      <c r="P147" s="2916"/>
      <c r="Q147" s="2916"/>
      <c r="R147" s="2917"/>
      <c r="S147" s="2955" t="str">
        <f ca="1">'A &amp; L INFO'!AA46</f>
        <v/>
      </c>
      <c r="T147" s="710"/>
      <c r="U147" s="710"/>
      <c r="V147" s="710"/>
      <c r="W147" s="2956"/>
      <c r="X147" s="1050"/>
      <c r="Y147" s="1051"/>
      <c r="Z147" s="1051"/>
      <c r="AA147" s="1051"/>
      <c r="AB147" s="1051"/>
      <c r="AC147" s="1052"/>
    </row>
    <row r="148" spans="1:29" ht="13" thickBot="1">
      <c r="A148" s="701" t="s">
        <v>837</v>
      </c>
      <c r="B148" s="702"/>
      <c r="C148" s="702"/>
      <c r="D148" s="702"/>
      <c r="E148" s="702"/>
      <c r="F148" s="702"/>
      <c r="G148" s="702"/>
      <c r="H148" s="702"/>
      <c r="I148" s="702"/>
      <c r="J148" s="702"/>
      <c r="K148" s="702"/>
      <c r="L148" s="702"/>
      <c r="M148" s="702"/>
      <c r="N148" s="702"/>
      <c r="O148" s="702"/>
      <c r="P148" s="702"/>
      <c r="Q148" s="702"/>
      <c r="R148" s="702"/>
      <c r="S148" s="2465">
        <f ca="1">+SUM(S118:W147)</f>
        <v>0</v>
      </c>
      <c r="T148" s="2466"/>
      <c r="U148" s="2466"/>
      <c r="V148" s="2466"/>
      <c r="W148" s="2467"/>
      <c r="X148" s="702"/>
      <c r="Y148" s="702"/>
      <c r="Z148" s="702"/>
      <c r="AA148" s="702"/>
      <c r="AB148" s="702"/>
      <c r="AC148" s="703"/>
    </row>
    <row r="150" spans="1:1" ht="25.15" customHeight="1">
      <c r="A150" s="698" t="s">
        <v>667</v>
      </c>
    </row>
    <row r="151" ht="13" thickBot="1"/>
    <row r="152" spans="1:29" ht="28.9" customHeight="1">
      <c r="A152" s="846" t="s">
        <v>321</v>
      </c>
      <c r="B152" s="2470" t="s">
        <v>861</v>
      </c>
      <c r="C152" s="2472"/>
      <c r="D152" s="2470" t="s">
        <v>862</v>
      </c>
      <c r="E152" s="2471"/>
      <c r="F152" s="2471"/>
      <c r="G152" s="2471"/>
      <c r="H152" s="2471"/>
      <c r="I152" s="2471"/>
      <c r="J152" s="2472"/>
      <c r="K152" s="2470" t="s">
        <v>863</v>
      </c>
      <c r="L152" s="2471"/>
      <c r="M152" s="2471"/>
      <c r="N152" s="2471"/>
      <c r="O152" s="2471"/>
      <c r="P152" s="2471"/>
      <c r="Q152" s="2471"/>
      <c r="R152" s="2471"/>
      <c r="S152" s="2472"/>
      <c r="T152" s="2470" t="s">
        <v>864</v>
      </c>
      <c r="U152" s="2471"/>
      <c r="V152" s="2471"/>
      <c r="W152" s="2472"/>
      <c r="X152" s="2470" t="s">
        <v>567</v>
      </c>
      <c r="Y152" s="2471"/>
      <c r="Z152" s="2471"/>
      <c r="AA152" s="2471"/>
      <c r="AB152" s="2471"/>
      <c r="AC152" s="2473"/>
    </row>
    <row r="153" spans="1:29" ht="13" thickBot="1">
      <c r="A153" s="847" t="s">
        <v>65</v>
      </c>
      <c r="B153" s="1488" t="s">
        <v>64</v>
      </c>
      <c r="C153" s="2060"/>
      <c r="D153" s="1488" t="s">
        <v>66</v>
      </c>
      <c r="E153" s="2474"/>
      <c r="F153" s="2474"/>
      <c r="G153" s="2474"/>
      <c r="H153" s="2474"/>
      <c r="I153" s="2474"/>
      <c r="J153" s="2060"/>
      <c r="K153" s="1488" t="s">
        <v>67</v>
      </c>
      <c r="L153" s="2474"/>
      <c r="M153" s="2474"/>
      <c r="N153" s="2474"/>
      <c r="O153" s="2474"/>
      <c r="P153" s="2474"/>
      <c r="Q153" s="2474"/>
      <c r="R153" s="2474"/>
      <c r="S153" s="2060"/>
      <c r="T153" s="1488" t="s">
        <v>68</v>
      </c>
      <c r="U153" s="2474"/>
      <c r="V153" s="2474"/>
      <c r="W153" s="2060"/>
      <c r="X153" s="1488" t="s">
        <v>99</v>
      </c>
      <c r="Y153" s="2474"/>
      <c r="Z153" s="2474"/>
      <c r="AA153" s="2474"/>
      <c r="AB153" s="2474"/>
      <c r="AC153" s="2478"/>
    </row>
    <row r="154" spans="1:29">
      <c r="A154" s="700">
        <v>1</v>
      </c>
      <c r="B154" s="2945" t="str">
        <f ca="1">'A &amp; L INFO'!W49</f>
        <v/>
      </c>
      <c r="C154" s="2946"/>
      <c r="D154" s="2937" t="str">
        <f ca="1">'A &amp; L INFO'!Z49</f>
        <v/>
      </c>
      <c r="E154" s="2938"/>
      <c r="F154" s="2938"/>
      <c r="G154" s="2938"/>
      <c r="H154" s="2938"/>
      <c r="I154" s="2938"/>
      <c r="J154" s="2938"/>
      <c r="K154" s="2953"/>
      <c r="L154" s="2954"/>
      <c r="M154" s="2954"/>
      <c r="N154" s="2954"/>
      <c r="O154" s="2954"/>
      <c r="P154" s="2954"/>
      <c r="Q154" s="2954"/>
      <c r="R154" s="2954"/>
      <c r="S154" s="2954"/>
      <c r="T154" s="2909" t="str">
        <f ca="1">IF('A &amp; L INFO'!AB49&lt;&gt;"", 'A &amp; L INFO'!AB49,"")</f>
        <v/>
      </c>
      <c r="U154" s="2910"/>
      <c r="V154" s="2910"/>
      <c r="W154" s="2911"/>
      <c r="X154" s="2456" t="str">
        <f ca="1">'A &amp; L INFO'!AA49</f>
        <v/>
      </c>
      <c r="Y154" s="2456"/>
      <c r="Z154" s="2456"/>
      <c r="AA154" s="2456"/>
      <c r="AB154" s="2456"/>
      <c r="AC154" s="2457"/>
    </row>
    <row r="155" spans="1:29">
      <c r="A155" s="700">
        <v>2</v>
      </c>
      <c r="B155" s="2945" t="str">
        <f ca="1">'A &amp; L INFO'!W50</f>
        <v/>
      </c>
      <c r="C155" s="2946"/>
      <c r="D155" s="2937" t="str">
        <f ca="1">'A &amp; L INFO'!Z50</f>
        <v/>
      </c>
      <c r="E155" s="2938"/>
      <c r="F155" s="2938"/>
      <c r="G155" s="2938"/>
      <c r="H155" s="2938"/>
      <c r="I155" s="2938"/>
      <c r="J155" s="2938"/>
      <c r="K155" s="2953"/>
      <c r="L155" s="2954"/>
      <c r="M155" s="2954"/>
      <c r="N155" s="2954"/>
      <c r="O155" s="2954"/>
      <c r="P155" s="2954"/>
      <c r="Q155" s="2954"/>
      <c r="R155" s="2954"/>
      <c r="S155" s="2954"/>
      <c r="T155" s="2909" t="str">
        <f ca="1">IF('A &amp; L INFO'!AB50&lt;&gt;"", 'A &amp; L INFO'!AB50,"")</f>
        <v/>
      </c>
      <c r="U155" s="2910"/>
      <c r="V155" s="2910"/>
      <c r="W155" s="2911"/>
      <c r="X155" s="2456" t="str">
        <f ca="1">'A &amp; L INFO'!AA50</f>
        <v/>
      </c>
      <c r="Y155" s="2456"/>
      <c r="Z155" s="2456"/>
      <c r="AA155" s="2456"/>
      <c r="AB155" s="2456"/>
      <c r="AC155" s="2457"/>
    </row>
    <row r="156" spans="1:29">
      <c r="A156" s="700">
        <v>3</v>
      </c>
      <c r="B156" s="2947" t="str">
        <f ca="1">'A &amp; L INFO'!W51</f>
        <v/>
      </c>
      <c r="C156" s="2948"/>
      <c r="D156" s="2939" t="str">
        <f ca="1">'A &amp; L INFO'!Z51</f>
        <v/>
      </c>
      <c r="E156" s="2940"/>
      <c r="F156" s="2940"/>
      <c r="G156" s="2940"/>
      <c r="H156" s="2940"/>
      <c r="I156" s="2940"/>
      <c r="J156" s="2940"/>
      <c r="K156" s="2953"/>
      <c r="L156" s="2954"/>
      <c r="M156" s="2954"/>
      <c r="N156" s="2954"/>
      <c r="O156" s="2954"/>
      <c r="P156" s="2954"/>
      <c r="Q156" s="2954"/>
      <c r="R156" s="2954"/>
      <c r="S156" s="2954"/>
      <c r="T156" s="2909" t="str">
        <f ca="1">IF('A &amp; L INFO'!AB51&lt;&gt;"", 'A &amp; L INFO'!AB51,"")</f>
        <v/>
      </c>
      <c r="U156" s="2910"/>
      <c r="V156" s="2910"/>
      <c r="W156" s="2911"/>
      <c r="X156" s="2463" t="str">
        <f ca="1">'A &amp; L INFO'!AA51</f>
        <v/>
      </c>
      <c r="Y156" s="2463"/>
      <c r="Z156" s="2463"/>
      <c r="AA156" s="2463"/>
      <c r="AB156" s="2463"/>
      <c r="AC156" s="2464"/>
    </row>
    <row r="157" spans="1:29">
      <c r="A157" s="700">
        <v>4</v>
      </c>
      <c r="B157" s="2943" t="str">
        <f ca="1">'A &amp; L INFO'!W52</f>
        <v/>
      </c>
      <c r="C157" s="2944"/>
      <c r="D157" s="2941" t="str">
        <f ca="1">'A &amp; L INFO'!Z52</f>
        <v/>
      </c>
      <c r="E157" s="2942"/>
      <c r="F157" s="2942"/>
      <c r="G157" s="2942"/>
      <c r="H157" s="2942"/>
      <c r="I157" s="2942"/>
      <c r="J157" s="2942"/>
      <c r="K157" s="2920"/>
      <c r="L157" s="2921"/>
      <c r="M157" s="2921"/>
      <c r="N157" s="2921"/>
      <c r="O157" s="2921"/>
      <c r="P157" s="2921"/>
      <c r="Q157" s="2921"/>
      <c r="R157" s="2921"/>
      <c r="S157" s="2921"/>
      <c r="T157" s="2912" t="str">
        <f ca="1">IF('A &amp; L INFO'!AB52&lt;&gt;"", 'A &amp; L INFO'!AB52,"")</f>
        <v/>
      </c>
      <c r="U157" s="2913"/>
      <c r="V157" s="2913"/>
      <c r="W157" s="2914"/>
      <c r="X157" s="2432" t="str">
        <f ca="1">'A &amp; L INFO'!AA52</f>
        <v/>
      </c>
      <c r="Y157" s="2432"/>
      <c r="Z157" s="2432"/>
      <c r="AA157" s="2432"/>
      <c r="AB157" s="2432"/>
      <c r="AC157" s="2433"/>
    </row>
    <row r="158" spans="1:29" ht="13" thickBot="1">
      <c r="A158" s="701" t="s">
        <v>860</v>
      </c>
      <c r="B158" s="702"/>
      <c r="C158" s="702"/>
      <c r="D158" s="702"/>
      <c r="E158" s="702"/>
      <c r="F158" s="702"/>
      <c r="G158" s="702"/>
      <c r="H158" s="702"/>
      <c r="I158" s="702"/>
      <c r="J158" s="702"/>
      <c r="K158" s="1247"/>
      <c r="L158" s="1248"/>
      <c r="M158" s="1248"/>
      <c r="N158" s="1248"/>
      <c r="O158" s="1248"/>
      <c r="P158" s="1248"/>
      <c r="Q158" s="1248"/>
      <c r="R158" s="1248"/>
      <c r="S158" s="1246"/>
      <c r="T158" s="1244"/>
      <c r="U158" s="1245"/>
      <c r="V158" s="1245"/>
      <c r="W158" s="1246"/>
      <c r="X158" s="2925">
        <f ca="1">+SUM(X154:AC157)</f>
        <v>0</v>
      </c>
      <c r="Y158" s="2926"/>
      <c r="Z158" s="2926"/>
      <c r="AA158" s="2926"/>
      <c r="AB158" s="2926"/>
      <c r="AC158" s="2927"/>
    </row>
  </sheetData>
  <sheetProtection password="BDAF" sheet="1" objects="1" scenarios="1" selectLockedCells="1" selectUnlockedCells="1"/>
  <mergeCells count="513">
    <mergeCell ref="B116:C116"/>
    <mergeCell ref="O116:R116"/>
    <mergeCell ref="AU18:AY18"/>
    <mergeCell ref="AP18:AT18"/>
    <mergeCell ref="AK18:AO18"/>
    <mergeCell ref="X68:AA68"/>
    <mergeCell ref="X70:AA70"/>
    <mergeCell ref="V43:Y43"/>
    <mergeCell ref="V44:Y44"/>
    <mergeCell ref="V45:Y45"/>
    <mergeCell ref="V41:Y41"/>
    <mergeCell ref="V42:Y42"/>
    <mergeCell ref="AK49:AO49"/>
    <mergeCell ref="V32:Y32"/>
    <mergeCell ref="AP49:AT49"/>
    <mergeCell ref="AU49:AY49"/>
    <mergeCell ref="AK44:AO44"/>
    <mergeCell ref="AP44:AT44"/>
    <mergeCell ref="AU44:AY44"/>
    <mergeCell ref="AI20:AL20"/>
    <mergeCell ref="F19:K19"/>
    <mergeCell ref="R21:U21"/>
    <mergeCell ref="R27:U27"/>
    <mergeCell ref="V23:Y23"/>
    <mergeCell ref="V25:Y25"/>
    <mergeCell ref="N25:Q25"/>
    <mergeCell ref="V24:Y24"/>
    <mergeCell ref="R25:U25"/>
    <mergeCell ref="R24:U24"/>
    <mergeCell ref="F24:I24"/>
    <mergeCell ref="J24:M24"/>
    <mergeCell ref="V34:Y34"/>
    <mergeCell ref="V29:Y29"/>
    <mergeCell ref="R30:U30"/>
    <mergeCell ref="F26:K26"/>
    <mergeCell ref="F33:K33"/>
    <mergeCell ref="F28:I28"/>
    <mergeCell ref="J28:M28"/>
    <mergeCell ref="F32:I32"/>
    <mergeCell ref="J32:M32"/>
    <mergeCell ref="N32:Q32"/>
    <mergeCell ref="R32:U32"/>
    <mergeCell ref="F31:I31"/>
    <mergeCell ref="J31:M31"/>
    <mergeCell ref="N31:Q31"/>
    <mergeCell ref="R31:U31"/>
    <mergeCell ref="V35:Y35"/>
    <mergeCell ref="R34:U34"/>
    <mergeCell ref="V28:Y28"/>
    <mergeCell ref="N29:Q29"/>
    <mergeCell ref="R29:U29"/>
    <mergeCell ref="F30:I30"/>
    <mergeCell ref="J30:M30"/>
    <mergeCell ref="N30:Q30"/>
    <mergeCell ref="J42:M42"/>
    <mergeCell ref="N42:Q42"/>
    <mergeCell ref="R42:U42"/>
    <mergeCell ref="R35:U35"/>
    <mergeCell ref="V39:Y39"/>
    <mergeCell ref="V36:Y36"/>
    <mergeCell ref="V37:Y37"/>
    <mergeCell ref="V38:Y38"/>
    <mergeCell ref="F40:K40"/>
    <mergeCell ref="F36:I36"/>
    <mergeCell ref="J36:M36"/>
    <mergeCell ref="F29:I29"/>
    <mergeCell ref="J29:M29"/>
    <mergeCell ref="F39:I39"/>
    <mergeCell ref="J39:M39"/>
    <mergeCell ref="F37:I37"/>
    <mergeCell ref="R39:U39"/>
    <mergeCell ref="N36:Q36"/>
    <mergeCell ref="J37:M37"/>
    <mergeCell ref="N37:Q37"/>
    <mergeCell ref="N38:Q38"/>
    <mergeCell ref="R38:U38"/>
    <mergeCell ref="R36:U36"/>
    <mergeCell ref="F38:I38"/>
    <mergeCell ref="J38:M38"/>
    <mergeCell ref="R37:U37"/>
    <mergeCell ref="F35:I35"/>
    <mergeCell ref="J35:M35"/>
    <mergeCell ref="J48:M48"/>
    <mergeCell ref="F45:I45"/>
    <mergeCell ref="J45:M45"/>
    <mergeCell ref="F46:I46"/>
    <mergeCell ref="N44:Q44"/>
    <mergeCell ref="R44:U44"/>
    <mergeCell ref="N48:Q48"/>
    <mergeCell ref="R48:U48"/>
    <mergeCell ref="F43:I43"/>
    <mergeCell ref="J43:M43"/>
    <mergeCell ref="N43:Q43"/>
    <mergeCell ref="R43:U43"/>
    <mergeCell ref="N45:Q45"/>
    <mergeCell ref="R45:U45"/>
    <mergeCell ref="J46:M46"/>
    <mergeCell ref="F44:I44"/>
    <mergeCell ref="J44:M44"/>
    <mergeCell ref="F42:I42"/>
    <mergeCell ref="J41:M41"/>
    <mergeCell ref="N41:Q41"/>
    <mergeCell ref="R41:U41"/>
    <mergeCell ref="N39:Q39"/>
    <mergeCell ref="X75:AA75"/>
    <mergeCell ref="W99:Z99"/>
    <mergeCell ref="O97:R97"/>
    <mergeCell ref="S97:V97"/>
    <mergeCell ref="W97:Z97"/>
    <mergeCell ref="I100:N100"/>
    <mergeCell ref="O100:R100"/>
    <mergeCell ref="S100:V100"/>
    <mergeCell ref="W100:Z100"/>
    <mergeCell ref="I97:N97"/>
    <mergeCell ref="X77:AA77"/>
    <mergeCell ref="X80:AA80"/>
    <mergeCell ref="I98:N98"/>
    <mergeCell ref="O98:R98"/>
    <mergeCell ref="S98:V98"/>
    <mergeCell ref="W98:Z98"/>
    <mergeCell ref="O95:R96"/>
    <mergeCell ref="S95:Z95"/>
    <mergeCell ref="S96:V96"/>
    <mergeCell ref="W96:Z96"/>
    <mergeCell ref="C87:AA87"/>
    <mergeCell ref="S103:V103"/>
    <mergeCell ref="W103:Z103"/>
    <mergeCell ref="O101:R101"/>
    <mergeCell ref="S101:V101"/>
    <mergeCell ref="W101:Z101"/>
    <mergeCell ref="O102:R102"/>
    <mergeCell ref="S102:V102"/>
    <mergeCell ref="W102:Z102"/>
    <mergeCell ref="O99:R99"/>
    <mergeCell ref="S99:V99"/>
    <mergeCell ref="C106:H106"/>
    <mergeCell ref="C107:H107"/>
    <mergeCell ref="A15:E16"/>
    <mergeCell ref="F15:M15"/>
    <mergeCell ref="A20:E20"/>
    <mergeCell ref="F20:I20"/>
    <mergeCell ref="J20:M20"/>
    <mergeCell ref="F25:I25"/>
    <mergeCell ref="J25:M25"/>
    <mergeCell ref="C99:H99"/>
    <mergeCell ref="C100:H100"/>
    <mergeCell ref="C101:H101"/>
    <mergeCell ref="C102:H102"/>
    <mergeCell ref="C103:H103"/>
    <mergeCell ref="C104:H104"/>
    <mergeCell ref="C97:H97"/>
    <mergeCell ref="C98:H98"/>
    <mergeCell ref="I107:N107"/>
    <mergeCell ref="I101:N101"/>
    <mergeCell ref="I102:N102"/>
    <mergeCell ref="I99:N99"/>
    <mergeCell ref="I95:N96"/>
    <mergeCell ref="N24:Q24"/>
    <mergeCell ref="C105:H105"/>
    <mergeCell ref="O107:R107"/>
    <mergeCell ref="S107:V107"/>
    <mergeCell ref="W107:Z107"/>
    <mergeCell ref="C95:H96"/>
    <mergeCell ref="X71:AA71"/>
    <mergeCell ref="X73:AA73"/>
    <mergeCell ref="X82:AA82"/>
    <mergeCell ref="X83:AA83"/>
    <mergeCell ref="X85:AA85"/>
    <mergeCell ref="I106:N106"/>
    <mergeCell ref="O106:R106"/>
    <mergeCell ref="S106:V106"/>
    <mergeCell ref="X79:AA79"/>
    <mergeCell ref="W106:Z106"/>
    <mergeCell ref="I105:N105"/>
    <mergeCell ref="O105:R105"/>
    <mergeCell ref="S105:V105"/>
    <mergeCell ref="W105:Z105"/>
    <mergeCell ref="I104:N104"/>
    <mergeCell ref="O104:R104"/>
    <mergeCell ref="S104:V104"/>
    <mergeCell ref="W104:Z104"/>
    <mergeCell ref="I103:N103"/>
    <mergeCell ref="O103:R103"/>
    <mergeCell ref="T62:W62"/>
    <mergeCell ref="T63:W63"/>
    <mergeCell ref="X62:AA62"/>
    <mergeCell ref="T64:W64"/>
    <mergeCell ref="X63:AA63"/>
    <mergeCell ref="AK45:AO45"/>
    <mergeCell ref="T59:W59"/>
    <mergeCell ref="T60:W60"/>
    <mergeCell ref="T61:W61"/>
    <mergeCell ref="V46:Y46"/>
    <mergeCell ref="V48:Y48"/>
    <mergeCell ref="X59:AA59"/>
    <mergeCell ref="X72:AA72"/>
    <mergeCell ref="X64:AA64"/>
    <mergeCell ref="F48:I48"/>
    <mergeCell ref="X81:AA81"/>
    <mergeCell ref="X84:AA84"/>
    <mergeCell ref="X74:AA74"/>
    <mergeCell ref="AK42:AO42"/>
    <mergeCell ref="AP42:AT42"/>
    <mergeCell ref="AU42:AY42"/>
    <mergeCell ref="AK43:AO43"/>
    <mergeCell ref="AP43:AT43"/>
    <mergeCell ref="AU43:AY43"/>
    <mergeCell ref="X76:AA76"/>
    <mergeCell ref="X78:AA78"/>
    <mergeCell ref="AK46:AO46"/>
    <mergeCell ref="AP46:AT46"/>
    <mergeCell ref="AU46:AY46"/>
    <mergeCell ref="AK47:AO47"/>
    <mergeCell ref="AP47:AT47"/>
    <mergeCell ref="AU47:AY47"/>
    <mergeCell ref="X60:AA60"/>
    <mergeCell ref="X61:AA61"/>
    <mergeCell ref="N46:Q46"/>
    <mergeCell ref="R46:U46"/>
    <mergeCell ref="X66:AA66"/>
    <mergeCell ref="AP38:AT38"/>
    <mergeCell ref="AU38:AY38"/>
    <mergeCell ref="AP39:AT39"/>
    <mergeCell ref="AU39:AY39"/>
    <mergeCell ref="AK40:AO40"/>
    <mergeCell ref="AP40:AT40"/>
    <mergeCell ref="AU40:AY40"/>
    <mergeCell ref="AP45:AT45"/>
    <mergeCell ref="AU45:AY45"/>
    <mergeCell ref="Z38:AC38"/>
    <mergeCell ref="Z39:AC39"/>
    <mergeCell ref="Z41:AC41"/>
    <mergeCell ref="Z42:AC42"/>
    <mergeCell ref="Z43:AC43"/>
    <mergeCell ref="Z44:AC44"/>
    <mergeCell ref="Z45:AC45"/>
    <mergeCell ref="Z46:AC46"/>
    <mergeCell ref="Z48:AC48"/>
    <mergeCell ref="AP35:AT35"/>
    <mergeCell ref="AU35:AY35"/>
    <mergeCell ref="AK36:AO36"/>
    <mergeCell ref="AP36:AT36"/>
    <mergeCell ref="AU36:AY36"/>
    <mergeCell ref="AP37:AT37"/>
    <mergeCell ref="AU37:AY37"/>
    <mergeCell ref="AK38:AO38"/>
    <mergeCell ref="AP32:AT32"/>
    <mergeCell ref="AU32:AY32"/>
    <mergeCell ref="AK33:AO33"/>
    <mergeCell ref="AP33:AT33"/>
    <mergeCell ref="AU33:AY33"/>
    <mergeCell ref="AP30:AT30"/>
    <mergeCell ref="AU30:AY30"/>
    <mergeCell ref="AK31:AO31"/>
    <mergeCell ref="AP31:AT31"/>
    <mergeCell ref="AU31:AY31"/>
    <mergeCell ref="AP28:AT28"/>
    <mergeCell ref="AU28:AY28"/>
    <mergeCell ref="AI27:AK27"/>
    <mergeCell ref="AK29:AO29"/>
    <mergeCell ref="AP29:AT29"/>
    <mergeCell ref="AU29:AY29"/>
    <mergeCell ref="AP24:AT24"/>
    <mergeCell ref="AU24:AY24"/>
    <mergeCell ref="AK25:AO25"/>
    <mergeCell ref="AP25:AT25"/>
    <mergeCell ref="AU25:AY25"/>
    <mergeCell ref="AK26:AO26"/>
    <mergeCell ref="AP26:AT26"/>
    <mergeCell ref="AU26:AY26"/>
    <mergeCell ref="AK24:AO24"/>
    <mergeCell ref="AU22:AY22"/>
    <mergeCell ref="AK21:AO21"/>
    <mergeCell ref="AP21:AT21"/>
    <mergeCell ref="AU21:AY21"/>
    <mergeCell ref="AK23:AO23"/>
    <mergeCell ref="AP23:AT23"/>
    <mergeCell ref="AU23:AY23"/>
    <mergeCell ref="V21:Y21"/>
    <mergeCell ref="AK22:AO22"/>
    <mergeCell ref="A5:AC5"/>
    <mergeCell ref="R23:U23"/>
    <mergeCell ref="V22:Y22"/>
    <mergeCell ref="R20:U20"/>
    <mergeCell ref="V20:Y20"/>
    <mergeCell ref="N15:U15"/>
    <mergeCell ref="N16:Q16"/>
    <mergeCell ref="R16:U16"/>
    <mergeCell ref="AP22:AT22"/>
    <mergeCell ref="F16:I16"/>
    <mergeCell ref="J16:M16"/>
    <mergeCell ref="F22:I22"/>
    <mergeCell ref="J22:M22"/>
    <mergeCell ref="F23:I23"/>
    <mergeCell ref="J23:M23"/>
    <mergeCell ref="N23:Q23"/>
    <mergeCell ref="N22:Q22"/>
    <mergeCell ref="R22:U22"/>
    <mergeCell ref="N20:Q20"/>
    <mergeCell ref="F21:I21"/>
    <mergeCell ref="J21:M21"/>
    <mergeCell ref="N21:Q21"/>
    <mergeCell ref="V15:AC15"/>
    <mergeCell ref="V16:Y16"/>
    <mergeCell ref="A27:E27"/>
    <mergeCell ref="F27:I27"/>
    <mergeCell ref="J27:M27"/>
    <mergeCell ref="N27:Q27"/>
    <mergeCell ref="V27:Y27"/>
    <mergeCell ref="AI34:AL34"/>
    <mergeCell ref="AI41:AL41"/>
    <mergeCell ref="AK35:AO35"/>
    <mergeCell ref="AK37:AO37"/>
    <mergeCell ref="AK39:AO39"/>
    <mergeCell ref="AK28:AO28"/>
    <mergeCell ref="AK32:AO32"/>
    <mergeCell ref="N28:Q28"/>
    <mergeCell ref="R28:U28"/>
    <mergeCell ref="A34:E34"/>
    <mergeCell ref="F34:I34"/>
    <mergeCell ref="J34:M34"/>
    <mergeCell ref="N34:Q34"/>
    <mergeCell ref="N35:Q35"/>
    <mergeCell ref="V30:Y30"/>
    <mergeCell ref="AK30:AO30"/>
    <mergeCell ref="V31:Y31"/>
    <mergeCell ref="A41:E41"/>
    <mergeCell ref="F41:I41"/>
    <mergeCell ref="B127:C127"/>
    <mergeCell ref="B128:C128"/>
    <mergeCell ref="B129:C129"/>
    <mergeCell ref="B130:C130"/>
    <mergeCell ref="B131:C131"/>
    <mergeCell ref="B132:C132"/>
    <mergeCell ref="S136:W136"/>
    <mergeCell ref="S133:W133"/>
    <mergeCell ref="S134:W134"/>
    <mergeCell ref="S135:W135"/>
    <mergeCell ref="B133:C133"/>
    <mergeCell ref="B134:C134"/>
    <mergeCell ref="B135:C135"/>
    <mergeCell ref="B136:C136"/>
    <mergeCell ref="O127:R127"/>
    <mergeCell ref="O128:R128"/>
    <mergeCell ref="O129:R129"/>
    <mergeCell ref="O130:R130"/>
    <mergeCell ref="O131:R131"/>
    <mergeCell ref="O132:R132"/>
    <mergeCell ref="O133:R133"/>
    <mergeCell ref="O134:R134"/>
    <mergeCell ref="O135:R135"/>
    <mergeCell ref="O136:R136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37:C137"/>
    <mergeCell ref="B138:C138"/>
    <mergeCell ref="S137:W137"/>
    <mergeCell ref="S138:W138"/>
    <mergeCell ref="S116:W116"/>
    <mergeCell ref="S117:W117"/>
    <mergeCell ref="X116:AC116"/>
    <mergeCell ref="X117:AC117"/>
    <mergeCell ref="B142:C142"/>
    <mergeCell ref="D123:N123"/>
    <mergeCell ref="D124:N124"/>
    <mergeCell ref="D125:N125"/>
    <mergeCell ref="D126:N126"/>
    <mergeCell ref="D127:N127"/>
    <mergeCell ref="D128:N128"/>
    <mergeCell ref="D129:N129"/>
    <mergeCell ref="D130:N130"/>
    <mergeCell ref="D131:N131"/>
    <mergeCell ref="D132:N132"/>
    <mergeCell ref="D133:N133"/>
    <mergeCell ref="D134:N134"/>
    <mergeCell ref="D135:N135"/>
    <mergeCell ref="B117:C117"/>
    <mergeCell ref="O117:R117"/>
    <mergeCell ref="B143:C143"/>
    <mergeCell ref="B144:C144"/>
    <mergeCell ref="B145:C145"/>
    <mergeCell ref="B146:C146"/>
    <mergeCell ref="S118:W118"/>
    <mergeCell ref="S119:W119"/>
    <mergeCell ref="S120:W120"/>
    <mergeCell ref="S121:W121"/>
    <mergeCell ref="S122:W122"/>
    <mergeCell ref="S123:W123"/>
    <mergeCell ref="S124:W124"/>
    <mergeCell ref="S125:W125"/>
    <mergeCell ref="S126:W126"/>
    <mergeCell ref="S127:W127"/>
    <mergeCell ref="S128:W128"/>
    <mergeCell ref="S129:W129"/>
    <mergeCell ref="S130:W130"/>
    <mergeCell ref="S131:W131"/>
    <mergeCell ref="S132:W132"/>
    <mergeCell ref="D118:N118"/>
    <mergeCell ref="D119:N119"/>
    <mergeCell ref="D120:N120"/>
    <mergeCell ref="D121:N121"/>
    <mergeCell ref="D122:N122"/>
    <mergeCell ref="X152:AC152"/>
    <mergeCell ref="B153:C153"/>
    <mergeCell ref="X153:AC153"/>
    <mergeCell ref="D136:N136"/>
    <mergeCell ref="D137:N137"/>
    <mergeCell ref="D138:N138"/>
    <mergeCell ref="D139:N139"/>
    <mergeCell ref="D140:N140"/>
    <mergeCell ref="D141:N141"/>
    <mergeCell ref="D142:N142"/>
    <mergeCell ref="D143:N143"/>
    <mergeCell ref="D144:N144"/>
    <mergeCell ref="S144:W144"/>
    <mergeCell ref="S145:W145"/>
    <mergeCell ref="S146:W146"/>
    <mergeCell ref="S147:W147"/>
    <mergeCell ref="S148:W148"/>
    <mergeCell ref="B147:C147"/>
    <mergeCell ref="B139:C139"/>
    <mergeCell ref="B140:C140"/>
    <mergeCell ref="B141:C141"/>
    <mergeCell ref="S139:W139"/>
    <mergeCell ref="S140:W140"/>
    <mergeCell ref="S141:W141"/>
    <mergeCell ref="B154:C154"/>
    <mergeCell ref="B155:C155"/>
    <mergeCell ref="B156:C156"/>
    <mergeCell ref="D145:N145"/>
    <mergeCell ref="D146:N146"/>
    <mergeCell ref="D147:N147"/>
    <mergeCell ref="B152:C152"/>
    <mergeCell ref="O146:R146"/>
    <mergeCell ref="O147:R147"/>
    <mergeCell ref="K154:S154"/>
    <mergeCell ref="K155:S155"/>
    <mergeCell ref="K156:S156"/>
    <mergeCell ref="X154:AC154"/>
    <mergeCell ref="X155:AC155"/>
    <mergeCell ref="X156:AC156"/>
    <mergeCell ref="X157:AC157"/>
    <mergeCell ref="X158:AC158"/>
    <mergeCell ref="A17:E17"/>
    <mergeCell ref="F17:I17"/>
    <mergeCell ref="J17:M17"/>
    <mergeCell ref="N17:Q17"/>
    <mergeCell ref="R17:U17"/>
    <mergeCell ref="V17:Y17"/>
    <mergeCell ref="I55:J55"/>
    <mergeCell ref="D116:N116"/>
    <mergeCell ref="D117:N117"/>
    <mergeCell ref="T152:W152"/>
    <mergeCell ref="D152:J152"/>
    <mergeCell ref="D153:J153"/>
    <mergeCell ref="D154:J154"/>
    <mergeCell ref="D155:J155"/>
    <mergeCell ref="D156:J156"/>
    <mergeCell ref="D157:J157"/>
    <mergeCell ref="K153:S153"/>
    <mergeCell ref="T153:W153"/>
    <mergeCell ref="B157:C157"/>
    <mergeCell ref="O118:R118"/>
    <mergeCell ref="O119:R119"/>
    <mergeCell ref="O120:R120"/>
    <mergeCell ref="O121:R121"/>
    <mergeCell ref="O122:R122"/>
    <mergeCell ref="O123:R123"/>
    <mergeCell ref="O124:R124"/>
    <mergeCell ref="O125:R125"/>
    <mergeCell ref="O126:R126"/>
    <mergeCell ref="T154:W154"/>
    <mergeCell ref="T155:W155"/>
    <mergeCell ref="T156:W156"/>
    <mergeCell ref="T157:W157"/>
    <mergeCell ref="O137:R137"/>
    <mergeCell ref="O138:R138"/>
    <mergeCell ref="O139:R139"/>
    <mergeCell ref="O140:R140"/>
    <mergeCell ref="O141:R141"/>
    <mergeCell ref="O142:R142"/>
    <mergeCell ref="O143:R143"/>
    <mergeCell ref="O144:R144"/>
    <mergeCell ref="O145:R145"/>
    <mergeCell ref="K152:S152"/>
    <mergeCell ref="S142:W142"/>
    <mergeCell ref="S143:W143"/>
    <mergeCell ref="K157:S157"/>
    <mergeCell ref="Z16:AC16"/>
    <mergeCell ref="Z17:AC17"/>
    <mergeCell ref="Z20:AC20"/>
    <mergeCell ref="Z21:AC21"/>
    <mergeCell ref="Z22:AC22"/>
    <mergeCell ref="Z23:AC23"/>
    <mergeCell ref="Z24:AC24"/>
    <mergeCell ref="Z25:AC25"/>
    <mergeCell ref="Z27:AC27"/>
    <mergeCell ref="Z28:AC28"/>
    <mergeCell ref="Z29:AC29"/>
    <mergeCell ref="Z30:AC30"/>
    <mergeCell ref="Z31:AC31"/>
    <mergeCell ref="Z32:AC32"/>
    <mergeCell ref="Z34:AC34"/>
    <mergeCell ref="Z35:AC35"/>
    <mergeCell ref="Z36:AC36"/>
    <mergeCell ref="Z37:AC37"/>
  </mergeCells>
  <printOptions horizontalCentered="1"/>
  <pageMargins left="0.15748031496063" right="0.15748031496063" top="0.984251968503937" bottom="0.984251968503937" header="0.511811023622047" footer="0.511811023622047"/>
  <pageSetup paperSize="5" scale="69" orientation="portrait" r:id="rId1"/>
  <rowBreaks count="3" manualBreakCount="3">
    <brk id="51" max="28" man="1"/>
    <brk id="89" max="28" man="1"/>
    <brk id="110" max="28" man="1"/>
  </rowBreaks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50"/>
  </sheetPr>
  <dimension ref="A2:AL184"/>
  <sheetViews>
    <sheetView zoomScale="75" zoomScaleNormal="75" view="pageBreakPreview" workbookViewId="0">
      <selection pane="topLeft" activeCell="R44" sqref="R44"/>
    </sheetView>
  </sheetViews>
  <sheetFormatPr defaultColWidth="4.421875" defaultRowHeight="12.75" baseColWidth="0"/>
  <cols>
    <col min="1" max="36" width="4.421875" style="272" customWidth="1"/>
    <col min="37" max="37" width="7.7109375" style="272" customWidth="1"/>
    <col min="38" max="16384" width="4.421875" style="272" customWidth="1"/>
  </cols>
  <sheetData>
    <row r="2" spans="1:1" ht="24.75" customHeight="1">
      <c r="A2" s="271"/>
    </row>
    <row r="3" spans="1:1" ht="24.75" customHeight="1">
      <c r="A3" s="271"/>
    </row>
    <row r="4" spans="1:6" ht="24.75" customHeight="1">
      <c r="A4" s="271" t="s">
        <v>301</v>
      </c>
      <c r="E4" s="3034">
        <f>taxyear</f>
        <v>0</v>
      </c>
      <c r="F4" s="3034"/>
    </row>
    <row r="5" spans="1:5" ht="5.25" customHeight="1">
      <c r="A5" s="271"/>
      <c r="E5" s="271"/>
    </row>
    <row r="6" spans="1:29" ht="8.25" customHeight="1">
      <c r="A6" s="273"/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  <c r="O6" s="273"/>
      <c r="P6" s="273"/>
      <c r="Q6" s="273"/>
      <c r="R6" s="273"/>
      <c r="S6" s="273"/>
      <c r="T6" s="273"/>
      <c r="U6" s="273"/>
      <c r="V6" s="273"/>
      <c r="W6" s="273"/>
      <c r="X6" s="273"/>
      <c r="Y6" s="273"/>
      <c r="Z6" s="273"/>
      <c r="AA6" s="273"/>
      <c r="AB6" s="273"/>
      <c r="AC6" s="273"/>
    </row>
    <row r="8" spans="1:29" ht="13.5" customHeight="1">
      <c r="A8" s="274" t="s">
        <v>415</v>
      </c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  <c r="AC8" s="275"/>
    </row>
    <row r="9" spans="1:29">
      <c r="A9" s="276"/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</row>
    <row r="10" spans="1:30" ht="20.25" customHeight="1">
      <c r="A10" s="277" t="s">
        <v>416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</row>
    <row r="11" spans="1:30">
      <c r="A11" s="276"/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</row>
    <row r="12" spans="1:30" ht="13.5" customHeight="1">
      <c r="A12" s="261" t="s">
        <v>417</v>
      </c>
      <c r="B12" s="278"/>
      <c r="C12" s="276"/>
      <c r="D12" s="276"/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</row>
    <row r="13" spans="1:30">
      <c r="A13" s="276"/>
      <c r="B13" s="279" t="s">
        <v>418</v>
      </c>
      <c r="C13" s="276"/>
      <c r="D13" s="276"/>
      <c r="E13" s="276"/>
      <c r="F13" s="276"/>
      <c r="G13" s="276"/>
      <c r="H13" s="276"/>
      <c r="I13" s="293"/>
      <c r="J13" s="294">
        <f>netempincome-empbonus</f>
        <v>961970004</v>
      </c>
      <c r="K13" s="294"/>
      <c r="L13" s="294"/>
      <c r="M13" s="294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</row>
    <row r="14" spans="1:30">
      <c r="A14" s="276"/>
      <c r="B14" s="279" t="s">
        <v>419</v>
      </c>
      <c r="C14" s="276"/>
      <c r="D14" s="276"/>
      <c r="E14" s="276"/>
      <c r="F14" s="276"/>
      <c r="G14" s="276"/>
      <c r="H14" s="276"/>
      <c r="I14" s="276"/>
      <c r="J14" s="3023">
        <f>empbonus</f>
        <v>169587118</v>
      </c>
      <c r="K14" s="3023"/>
      <c r="L14" s="3023"/>
      <c r="M14" s="3023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</row>
    <row r="15" spans="1:30">
      <c r="A15" s="276"/>
      <c r="B15" s="279" t="s">
        <v>420</v>
      </c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94">
        <f>SUM(J13:M14)</f>
        <v>1131557122</v>
      </c>
      <c r="O15" s="294"/>
      <c r="P15" s="294"/>
      <c r="Q15" s="294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</row>
    <row r="16" spans="1:30">
      <c r="A16" s="276"/>
      <c r="B16" s="278" t="s">
        <v>421</v>
      </c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94">
        <f>netdomesticincome</f>
        <v>0</v>
      </c>
      <c r="O16" s="294"/>
      <c r="P16" s="294"/>
      <c r="Q16" s="294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</row>
    <row r="17" spans="1:30">
      <c r="A17" s="276"/>
      <c r="B17" s="278" t="s">
        <v>422</v>
      </c>
      <c r="C17" s="276"/>
      <c r="D17" s="276"/>
      <c r="E17" s="276"/>
      <c r="F17" s="276"/>
      <c r="G17" s="276"/>
      <c r="H17" s="276"/>
      <c r="I17" s="276"/>
      <c r="J17" s="276"/>
      <c r="K17" s="276"/>
      <c r="L17" s="276"/>
      <c r="M17" s="276"/>
      <c r="N17" s="3023">
        <f>IF('OVERSEAS INCOME'!Y660&lt;0,0,'OVERSEAS INCOME'!Y660)</f>
        <v>16790735</v>
      </c>
      <c r="O17" s="3023"/>
      <c r="P17" s="3023"/>
      <c r="Q17" s="3023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</row>
    <row r="18" spans="1:30">
      <c r="A18" s="276"/>
      <c r="B18" s="278" t="s">
        <v>423</v>
      </c>
      <c r="C18" s="276"/>
      <c r="D18" s="276"/>
      <c r="E18" s="276"/>
      <c r="F18" s="276"/>
      <c r="G18" s="276"/>
      <c r="H18" s="276"/>
      <c r="I18" s="276"/>
      <c r="J18" s="276" t="s">
        <v>294</v>
      </c>
      <c r="K18" s="276"/>
      <c r="L18" s="276"/>
      <c r="M18" s="276"/>
      <c r="N18" s="276"/>
      <c r="O18" s="276"/>
      <c r="P18" s="276"/>
      <c r="Q18" s="276"/>
      <c r="R18" s="3023">
        <f>SUM(N15:Q17)</f>
        <v>1148347857</v>
      </c>
      <c r="S18" s="3023"/>
      <c r="T18" s="3023"/>
      <c r="U18" s="3023"/>
      <c r="V18" s="293"/>
      <c r="W18" s="276"/>
      <c r="X18" s="276"/>
      <c r="Y18" s="276"/>
      <c r="Z18" s="276"/>
      <c r="AA18" s="276"/>
      <c r="AB18" s="276"/>
      <c r="AC18" s="276"/>
      <c r="AD18" s="276"/>
    </row>
    <row r="19" spans="1:30">
      <c r="A19" s="276"/>
      <c r="B19" s="278"/>
      <c r="C19" s="276"/>
      <c r="D19" s="276"/>
      <c r="E19" s="276"/>
      <c r="F19" s="276"/>
      <c r="G19" s="276"/>
      <c r="H19" s="276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</row>
    <row r="20" spans="1:30" ht="13.5" customHeight="1">
      <c r="A20" s="261" t="s">
        <v>424</v>
      </c>
      <c r="B20" s="278"/>
      <c r="C20" s="276"/>
      <c r="D20" s="276"/>
      <c r="E20" s="276"/>
      <c r="F20" s="276"/>
      <c r="G20" s="276"/>
      <c r="H20" s="276"/>
      <c r="I20" s="276"/>
      <c r="J20" s="276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61" t="s">
        <v>425</v>
      </c>
      <c r="Y20" s="276"/>
      <c r="Z20" s="276"/>
      <c r="AA20" s="276"/>
      <c r="AB20" s="276"/>
      <c r="AC20" s="276"/>
      <c r="AD20" s="276"/>
    </row>
    <row r="21" spans="1:38">
      <c r="A21" s="278"/>
      <c r="B21" s="278" t="s">
        <v>418</v>
      </c>
      <c r="C21" s="276"/>
      <c r="D21" s="276"/>
      <c r="E21" s="276"/>
      <c r="F21" s="276"/>
      <c r="G21" s="276"/>
      <c r="H21" s="276"/>
      <c r="I21" s="276"/>
      <c r="J21" s="294">
        <f>J13/WORKPERIOD*12</f>
        <v>1282626672</v>
      </c>
      <c r="K21" s="294"/>
      <c r="L21" s="294"/>
      <c r="M21" s="294"/>
      <c r="N21" s="294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8" t="s">
        <v>426</v>
      </c>
      <c r="Z21" s="276"/>
      <c r="AA21" s="276"/>
      <c r="AB21" s="276"/>
      <c r="AC21" s="276"/>
      <c r="AD21" s="276"/>
      <c r="AF21" s="3003">
        <f>IF(annempincome&lt;=0,0,(INT(J$21/1000)*1000)-personalreliefs)</f>
        <v>1224126672</v>
      </c>
      <c r="AG21" s="3003"/>
      <c r="AH21" s="3003"/>
      <c r="AI21" s="3003"/>
      <c r="AK21" s="280" t="e">
        <f>IF(AND(AF21&lt;=0),"A",IF(AND(AF21&lt;=50000000),"B",IF(AND(AF21&gt;50000000,AF21&lt;=250000000),"C",IF(AND(AF21&gt;250000000,AF21&lt;=500000000),"D","E"))))</f>
        <v>#DIV/0!</v>
      </c>
      <c r="AL21" s="394"/>
    </row>
    <row r="22" spans="1:35">
      <c r="A22" s="278"/>
      <c r="B22" s="278" t="s">
        <v>419</v>
      </c>
      <c r="C22" s="276"/>
      <c r="D22" s="276"/>
      <c r="E22" s="276"/>
      <c r="F22" s="276"/>
      <c r="G22" s="276"/>
      <c r="H22" s="276"/>
      <c r="I22" s="276"/>
      <c r="J22" s="3023">
        <f>J14/WORKPERIOD*12</f>
        <v>226116157</v>
      </c>
      <c r="K22" s="3023"/>
      <c r="L22" s="3023"/>
      <c r="M22" s="3023"/>
      <c r="N22" s="294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8" t="s">
        <v>427</v>
      </c>
      <c r="Z22" s="276"/>
      <c r="AA22" s="276"/>
      <c r="AB22" s="276"/>
      <c r="AC22" s="276"/>
      <c r="AD22" s="276"/>
      <c r="AF22" s="3012">
        <f>J$22</f>
        <v>226116157</v>
      </c>
      <c r="AG22" s="3012"/>
      <c r="AH22" s="3012"/>
      <c r="AI22" s="3012"/>
    </row>
    <row r="23" spans="1:38">
      <c r="A23" s="276"/>
      <c r="B23" s="279" t="s">
        <v>420</v>
      </c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81"/>
      <c r="N23" s="294">
        <f>J21+J22</f>
        <v>1508742829</v>
      </c>
      <c r="O23" s="294"/>
      <c r="P23" s="294"/>
      <c r="Q23" s="294"/>
      <c r="R23" s="276"/>
      <c r="S23" s="276"/>
      <c r="T23" s="276"/>
      <c r="U23" s="276"/>
      <c r="V23" s="276"/>
      <c r="W23" s="276"/>
      <c r="X23" s="276"/>
      <c r="Y23" s="276" t="s">
        <v>428</v>
      </c>
      <c r="Z23" s="276"/>
      <c r="AA23" s="276"/>
      <c r="AB23" s="276"/>
      <c r="AC23" s="276"/>
      <c r="AD23" s="276"/>
      <c r="AF23" s="3003">
        <f>IF(N23&lt;=0,0,(INT(N$23/1000)*1000)-personalreliefs)</f>
        <v>1450242829</v>
      </c>
      <c r="AG23" s="3003"/>
      <c r="AH23" s="3003"/>
      <c r="AI23" s="3003"/>
      <c r="AK23" s="280" t="e">
        <f>IF(AND(AF23&lt;=0),"A",IF(AND(AF23&lt;=50000000),"B",IF(AND(AF23&gt;50000000,AF23&lt;=250000000),"C",IF(AND(AF23&gt;250000000,AF23&lt;=500000000),"D","E"))))</f>
        <v>#DIV/0!</v>
      </c>
      <c r="AL23" s="394"/>
    </row>
    <row r="24" spans="1:37">
      <c r="A24" s="278"/>
      <c r="B24" s="278" t="s">
        <v>421</v>
      </c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3035">
        <f>N16/WORKPERIOD*12</f>
        <v>0</v>
      </c>
      <c r="O24" s="3035"/>
      <c r="P24" s="3035"/>
      <c r="Q24" s="3035"/>
      <c r="R24" s="276"/>
      <c r="S24" s="276"/>
      <c r="T24" s="276"/>
      <c r="U24" s="276"/>
      <c r="V24" s="276"/>
      <c r="W24" s="276"/>
      <c r="X24" s="276"/>
      <c r="Y24" s="278"/>
      <c r="Z24" s="276"/>
      <c r="AA24" s="276"/>
      <c r="AB24" s="276"/>
      <c r="AC24" s="276"/>
      <c r="AD24" s="276"/>
      <c r="AF24" s="3003"/>
      <c r="AG24" s="3003"/>
      <c r="AH24" s="3003"/>
      <c r="AI24" s="3003"/>
      <c r="AK24" s="280"/>
    </row>
    <row r="25" spans="1:35">
      <c r="A25" s="278"/>
      <c r="B25" s="278" t="s">
        <v>422</v>
      </c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3033">
        <f>N17/WORKPERIOD*12</f>
        <v>22387647</v>
      </c>
      <c r="O25" s="3033"/>
      <c r="P25" s="3033"/>
      <c r="Q25" s="3033"/>
      <c r="R25" s="276"/>
      <c r="S25" s="276"/>
      <c r="T25" s="276"/>
      <c r="U25" s="276"/>
      <c r="V25" s="276"/>
      <c r="W25" s="276"/>
      <c r="X25" s="276"/>
      <c r="Y25" s="278"/>
      <c r="Z25" s="276"/>
      <c r="AA25" s="276"/>
      <c r="AB25" s="276"/>
      <c r="AC25" s="276"/>
      <c r="AD25" s="276"/>
      <c r="AF25" s="3003"/>
      <c r="AG25" s="3003"/>
      <c r="AH25" s="3003"/>
      <c r="AI25" s="3003"/>
    </row>
    <row r="26" spans="1:37">
      <c r="A26" s="278"/>
      <c r="B26" s="278" t="s">
        <v>429</v>
      </c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94"/>
      <c r="N26" s="294"/>
      <c r="O26" s="294"/>
      <c r="P26" s="294"/>
      <c r="Q26" s="294"/>
      <c r="R26" s="3029">
        <f>SUM(N23:Q25)</f>
        <v>1531130476</v>
      </c>
      <c r="S26" s="281"/>
      <c r="T26" s="281"/>
      <c r="U26" s="281"/>
      <c r="V26" s="276"/>
      <c r="W26" s="276"/>
      <c r="X26" s="276"/>
      <c r="Y26" s="278"/>
      <c r="Z26" s="276"/>
      <c r="AA26" s="276"/>
      <c r="AB26" s="276"/>
      <c r="AC26" s="276"/>
      <c r="AD26" s="276"/>
      <c r="AF26" s="3003"/>
      <c r="AG26" s="3003"/>
      <c r="AH26" s="3003"/>
      <c r="AI26" s="3003"/>
      <c r="AK26" s="280"/>
    </row>
    <row r="27" spans="1:30">
      <c r="A27" s="278"/>
      <c r="B27" s="278"/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</row>
    <row r="28" spans="1:30" ht="13.5" customHeight="1">
      <c r="A28" s="261" t="s">
        <v>320</v>
      </c>
      <c r="B28" s="278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3030">
        <f>IF('GENERAL INFO'!K6="X",personalreliefs,0)</f>
        <v>58500000</v>
      </c>
      <c r="S28" s="3030"/>
      <c r="T28" s="3030"/>
      <c r="U28" s="3030"/>
      <c r="V28" s="276"/>
      <c r="W28" s="276"/>
      <c r="X28" s="276"/>
      <c r="Y28" s="276"/>
      <c r="Z28" s="276"/>
      <c r="AA28" s="276"/>
      <c r="AB28" s="276"/>
      <c r="AC28" s="276"/>
      <c r="AD28" s="276"/>
    </row>
    <row r="29" spans="1:30" ht="13.5" customHeight="1">
      <c r="A29" s="261"/>
      <c r="B29" s="278"/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</row>
    <row r="30" spans="1:30" ht="13.5" customHeight="1">
      <c r="A30" s="261" t="s">
        <v>430</v>
      </c>
      <c r="B30" s="278"/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3031">
        <f>IF('GENERAL INFO'!K6="X",IF(AF36&lt;0,0,AF36),0)</f>
        <v>1472630476</v>
      </c>
      <c r="S30" s="3032"/>
      <c r="T30" s="3032"/>
      <c r="U30" s="3032"/>
      <c r="V30" s="276"/>
      <c r="W30" s="276"/>
      <c r="X30" s="261" t="s">
        <v>425</v>
      </c>
      <c r="Y30" s="276"/>
      <c r="Z30" s="276"/>
      <c r="AA30" s="276"/>
      <c r="AB30" s="276"/>
      <c r="AC30" s="276"/>
      <c r="AD30" s="276"/>
    </row>
    <row r="31" spans="1:38" ht="13.5" customHeight="1">
      <c r="A31" s="261"/>
      <c r="B31" s="278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8" t="s">
        <v>426</v>
      </c>
      <c r="Z31" s="276"/>
      <c r="AA31" s="276"/>
      <c r="AB31" s="276"/>
      <c r="AC31" s="276"/>
      <c r="AD31" s="276"/>
      <c r="AF31" s="3003">
        <f>J21-personalreliefs</f>
        <v>1224126672</v>
      </c>
      <c r="AG31" s="3003"/>
      <c r="AH31" s="3003"/>
      <c r="AI31" s="3003"/>
      <c r="AK31" s="280" t="e">
        <f>IF(AND(AF31&lt;=0),"A",IF(AND(AF31&lt;=50000000),"B",IF(AND(AF31&gt;50000000,AF31&lt;=250000000),"C",IF(AND(AF31&gt;250000000,AF31&lt;=500000000),"D","E"))))</f>
        <v>#DIV/0!</v>
      </c>
      <c r="AL31" s="394"/>
    </row>
    <row r="32" spans="1:35" ht="13.5" customHeight="1">
      <c r="A32" s="261" t="s">
        <v>431</v>
      </c>
      <c r="B32" s="278"/>
      <c r="C32" s="276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8" t="s">
        <v>427</v>
      </c>
      <c r="Z32" s="276"/>
      <c r="AA32" s="276"/>
      <c r="AB32" s="276"/>
      <c r="AC32" s="276"/>
      <c r="AD32" s="276"/>
      <c r="AF32" s="3012">
        <f>J$22</f>
        <v>226116157</v>
      </c>
      <c r="AG32" s="3012"/>
      <c r="AH32" s="3012"/>
      <c r="AI32" s="3012"/>
    </row>
    <row r="33" spans="1:38" ht="13.5" customHeight="1">
      <c r="A33" s="261"/>
      <c r="B33" s="278" t="s">
        <v>426</v>
      </c>
      <c r="C33" s="276"/>
      <c r="D33" s="276"/>
      <c r="E33" s="276"/>
      <c r="F33" s="276"/>
      <c r="G33" s="276"/>
      <c r="H33" s="276"/>
      <c r="I33" s="276"/>
      <c r="J33" s="3026">
        <f>IF('GENERAL INFO'!K6="X",IF(AK21="A",0,IF(AK21="B",0.05*AF21,IF(AK21="C",0.15*AF21-5000000,IF(AK21="D",0.25*AF21-30000000,IF(AK21="E",0.3*AF21-55000000))))),0)</f>
        <v>312238002</v>
      </c>
      <c r="K33" s="3026"/>
      <c r="L33" s="3026"/>
      <c r="M33" s="302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 t="s">
        <v>428</v>
      </c>
      <c r="Z33" s="276"/>
      <c r="AA33" s="276"/>
      <c r="AB33" s="276"/>
      <c r="AC33" s="276"/>
      <c r="AD33" s="276"/>
      <c r="AF33" s="3003">
        <f>AF31+AF32</f>
        <v>1450242829</v>
      </c>
      <c r="AG33" s="3003"/>
      <c r="AH33" s="3003"/>
      <c r="AI33" s="3003"/>
      <c r="AK33" s="280" t="e">
        <f>IF(AND(AF33&lt;=0),"A",IF(AND(AF33&lt;=50000000),"B",IF(AND(AF33&gt;50000000,AF33&lt;=250000000),"C",IF(AND(AF33&gt;250000000,AF33&lt;=500000000),"D","E"))))</f>
        <v>#DIV/0!</v>
      </c>
      <c r="AL33" s="394"/>
    </row>
    <row r="34" spans="1:35" ht="13.5" customHeight="1">
      <c r="A34" s="261"/>
      <c r="B34" s="278" t="s">
        <v>427</v>
      </c>
      <c r="C34" s="276"/>
      <c r="D34" s="276"/>
      <c r="E34" s="276"/>
      <c r="F34" s="276"/>
      <c r="G34" s="276"/>
      <c r="H34" s="276"/>
      <c r="I34" s="276"/>
      <c r="J34" s="3027">
        <f>N35-J33</f>
        <v>67834847</v>
      </c>
      <c r="K34" s="3027"/>
      <c r="L34" s="3027"/>
      <c r="M34" s="3027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8" t="s">
        <v>421</v>
      </c>
      <c r="Z34" s="276"/>
      <c r="AA34" s="276"/>
      <c r="AB34" s="276"/>
      <c r="AC34" s="276"/>
      <c r="AD34" s="276"/>
      <c r="AF34" s="3003">
        <f>N24</f>
        <v>0</v>
      </c>
      <c r="AG34" s="3003"/>
      <c r="AH34" s="3003"/>
      <c r="AI34" s="3003"/>
    </row>
    <row r="35" spans="1:35">
      <c r="A35" s="278"/>
      <c r="B35" s="278" t="s">
        <v>432</v>
      </c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3026">
        <f>IF('GENERAL INFO'!K6="X",IF(AK23="A",0,IF(AK23="B",0.05*AF23,IF(AK23="C",0.15*AF23-5000000,IF(AK23="D",0.25*AF23-30000000,IF(AK23="E",0.3*AF23-55000000))))),0)</f>
        <v>380072849</v>
      </c>
      <c r="O35" s="3026"/>
      <c r="P35" s="3026"/>
      <c r="Q35" s="3026"/>
      <c r="R35" s="276"/>
      <c r="S35" s="276"/>
      <c r="T35" s="276"/>
      <c r="U35" s="276"/>
      <c r="V35" s="276"/>
      <c r="W35" s="276"/>
      <c r="X35" s="276"/>
      <c r="Y35" s="278" t="s">
        <v>422</v>
      </c>
      <c r="Z35" s="276"/>
      <c r="AA35" s="276"/>
      <c r="AB35" s="276"/>
      <c r="AC35" s="276"/>
      <c r="AD35" s="276"/>
      <c r="AF35" s="3012">
        <f>N25</f>
        <v>22387647</v>
      </c>
      <c r="AG35" s="3012"/>
      <c r="AH35" s="3012"/>
      <c r="AI35" s="3012"/>
    </row>
    <row r="36" spans="1:38" ht="13.5" customHeight="1">
      <c r="A36" s="261"/>
      <c r="B36" s="276" t="s">
        <v>433</v>
      </c>
      <c r="C36" s="276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3027">
        <f>R37-N35</f>
        <v>6716151</v>
      </c>
      <c r="O36" s="3027"/>
      <c r="P36" s="3027"/>
      <c r="Q36" s="3027"/>
      <c r="R36" s="276"/>
      <c r="S36" s="276"/>
      <c r="T36" s="276"/>
      <c r="U36" s="276"/>
      <c r="V36" s="276"/>
      <c r="W36" s="276"/>
      <c r="X36" s="276"/>
      <c r="Y36" s="278" t="s">
        <v>429</v>
      </c>
      <c r="Z36" s="276"/>
      <c r="AA36" s="276"/>
      <c r="AB36" s="276"/>
      <c r="AC36" s="276"/>
      <c r="AD36" s="276"/>
      <c r="AF36" s="3003">
        <f>AF33+AF34+AF35</f>
        <v>1472630476</v>
      </c>
      <c r="AG36" s="3003"/>
      <c r="AH36" s="3003"/>
      <c r="AI36" s="3003"/>
      <c r="AK36" s="280" t="e">
        <f>IF(AND(AF36&lt;=0),"A",IF(AND(AF36&lt;=50000000),"B",IF(AND(AF36&gt;50000000,AF36&lt;=250000000),"C",IF(AND(AF36&gt;250000000,AF36&lt;=500000000),"D","E"))))</f>
        <v>#DIV/0!</v>
      </c>
      <c r="AL36" s="394"/>
    </row>
    <row r="37" spans="1:38" ht="13.5" customHeight="1">
      <c r="A37" s="261"/>
      <c r="B37" s="276" t="s">
        <v>434</v>
      </c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3027">
        <f>IF('GENERAL INFO'!K6="X",IF(AK37="A",0,IF(AK37="B",0.05*AF37,IF(AK37="C",0.15*AF37-5000000,IF(AK37="D",0.25*AF37-30000000,0.3*AF37-55000000)))),0)</f>
        <v>386789000</v>
      </c>
      <c r="S37" s="3027"/>
      <c r="T37" s="3027"/>
      <c r="U37" s="3027"/>
      <c r="V37" s="276"/>
      <c r="W37" s="276"/>
      <c r="X37" s="276"/>
      <c r="Y37" s="278" t="s">
        <v>435</v>
      </c>
      <c r="Z37" s="276"/>
      <c r="AA37" s="276"/>
      <c r="AB37" s="276"/>
      <c r="AC37" s="276"/>
      <c r="AD37" s="276"/>
      <c r="AF37" s="3003">
        <f>IF(AF36&lt;=0,0,INT(AF36/1000)*1000)</f>
        <v>1472630000</v>
      </c>
      <c r="AG37" s="3003"/>
      <c r="AH37" s="3003"/>
      <c r="AI37" s="3003"/>
      <c r="AK37" s="280" t="e">
        <f>IF(AND(AF37&lt;=0),"A",IF(AND(AF37&lt;=50000000),"B",IF(AND(AF37&gt;50000000,AF37&lt;=250000000),"C",IF(AND(AF37&gt;250000000,AF37&lt;=500000000),"D","E"))))</f>
        <v>#DIV/0!</v>
      </c>
      <c r="AL37" s="394"/>
    </row>
    <row r="38" spans="1:30" ht="13.5" customHeight="1">
      <c r="A38" s="261"/>
      <c r="B38" s="276"/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</row>
    <row r="39" spans="1:30" ht="13.5" customHeight="1">
      <c r="A39" s="261" t="s">
        <v>436</v>
      </c>
      <c r="B39" s="278"/>
      <c r="C39" s="276"/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</row>
    <row r="40" spans="1:31">
      <c r="A40" s="278"/>
      <c r="B40" s="278" t="s">
        <v>426</v>
      </c>
      <c r="C40" s="276"/>
      <c r="D40" s="276"/>
      <c r="E40" s="276"/>
      <c r="F40" s="276"/>
      <c r="G40" s="276"/>
      <c r="H40" s="276"/>
      <c r="I40" s="276"/>
      <c r="J40" s="3026">
        <f>J33/12*WORKPERIOD</f>
        <v>234178501</v>
      </c>
      <c r="K40" s="3026"/>
      <c r="L40" s="3026"/>
      <c r="M40" s="302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  <c r="AE40" s="394"/>
    </row>
    <row r="41" spans="1:30">
      <c r="A41" s="278"/>
      <c r="B41" s="278" t="s">
        <v>427</v>
      </c>
      <c r="C41" s="276"/>
      <c r="D41" s="276"/>
      <c r="E41" s="276"/>
      <c r="F41" s="276"/>
      <c r="G41" s="276"/>
      <c r="H41" s="276"/>
      <c r="I41" s="276"/>
      <c r="J41" s="3025">
        <f>+J34/12*WORKPERIOD</f>
        <v>50876135</v>
      </c>
      <c r="K41" s="3025"/>
      <c r="L41" s="3025"/>
      <c r="M41" s="3025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</row>
    <row r="42" spans="1:30">
      <c r="A42" s="278"/>
      <c r="B42" s="278" t="s">
        <v>432</v>
      </c>
      <c r="C42" s="276"/>
      <c r="D42" s="276"/>
      <c r="E42" s="276"/>
      <c r="F42" s="276"/>
      <c r="G42" s="276"/>
      <c r="H42" s="276"/>
      <c r="I42" s="276"/>
      <c r="J42" s="281"/>
      <c r="K42" s="281"/>
      <c r="L42" s="281"/>
      <c r="M42" s="281"/>
      <c r="N42" s="3026">
        <f>J40+J41</f>
        <v>285054637</v>
      </c>
      <c r="O42" s="3026"/>
      <c r="P42" s="3026"/>
      <c r="Q42" s="3026"/>
      <c r="R42" s="276"/>
      <c r="S42" s="276"/>
      <c r="T42" s="276"/>
      <c r="U42" s="276"/>
      <c r="V42" s="276"/>
      <c r="W42" s="276"/>
      <c r="X42" s="276"/>
      <c r="Y42" s="276"/>
      <c r="Z42" s="276"/>
      <c r="AA42" s="276"/>
      <c r="AB42" s="276"/>
      <c r="AC42" s="276"/>
      <c r="AD42" s="276"/>
    </row>
    <row r="43" spans="1:30">
      <c r="A43" s="278"/>
      <c r="B43" s="276" t="s">
        <v>433</v>
      </c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3033">
        <f>N36/12*WORKPERIOD</f>
        <v>5037113</v>
      </c>
      <c r="O43" s="3033"/>
      <c r="P43" s="3033"/>
      <c r="Q43" s="3033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</row>
    <row r="44" spans="1:30" ht="13.5" customHeight="1" thickBot="1">
      <c r="A44" s="278"/>
      <c r="B44" s="261" t="s">
        <v>437</v>
      </c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3004">
        <f>N42+N43</f>
        <v>290091750</v>
      </c>
      <c r="S44" s="3004"/>
      <c r="T44" s="3004"/>
      <c r="U44" s="3004"/>
      <c r="V44" s="276"/>
      <c r="W44" s="276"/>
      <c r="X44" s="276"/>
      <c r="Y44" s="276"/>
      <c r="Z44" s="276"/>
      <c r="AA44" s="276"/>
      <c r="AB44" s="276"/>
      <c r="AC44" s="276"/>
      <c r="AD44" s="276"/>
    </row>
    <row r="45" spans="1:30" ht="13.5" customHeight="1" thickTop="1">
      <c r="A45" s="278"/>
      <c r="B45" s="278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</row>
    <row r="46" spans="1:30">
      <c r="A46" s="278"/>
      <c r="B46" s="278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</row>
    <row r="47" spans="1:30">
      <c r="A47" s="279"/>
      <c r="B47" s="278"/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</row>
    <row r="48" spans="1:30" ht="20.25" customHeight="1">
      <c r="A48" s="277" t="s">
        <v>559</v>
      </c>
      <c r="B48" s="278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</row>
    <row r="49" spans="1:37" ht="13.5" customHeight="1">
      <c r="A49" s="261"/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394"/>
      <c r="AF49" s="394"/>
      <c r="AG49" s="394"/>
      <c r="AH49" s="394"/>
      <c r="AI49" s="394"/>
      <c r="AJ49" s="394"/>
      <c r="AK49" s="394"/>
    </row>
    <row r="50" spans="1:37">
      <c r="A50" s="278"/>
      <c r="B50" s="278"/>
      <c r="C50" s="278"/>
      <c r="D50" s="278"/>
      <c r="E50" s="278"/>
      <c r="F50" s="278"/>
      <c r="G50" s="278"/>
      <c r="H50" s="278"/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278"/>
      <c r="V50" s="278"/>
      <c r="W50" s="278"/>
      <c r="X50" s="278"/>
      <c r="Y50" s="278"/>
      <c r="Z50" s="278"/>
      <c r="AA50" s="278"/>
      <c r="AB50" s="278"/>
      <c r="AC50" s="278"/>
      <c r="AD50" s="278"/>
      <c r="AE50" s="394"/>
      <c r="AF50" s="394"/>
      <c r="AG50" s="394"/>
      <c r="AH50" s="394"/>
      <c r="AI50" s="394"/>
      <c r="AJ50" s="394"/>
      <c r="AK50" s="394"/>
    </row>
    <row r="51" spans="1:30" ht="13.5" customHeight="1">
      <c r="A51" s="261" t="s">
        <v>438</v>
      </c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6"/>
    </row>
    <row r="52" spans="1:30" ht="13.5" customHeight="1">
      <c r="A52" s="261"/>
      <c r="B52" s="276"/>
      <c r="C52" s="276"/>
      <c r="D52" s="276"/>
      <c r="E52" s="276"/>
      <c r="F52" s="276"/>
      <c r="G52" s="276"/>
      <c r="H52" s="276"/>
      <c r="I52" s="276"/>
      <c r="J52" s="281" t="s">
        <v>295</v>
      </c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  <c r="AA52" s="281"/>
      <c r="AB52" s="281"/>
      <c r="AC52" s="276" t="s">
        <v>295</v>
      </c>
      <c r="AD52" s="276"/>
    </row>
    <row r="53" spans="1:30">
      <c r="A53" s="276"/>
      <c r="B53" s="278" t="s">
        <v>439</v>
      </c>
      <c r="C53" s="276"/>
      <c r="D53" s="276"/>
      <c r="E53" s="276"/>
      <c r="F53" s="276"/>
      <c r="G53" s="276"/>
      <c r="H53" s="276"/>
      <c r="I53" s="276"/>
      <c r="J53" s="294">
        <f>IF(OR(ISBLANK(dateofdeparture)=True,(dateofdeparture-taxyearend)&gt;0),annempincome,0)</f>
        <v>0</v>
      </c>
      <c r="K53" s="294"/>
      <c r="L53" s="294"/>
      <c r="M53" s="294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</row>
    <row r="54" spans="1:30">
      <c r="A54" s="276"/>
      <c r="B54" s="278" t="s">
        <v>419</v>
      </c>
      <c r="C54" s="276"/>
      <c r="D54" s="276"/>
      <c r="E54" s="276"/>
      <c r="F54" s="276"/>
      <c r="G54" s="276"/>
      <c r="H54" s="276"/>
      <c r="I54" s="276"/>
      <c r="J54" s="3023">
        <f>IF(OR(ISBLANK(dateofdeparture)=True,(dateofdeparture-taxyearend)&gt;0),J22,0)</f>
        <v>0</v>
      </c>
      <c r="K54" s="3023"/>
      <c r="L54" s="3023"/>
      <c r="M54" s="3023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</row>
    <row r="55" spans="1:30">
      <c r="A55" s="276"/>
      <c r="B55" s="279" t="s">
        <v>420</v>
      </c>
      <c r="C55" s="276"/>
      <c r="D55" s="276"/>
      <c r="E55" s="276"/>
      <c r="F55" s="276"/>
      <c r="G55" s="276"/>
      <c r="H55" s="276"/>
      <c r="I55" s="276"/>
      <c r="J55" s="294"/>
      <c r="K55" s="294"/>
      <c r="L55" s="294"/>
      <c r="M55" s="294"/>
      <c r="N55" s="294">
        <f>J53+J54</f>
        <v>0</v>
      </c>
      <c r="O55" s="294"/>
      <c r="P55" s="294"/>
      <c r="Q55" s="294"/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</row>
    <row r="56" spans="1:35" ht="13.5" customHeight="1">
      <c r="A56" s="276"/>
      <c r="B56" s="278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94"/>
      <c r="O56" s="294"/>
      <c r="P56" s="294"/>
      <c r="Q56" s="294"/>
      <c r="R56" s="276"/>
      <c r="S56" s="276"/>
      <c r="T56" s="276"/>
      <c r="U56" s="276"/>
      <c r="V56" s="276"/>
      <c r="W56" s="276"/>
      <c r="X56" s="261"/>
      <c r="Y56" s="276"/>
      <c r="Z56" s="276"/>
      <c r="AA56" s="276"/>
      <c r="AB56" s="276"/>
      <c r="AC56" s="276"/>
      <c r="AD56" s="276"/>
      <c r="AF56" s="3007"/>
      <c r="AG56" s="3007"/>
      <c r="AH56" s="3007"/>
      <c r="AI56" s="3007"/>
    </row>
    <row r="57" spans="1:30">
      <c r="A57" s="276"/>
      <c r="B57" s="278" t="s">
        <v>421</v>
      </c>
      <c r="C57" s="276"/>
      <c r="D57" s="276"/>
      <c r="E57" s="276"/>
      <c r="F57" s="276"/>
      <c r="G57" s="276"/>
      <c r="H57" s="276"/>
      <c r="I57" s="276"/>
      <c r="J57" s="294">
        <f>IF(OR(ISBLANK(dateofdeparture)=True,(dateofdeparture-taxyearend)&gt;0),anndomesticnetincome,0)</f>
        <v>0</v>
      </c>
      <c r="K57" s="294"/>
      <c r="L57" s="294"/>
      <c r="M57" s="294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6"/>
    </row>
    <row r="58" spans="1:30">
      <c r="A58" s="276"/>
      <c r="B58" s="278" t="s">
        <v>440</v>
      </c>
      <c r="C58" s="276"/>
      <c r="D58" s="276"/>
      <c r="E58" s="276"/>
      <c r="F58" s="276"/>
      <c r="G58" s="276"/>
      <c r="H58" s="276"/>
      <c r="I58" s="276"/>
      <c r="J58" s="3023">
        <f>IF(OR(ISBLANK(dateofdeparture)=True,(dateofdeparture-taxyearend)&gt;0),-irregulardomesticincome*12/'GENERAL INFO'!V109,0)</f>
        <v>0</v>
      </c>
      <c r="K58" s="3023"/>
      <c r="L58" s="3023"/>
      <c r="M58" s="3023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  <c r="AC58" s="276"/>
      <c r="AD58" s="276"/>
    </row>
    <row r="59" spans="1:30" ht="13.5" customHeight="1">
      <c r="A59" s="276"/>
      <c r="B59" s="278" t="s">
        <v>441</v>
      </c>
      <c r="C59" s="276"/>
      <c r="D59" s="276"/>
      <c r="E59" s="276"/>
      <c r="F59" s="276"/>
      <c r="G59" s="276"/>
      <c r="H59" s="276"/>
      <c r="I59" s="276"/>
      <c r="J59" s="294"/>
      <c r="K59" s="294"/>
      <c r="L59" s="294"/>
      <c r="M59" s="294"/>
      <c r="N59" s="294">
        <f>J57+J58</f>
        <v>0</v>
      </c>
      <c r="O59" s="294"/>
      <c r="P59" s="294"/>
      <c r="Q59" s="294"/>
      <c r="R59" s="276"/>
      <c r="S59" s="276"/>
      <c r="T59" s="276"/>
      <c r="U59" s="276"/>
      <c r="V59" s="276"/>
      <c r="W59" s="276"/>
      <c r="X59" s="261" t="s">
        <v>425</v>
      </c>
      <c r="Y59" s="276"/>
      <c r="Z59" s="276"/>
      <c r="AA59" s="276"/>
      <c r="AB59" s="276"/>
      <c r="AC59" s="276"/>
      <c r="AD59" s="276"/>
    </row>
    <row r="60" spans="1:37">
      <c r="A60" s="276"/>
      <c r="B60" s="278"/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94"/>
      <c r="O60" s="294"/>
      <c r="P60" s="294"/>
      <c r="Q60" s="294"/>
      <c r="R60" s="276"/>
      <c r="S60" s="276"/>
      <c r="T60" s="276"/>
      <c r="U60" s="276"/>
      <c r="V60" s="276"/>
      <c r="W60" s="276"/>
      <c r="X60" s="276"/>
      <c r="Y60" s="278" t="s">
        <v>426</v>
      </c>
      <c r="Z60" s="276"/>
      <c r="AA60" s="276"/>
      <c r="AB60" s="276"/>
      <c r="AC60" s="276"/>
      <c r="AD60" s="276"/>
      <c r="AF60" s="3003">
        <f>IF(OR(ISBLANK(dateofdeparture)=True,(dateofdeparture-taxyearend)&gt;0),(INT(J53/1000)*1000)-personalreliefs,0)</f>
        <v>0</v>
      </c>
      <c r="AG60" s="3003"/>
      <c r="AH60" s="3003"/>
      <c r="AI60" s="3003"/>
      <c r="AK60" s="280" t="e">
        <f>IF(AND(AF60&lt;=0),"A",IF(AND(AF60&lt;=50000000),"B",IF(AND(AF60&gt;50000000,AF60&lt;=250000000),"C",IF(AND(AF60&gt;250000000,AF60&lt;=500000000),"D","E"))))</f>
        <v>#VALUE!</v>
      </c>
    </row>
    <row r="61" spans="1:35">
      <c r="A61" s="276"/>
      <c r="B61" s="278" t="s">
        <v>422</v>
      </c>
      <c r="C61" s="276"/>
      <c r="D61" s="276"/>
      <c r="E61" s="276"/>
      <c r="F61" s="276"/>
      <c r="G61" s="276"/>
      <c r="H61" s="276"/>
      <c r="I61" s="276"/>
      <c r="J61" s="294">
        <f>IF(OR(ISBLANK(dateofdeparture)=True,(dateofdeparture-taxyearend)&gt;0),annoverseasincome,0)</f>
        <v>0</v>
      </c>
      <c r="K61" s="294"/>
      <c r="L61" s="294"/>
      <c r="M61" s="294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8" t="s">
        <v>427</v>
      </c>
      <c r="Z61" s="276"/>
      <c r="AA61" s="276"/>
      <c r="AB61" s="276"/>
      <c r="AC61" s="276"/>
      <c r="AD61" s="276"/>
      <c r="AF61" s="3012">
        <f>J$54</f>
        <v>0</v>
      </c>
      <c r="AG61" s="3012"/>
      <c r="AH61" s="3012"/>
      <c r="AI61" s="3012"/>
    </row>
    <row r="62" spans="1:37">
      <c r="A62" s="276"/>
      <c r="B62" s="278" t="s">
        <v>442</v>
      </c>
      <c r="C62" s="276"/>
      <c r="D62" s="276"/>
      <c r="E62" s="276"/>
      <c r="F62" s="276"/>
      <c r="G62" s="276"/>
      <c r="H62" s="276"/>
      <c r="I62" s="276"/>
      <c r="J62" s="3023">
        <f>IF(OR(ISBLANK(dateofdeparture)=True,(dateofdeparture-taxyearend)&gt;0),(-'OVERSEAS INCOME'!T630/WORKPERIOD*12),0)</f>
        <v>0</v>
      </c>
      <c r="K62" s="3023"/>
      <c r="L62" s="3023"/>
      <c r="M62" s="3023"/>
      <c r="N62" s="294"/>
      <c r="O62" s="294"/>
      <c r="P62" s="294"/>
      <c r="Q62" s="294"/>
      <c r="R62" s="276"/>
      <c r="S62" s="276"/>
      <c r="T62" s="276"/>
      <c r="U62" s="276"/>
      <c r="V62" s="276"/>
      <c r="W62" s="276"/>
      <c r="X62" s="276"/>
      <c r="Y62" s="276" t="s">
        <v>428</v>
      </c>
      <c r="Z62" s="276"/>
      <c r="AA62" s="276"/>
      <c r="AB62" s="276"/>
      <c r="AC62" s="276"/>
      <c r="AD62" s="276"/>
      <c r="AF62" s="3003">
        <f>IF(OR(ISBLANK(dateofdeparture)=True,(dateofdeparture-taxyearend)&gt;0),(INT(N55/1000)*1000)-personalreliefs,0)</f>
        <v>0</v>
      </c>
      <c r="AG62" s="3003"/>
      <c r="AH62" s="3003"/>
      <c r="AI62" s="3003"/>
      <c r="AK62" s="280" t="e">
        <f>IF(AND(AF62&lt;=0),"A",IF(AND(AF62&lt;=50000000),"B",IF(AND(AF62&gt;50000000,AF62&lt;=250000000),"C",IF(AND(AF62&gt;250000000,AF62&lt;=500000000),"D","E"))))</f>
        <v>#VALUE!</v>
      </c>
    </row>
    <row r="63" spans="1:30">
      <c r="A63" s="276"/>
      <c r="B63" s="278" t="s">
        <v>443</v>
      </c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94">
        <f>J61+J62</f>
        <v>0</v>
      </c>
      <c r="O63" s="294"/>
      <c r="P63" s="294"/>
      <c r="Q63" s="294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</row>
    <row r="64" spans="1:30" ht="6.75" customHeight="1">
      <c r="A64" s="278"/>
      <c r="B64" s="276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82"/>
      <c r="O64" s="282"/>
      <c r="P64" s="282"/>
      <c r="Q64" s="282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</row>
    <row r="65" spans="1:30">
      <c r="A65" s="278"/>
      <c r="B65" s="276" t="s">
        <v>444</v>
      </c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94">
        <f>IF(N63&gt;0,N55+N59+N63,N55+N59+0)</f>
        <v>0</v>
      </c>
      <c r="S65" s="294"/>
      <c r="T65" s="294"/>
      <c r="U65" s="294"/>
      <c r="V65" s="276"/>
      <c r="W65" s="276"/>
      <c r="X65" s="276"/>
      <c r="Y65" s="276"/>
      <c r="Z65" s="276"/>
      <c r="AA65" s="276"/>
      <c r="AB65" s="276"/>
      <c r="AC65" s="276"/>
      <c r="AD65" s="276"/>
    </row>
    <row r="66" spans="1:30">
      <c r="A66" s="278"/>
      <c r="B66" s="276"/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</row>
    <row r="67" spans="1:30" ht="13.5" customHeight="1">
      <c r="A67" s="261" t="s">
        <v>445</v>
      </c>
      <c r="B67" s="283"/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3023">
        <f>IF('GENERAL INFO'!K6="X",personalreliefs,0)</f>
        <v>58500000</v>
      </c>
      <c r="S67" s="3023"/>
      <c r="T67" s="3023"/>
      <c r="U67" s="3023"/>
      <c r="V67" s="276"/>
      <c r="W67" s="276"/>
      <c r="X67" s="276"/>
      <c r="Y67" s="276"/>
      <c r="Z67" s="276"/>
      <c r="AA67" s="276"/>
      <c r="AB67" s="276"/>
      <c r="AC67" s="276"/>
      <c r="AD67" s="276"/>
    </row>
    <row r="68" spans="1:30" ht="13.5" customHeight="1">
      <c r="A68" s="261"/>
      <c r="B68" s="283"/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  <c r="AA68" s="276"/>
      <c r="AB68" s="276"/>
      <c r="AC68" s="276"/>
      <c r="AD68" s="276"/>
    </row>
    <row r="69" spans="1:30" ht="13.5" customHeight="1">
      <c r="A69" s="261" t="s">
        <v>430</v>
      </c>
      <c r="B69" s="278"/>
      <c r="C69" s="276"/>
      <c r="D69" s="276"/>
      <c r="E69" s="276"/>
      <c r="F69" s="276"/>
      <c r="G69" s="276"/>
      <c r="H69" s="276"/>
      <c r="I69" s="276"/>
      <c r="J69" s="276"/>
      <c r="K69" s="276"/>
      <c r="L69" s="281"/>
      <c r="M69" s="281"/>
      <c r="N69" s="276"/>
      <c r="O69" s="276"/>
      <c r="P69" s="276"/>
      <c r="Q69" s="276"/>
      <c r="R69" s="294">
        <f>IF(AF75&lt;0,0,AF75)</f>
        <v>0</v>
      </c>
      <c r="S69" s="294"/>
      <c r="T69" s="294"/>
      <c r="U69" s="294"/>
      <c r="V69" s="276"/>
      <c r="W69" s="276"/>
      <c r="X69" s="261" t="s">
        <v>425</v>
      </c>
      <c r="Y69" s="276"/>
      <c r="Z69" s="276"/>
      <c r="AA69" s="276"/>
      <c r="AB69" s="276"/>
      <c r="AC69" s="276"/>
      <c r="AD69" s="276"/>
    </row>
    <row r="70" spans="1:37" ht="13.5" customHeight="1">
      <c r="A70" s="261"/>
      <c r="B70" s="278"/>
      <c r="C70" s="276"/>
      <c r="D70" s="276"/>
      <c r="E70" s="276"/>
      <c r="F70" s="276"/>
      <c r="G70" s="276"/>
      <c r="H70" s="276"/>
      <c r="I70" s="276"/>
      <c r="J70" s="276"/>
      <c r="K70" s="3028"/>
      <c r="L70" s="3028"/>
      <c r="M70" s="3028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8" t="s">
        <v>426</v>
      </c>
      <c r="Z70" s="276"/>
      <c r="AA70" s="276"/>
      <c r="AB70" s="276"/>
      <c r="AC70" s="276"/>
      <c r="AD70" s="276"/>
      <c r="AF70" s="3003">
        <f>IF(OR(ISBLANK(dateofdeparture)=True,(dateofdeparture-taxyearend)&lt;0),J53-R67,0)</f>
        <v>-58500000</v>
      </c>
      <c r="AG70" s="3003"/>
      <c r="AH70" s="3003"/>
      <c r="AI70" s="3003"/>
      <c r="AK70" s="280" t="e">
        <f>IF(AND(AF70&lt;=0),"A",IF(AND(AF70&lt;=50000000),"B",IF(AND(AF70&gt;50000000,AF70&lt;=250000000),"C",IF(AND(AF70&gt;250000000,AF70&lt;=500000000),"D","E"))))</f>
        <v>#VALUE!</v>
      </c>
    </row>
    <row r="71" spans="1:35" ht="13.5" customHeight="1">
      <c r="A71" s="261" t="s">
        <v>431</v>
      </c>
      <c r="B71" s="278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8" t="s">
        <v>427</v>
      </c>
      <c r="Z71" s="276"/>
      <c r="AA71" s="276"/>
      <c r="AB71" s="276"/>
      <c r="AC71" s="276"/>
      <c r="AD71" s="276"/>
      <c r="AF71" s="3012">
        <f>J54</f>
        <v>0</v>
      </c>
      <c r="AG71" s="3012"/>
      <c r="AH71" s="3012"/>
      <c r="AI71" s="3012"/>
    </row>
    <row r="72" spans="1:37" ht="13.5" customHeight="1">
      <c r="A72" s="261"/>
      <c r="B72" s="278" t="s">
        <v>426</v>
      </c>
      <c r="C72" s="276"/>
      <c r="D72" s="276"/>
      <c r="E72" s="276"/>
      <c r="F72" s="276"/>
      <c r="G72" s="276"/>
      <c r="H72" s="276"/>
      <c r="I72" s="276"/>
      <c r="J72" s="294">
        <f>IF('GENERAL INFO'!K6="X",IF(AK60="A",0,IF(AK60="B",0.05*AF60,IF(AK60="C",0.15*AF60-5000000,IF(AK60="D",0.25*AF60-30000000,IF(AK60="E",0.3*AF60-55000000))))),0)</f>
        <v>0</v>
      </c>
      <c r="K72" s="294"/>
      <c r="L72" s="294"/>
      <c r="M72" s="294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 t="s">
        <v>428</v>
      </c>
      <c r="Z72" s="276"/>
      <c r="AA72" s="276"/>
      <c r="AB72" s="276"/>
      <c r="AC72" s="276"/>
      <c r="AD72" s="276"/>
      <c r="AF72" s="3003">
        <f>IF(OR(ISBLANK(dateofdeparture)=True,(dateofdeparture-taxyearend)&lt;0),AF70+AF71,0)</f>
        <v>-58500000</v>
      </c>
      <c r="AG72" s="3003"/>
      <c r="AH72" s="3003"/>
      <c r="AI72" s="3003"/>
      <c r="AK72" s="280" t="e">
        <f>IF(AND(AF72&lt;=0),"A",IF(AND(AF72&lt;=50000000),"B",IF(AND(AF72&gt;50000000,AF72&lt;=250000000),"C",IF(AND(AF72&gt;250000000,AF72&lt;=500000000),"D","E"))))</f>
        <v>#VALUE!</v>
      </c>
    </row>
    <row r="73" spans="1:35" ht="13.5" customHeight="1">
      <c r="A73" s="261"/>
      <c r="B73" s="278" t="s">
        <v>427</v>
      </c>
      <c r="C73" s="276"/>
      <c r="D73" s="276"/>
      <c r="E73" s="276"/>
      <c r="F73" s="276"/>
      <c r="G73" s="276"/>
      <c r="H73" s="276"/>
      <c r="I73" s="276"/>
      <c r="J73" s="3027">
        <f>N74-J72</f>
        <v>0</v>
      </c>
      <c r="K73" s="3027"/>
      <c r="L73" s="3027"/>
      <c r="M73" s="3027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8" t="s">
        <v>421</v>
      </c>
      <c r="Z73" s="276"/>
      <c r="AA73" s="276"/>
      <c r="AB73" s="276"/>
      <c r="AC73" s="276"/>
      <c r="AD73" s="276"/>
      <c r="AF73" s="3003">
        <f>N59</f>
        <v>0</v>
      </c>
      <c r="AG73" s="3003"/>
      <c r="AH73" s="3003"/>
      <c r="AI73" s="3003"/>
    </row>
    <row r="74" spans="1:35">
      <c r="A74" s="278"/>
      <c r="B74" s="278" t="s">
        <v>432</v>
      </c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3026">
        <f>IF('GENERAL INFO'!K6="X",IF(OR(ISBLANK(dateofdeparture)=True,(dateofdeparture-taxyearend)&lt;0),IF(AK62="A",0,IF(AK62="B",0.05*AF62,IF(AK62="C",0.15*AF62-5000000,IF(AK62="D",0.25*AF62-30000000,IF(AK62="E",0.3*AF62-55000000)))))),0)</f>
        <v>0</v>
      </c>
      <c r="O74" s="3026"/>
      <c r="P74" s="3026"/>
      <c r="Q74" s="3026"/>
      <c r="R74" s="276"/>
      <c r="S74" s="276"/>
      <c r="T74" s="276"/>
      <c r="U74" s="276"/>
      <c r="V74" s="276"/>
      <c r="W74" s="276"/>
      <c r="X74" s="276"/>
      <c r="Y74" s="278" t="s">
        <v>422</v>
      </c>
      <c r="Z74" s="276"/>
      <c r="AA74" s="276"/>
      <c r="AB74" s="276"/>
      <c r="AC74" s="276"/>
      <c r="AD74" s="276"/>
      <c r="AF74" s="3012">
        <f>IF(OR(ISBLANK(dateofdeparture)=True,(dateofdeparture-taxyearend)&lt;0),N63,0)</f>
        <v>0</v>
      </c>
      <c r="AG74" s="3012"/>
      <c r="AH74" s="3012"/>
      <c r="AI74" s="3012"/>
    </row>
    <row r="75" spans="1:37" ht="13.5" customHeight="1">
      <c r="A75" s="261"/>
      <c r="B75" s="276" t="s">
        <v>433</v>
      </c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3027">
        <f>R76-N74</f>
        <v>0</v>
      </c>
      <c r="O75" s="3027"/>
      <c r="P75" s="3027"/>
      <c r="Q75" s="3027"/>
      <c r="R75" s="276"/>
      <c r="S75" s="276"/>
      <c r="T75" s="276"/>
      <c r="U75" s="276"/>
      <c r="V75" s="276"/>
      <c r="W75" s="276"/>
      <c r="X75" s="276"/>
      <c r="Y75" s="278" t="s">
        <v>446</v>
      </c>
      <c r="Z75" s="276"/>
      <c r="AA75" s="276"/>
      <c r="AB75" s="276"/>
      <c r="AC75" s="276"/>
      <c r="AD75" s="276"/>
      <c r="AF75" s="3003">
        <f>SUM(AF72:AI74)</f>
        <v>-58500000</v>
      </c>
      <c r="AG75" s="3003"/>
      <c r="AH75" s="3003"/>
      <c r="AI75" s="3003"/>
      <c r="AK75" s="280" t="e">
        <f>IF(AND(AF75&lt;=0),"A",IF(AND(AF75&lt;=50000000),"B",IF(AND(AF75&gt;50000000,AF75&lt;=250000000),"C",IF(AND(AF75&gt;250000000,AF75&lt;=500000000),"D","E"))))</f>
        <v>#VALUE!</v>
      </c>
    </row>
    <row r="76" spans="1:37" ht="13.5" customHeight="1">
      <c r="A76" s="261"/>
      <c r="B76" s="276" t="s">
        <v>434</v>
      </c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3027">
        <f>IF(OR(ISBLANK(dateofdeparture)=True,(dateofdeparture-taxyearend)&lt;0),IF(AK76="A",0,IF(AK76="B",0.05*AF76,IF(AK76="C",0.15*AF76-5000000,IF(AK76="D",0.25*AF76-30000000,IF(AK76="E",0.3*AF76-55000000))))),0)</f>
        <v>0</v>
      </c>
      <c r="S76" s="3027"/>
      <c r="T76" s="3027"/>
      <c r="U76" s="3027"/>
      <c r="V76" s="276"/>
      <c r="W76" s="276"/>
      <c r="X76" s="276"/>
      <c r="Y76" s="278" t="s">
        <v>435</v>
      </c>
      <c r="Z76" s="276"/>
      <c r="AA76" s="276"/>
      <c r="AB76" s="276"/>
      <c r="AC76" s="276"/>
      <c r="AD76" s="276"/>
      <c r="AF76" s="3007">
        <f>IF(AF75&lt;0,0,INT(AF75/1000)*1000)</f>
        <v>0</v>
      </c>
      <c r="AG76" s="3007"/>
      <c r="AH76" s="3007"/>
      <c r="AI76" s="3007"/>
      <c r="AK76" s="280" t="e">
        <f>IF(AND(AF76&lt;=0),"A",IF(AND(AF76&lt;=50000000),"B",IF(AND(AF76&gt;50000000,AF76&lt;=250000000),"C",IF(AND(AF76&gt;250000000,AF76&lt;=500000000),"D","E"))))</f>
        <v>#VALUE!</v>
      </c>
    </row>
    <row r="77" spans="1:30" ht="13.5" customHeight="1">
      <c r="A77" s="261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  <c r="AA77" s="276"/>
      <c r="AB77" s="276"/>
      <c r="AC77" s="276"/>
      <c r="AD77" s="276"/>
    </row>
    <row r="78" spans="1:30" ht="13.5" customHeight="1">
      <c r="A78" s="261" t="s">
        <v>436</v>
      </c>
      <c r="B78" s="278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  <c r="AC78" s="276"/>
      <c r="AD78" s="276"/>
    </row>
    <row r="79" spans="1:30">
      <c r="A79" s="278"/>
      <c r="B79" s="278" t="s">
        <v>426</v>
      </c>
      <c r="C79" s="276"/>
      <c r="D79" s="276"/>
      <c r="E79" s="276"/>
      <c r="F79" s="276"/>
      <c r="G79" s="276"/>
      <c r="H79" s="276"/>
      <c r="I79" s="276"/>
      <c r="J79" s="3024">
        <f>J72/12*WORKPERIOD</f>
        <v>0</v>
      </c>
      <c r="K79" s="281"/>
      <c r="L79" s="281"/>
      <c r="M79" s="281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  <c r="AC79" s="276"/>
      <c r="AD79" s="276"/>
    </row>
    <row r="80" spans="1:30">
      <c r="A80" s="278"/>
      <c r="B80" s="278" t="s">
        <v>427</v>
      </c>
      <c r="C80" s="276"/>
      <c r="D80" s="276"/>
      <c r="E80" s="276"/>
      <c r="F80" s="276"/>
      <c r="G80" s="276"/>
      <c r="H80" s="276"/>
      <c r="I80" s="276"/>
      <c r="J80" s="3025">
        <f>J73*'GENERAL INFO'!V109/12</f>
        <v>0</v>
      </c>
      <c r="K80" s="3025"/>
      <c r="L80" s="3025"/>
      <c r="M80" s="3025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6"/>
    </row>
    <row r="81" spans="1:30">
      <c r="A81" s="278"/>
      <c r="B81" s="278" t="s">
        <v>432</v>
      </c>
      <c r="C81" s="276"/>
      <c r="D81" s="276"/>
      <c r="E81" s="276"/>
      <c r="F81" s="276"/>
      <c r="G81" s="276"/>
      <c r="H81" s="276"/>
      <c r="I81" s="276"/>
      <c r="J81" s="281"/>
      <c r="K81" s="281"/>
      <c r="L81" s="281"/>
      <c r="M81" s="281"/>
      <c r="N81" s="3026">
        <f>J79+J80</f>
        <v>0</v>
      </c>
      <c r="O81" s="3026"/>
      <c r="P81" s="3026"/>
      <c r="Q81" s="3026"/>
      <c r="R81" s="276"/>
      <c r="S81" s="276"/>
      <c r="T81" s="276"/>
      <c r="U81" s="276"/>
      <c r="V81" s="276"/>
      <c r="W81" s="276"/>
      <c r="X81" s="276"/>
      <c r="Y81" s="276"/>
      <c r="Z81" s="276"/>
      <c r="AA81" s="276"/>
      <c r="AB81" s="276"/>
      <c r="AC81" s="276"/>
      <c r="AD81" s="276"/>
    </row>
    <row r="82" spans="1:30">
      <c r="A82" s="278"/>
      <c r="B82" s="276" t="s">
        <v>433</v>
      </c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3027">
        <f>N75/12*WORKPERIOD</f>
        <v>0</v>
      </c>
      <c r="O82" s="3027"/>
      <c r="P82" s="3027"/>
      <c r="Q82" s="3027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276"/>
      <c r="AC82" s="276"/>
      <c r="AD82" s="276"/>
    </row>
    <row r="83" spans="1:30" ht="13.5" customHeight="1">
      <c r="A83" s="278"/>
      <c r="B83" s="261" t="s">
        <v>437</v>
      </c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3021">
        <f>N81+N82</f>
        <v>0</v>
      </c>
      <c r="S83" s="3021"/>
      <c r="T83" s="3021"/>
      <c r="U83" s="3021"/>
      <c r="V83" s="276"/>
      <c r="W83" s="276"/>
      <c r="X83" s="276"/>
      <c r="Y83" s="276"/>
      <c r="Z83" s="276"/>
      <c r="AA83" s="276"/>
      <c r="AB83" s="276"/>
      <c r="AC83" s="276"/>
      <c r="AD83" s="276"/>
    </row>
    <row r="84" spans="1:30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  <c r="AA84" s="276"/>
      <c r="AB84" s="276"/>
      <c r="AC84" s="276"/>
      <c r="AD84" s="276"/>
    </row>
    <row r="85" spans="1:30" ht="13.5" customHeight="1">
      <c r="A85" s="261" t="s">
        <v>447</v>
      </c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  <c r="AA85" s="276"/>
      <c r="AB85" s="276"/>
      <c r="AC85" s="276"/>
      <c r="AD85" s="276"/>
    </row>
    <row r="86" spans="1:30">
      <c r="A86" s="276"/>
      <c r="B86" s="276" t="s">
        <v>448</v>
      </c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94">
        <f>IF(OR(ISBLANK(dateofdeparture)=True,(dateofdeparture-taxyearend)&gt;0),_art21,0)</f>
        <v>0</v>
      </c>
      <c r="O86" s="294"/>
      <c r="P86" s="294"/>
      <c r="Q86" s="294"/>
      <c r="R86" s="276"/>
      <c r="S86" s="276"/>
      <c r="T86" s="276"/>
      <c r="U86" s="276"/>
      <c r="V86" s="276"/>
      <c r="W86" s="276"/>
      <c r="X86" s="276"/>
      <c r="Y86" s="276"/>
      <c r="Z86" s="276"/>
      <c r="AA86" s="276"/>
      <c r="AB86" s="276"/>
      <c r="AC86" s="276"/>
      <c r="AD86" s="276"/>
    </row>
    <row r="87" spans="1:30">
      <c r="A87" s="276"/>
      <c r="B87" s="276" t="s">
        <v>449</v>
      </c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94">
        <f>IF(OR(ISBLANK(dateofdeparture)=True,(dateofdeparture-taxyearend)&gt;0),'OVERSEAS INCOME'!AC660,0)</f>
        <v>0</v>
      </c>
      <c r="O87" s="294"/>
      <c r="P87" s="294"/>
      <c r="Q87" s="294"/>
      <c r="R87" s="276"/>
      <c r="S87" s="276"/>
      <c r="T87" s="276"/>
      <c r="U87" s="276"/>
      <c r="V87" s="276"/>
      <c r="W87" s="276"/>
      <c r="X87" s="276"/>
      <c r="Y87" s="276"/>
      <c r="Z87" s="276"/>
      <c r="AA87" s="276"/>
      <c r="AB87" s="276"/>
      <c r="AC87" s="276"/>
      <c r="AD87" s="276"/>
    </row>
    <row r="88" spans="1:30">
      <c r="A88" s="276"/>
      <c r="B88" s="276" t="s">
        <v>450</v>
      </c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3023">
        <f>IF(OR(ISBLANK(dateofdeparture)=True,(dateofdeparture-taxyearend)&gt;0),-'OVERSEAS INCOME'!AB630-'GENERAL INFO'!V166,0)</f>
        <v>0</v>
      </c>
      <c r="O88" s="3023"/>
      <c r="P88" s="3023"/>
      <c r="Q88" s="3023"/>
      <c r="R88" s="276"/>
      <c r="S88" s="276"/>
      <c r="T88" s="276"/>
      <c r="U88" s="276"/>
      <c r="V88" s="276"/>
      <c r="W88" s="276"/>
      <c r="X88" s="276"/>
      <c r="Y88" s="276"/>
      <c r="Z88" s="276"/>
      <c r="AA88" s="276"/>
      <c r="AB88" s="276"/>
      <c r="AC88" s="276"/>
      <c r="AD88" s="276"/>
    </row>
    <row r="89" spans="1:30" ht="13.5" customHeight="1">
      <c r="A89" s="276"/>
      <c r="B89" s="276" t="s">
        <v>451</v>
      </c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3022">
        <f>SUM(N86:Q88)</f>
        <v>0</v>
      </c>
      <c r="S89" s="3022"/>
      <c r="T89" s="3022"/>
      <c r="U89" s="3022"/>
      <c r="V89" s="276"/>
      <c r="W89" s="276"/>
      <c r="X89" s="276"/>
      <c r="Y89" s="276"/>
      <c r="Z89" s="276"/>
      <c r="AA89" s="276"/>
      <c r="AB89" s="276"/>
      <c r="AC89" s="276"/>
      <c r="AD89" s="276"/>
    </row>
    <row r="90" spans="1:30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  <c r="AA90" s="276"/>
      <c r="AB90" s="276"/>
      <c r="AC90" s="276"/>
      <c r="AD90" s="276"/>
    </row>
    <row r="91" spans="1:30" ht="13.5" customHeight="1">
      <c r="A91" s="261" t="s">
        <v>452</v>
      </c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3021">
        <f>+R83-R89</f>
        <v>0</v>
      </c>
      <c r="S91" s="3021"/>
      <c r="T91" s="3021"/>
      <c r="U91" s="3021"/>
      <c r="V91" s="276"/>
      <c r="W91" s="276"/>
      <c r="X91" s="276"/>
      <c r="Y91" s="276"/>
      <c r="Z91" s="276"/>
      <c r="AA91" s="276"/>
      <c r="AB91" s="276"/>
      <c r="AC91" s="276"/>
      <c r="AD91" s="276"/>
    </row>
    <row r="92" spans="1:30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  <c r="AA92" s="276"/>
      <c r="AB92" s="276"/>
      <c r="AC92" s="276"/>
      <c r="AD92" s="276"/>
    </row>
    <row r="93" spans="1:30" ht="13.5" customHeight="1">
      <c r="A93" s="261" t="s">
        <v>453</v>
      </c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3022">
        <f>IF(WORKPERIOD&gt;12,12,WORKPERIOD)</f>
        <v>9</v>
      </c>
      <c r="S93" s="3022"/>
      <c r="T93" s="3022"/>
      <c r="U93" s="3022"/>
      <c r="V93" s="276"/>
      <c r="W93" s="276"/>
      <c r="X93" s="276"/>
      <c r="Y93" s="276"/>
      <c r="Z93" s="276"/>
      <c r="AA93" s="276"/>
      <c r="AB93" s="276"/>
      <c r="AC93" s="276"/>
      <c r="AD93" s="276"/>
    </row>
    <row r="94" spans="1:30" ht="13.5" customHeight="1">
      <c r="A94" s="261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6"/>
    </row>
    <row r="95" spans="1:30" ht="13.5" customHeight="1" thickBot="1">
      <c r="A95" s="261" t="s">
        <v>454</v>
      </c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3004">
        <f>R91/R93</f>
        <v>0</v>
      </c>
      <c r="S95" s="3004"/>
      <c r="T95" s="3004"/>
      <c r="U95" s="3004"/>
      <c r="V95" s="276"/>
      <c r="W95" s="276"/>
      <c r="X95" s="276"/>
      <c r="Y95" s="276"/>
      <c r="Z95" s="276"/>
      <c r="AA95" s="276"/>
      <c r="AB95" s="276"/>
      <c r="AC95" s="276"/>
      <c r="AD95" s="276"/>
    </row>
    <row r="96" spans="1:30" ht="13.5" customHeight="1" thickTop="1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6"/>
      <c r="AB96" s="276"/>
      <c r="AC96" s="276"/>
      <c r="AD96" s="276"/>
    </row>
    <row r="97" spans="1:29" ht="13.5" customHeight="1">
      <c r="A97" s="274" t="s">
        <v>455</v>
      </c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Y97" s="275"/>
      <c r="Z97" s="275"/>
      <c r="AA97" s="275"/>
      <c r="AB97" s="275"/>
      <c r="AC97" s="275"/>
    </row>
    <row r="98" spans="1:31">
      <c r="A98" s="284"/>
      <c r="B98" s="284"/>
      <c r="C98" s="284"/>
      <c r="D98" s="284"/>
      <c r="E98" s="284"/>
      <c r="F98" s="284"/>
      <c r="G98" s="284"/>
      <c r="H98" s="284"/>
      <c r="I98" s="284"/>
      <c r="J98" s="284"/>
      <c r="K98" s="284"/>
      <c r="L98" s="284"/>
      <c r="M98" s="284"/>
      <c r="N98" s="284"/>
      <c r="O98" s="284"/>
      <c r="P98" s="284"/>
      <c r="Q98" s="284"/>
      <c r="R98" s="284"/>
      <c r="S98" s="284"/>
      <c r="T98" s="284"/>
      <c r="U98" s="284"/>
      <c r="V98" s="284"/>
      <c r="W98" s="284"/>
      <c r="X98" s="284"/>
      <c r="Y98" s="284"/>
      <c r="Z98" s="284"/>
      <c r="AA98" s="284"/>
      <c r="AB98" s="284"/>
      <c r="AC98" s="284"/>
      <c r="AD98" s="284"/>
      <c r="AE98" s="284"/>
    </row>
    <row r="99" spans="1:31" ht="20.25" customHeight="1">
      <c r="A99" s="285" t="s">
        <v>416</v>
      </c>
      <c r="B99" s="284"/>
      <c r="C99" s="284"/>
      <c r="D99" s="284"/>
      <c r="E99" s="284"/>
      <c r="F99" s="284"/>
      <c r="G99" s="284"/>
      <c r="H99" s="284"/>
      <c r="I99" s="284"/>
      <c r="J99" s="284"/>
      <c r="K99" s="284"/>
      <c r="L99" s="284"/>
      <c r="M99" s="284"/>
      <c r="N99" s="284"/>
      <c r="O99" s="284"/>
      <c r="P99" s="284"/>
      <c r="Q99" s="284"/>
      <c r="R99" s="284"/>
      <c r="S99" s="284"/>
      <c r="T99" s="284"/>
      <c r="U99" s="284"/>
      <c r="V99" s="284"/>
      <c r="W99" s="284"/>
      <c r="X99" s="284"/>
      <c r="Y99" s="284"/>
      <c r="Z99" s="284"/>
      <c r="AA99" s="284"/>
      <c r="AB99" s="284"/>
      <c r="AC99" s="284"/>
      <c r="AD99" s="284"/>
      <c r="AE99" s="284"/>
    </row>
    <row r="100" spans="1:31">
      <c r="A100" s="284"/>
      <c r="B100" s="284"/>
      <c r="C100" s="284"/>
      <c r="D100" s="284"/>
      <c r="E100" s="284"/>
      <c r="F100" s="284"/>
      <c r="G100" s="284"/>
      <c r="H100" s="284"/>
      <c r="I100" s="284"/>
      <c r="J100" s="28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  <c r="AA100" s="284"/>
      <c r="AB100" s="284"/>
      <c r="AC100" s="284"/>
      <c r="AD100" s="284"/>
      <c r="AE100" s="284"/>
    </row>
    <row r="101" spans="1:31" ht="13.5" customHeight="1">
      <c r="A101" s="286" t="s">
        <v>417</v>
      </c>
      <c r="B101" s="287"/>
      <c r="C101" s="284"/>
      <c r="D101" s="284"/>
      <c r="E101" s="284"/>
      <c r="F101" s="284"/>
      <c r="G101" s="284"/>
      <c r="H101" s="284"/>
      <c r="I101" s="284"/>
      <c r="J101" s="284"/>
      <c r="K101" s="284"/>
      <c r="L101" s="284"/>
      <c r="M101" s="284"/>
      <c r="N101" s="284"/>
      <c r="O101" s="284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284"/>
      <c r="AA101" s="284"/>
      <c r="AB101" s="284"/>
      <c r="AC101" s="284"/>
      <c r="AD101" s="284"/>
      <c r="AE101" s="284"/>
    </row>
    <row r="102" spans="1:31">
      <c r="A102" s="284"/>
      <c r="B102" s="288" t="s">
        <v>418</v>
      </c>
      <c r="C102" s="284"/>
      <c r="D102" s="284"/>
      <c r="E102" s="284"/>
      <c r="F102" s="284"/>
      <c r="G102" s="284"/>
      <c r="H102" s="284"/>
      <c r="I102" s="295"/>
      <c r="J102" s="296">
        <f>netempincome-empbonus</f>
        <v>961970004</v>
      </c>
      <c r="K102" s="296"/>
      <c r="L102" s="296"/>
      <c r="M102" s="296"/>
      <c r="N102" s="284"/>
      <c r="O102" s="284"/>
      <c r="P102" s="284"/>
      <c r="Q102" s="284"/>
      <c r="R102" s="284"/>
      <c r="S102" s="284"/>
      <c r="T102" s="284"/>
      <c r="U102" s="284"/>
      <c r="V102" s="284"/>
      <c r="W102" s="284"/>
      <c r="X102" s="284"/>
      <c r="Y102" s="284"/>
      <c r="Z102" s="284"/>
      <c r="AA102" s="284"/>
      <c r="AB102" s="284"/>
      <c r="AC102" s="284"/>
      <c r="AD102" s="284"/>
      <c r="AE102" s="284"/>
    </row>
    <row r="103" spans="1:31">
      <c r="A103" s="284"/>
      <c r="B103" s="288" t="s">
        <v>419</v>
      </c>
      <c r="C103" s="284"/>
      <c r="D103" s="284"/>
      <c r="E103" s="284"/>
      <c r="F103" s="284"/>
      <c r="G103" s="284"/>
      <c r="H103" s="284"/>
      <c r="I103" s="284"/>
      <c r="J103" s="3008">
        <f>empbonus</f>
        <v>169587118</v>
      </c>
      <c r="K103" s="3008"/>
      <c r="L103" s="3008"/>
      <c r="M103" s="3008"/>
      <c r="N103" s="284"/>
      <c r="O103" s="284"/>
      <c r="P103" s="284"/>
      <c r="Q103" s="284"/>
      <c r="R103" s="284"/>
      <c r="S103" s="284"/>
      <c r="T103" s="284"/>
      <c r="U103" s="284"/>
      <c r="V103" s="284"/>
      <c r="W103" s="284"/>
      <c r="X103" s="284"/>
      <c r="Y103" s="284"/>
      <c r="Z103" s="284"/>
      <c r="AA103" s="284"/>
      <c r="AB103" s="284"/>
      <c r="AC103" s="284"/>
      <c r="AD103" s="284"/>
      <c r="AE103" s="284"/>
    </row>
    <row r="104" spans="1:31">
      <c r="A104" s="284"/>
      <c r="B104" s="288" t="s">
        <v>420</v>
      </c>
      <c r="C104" s="284"/>
      <c r="D104" s="284"/>
      <c r="E104" s="284"/>
      <c r="F104" s="284"/>
      <c r="G104" s="284"/>
      <c r="H104" s="284"/>
      <c r="I104" s="284"/>
      <c r="J104" s="284"/>
      <c r="K104" s="284"/>
      <c r="L104" s="284"/>
      <c r="M104" s="284"/>
      <c r="N104" s="296">
        <f>J102+J103</f>
        <v>1131557122</v>
      </c>
      <c r="O104" s="296"/>
      <c r="P104" s="296"/>
      <c r="Q104" s="296"/>
      <c r="R104" s="284"/>
      <c r="S104" s="284"/>
      <c r="T104" s="284"/>
      <c r="U104" s="284"/>
      <c r="V104" s="284"/>
      <c r="W104" s="284"/>
      <c r="X104" s="284"/>
      <c r="Y104" s="284"/>
      <c r="Z104" s="284"/>
      <c r="AA104" s="284"/>
      <c r="AB104" s="284"/>
      <c r="AC104" s="284"/>
      <c r="AD104" s="284"/>
      <c r="AE104" s="284"/>
    </row>
    <row r="105" spans="1:31">
      <c r="A105" s="284"/>
      <c r="B105" s="287" t="s">
        <v>421</v>
      </c>
      <c r="C105" s="284"/>
      <c r="D105" s="284"/>
      <c r="E105" s="284"/>
      <c r="F105" s="284"/>
      <c r="G105" s="284"/>
      <c r="H105" s="284"/>
      <c r="I105" s="284"/>
      <c r="J105" s="284"/>
      <c r="K105" s="284"/>
      <c r="L105" s="284"/>
      <c r="M105" s="284"/>
      <c r="N105" s="296">
        <f>netdomesticincome</f>
        <v>0</v>
      </c>
      <c r="O105" s="296"/>
      <c r="P105" s="296"/>
      <c r="Q105" s="296"/>
      <c r="R105" s="284"/>
      <c r="S105" s="284"/>
      <c r="T105" s="284"/>
      <c r="U105" s="284"/>
      <c r="V105" s="284"/>
      <c r="W105" s="284"/>
      <c r="X105" s="284"/>
      <c r="Y105" s="284"/>
      <c r="Z105" s="284"/>
      <c r="AA105" s="284"/>
      <c r="AB105" s="284"/>
      <c r="AC105" s="284"/>
      <c r="AD105" s="284"/>
      <c r="AE105" s="284"/>
    </row>
    <row r="106" spans="1:31">
      <c r="A106" s="284"/>
      <c r="B106" s="287" t="s">
        <v>422</v>
      </c>
      <c r="C106" s="284"/>
      <c r="D106" s="284"/>
      <c r="E106" s="284"/>
      <c r="F106" s="284"/>
      <c r="G106" s="284"/>
      <c r="H106" s="284"/>
      <c r="I106" s="284"/>
      <c r="J106" s="284"/>
      <c r="K106" s="284"/>
      <c r="L106" s="284"/>
      <c r="M106" s="284"/>
      <c r="N106" s="3008">
        <f>IF('OVERSEAS INCOME'!Y660&lt;0,0,'OVERSEAS INCOME'!Y660)</f>
        <v>16790735</v>
      </c>
      <c r="O106" s="3008"/>
      <c r="P106" s="3008"/>
      <c r="Q106" s="3008"/>
      <c r="R106" s="284"/>
      <c r="S106" s="284"/>
      <c r="T106" s="284"/>
      <c r="U106" s="284"/>
      <c r="V106" s="284"/>
      <c r="W106" s="284"/>
      <c r="X106" s="284"/>
      <c r="Y106" s="284"/>
      <c r="Z106" s="284"/>
      <c r="AA106" s="284"/>
      <c r="AB106" s="284"/>
      <c r="AC106" s="284"/>
      <c r="AD106" s="284"/>
      <c r="AE106" s="284"/>
    </row>
    <row r="107" spans="1:31">
      <c r="A107" s="284"/>
      <c r="B107" s="287" t="s">
        <v>423</v>
      </c>
      <c r="C107" s="284"/>
      <c r="D107" s="284"/>
      <c r="E107" s="284"/>
      <c r="F107" s="284"/>
      <c r="G107" s="284"/>
      <c r="H107" s="284"/>
      <c r="I107" s="284"/>
      <c r="J107" s="284"/>
      <c r="K107" s="284"/>
      <c r="L107" s="284"/>
      <c r="M107" s="284"/>
      <c r="N107" s="284"/>
      <c r="O107" s="284"/>
      <c r="P107" s="284"/>
      <c r="Q107" s="284"/>
      <c r="R107" s="3008">
        <f>SUM(M104:Q106)</f>
        <v>1148347857</v>
      </c>
      <c r="S107" s="3008"/>
      <c r="T107" s="3008"/>
      <c r="U107" s="3008"/>
      <c r="V107" s="295"/>
      <c r="W107" s="284"/>
      <c r="X107" s="284"/>
      <c r="Y107" s="284"/>
      <c r="Z107" s="284"/>
      <c r="AA107" s="284"/>
      <c r="AB107" s="284"/>
      <c r="AC107" s="284"/>
      <c r="AD107" s="284"/>
      <c r="AE107" s="284"/>
    </row>
    <row r="108" spans="1:31">
      <c r="A108" s="284"/>
      <c r="B108" s="287"/>
      <c r="C108" s="284"/>
      <c r="D108" s="284"/>
      <c r="E108" s="284"/>
      <c r="F108" s="284"/>
      <c r="G108" s="284"/>
      <c r="H108" s="284"/>
      <c r="I108" s="284"/>
      <c r="J108" s="284"/>
      <c r="K108" s="284"/>
      <c r="L108" s="284"/>
      <c r="M108" s="284"/>
      <c r="N108" s="284"/>
      <c r="O108" s="284"/>
      <c r="P108" s="284"/>
      <c r="Q108" s="284"/>
      <c r="R108" s="284"/>
      <c r="S108" s="284"/>
      <c r="T108" s="284"/>
      <c r="U108" s="284"/>
      <c r="V108" s="284"/>
      <c r="W108" s="284"/>
      <c r="X108" s="284"/>
      <c r="Y108" s="284"/>
      <c r="Z108" s="284"/>
      <c r="AA108" s="284"/>
      <c r="AB108" s="284"/>
      <c r="AC108" s="284"/>
      <c r="AD108" s="284"/>
      <c r="AE108" s="284"/>
    </row>
    <row r="109" spans="1:31" ht="13.5" customHeight="1">
      <c r="A109" s="286" t="s">
        <v>424</v>
      </c>
      <c r="B109" s="287"/>
      <c r="C109" s="284"/>
      <c r="D109" s="284"/>
      <c r="E109" s="284"/>
      <c r="F109" s="284"/>
      <c r="G109" s="284"/>
      <c r="H109" s="284"/>
      <c r="I109" s="284"/>
      <c r="J109" s="284"/>
      <c r="K109" s="284"/>
      <c r="L109" s="284"/>
      <c r="M109" s="284"/>
      <c r="N109" s="284"/>
      <c r="O109" s="284"/>
      <c r="P109" s="284"/>
      <c r="Q109" s="284"/>
      <c r="R109" s="284"/>
      <c r="S109" s="284"/>
      <c r="T109" s="284"/>
      <c r="U109" s="284"/>
      <c r="V109" s="284"/>
      <c r="W109" s="284"/>
      <c r="X109" s="286" t="s">
        <v>425</v>
      </c>
      <c r="Y109" s="284"/>
      <c r="Z109" s="284"/>
      <c r="AA109" s="284"/>
      <c r="AB109" s="284"/>
      <c r="AC109" s="284"/>
      <c r="AD109" s="284"/>
      <c r="AE109" s="284"/>
    </row>
    <row r="110" spans="1:37">
      <c r="A110" s="287"/>
      <c r="B110" s="287" t="s">
        <v>418</v>
      </c>
      <c r="C110" s="284"/>
      <c r="D110" s="284"/>
      <c r="E110" s="284"/>
      <c r="F110" s="284"/>
      <c r="G110" s="284"/>
      <c r="H110" s="284"/>
      <c r="I110" s="284"/>
      <c r="J110" s="296">
        <f>J102/WORKPERIOD*12</f>
        <v>1282626672</v>
      </c>
      <c r="K110" s="296"/>
      <c r="L110" s="296"/>
      <c r="M110" s="296"/>
      <c r="N110" s="296"/>
      <c r="O110" s="284"/>
      <c r="P110" s="284"/>
      <c r="Q110" s="284"/>
      <c r="R110" s="284"/>
      <c r="S110" s="284"/>
      <c r="T110" s="284"/>
      <c r="U110" s="284"/>
      <c r="V110" s="284"/>
      <c r="W110" s="284"/>
      <c r="X110" s="284"/>
      <c r="Y110" s="287" t="s">
        <v>426</v>
      </c>
      <c r="Z110" s="284"/>
      <c r="AA110" s="284"/>
      <c r="AB110" s="284"/>
      <c r="AC110" s="284"/>
      <c r="AD110" s="284"/>
      <c r="AE110" s="284"/>
      <c r="AF110" s="3003">
        <f>IF(J110&lt;0,0,J110-personalreliefs)</f>
        <v>1224126672</v>
      </c>
      <c r="AG110" s="3003"/>
      <c r="AH110" s="3003"/>
      <c r="AI110" s="3003"/>
      <c r="AK110" s="280" t="e">
        <f>IF(AND(AF110&lt;=0),"A",IF(AND(AF110&lt;=50000000),"B",IF(AND(AF110&gt;50000000,AF110&lt;=250000000),"C",IF(AND(AF110&gt;250000000,AF110&lt;=500000000),"D","E"))))</f>
        <v>#DIV/0!</v>
      </c>
    </row>
    <row r="111" spans="1:35">
      <c r="A111" s="287"/>
      <c r="B111" s="287" t="s">
        <v>419</v>
      </c>
      <c r="C111" s="284"/>
      <c r="D111" s="284"/>
      <c r="E111" s="284"/>
      <c r="F111" s="284"/>
      <c r="G111" s="284"/>
      <c r="H111" s="284"/>
      <c r="I111" s="284"/>
      <c r="J111" s="3008">
        <f>J103/WORKPERIOD*12</f>
        <v>226116157</v>
      </c>
      <c r="K111" s="3008"/>
      <c r="L111" s="3008"/>
      <c r="M111" s="3008"/>
      <c r="N111" s="296"/>
      <c r="O111" s="284"/>
      <c r="P111" s="284"/>
      <c r="Q111" s="284"/>
      <c r="R111" s="284"/>
      <c r="S111" s="284"/>
      <c r="T111" s="284"/>
      <c r="U111" s="284"/>
      <c r="V111" s="284"/>
      <c r="W111" s="284"/>
      <c r="X111" s="284"/>
      <c r="Y111" s="287" t="s">
        <v>427</v>
      </c>
      <c r="Z111" s="284"/>
      <c r="AA111" s="284"/>
      <c r="AB111" s="284"/>
      <c r="AC111" s="284"/>
      <c r="AD111" s="284"/>
      <c r="AE111" s="284"/>
      <c r="AF111" s="3012">
        <f>J111</f>
        <v>226116157</v>
      </c>
      <c r="AG111" s="3012"/>
      <c r="AH111" s="3012"/>
      <c r="AI111" s="3012"/>
    </row>
    <row r="112" spans="1:37">
      <c r="A112" s="284"/>
      <c r="B112" s="288" t="s">
        <v>420</v>
      </c>
      <c r="C112" s="284"/>
      <c r="D112" s="284"/>
      <c r="E112" s="284"/>
      <c r="F112" s="284"/>
      <c r="G112" s="284"/>
      <c r="H112" s="284"/>
      <c r="I112" s="284"/>
      <c r="J112" s="284"/>
      <c r="K112" s="284"/>
      <c r="L112" s="284"/>
      <c r="M112" s="289"/>
      <c r="N112" s="296">
        <f>J110+J111</f>
        <v>1508742829</v>
      </c>
      <c r="O112" s="296"/>
      <c r="P112" s="296"/>
      <c r="Q112" s="296"/>
      <c r="R112" s="284"/>
      <c r="S112" s="284"/>
      <c r="T112" s="284"/>
      <c r="U112" s="284"/>
      <c r="V112" s="284"/>
      <c r="W112" s="284"/>
      <c r="X112" s="284"/>
      <c r="Y112" s="284" t="s">
        <v>428</v>
      </c>
      <c r="Z112" s="284"/>
      <c r="AA112" s="284"/>
      <c r="AB112" s="284"/>
      <c r="AC112" s="284"/>
      <c r="AD112" s="284"/>
      <c r="AE112" s="284"/>
      <c r="AF112" s="3003">
        <f>IF(N112&lt;0,0,N112-personalreliefs)</f>
        <v>1450242829</v>
      </c>
      <c r="AG112" s="3003"/>
      <c r="AH112" s="3003"/>
      <c r="AI112" s="3003"/>
      <c r="AK112" s="280" t="e">
        <f>IF(AND(AF112&lt;=0),"A",IF(AND(AF112&lt;=50000000),"B",IF(AND(AF112&gt;50000000,AF112&lt;=250000000),"C",IF(AND(AF112&gt;250000000,AF112&lt;=500000000),"D","E"))))</f>
        <v>#DIV/0!</v>
      </c>
    </row>
    <row r="113" spans="1:31">
      <c r="A113" s="287"/>
      <c r="B113" s="287" t="s">
        <v>421</v>
      </c>
      <c r="C113" s="284"/>
      <c r="D113" s="284"/>
      <c r="E113" s="284"/>
      <c r="F113" s="284"/>
      <c r="G113" s="284"/>
      <c r="H113" s="284"/>
      <c r="I113" s="284"/>
      <c r="J113" s="284"/>
      <c r="K113" s="284"/>
      <c r="L113" s="284"/>
      <c r="M113" s="284"/>
      <c r="N113" s="296">
        <f>N105/WORKPERIOD*12</f>
        <v>0</v>
      </c>
      <c r="O113" s="296"/>
      <c r="P113" s="296"/>
      <c r="Q113" s="296"/>
      <c r="R113" s="284"/>
      <c r="S113" s="284"/>
      <c r="T113" s="284"/>
      <c r="U113" s="284"/>
      <c r="V113" s="284"/>
      <c r="W113" s="284"/>
      <c r="X113" s="284"/>
      <c r="Y113" s="284"/>
      <c r="Z113" s="284"/>
      <c r="AA113" s="284"/>
      <c r="AB113" s="284"/>
      <c r="AC113" s="284"/>
      <c r="AD113" s="284"/>
      <c r="AE113" s="284"/>
    </row>
    <row r="114" spans="1:31">
      <c r="A114" s="287"/>
      <c r="B114" s="287" t="s">
        <v>422</v>
      </c>
      <c r="C114" s="284"/>
      <c r="D114" s="284"/>
      <c r="E114" s="284"/>
      <c r="F114" s="284"/>
      <c r="G114" s="284"/>
      <c r="H114" s="284"/>
      <c r="I114" s="284"/>
      <c r="J114" s="284"/>
      <c r="K114" s="284"/>
      <c r="L114" s="284"/>
      <c r="M114" s="284"/>
      <c r="N114" s="3008">
        <f>N106/WORKPERIOD*12</f>
        <v>22387647</v>
      </c>
      <c r="O114" s="3008"/>
      <c r="P114" s="3008"/>
      <c r="Q114" s="3008"/>
      <c r="R114" s="284"/>
      <c r="S114" s="284"/>
      <c r="T114" s="284"/>
      <c r="U114" s="284"/>
      <c r="V114" s="284"/>
      <c r="W114" s="284"/>
      <c r="X114" s="284"/>
      <c r="Y114" s="284"/>
      <c r="Z114" s="284"/>
      <c r="AA114" s="284"/>
      <c r="AB114" s="284"/>
      <c r="AC114" s="284"/>
      <c r="AD114" s="284"/>
      <c r="AE114" s="284"/>
    </row>
    <row r="115" spans="1:31">
      <c r="A115" s="287"/>
      <c r="B115" s="287" t="s">
        <v>429</v>
      </c>
      <c r="C115" s="284"/>
      <c r="D115" s="284"/>
      <c r="E115" s="284"/>
      <c r="F115" s="284"/>
      <c r="G115" s="284"/>
      <c r="H115" s="284"/>
      <c r="I115" s="284"/>
      <c r="J115" s="284"/>
      <c r="K115" s="284"/>
      <c r="L115" s="284"/>
      <c r="M115" s="296"/>
      <c r="N115" s="296"/>
      <c r="O115" s="296"/>
      <c r="P115" s="296"/>
      <c r="Q115" s="296"/>
      <c r="R115" s="3020">
        <f>SUM(M110:Q114)</f>
        <v>1531130476</v>
      </c>
      <c r="S115" s="289"/>
      <c r="T115" s="289"/>
      <c r="U115" s="289"/>
      <c r="V115" s="284"/>
      <c r="W115" s="284"/>
      <c r="X115" s="284"/>
      <c r="Y115" s="284"/>
      <c r="Z115" s="284"/>
      <c r="AA115" s="284"/>
      <c r="AB115" s="284"/>
      <c r="AC115" s="284"/>
      <c r="AD115" s="284"/>
      <c r="AE115" s="284"/>
    </row>
    <row r="116" spans="1:31">
      <c r="A116" s="287"/>
      <c r="B116" s="287"/>
      <c r="C116" s="284"/>
      <c r="D116" s="284"/>
      <c r="E116" s="284"/>
      <c r="F116" s="284"/>
      <c r="G116" s="284"/>
      <c r="H116" s="284"/>
      <c r="I116" s="284"/>
      <c r="J116" s="284"/>
      <c r="K116" s="284"/>
      <c r="L116" s="284"/>
      <c r="M116" s="284"/>
      <c r="N116" s="284"/>
      <c r="O116" s="284"/>
      <c r="P116" s="284"/>
      <c r="Q116" s="284"/>
      <c r="R116" s="284"/>
      <c r="S116" s="284"/>
      <c r="T116" s="284"/>
      <c r="U116" s="284"/>
      <c r="V116" s="284"/>
      <c r="W116" s="284"/>
      <c r="X116" s="284"/>
      <c r="Y116" s="284"/>
      <c r="Z116" s="284"/>
      <c r="AA116" s="284"/>
      <c r="AB116" s="284"/>
      <c r="AC116" s="284"/>
      <c r="AD116" s="284"/>
      <c r="AE116" s="284"/>
    </row>
    <row r="117" spans="1:31" ht="13.5" customHeight="1">
      <c r="A117" s="286" t="s">
        <v>320</v>
      </c>
      <c r="B117" s="287"/>
      <c r="C117" s="284"/>
      <c r="D117" s="284"/>
      <c r="E117" s="284"/>
      <c r="F117" s="284"/>
      <c r="G117" s="284"/>
      <c r="H117" s="284"/>
      <c r="I117" s="284"/>
      <c r="J117" s="284"/>
      <c r="K117" s="284"/>
      <c r="L117" s="284"/>
      <c r="M117" s="284"/>
      <c r="N117" s="284"/>
      <c r="O117" s="284"/>
      <c r="P117" s="284"/>
      <c r="Q117" s="284"/>
      <c r="R117" s="3009">
        <f>IF('GENERAL INFO'!K6="X",personalreliefs,0)</f>
        <v>58500000</v>
      </c>
      <c r="S117" s="3010"/>
      <c r="T117" s="3010"/>
      <c r="U117" s="3010"/>
      <c r="V117" s="284"/>
      <c r="W117" s="284"/>
      <c r="X117" s="284"/>
      <c r="Y117" s="284"/>
      <c r="Z117" s="284"/>
      <c r="AA117" s="284"/>
      <c r="AB117" s="284"/>
      <c r="AC117" s="284"/>
      <c r="AD117" s="284"/>
      <c r="AE117" s="284"/>
    </row>
    <row r="118" spans="1:31" ht="13.5" customHeight="1">
      <c r="A118" s="286"/>
      <c r="B118" s="287"/>
      <c r="C118" s="284"/>
      <c r="D118" s="284"/>
      <c r="E118" s="284"/>
      <c r="F118" s="284"/>
      <c r="G118" s="284"/>
      <c r="H118" s="284"/>
      <c r="I118" s="284"/>
      <c r="J118" s="284"/>
      <c r="K118" s="284"/>
      <c r="L118" s="284"/>
      <c r="M118" s="284"/>
      <c r="N118" s="284"/>
      <c r="O118" s="284"/>
      <c r="P118" s="284"/>
      <c r="Q118" s="284"/>
      <c r="R118" s="284"/>
      <c r="S118" s="284"/>
      <c r="T118" s="284"/>
      <c r="U118" s="284"/>
      <c r="V118" s="284"/>
      <c r="W118" s="284"/>
      <c r="X118" s="284"/>
      <c r="Y118" s="284"/>
      <c r="Z118" s="284"/>
      <c r="AA118" s="284"/>
      <c r="AB118" s="284"/>
      <c r="AC118" s="284"/>
      <c r="AD118" s="284"/>
      <c r="AE118" s="284"/>
    </row>
    <row r="119" spans="1:31" ht="13.5" customHeight="1">
      <c r="A119" s="286" t="s">
        <v>430</v>
      </c>
      <c r="B119" s="287"/>
      <c r="C119" s="284"/>
      <c r="D119" s="284"/>
      <c r="E119" s="284"/>
      <c r="F119" s="284"/>
      <c r="G119" s="284"/>
      <c r="H119" s="284"/>
      <c r="I119" s="284"/>
      <c r="J119" s="284"/>
      <c r="K119" s="284"/>
      <c r="L119" s="284"/>
      <c r="M119" s="284"/>
      <c r="N119" s="284"/>
      <c r="O119" s="284"/>
      <c r="P119" s="284"/>
      <c r="Q119" s="284"/>
      <c r="R119" s="3009">
        <f>IF('GENERAL INFO'!K6="X",IF(AF125&lt;0,0,AF125),0)</f>
        <v>1472630476</v>
      </c>
      <c r="S119" s="3010"/>
      <c r="T119" s="3010"/>
      <c r="U119" s="3010"/>
      <c r="V119" s="284"/>
      <c r="W119" s="284"/>
      <c r="X119" s="286" t="s">
        <v>425</v>
      </c>
      <c r="Y119" s="284"/>
      <c r="Z119" s="284"/>
      <c r="AA119" s="284"/>
      <c r="AB119" s="284"/>
      <c r="AC119" s="284"/>
      <c r="AD119" s="284"/>
      <c r="AE119" s="284"/>
    </row>
    <row r="120" spans="1:37" ht="13.5" customHeight="1">
      <c r="A120" s="286"/>
      <c r="B120" s="287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284"/>
      <c r="N120" s="284"/>
      <c r="O120" s="284"/>
      <c r="P120" s="284"/>
      <c r="Q120" s="284"/>
      <c r="R120" s="284"/>
      <c r="S120" s="284"/>
      <c r="T120" s="284"/>
      <c r="U120" s="284"/>
      <c r="V120" s="284"/>
      <c r="W120" s="284"/>
      <c r="X120" s="284"/>
      <c r="Y120" s="287" t="s">
        <v>426</v>
      </c>
      <c r="Z120" s="284"/>
      <c r="AA120" s="284"/>
      <c r="AB120" s="284"/>
      <c r="AC120" s="284"/>
      <c r="AD120" s="284"/>
      <c r="AE120" s="284"/>
      <c r="AF120" s="3003">
        <f>(J110-personalreliefs)</f>
        <v>1224126672</v>
      </c>
      <c r="AG120" s="3003"/>
      <c r="AH120" s="3003"/>
      <c r="AI120" s="3003"/>
      <c r="AK120" s="280" t="e">
        <f>IF(AND(AF120&lt;=0),"A",IF(AND(AF120&lt;=50000000),"B",IF(AND(AF120&gt;50000000,AF120&lt;=250000000),"C",IF(AND(AF120&gt;250000000,AF120&lt;=500000000),"D","E"))))</f>
        <v>#DIV/0!</v>
      </c>
    </row>
    <row r="121" spans="1:35" ht="13.5" customHeight="1">
      <c r="A121" s="286" t="s">
        <v>431</v>
      </c>
      <c r="B121" s="287"/>
      <c r="C121" s="284"/>
      <c r="D121" s="284"/>
      <c r="E121" s="284"/>
      <c r="F121" s="284"/>
      <c r="G121" s="284"/>
      <c r="H121" s="284"/>
      <c r="I121" s="284"/>
      <c r="J121" s="284"/>
      <c r="K121" s="284"/>
      <c r="L121" s="284"/>
      <c r="M121" s="284"/>
      <c r="N121" s="284"/>
      <c r="O121" s="284"/>
      <c r="P121" s="284"/>
      <c r="Q121" s="284"/>
      <c r="R121" s="284"/>
      <c r="S121" s="284"/>
      <c r="T121" s="284"/>
      <c r="U121" s="284"/>
      <c r="V121" s="284"/>
      <c r="W121" s="284"/>
      <c r="X121" s="284"/>
      <c r="Y121" s="287" t="s">
        <v>427</v>
      </c>
      <c r="Z121" s="284"/>
      <c r="AA121" s="284"/>
      <c r="AB121" s="284"/>
      <c r="AC121" s="284"/>
      <c r="AD121" s="284"/>
      <c r="AE121" s="284"/>
      <c r="AF121" s="3012">
        <f>J111</f>
        <v>226116157</v>
      </c>
      <c r="AG121" s="3012"/>
      <c r="AH121" s="3012"/>
      <c r="AI121" s="3012"/>
    </row>
    <row r="122" spans="1:37" ht="13.5" customHeight="1">
      <c r="A122" s="286"/>
      <c r="B122" s="287" t="s">
        <v>426</v>
      </c>
      <c r="C122" s="284"/>
      <c r="D122" s="284"/>
      <c r="E122" s="284"/>
      <c r="F122" s="284"/>
      <c r="G122" s="284"/>
      <c r="H122" s="284"/>
      <c r="I122" s="284"/>
      <c r="J122" s="3011">
        <f>IF('GENERAL INFO'!K6="X",IF(AK110="A",0,IF(AK110="B",0.05*AF110,IF(AK110="C",0.15*AF110-5000000,IF(AK110="D",0.25*AF110-30000000,IF(AK110="E",0.3*AF110-55000000))))),0)</f>
        <v>312238002</v>
      </c>
      <c r="K122" s="3011"/>
      <c r="L122" s="3011"/>
      <c r="M122" s="3011"/>
      <c r="N122" s="284"/>
      <c r="O122" s="284"/>
      <c r="P122" s="284"/>
      <c r="Q122" s="284"/>
      <c r="R122" s="284"/>
      <c r="S122" s="284"/>
      <c r="T122" s="284"/>
      <c r="U122" s="284"/>
      <c r="V122" s="284"/>
      <c r="W122" s="284"/>
      <c r="X122" s="284"/>
      <c r="Y122" s="284" t="s">
        <v>428</v>
      </c>
      <c r="Z122" s="284"/>
      <c r="AA122" s="284"/>
      <c r="AB122" s="284"/>
      <c r="AC122" s="284"/>
      <c r="AD122" s="284"/>
      <c r="AE122" s="284"/>
      <c r="AF122" s="3003">
        <f>N112-personalreliefs</f>
        <v>1450242829</v>
      </c>
      <c r="AG122" s="3003"/>
      <c r="AH122" s="3003"/>
      <c r="AI122" s="3003"/>
      <c r="AK122" s="280" t="e">
        <f>IF(AND(AF122&lt;=0),"A",IF(AND(AF122&lt;=50000000),"B",IF(AND(AF122&gt;50000000,AF122&lt;=250000000),"C",IF(AND(AF122&gt;250000000,AF122&lt;=500000000),"D","E"))))</f>
        <v>#DIV/0!</v>
      </c>
    </row>
    <row r="123" spans="1:35" ht="13.5" customHeight="1">
      <c r="A123" s="286"/>
      <c r="B123" s="287" t="s">
        <v>427</v>
      </c>
      <c r="C123" s="284"/>
      <c r="D123" s="284"/>
      <c r="E123" s="284"/>
      <c r="F123" s="284"/>
      <c r="G123" s="284"/>
      <c r="H123" s="284"/>
      <c r="I123" s="284"/>
      <c r="J123" s="3006">
        <f>N124-J122</f>
        <v>67834847</v>
      </c>
      <c r="K123" s="3006"/>
      <c r="L123" s="3006"/>
      <c r="M123" s="3006"/>
      <c r="N123" s="284"/>
      <c r="O123" s="284"/>
      <c r="P123" s="284"/>
      <c r="Q123" s="284"/>
      <c r="R123" s="284"/>
      <c r="S123" s="284"/>
      <c r="T123" s="284"/>
      <c r="U123" s="284"/>
      <c r="V123" s="284"/>
      <c r="W123" s="284"/>
      <c r="X123" s="284"/>
      <c r="Y123" s="287" t="s">
        <v>421</v>
      </c>
      <c r="Z123" s="284"/>
      <c r="AA123" s="284"/>
      <c r="AB123" s="284"/>
      <c r="AC123" s="284"/>
      <c r="AD123" s="284"/>
      <c r="AE123" s="284"/>
      <c r="AF123" s="3003">
        <f>N113</f>
        <v>0</v>
      </c>
      <c r="AG123" s="3003"/>
      <c r="AH123" s="3003"/>
      <c r="AI123" s="3003"/>
    </row>
    <row r="124" spans="1:35">
      <c r="A124" s="287"/>
      <c r="B124" s="287" t="s">
        <v>432</v>
      </c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284"/>
      <c r="N124" s="3011">
        <f>IF('GENERAL INFO'!K6="X",IF(AK112="A",0,IF(AK112="B",0.05*AF112,IF(AK112="C",0.15*AF112-5000000,IF(AK112="D",0.25*AF112-30000000,IF(AK112="E",0.3*AF112-55000000))))),0)</f>
        <v>380072849</v>
      </c>
      <c r="O124" s="3011"/>
      <c r="P124" s="3011"/>
      <c r="Q124" s="3011"/>
      <c r="R124" s="284"/>
      <c r="S124" s="284"/>
      <c r="T124" s="284"/>
      <c r="U124" s="284"/>
      <c r="V124" s="284"/>
      <c r="W124" s="284"/>
      <c r="X124" s="284"/>
      <c r="Y124" s="287" t="s">
        <v>422</v>
      </c>
      <c r="Z124" s="284"/>
      <c r="AA124" s="284"/>
      <c r="AB124" s="284"/>
      <c r="AC124" s="284"/>
      <c r="AD124" s="284"/>
      <c r="AE124" s="284"/>
      <c r="AF124" s="3012">
        <f>N114</f>
        <v>22387647</v>
      </c>
      <c r="AG124" s="3012"/>
      <c r="AH124" s="3012"/>
      <c r="AI124" s="3012"/>
    </row>
    <row r="125" spans="1:37" ht="13.5" customHeight="1">
      <c r="A125" s="286"/>
      <c r="B125" s="284" t="s">
        <v>433</v>
      </c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284"/>
      <c r="N125" s="3006">
        <f>IF(AF128-N124&lt;0,0,AF128-N124)</f>
        <v>6716151</v>
      </c>
      <c r="O125" s="3006"/>
      <c r="P125" s="3006"/>
      <c r="Q125" s="3006"/>
      <c r="R125" s="284"/>
      <c r="S125" s="284"/>
      <c r="T125" s="284"/>
      <c r="U125" s="284"/>
      <c r="V125" s="284"/>
      <c r="W125" s="284"/>
      <c r="X125" s="284"/>
      <c r="Y125" s="287" t="s">
        <v>446</v>
      </c>
      <c r="Z125" s="284"/>
      <c r="AA125" s="284"/>
      <c r="AB125" s="284"/>
      <c r="AC125" s="284"/>
      <c r="AD125" s="284"/>
      <c r="AE125" s="284"/>
      <c r="AF125" s="3003">
        <f>SUM(AF122:AI124)</f>
        <v>1472630476</v>
      </c>
      <c r="AG125" s="3003"/>
      <c r="AH125" s="3003"/>
      <c r="AI125" s="3003"/>
      <c r="AK125" s="280" t="e">
        <f>IF(AND(AF125&lt;=0),"A",IF(AND(AF125&lt;=50000000),"B",IF(AND(AF125&gt;50000000,AF125&lt;=250000000),"C",IF(AND(AF125&gt;250000000,AF125&lt;=500000000),"D","E"))))</f>
        <v>#DIV/0!</v>
      </c>
    </row>
    <row r="126" spans="1:37" ht="13.5" customHeight="1">
      <c r="A126" s="286"/>
      <c r="B126" s="284" t="s">
        <v>434</v>
      </c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  <c r="O126" s="284"/>
      <c r="P126" s="284"/>
      <c r="Q126" s="284"/>
      <c r="R126" s="3006">
        <f>IF(AF128&lt;N124,N124,AF128)</f>
        <v>386789000</v>
      </c>
      <c r="S126" s="3006"/>
      <c r="T126" s="3006"/>
      <c r="U126" s="3006"/>
      <c r="V126" s="284"/>
      <c r="W126" s="284"/>
      <c r="X126" s="284"/>
      <c r="Y126" s="287" t="s">
        <v>435</v>
      </c>
      <c r="Z126" s="284"/>
      <c r="AA126" s="284"/>
      <c r="AB126" s="284"/>
      <c r="AC126" s="284"/>
      <c r="AD126" s="284"/>
      <c r="AE126" s="284"/>
      <c r="AF126" s="3003">
        <f>INT(AF125/1000)*1000</f>
        <v>1472630000</v>
      </c>
      <c r="AG126" s="3003"/>
      <c r="AH126" s="3003"/>
      <c r="AI126" s="3003"/>
      <c r="AK126" s="280" t="e">
        <f>IF(AND(AF126&lt;=0),"A",IF(AND(AF126&lt;=50000000),"B",IF(AND(AF126&gt;50000000,AF126&lt;=250000000),"C",IF(AND(AF126&gt;250000000,AF126&lt;=500000000),"D","E"))))</f>
        <v>#DIV/0!</v>
      </c>
    </row>
    <row r="127" spans="1:31" ht="13.5" customHeight="1">
      <c r="A127" s="286"/>
      <c r="B127" s="284"/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284"/>
      <c r="N127" s="284"/>
      <c r="O127" s="284"/>
      <c r="P127" s="284"/>
      <c r="Q127" s="284"/>
      <c r="R127" s="284"/>
      <c r="S127" s="284"/>
      <c r="T127" s="284"/>
      <c r="U127" s="284"/>
      <c r="V127" s="284"/>
      <c r="W127" s="284"/>
      <c r="X127" s="284"/>
      <c r="Y127" s="284"/>
      <c r="Z127" s="284"/>
      <c r="AA127" s="284"/>
      <c r="AB127" s="284"/>
      <c r="AC127" s="284"/>
      <c r="AD127" s="284"/>
      <c r="AE127" s="284"/>
    </row>
    <row r="128" spans="1:35" ht="13.5" customHeight="1">
      <c r="A128" s="286" t="s">
        <v>436</v>
      </c>
      <c r="B128" s="287"/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284"/>
      <c r="N128" s="284"/>
      <c r="O128" s="284"/>
      <c r="P128" s="284"/>
      <c r="Q128" s="284"/>
      <c r="R128" s="284"/>
      <c r="S128" s="284"/>
      <c r="T128" s="284"/>
      <c r="U128" s="284"/>
      <c r="V128" s="284"/>
      <c r="W128" s="284"/>
      <c r="X128" s="286" t="s">
        <v>456</v>
      </c>
      <c r="Y128" s="284"/>
      <c r="Z128" s="284"/>
      <c r="AA128" s="284"/>
      <c r="AB128" s="284"/>
      <c r="AC128" s="284"/>
      <c r="AD128" s="284"/>
      <c r="AE128" s="284"/>
      <c r="AF128" s="3006" t="e">
        <f>IF($AK$126="A",0,IF($AK$126="B",0.05*$AF$126,IF($AK$126="C",0.15*$AF$126-5000000,IF($AK$126="D",0.25*$AF$126-30000000,IF($AK$126="E",0.3*$AF$126-55000000)))))</f>
        <v>#DIV/0!</v>
      </c>
      <c r="AG128" s="3006"/>
      <c r="AH128" s="3006"/>
      <c r="AI128" s="3006"/>
    </row>
    <row r="129" spans="1:31">
      <c r="A129" s="287"/>
      <c r="B129" s="287" t="s">
        <v>426</v>
      </c>
      <c r="C129" s="284"/>
      <c r="D129" s="284"/>
      <c r="E129" s="284"/>
      <c r="F129" s="284"/>
      <c r="G129" s="284"/>
      <c r="H129" s="284"/>
      <c r="I129" s="284"/>
      <c r="J129" s="3019">
        <f>J122/12*WORKPERIOD</f>
        <v>234178501</v>
      </c>
      <c r="K129" s="3019"/>
      <c r="L129" s="3019"/>
      <c r="M129" s="3019"/>
      <c r="N129" s="284"/>
      <c r="O129" s="284"/>
      <c r="P129" s="284"/>
      <c r="Q129" s="284"/>
      <c r="R129" s="284"/>
      <c r="S129" s="284"/>
      <c r="T129" s="284"/>
      <c r="U129" s="284"/>
      <c r="V129" s="284"/>
      <c r="W129" s="284"/>
      <c r="X129" s="284"/>
      <c r="Y129" s="284"/>
      <c r="Z129" s="284"/>
      <c r="AA129" s="284"/>
      <c r="AB129" s="284"/>
      <c r="AC129" s="284"/>
      <c r="AD129" s="284"/>
      <c r="AE129" s="284"/>
    </row>
    <row r="130" spans="1:31">
      <c r="A130" s="287"/>
      <c r="B130" s="287" t="s">
        <v>427</v>
      </c>
      <c r="C130" s="284"/>
      <c r="D130" s="284"/>
      <c r="E130" s="284"/>
      <c r="F130" s="284"/>
      <c r="G130" s="284"/>
      <c r="H130" s="284"/>
      <c r="I130" s="284"/>
      <c r="J130" s="3018">
        <f>J123/12*WORKPERIOD</f>
        <v>50876135</v>
      </c>
      <c r="K130" s="3018"/>
      <c r="L130" s="3018"/>
      <c r="M130" s="3018"/>
      <c r="N130" s="284"/>
      <c r="O130" s="284"/>
      <c r="P130" s="284"/>
      <c r="Q130" s="284"/>
      <c r="R130" s="284"/>
      <c r="S130" s="284"/>
      <c r="T130" s="284"/>
      <c r="U130" s="284"/>
      <c r="V130" s="284"/>
      <c r="W130" s="284"/>
      <c r="X130" s="284"/>
      <c r="Y130" s="284"/>
      <c r="Z130" s="284"/>
      <c r="AA130" s="284"/>
      <c r="AB130" s="284"/>
      <c r="AC130" s="284"/>
      <c r="AD130" s="284"/>
      <c r="AE130" s="284"/>
    </row>
    <row r="131" spans="1:31">
      <c r="A131" s="287"/>
      <c r="B131" s="287" t="s">
        <v>432</v>
      </c>
      <c r="C131" s="284"/>
      <c r="D131" s="284"/>
      <c r="E131" s="284"/>
      <c r="F131" s="284"/>
      <c r="G131" s="284"/>
      <c r="H131" s="284"/>
      <c r="I131" s="284"/>
      <c r="J131" s="289"/>
      <c r="K131" s="289"/>
      <c r="L131" s="289"/>
      <c r="M131" s="289"/>
      <c r="N131" s="3011">
        <f>J129+J130</f>
        <v>285054637</v>
      </c>
      <c r="O131" s="3011"/>
      <c r="P131" s="3011"/>
      <c r="Q131" s="3011"/>
      <c r="R131" s="284"/>
      <c r="S131" s="284"/>
      <c r="T131" s="284"/>
      <c r="U131" s="284"/>
      <c r="V131" s="284"/>
      <c r="W131" s="284"/>
      <c r="X131" s="284"/>
      <c r="Y131" s="284"/>
      <c r="Z131" s="284"/>
      <c r="AA131" s="284"/>
      <c r="AB131" s="284"/>
      <c r="AC131" s="284"/>
      <c r="AD131" s="284"/>
      <c r="AE131" s="284"/>
    </row>
    <row r="132" spans="1:31">
      <c r="A132" s="287"/>
      <c r="B132" s="284" t="s">
        <v>433</v>
      </c>
      <c r="C132" s="284"/>
      <c r="D132" s="284"/>
      <c r="E132" s="284"/>
      <c r="F132" s="284"/>
      <c r="G132" s="284"/>
      <c r="H132" s="284"/>
      <c r="I132" s="284"/>
      <c r="J132" s="284"/>
      <c r="K132" s="284"/>
      <c r="L132" s="284"/>
      <c r="M132" s="284"/>
      <c r="N132" s="3016">
        <f>N125/12*WORKPERIOD</f>
        <v>5037113</v>
      </c>
      <c r="O132" s="3016"/>
      <c r="P132" s="3016"/>
      <c r="Q132" s="3016"/>
      <c r="R132" s="284"/>
      <c r="S132" s="284"/>
      <c r="T132" s="284"/>
      <c r="U132" s="284"/>
      <c r="V132" s="284"/>
      <c r="W132" s="284"/>
      <c r="X132" s="284"/>
      <c r="Y132" s="284"/>
      <c r="Z132" s="284"/>
      <c r="AA132" s="284"/>
      <c r="AB132" s="284"/>
      <c r="AC132" s="284"/>
      <c r="AD132" s="284"/>
      <c r="AE132" s="284"/>
    </row>
    <row r="133" spans="1:31" ht="13.5" customHeight="1" thickBot="1">
      <c r="A133" s="287"/>
      <c r="B133" s="286" t="s">
        <v>437</v>
      </c>
      <c r="C133" s="284"/>
      <c r="D133" s="284"/>
      <c r="E133" s="284"/>
      <c r="F133" s="284"/>
      <c r="G133" s="284"/>
      <c r="H133" s="284"/>
      <c r="I133" s="284"/>
      <c r="J133" s="284"/>
      <c r="K133" s="284"/>
      <c r="L133" s="284"/>
      <c r="M133" s="284"/>
      <c r="N133" s="284"/>
      <c r="O133" s="284"/>
      <c r="P133" s="284"/>
      <c r="Q133" s="284"/>
      <c r="R133" s="3014">
        <f>N132+N131</f>
        <v>290091750</v>
      </c>
      <c r="S133" s="3014"/>
      <c r="T133" s="3014"/>
      <c r="U133" s="3014"/>
      <c r="V133" s="284"/>
      <c r="W133" s="284"/>
      <c r="X133" s="284"/>
      <c r="Y133" s="284"/>
      <c r="Z133" s="284"/>
      <c r="AA133" s="284"/>
      <c r="AB133" s="284"/>
      <c r="AC133" s="284"/>
      <c r="AD133" s="284"/>
      <c r="AE133" s="284"/>
    </row>
    <row r="134" spans="1:31" ht="13.5" customHeight="1" thickTop="1">
      <c r="A134" s="287"/>
      <c r="B134" s="287"/>
      <c r="C134" s="284"/>
      <c r="D134" s="284"/>
      <c r="E134" s="284"/>
      <c r="F134" s="284"/>
      <c r="G134" s="284"/>
      <c r="H134" s="284"/>
      <c r="I134" s="284"/>
      <c r="J134" s="284"/>
      <c r="K134" s="284"/>
      <c r="L134" s="284"/>
      <c r="M134" s="284"/>
      <c r="N134" s="284"/>
      <c r="O134" s="284"/>
      <c r="P134" s="284"/>
      <c r="Q134" s="284"/>
      <c r="R134" s="284"/>
      <c r="S134" s="284"/>
      <c r="T134" s="284"/>
      <c r="U134" s="284"/>
      <c r="V134" s="284"/>
      <c r="W134" s="284"/>
      <c r="X134" s="284"/>
      <c r="Y134" s="284"/>
      <c r="Z134" s="284"/>
      <c r="AA134" s="284"/>
      <c r="AB134" s="284"/>
      <c r="AC134" s="284"/>
      <c r="AD134" s="284"/>
      <c r="AE134" s="284"/>
    </row>
    <row r="135" spans="1:31">
      <c r="A135" s="287"/>
      <c r="B135" s="287"/>
      <c r="C135" s="284"/>
      <c r="D135" s="284"/>
      <c r="E135" s="284"/>
      <c r="F135" s="284"/>
      <c r="G135" s="284"/>
      <c r="H135" s="284"/>
      <c r="I135" s="284"/>
      <c r="J135" s="284"/>
      <c r="K135" s="284"/>
      <c r="L135" s="284"/>
      <c r="M135" s="284"/>
      <c r="N135" s="284"/>
      <c r="O135" s="284"/>
      <c r="P135" s="284"/>
      <c r="Q135" s="284"/>
      <c r="R135" s="284"/>
      <c r="S135" s="284"/>
      <c r="T135" s="284"/>
      <c r="U135" s="284"/>
      <c r="V135" s="284"/>
      <c r="W135" s="284"/>
      <c r="X135" s="284"/>
      <c r="Y135" s="284"/>
      <c r="Z135" s="284"/>
      <c r="AA135" s="284"/>
      <c r="AB135" s="284"/>
      <c r="AC135" s="284"/>
      <c r="AD135" s="284"/>
      <c r="AE135" s="284"/>
    </row>
    <row r="136" spans="1:31">
      <c r="A136" s="288"/>
      <c r="B136" s="287"/>
      <c r="C136" s="284"/>
      <c r="D136" s="284"/>
      <c r="E136" s="284"/>
      <c r="F136" s="284"/>
      <c r="G136" s="284"/>
      <c r="H136" s="284"/>
      <c r="I136" s="284"/>
      <c r="J136" s="284"/>
      <c r="K136" s="284"/>
      <c r="L136" s="284"/>
      <c r="M136" s="284"/>
      <c r="N136" s="284"/>
      <c r="O136" s="284"/>
      <c r="P136" s="284"/>
      <c r="Q136" s="284"/>
      <c r="R136" s="284"/>
      <c r="S136" s="284"/>
      <c r="T136" s="284"/>
      <c r="U136" s="284"/>
      <c r="V136" s="284"/>
      <c r="W136" s="284"/>
      <c r="X136" s="284"/>
      <c r="Y136" s="284"/>
      <c r="Z136" s="284"/>
      <c r="AA136" s="284"/>
      <c r="AB136" s="284"/>
      <c r="AC136" s="284"/>
      <c r="AD136" s="284"/>
      <c r="AE136" s="284"/>
    </row>
    <row r="137" spans="1:31" ht="20.25" customHeight="1">
      <c r="A137" s="285" t="s">
        <v>559</v>
      </c>
      <c r="B137" s="287"/>
      <c r="C137" s="284"/>
      <c r="D137" s="284"/>
      <c r="E137" s="284"/>
      <c r="F137" s="284"/>
      <c r="G137" s="284"/>
      <c r="H137" s="284"/>
      <c r="I137" s="284"/>
      <c r="J137" s="284"/>
      <c r="K137" s="284"/>
      <c r="L137" s="284"/>
      <c r="M137" s="284"/>
      <c r="N137" s="284"/>
      <c r="O137" s="284"/>
      <c r="P137" s="284"/>
      <c r="Q137" s="284"/>
      <c r="R137" s="284"/>
      <c r="S137" s="284"/>
      <c r="T137" s="284"/>
      <c r="U137" s="284"/>
      <c r="V137" s="284"/>
      <c r="W137" s="284"/>
      <c r="X137" s="284"/>
      <c r="Y137" s="284"/>
      <c r="Z137" s="284"/>
      <c r="AA137" s="284"/>
      <c r="AB137" s="284"/>
      <c r="AC137" s="284"/>
      <c r="AD137" s="284"/>
      <c r="AE137" s="284"/>
    </row>
    <row r="138" spans="1:31">
      <c r="A138" s="287"/>
      <c r="B138" s="287"/>
      <c r="C138" s="284"/>
      <c r="D138" s="284"/>
      <c r="E138" s="284"/>
      <c r="F138" s="284"/>
      <c r="G138" s="284"/>
      <c r="H138" s="284"/>
      <c r="I138" s="284"/>
      <c r="J138" s="284"/>
      <c r="K138" s="284"/>
      <c r="L138" s="284"/>
      <c r="M138" s="284"/>
      <c r="N138" s="284"/>
      <c r="O138" s="284"/>
      <c r="P138" s="284"/>
      <c r="Q138" s="284"/>
      <c r="R138" s="284"/>
      <c r="S138" s="284"/>
      <c r="T138" s="284"/>
      <c r="U138" s="284"/>
      <c r="V138" s="284"/>
      <c r="W138" s="284"/>
      <c r="X138" s="284"/>
      <c r="Y138" s="284"/>
      <c r="Z138" s="284"/>
      <c r="AA138" s="284"/>
      <c r="AB138" s="284"/>
      <c r="AC138" s="284"/>
      <c r="AD138" s="284"/>
      <c r="AE138" s="284"/>
    </row>
    <row r="139" spans="1:31" ht="13.5" customHeight="1">
      <c r="A139" s="286" t="s">
        <v>438</v>
      </c>
      <c r="B139" s="284"/>
      <c r="C139" s="284"/>
      <c r="D139" s="284"/>
      <c r="E139" s="284"/>
      <c r="F139" s="284"/>
      <c r="G139" s="284"/>
      <c r="H139" s="284"/>
      <c r="I139" s="284"/>
      <c r="J139" s="284"/>
      <c r="K139" s="284"/>
      <c r="L139" s="284"/>
      <c r="M139" s="284"/>
      <c r="N139" s="284"/>
      <c r="O139" s="284"/>
      <c r="P139" s="284"/>
      <c r="Q139" s="284"/>
      <c r="R139" s="284"/>
      <c r="S139" s="284"/>
      <c r="T139" s="284"/>
      <c r="U139" s="284"/>
      <c r="V139" s="284"/>
      <c r="W139" s="284"/>
      <c r="X139" s="284"/>
      <c r="Y139" s="284"/>
      <c r="Z139" s="284"/>
      <c r="AA139" s="284"/>
      <c r="AB139" s="284"/>
      <c r="AC139" s="284"/>
      <c r="AD139" s="284"/>
      <c r="AE139" s="284"/>
    </row>
    <row r="140" spans="1:31" ht="13.5" customHeight="1">
      <c r="A140" s="286"/>
      <c r="B140" s="284"/>
      <c r="C140" s="284"/>
      <c r="D140" s="284"/>
      <c r="E140" s="284"/>
      <c r="F140" s="284"/>
      <c r="G140" s="284"/>
      <c r="H140" s="284"/>
      <c r="I140" s="284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4"/>
      <c r="AD140" s="284"/>
      <c r="AE140" s="284"/>
    </row>
    <row r="141" spans="1:31">
      <c r="A141" s="284"/>
      <c r="B141" s="287" t="s">
        <v>439</v>
      </c>
      <c r="C141" s="284"/>
      <c r="D141" s="284"/>
      <c r="E141" s="284"/>
      <c r="F141" s="284"/>
      <c r="G141" s="284"/>
      <c r="H141" s="284"/>
      <c r="I141" s="284"/>
      <c r="J141" s="296">
        <f>IF(OR(ISBLANK(dateofdeparture)=True,(dateofdeparture-taxyearend)&gt;0),J110,0)</f>
        <v>0</v>
      </c>
      <c r="K141" s="296"/>
      <c r="L141" s="296"/>
      <c r="M141" s="296"/>
      <c r="N141" s="284"/>
      <c r="O141" s="284"/>
      <c r="P141" s="284"/>
      <c r="Q141" s="284"/>
      <c r="R141" s="284"/>
      <c r="S141" s="284"/>
      <c r="T141" s="284"/>
      <c r="U141" s="284"/>
      <c r="V141" s="284"/>
      <c r="W141" s="284"/>
      <c r="X141" s="284"/>
      <c r="Y141" s="284"/>
      <c r="Z141" s="284"/>
      <c r="AA141" s="284"/>
      <c r="AB141" s="284"/>
      <c r="AC141" s="284"/>
      <c r="AD141" s="284"/>
      <c r="AE141" s="284"/>
    </row>
    <row r="142" spans="1:31">
      <c r="A142" s="284"/>
      <c r="B142" s="287" t="s">
        <v>419</v>
      </c>
      <c r="C142" s="284"/>
      <c r="D142" s="284"/>
      <c r="E142" s="284"/>
      <c r="F142" s="284"/>
      <c r="G142" s="284"/>
      <c r="H142" s="284"/>
      <c r="I142" s="284"/>
      <c r="J142" s="3008">
        <f>IF(OR(ISBLANK(dateofdeparture)=True,(dateofdeparture-taxyearend)&gt;0),J111,0)</f>
        <v>0</v>
      </c>
      <c r="K142" s="3008"/>
      <c r="L142" s="3008"/>
      <c r="M142" s="3008"/>
      <c r="N142" s="284"/>
      <c r="O142" s="284"/>
      <c r="P142" s="284"/>
      <c r="Q142" s="284"/>
      <c r="R142" s="284"/>
      <c r="S142" s="284"/>
      <c r="T142" s="284"/>
      <c r="U142" s="284"/>
      <c r="V142" s="284"/>
      <c r="W142" s="284"/>
      <c r="X142" s="284"/>
      <c r="Y142" s="284"/>
      <c r="Z142" s="284"/>
      <c r="AA142" s="284"/>
      <c r="AB142" s="284"/>
      <c r="AC142" s="284"/>
      <c r="AD142" s="284"/>
      <c r="AE142" s="284"/>
    </row>
    <row r="143" spans="1:31">
      <c r="A143" s="284"/>
      <c r="B143" s="288" t="s">
        <v>420</v>
      </c>
      <c r="C143" s="284"/>
      <c r="D143" s="284"/>
      <c r="E143" s="284"/>
      <c r="F143" s="284"/>
      <c r="G143" s="284"/>
      <c r="H143" s="284"/>
      <c r="I143" s="284"/>
      <c r="J143" s="296"/>
      <c r="K143" s="296"/>
      <c r="L143" s="296"/>
      <c r="M143" s="296"/>
      <c r="N143" s="296">
        <f>J141+J142</f>
        <v>0</v>
      </c>
      <c r="O143" s="296"/>
      <c r="P143" s="296"/>
      <c r="Q143" s="296"/>
      <c r="R143" s="284"/>
      <c r="S143" s="284"/>
      <c r="T143" s="284"/>
      <c r="U143" s="284"/>
      <c r="V143" s="284"/>
      <c r="W143" s="284"/>
      <c r="X143" s="284"/>
      <c r="Y143" s="284"/>
      <c r="Z143" s="284"/>
      <c r="AA143" s="284"/>
      <c r="AB143" s="284"/>
      <c r="AC143" s="284"/>
      <c r="AD143" s="284"/>
      <c r="AE143" s="284"/>
    </row>
    <row r="144" spans="1:35" ht="13.5" customHeight="1">
      <c r="A144" s="284"/>
      <c r="B144" s="287"/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284"/>
      <c r="N144" s="296"/>
      <c r="O144" s="296"/>
      <c r="P144" s="296"/>
      <c r="Q144" s="296"/>
      <c r="R144" s="284"/>
      <c r="S144" s="284"/>
      <c r="T144" s="284"/>
      <c r="U144" s="284"/>
      <c r="V144" s="284"/>
      <c r="W144" s="284"/>
      <c r="X144" s="286" t="s">
        <v>616</v>
      </c>
      <c r="Y144" s="284"/>
      <c r="Z144" s="284"/>
      <c r="AA144" s="284"/>
      <c r="AB144" s="284"/>
      <c r="AC144" s="284"/>
      <c r="AD144" s="284"/>
      <c r="AE144" s="284"/>
      <c r="AF144" s="3007">
        <f>IF(MARITAL="UNMARRIED",15840000+(DEPENDENT*1320000),IF(MARITAL="MARRIED",17160000+(DEPENDENT*1320000),IF(MARITAL="married+",31680000+(DEPENDENT*1320000),"MARITAL STATUS?")))</f>
        <v>0</v>
      </c>
      <c r="AG144" s="3007"/>
      <c r="AH144" s="3007"/>
      <c r="AI144" s="3007"/>
    </row>
    <row r="145" spans="1:31">
      <c r="A145" s="284"/>
      <c r="B145" s="287" t="s">
        <v>421</v>
      </c>
      <c r="C145" s="284"/>
      <c r="D145" s="284"/>
      <c r="E145" s="284"/>
      <c r="F145" s="284"/>
      <c r="G145" s="284"/>
      <c r="H145" s="284"/>
      <c r="I145" s="284"/>
      <c r="J145" s="296">
        <f>IF(OR(ISBLANK(dateofdeparture)=True,(dateofdeparture-taxyearend)&gt;0),N113,0)</f>
        <v>0</v>
      </c>
      <c r="K145" s="296"/>
      <c r="L145" s="296"/>
      <c r="M145" s="296"/>
      <c r="N145" s="284"/>
      <c r="O145" s="284"/>
      <c r="P145" s="284"/>
      <c r="Q145" s="284"/>
      <c r="R145" s="284"/>
      <c r="S145" s="284"/>
      <c r="T145" s="284"/>
      <c r="U145" s="284"/>
      <c r="V145" s="284"/>
      <c r="W145" s="284"/>
      <c r="X145" s="284"/>
      <c r="Y145" s="284"/>
      <c r="Z145" s="284"/>
      <c r="AA145" s="284"/>
      <c r="AB145" s="284"/>
      <c r="AC145" s="284"/>
      <c r="AD145" s="284"/>
      <c r="AE145" s="284"/>
    </row>
    <row r="146" spans="1:31">
      <c r="A146" s="284"/>
      <c r="B146" s="287" t="s">
        <v>440</v>
      </c>
      <c r="C146" s="284"/>
      <c r="D146" s="284"/>
      <c r="E146" s="284"/>
      <c r="F146" s="284"/>
      <c r="G146" s="284"/>
      <c r="H146" s="284"/>
      <c r="I146" s="284"/>
      <c r="J146" s="3008">
        <f>IF(OR(ISBLANK(dateofdeparture)=True,(dateofdeparture-taxyearend)&gt;0),-(irregulardomesticincome*12/'GENERAL INFO'!V109),0)</f>
        <v>0</v>
      </c>
      <c r="K146" s="3008"/>
      <c r="L146" s="3008"/>
      <c r="M146" s="3008"/>
      <c r="N146" s="284"/>
      <c r="O146" s="284"/>
      <c r="P146" s="284"/>
      <c r="Q146" s="284"/>
      <c r="R146" s="284"/>
      <c r="S146" s="284"/>
      <c r="T146" s="284"/>
      <c r="U146" s="284"/>
      <c r="V146" s="284"/>
      <c r="W146" s="284"/>
      <c r="X146" s="284"/>
      <c r="Y146" s="284"/>
      <c r="Z146" s="284"/>
      <c r="AA146" s="284"/>
      <c r="AB146" s="284"/>
      <c r="AC146" s="284"/>
      <c r="AD146" s="284"/>
      <c r="AE146" s="284"/>
    </row>
    <row r="147" spans="1:31" ht="13.5" customHeight="1">
      <c r="A147" s="284"/>
      <c r="B147" s="287" t="s">
        <v>441</v>
      </c>
      <c r="C147" s="284"/>
      <c r="D147" s="284"/>
      <c r="E147" s="284"/>
      <c r="F147" s="284"/>
      <c r="G147" s="284"/>
      <c r="H147" s="284"/>
      <c r="I147" s="284"/>
      <c r="J147" s="296"/>
      <c r="K147" s="296"/>
      <c r="L147" s="296"/>
      <c r="M147" s="296"/>
      <c r="N147" s="296">
        <f>J145+J146</f>
        <v>0</v>
      </c>
      <c r="O147" s="296"/>
      <c r="P147" s="296"/>
      <c r="Q147" s="296"/>
      <c r="R147" s="284"/>
      <c r="S147" s="284"/>
      <c r="T147" s="284"/>
      <c r="U147" s="284"/>
      <c r="V147" s="284"/>
      <c r="W147" s="284"/>
      <c r="X147" s="286" t="s">
        <v>425</v>
      </c>
      <c r="Y147" s="284"/>
      <c r="Z147" s="284"/>
      <c r="AA147" s="284"/>
      <c r="AB147" s="284"/>
      <c r="AC147" s="284"/>
      <c r="AD147" s="284"/>
      <c r="AE147" s="284"/>
    </row>
    <row r="148" spans="1:37">
      <c r="A148" s="284"/>
      <c r="B148" s="287"/>
      <c r="C148" s="284"/>
      <c r="D148" s="284"/>
      <c r="E148" s="284"/>
      <c r="F148" s="284"/>
      <c r="G148" s="284"/>
      <c r="H148" s="284"/>
      <c r="I148" s="284"/>
      <c r="J148" s="284"/>
      <c r="K148" s="284"/>
      <c r="L148" s="284"/>
      <c r="M148" s="284"/>
      <c r="N148" s="296"/>
      <c r="O148" s="296"/>
      <c r="P148" s="296"/>
      <c r="Q148" s="296"/>
      <c r="R148" s="284"/>
      <c r="S148" s="284"/>
      <c r="T148" s="284"/>
      <c r="U148" s="284"/>
      <c r="V148" s="284"/>
      <c r="W148" s="284"/>
      <c r="X148" s="284"/>
      <c r="Y148" s="287" t="s">
        <v>426</v>
      </c>
      <c r="Z148" s="284"/>
      <c r="AA148" s="284"/>
      <c r="AB148" s="284"/>
      <c r="AC148" s="284"/>
      <c r="AD148" s="284"/>
      <c r="AE148" s="284"/>
      <c r="AF148" s="3003">
        <f>IF(OR(ISBLANK(dateofdeparture)=True,(dateofdeparture-taxyearend)&lt;0),IF(J141-R155&lt;0,0,J141-R155),0)</f>
        <v>0</v>
      </c>
      <c r="AG148" s="3003"/>
      <c r="AH148" s="3003"/>
      <c r="AI148" s="3003"/>
      <c r="AK148" s="280" t="e">
        <f>IF(AND(AF148&lt;=0),"A",IF(AND(AF148&lt;=50000000),"B",IF(AND(AF148&gt;50000000,AF148&lt;=250000000),"C",IF(AND(AF148&gt;250000000,AF148&lt;=500000000),"D","E"))))</f>
        <v>#VALUE!</v>
      </c>
    </row>
    <row r="149" spans="1:35">
      <c r="A149" s="284"/>
      <c r="B149" s="287" t="s">
        <v>422</v>
      </c>
      <c r="C149" s="284"/>
      <c r="D149" s="284"/>
      <c r="E149" s="284"/>
      <c r="F149" s="284"/>
      <c r="G149" s="284"/>
      <c r="H149" s="284"/>
      <c r="I149" s="284"/>
      <c r="J149" s="296">
        <f>IF(OR(ISBLANK(dateofdeparture)=True,(dateofdeparture-taxyearend)&gt;0),N114,0)</f>
        <v>0</v>
      </c>
      <c r="K149" s="296"/>
      <c r="L149" s="296"/>
      <c r="M149" s="296"/>
      <c r="N149" s="284"/>
      <c r="O149" s="284"/>
      <c r="P149" s="284"/>
      <c r="Q149" s="284"/>
      <c r="R149" s="284"/>
      <c r="S149" s="284"/>
      <c r="T149" s="284"/>
      <c r="U149" s="284"/>
      <c r="V149" s="284"/>
      <c r="W149" s="284"/>
      <c r="X149" s="284"/>
      <c r="Y149" s="287" t="s">
        <v>427</v>
      </c>
      <c r="Z149" s="284"/>
      <c r="AA149" s="284"/>
      <c r="AB149" s="284"/>
      <c r="AC149" s="284"/>
      <c r="AD149" s="284"/>
      <c r="AE149" s="284"/>
      <c r="AF149" s="3012">
        <f>J$142</f>
        <v>0</v>
      </c>
      <c r="AG149" s="3012"/>
      <c r="AH149" s="3012"/>
      <c r="AI149" s="3012"/>
    </row>
    <row r="150" spans="1:37">
      <c r="A150" s="284"/>
      <c r="B150" s="287" t="s">
        <v>442</v>
      </c>
      <c r="C150" s="284"/>
      <c r="D150" s="284"/>
      <c r="E150" s="284"/>
      <c r="F150" s="284"/>
      <c r="G150" s="284"/>
      <c r="H150" s="284"/>
      <c r="I150" s="284"/>
      <c r="J150" s="3008">
        <f>IF(OR(ISBLANK(dateofdeparture)=True,(dateofdeparture-taxyearend)&gt;0),(-'OVERSEAS INCOME'!T630/WORKPERIOD*12),0)</f>
        <v>0</v>
      </c>
      <c r="K150" s="3008"/>
      <c r="L150" s="3008"/>
      <c r="M150" s="3008"/>
      <c r="N150" s="296"/>
      <c r="O150" s="296"/>
      <c r="P150" s="296"/>
      <c r="Q150" s="296"/>
      <c r="R150" s="284"/>
      <c r="S150" s="284"/>
      <c r="T150" s="284"/>
      <c r="U150" s="284"/>
      <c r="V150" s="284"/>
      <c r="W150" s="284"/>
      <c r="X150" s="284"/>
      <c r="Y150" s="284" t="s">
        <v>428</v>
      </c>
      <c r="Z150" s="284"/>
      <c r="AA150" s="284"/>
      <c r="AB150" s="284"/>
      <c r="AC150" s="284"/>
      <c r="AD150" s="284"/>
      <c r="AE150" s="284"/>
      <c r="AF150" s="3003">
        <f>IF(OR(ISBLANK(dateofdeparture)=True,(dateofdeparture-taxyearend)&lt;0),IF(N143-R155&lt;0,0,N143-R155),0)</f>
        <v>0</v>
      </c>
      <c r="AG150" s="3003"/>
      <c r="AH150" s="3003"/>
      <c r="AI150" s="3003"/>
      <c r="AK150" s="280" t="e">
        <f>IF(AND(AF150&lt;=0),"A",IF(AND(AF150&lt;=50000000),"B",IF(AND(AF150&gt;50000000,AF150&lt;=250000000),"C",IF(AND(AF150&gt;250000000,AF150&lt;=500000000),"D","E"))))</f>
        <v>#VALUE!</v>
      </c>
    </row>
    <row r="151" spans="1:31">
      <c r="A151" s="284"/>
      <c r="B151" s="287" t="s">
        <v>443</v>
      </c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96">
        <f>J149+J150</f>
        <v>0</v>
      </c>
      <c r="O151" s="296"/>
      <c r="P151" s="296"/>
      <c r="Q151" s="296"/>
      <c r="R151" s="284"/>
      <c r="S151" s="284"/>
      <c r="T151" s="284"/>
      <c r="U151" s="284"/>
      <c r="V151" s="284"/>
      <c r="W151" s="284"/>
      <c r="X151" s="284"/>
      <c r="Y151" s="284"/>
      <c r="Z151" s="284"/>
      <c r="AA151" s="284"/>
      <c r="AB151" s="284"/>
      <c r="AC151" s="284"/>
      <c r="AD151" s="284"/>
      <c r="AE151" s="284"/>
    </row>
    <row r="152" spans="1:31" ht="6.75" customHeight="1">
      <c r="A152" s="287"/>
      <c r="B152" s="284"/>
      <c r="C152" s="284"/>
      <c r="D152" s="284"/>
      <c r="E152" s="284"/>
      <c r="F152" s="284"/>
      <c r="G152" s="284"/>
      <c r="H152" s="284"/>
      <c r="I152" s="284"/>
      <c r="J152" s="284"/>
      <c r="K152" s="284"/>
      <c r="L152" s="284"/>
      <c r="M152" s="284"/>
      <c r="N152" s="290"/>
      <c r="O152" s="290"/>
      <c r="P152" s="290"/>
      <c r="Q152" s="290"/>
      <c r="R152" s="284"/>
      <c r="S152" s="284"/>
      <c r="T152" s="284"/>
      <c r="U152" s="284"/>
      <c r="V152" s="284"/>
      <c r="W152" s="284"/>
      <c r="X152" s="284"/>
      <c r="Y152" s="284"/>
      <c r="Z152" s="284"/>
      <c r="AA152" s="284"/>
      <c r="AB152" s="284"/>
      <c r="AC152" s="284"/>
      <c r="AD152" s="284"/>
      <c r="AE152" s="284"/>
    </row>
    <row r="153" spans="1:31">
      <c r="A153" s="287"/>
      <c r="B153" s="284" t="s">
        <v>444</v>
      </c>
      <c r="C153" s="284"/>
      <c r="D153" s="284"/>
      <c r="E153" s="284"/>
      <c r="F153" s="284"/>
      <c r="G153" s="284"/>
      <c r="H153" s="284"/>
      <c r="I153" s="284"/>
      <c r="J153" s="284"/>
      <c r="K153" s="284"/>
      <c r="L153" s="284"/>
      <c r="M153" s="284"/>
      <c r="N153" s="284"/>
      <c r="O153" s="284"/>
      <c r="P153" s="284"/>
      <c r="Q153" s="284"/>
      <c r="R153" s="296">
        <f>IF(N151&gt;0,N143+N147+N151,N143+N147+0)</f>
        <v>0</v>
      </c>
      <c r="S153" s="296"/>
      <c r="T153" s="296"/>
      <c r="U153" s="296"/>
      <c r="V153" s="284"/>
      <c r="W153" s="284"/>
      <c r="X153" s="284"/>
      <c r="Y153" s="284"/>
      <c r="Z153" s="284"/>
      <c r="AA153" s="284"/>
      <c r="AB153" s="284"/>
      <c r="AC153" s="284"/>
      <c r="AD153" s="284"/>
      <c r="AE153" s="284"/>
    </row>
    <row r="154" spans="1:31">
      <c r="A154" s="287"/>
      <c r="B154" s="284"/>
      <c r="C154" s="284"/>
      <c r="D154" s="284"/>
      <c r="E154" s="284"/>
      <c r="F154" s="284"/>
      <c r="G154" s="284"/>
      <c r="H154" s="284"/>
      <c r="I154" s="284"/>
      <c r="J154" s="284"/>
      <c r="K154" s="284"/>
      <c r="L154" s="284"/>
      <c r="M154" s="284"/>
      <c r="N154" s="284"/>
      <c r="O154" s="284"/>
      <c r="P154" s="284"/>
      <c r="Q154" s="284"/>
      <c r="R154" s="284"/>
      <c r="S154" s="284"/>
      <c r="T154" s="284"/>
      <c r="U154" s="284"/>
      <c r="V154" s="284"/>
      <c r="W154" s="284"/>
      <c r="X154" s="284"/>
      <c r="Y154" s="284"/>
      <c r="Z154" s="284"/>
      <c r="AA154" s="284"/>
      <c r="AB154" s="284"/>
      <c r="AC154" s="284"/>
      <c r="AD154" s="284"/>
      <c r="AE154" s="284"/>
    </row>
    <row r="155" spans="1:31" ht="13.5" customHeight="1">
      <c r="A155" s="286" t="s">
        <v>445</v>
      </c>
      <c r="B155" s="291"/>
      <c r="C155" s="284"/>
      <c r="D155" s="284"/>
      <c r="E155" s="284"/>
      <c r="F155" s="284"/>
      <c r="G155" s="284"/>
      <c r="H155" s="284"/>
      <c r="I155" s="284"/>
      <c r="J155" s="284"/>
      <c r="K155" s="284"/>
      <c r="L155" s="284"/>
      <c r="M155" s="284"/>
      <c r="N155" s="284"/>
      <c r="O155" s="284"/>
      <c r="P155" s="284"/>
      <c r="Q155" s="284"/>
      <c r="R155" s="3008">
        <f>IF('GENERAL INFO'!K6="X",personalreliefs,0)</f>
        <v>58500000</v>
      </c>
      <c r="S155" s="3008"/>
      <c r="T155" s="3008"/>
      <c r="U155" s="3008"/>
      <c r="V155" s="284"/>
      <c r="W155" s="284"/>
      <c r="X155" s="284"/>
      <c r="Y155" s="284"/>
      <c r="Z155" s="284"/>
      <c r="AA155" s="284"/>
      <c r="AB155" s="284"/>
      <c r="AC155" s="284"/>
      <c r="AD155" s="284"/>
      <c r="AE155" s="284"/>
    </row>
    <row r="156" spans="1:31" ht="13.5" customHeight="1">
      <c r="A156" s="286"/>
      <c r="B156" s="291"/>
      <c r="C156" s="284"/>
      <c r="D156" s="284"/>
      <c r="E156" s="284"/>
      <c r="F156" s="284"/>
      <c r="G156" s="284"/>
      <c r="H156" s="284"/>
      <c r="I156" s="284"/>
      <c r="J156" s="284"/>
      <c r="K156" s="284"/>
      <c r="L156" s="284"/>
      <c r="M156" s="284"/>
      <c r="N156" s="284"/>
      <c r="O156" s="284"/>
      <c r="P156" s="284"/>
      <c r="Q156" s="284"/>
      <c r="R156" s="284"/>
      <c r="S156" s="284"/>
      <c r="T156" s="284"/>
      <c r="U156" s="284"/>
      <c r="V156" s="284"/>
      <c r="W156" s="284"/>
      <c r="X156" s="284"/>
      <c r="Y156" s="284"/>
      <c r="Z156" s="284"/>
      <c r="AA156" s="284"/>
      <c r="AB156" s="284"/>
      <c r="AC156" s="284"/>
      <c r="AD156" s="284"/>
      <c r="AE156" s="284"/>
    </row>
    <row r="157" spans="1:31" ht="13.5" customHeight="1">
      <c r="A157" s="286" t="s">
        <v>430</v>
      </c>
      <c r="B157" s="287"/>
      <c r="C157" s="284"/>
      <c r="D157" s="284"/>
      <c r="E157" s="284"/>
      <c r="F157" s="284"/>
      <c r="G157" s="284"/>
      <c r="H157" s="284"/>
      <c r="I157" s="284"/>
      <c r="J157" s="284"/>
      <c r="K157" s="284"/>
      <c r="L157" s="284"/>
      <c r="M157" s="284"/>
      <c r="N157" s="284"/>
      <c r="O157" s="284"/>
      <c r="P157" s="284"/>
      <c r="Q157" s="284"/>
      <c r="R157" s="296">
        <f>IF(AF163&lt;0,0,AF163)</f>
        <v>0</v>
      </c>
      <c r="S157" s="296"/>
      <c r="T157" s="296"/>
      <c r="U157" s="296"/>
      <c r="V157" s="284"/>
      <c r="W157" s="284"/>
      <c r="X157" s="286" t="s">
        <v>425</v>
      </c>
      <c r="Y157" s="284"/>
      <c r="Z157" s="284"/>
      <c r="AA157" s="284"/>
      <c r="AB157" s="284"/>
      <c r="AC157" s="284"/>
      <c r="AD157" s="284"/>
      <c r="AE157" s="284"/>
    </row>
    <row r="158" spans="1:37" ht="13.5" customHeight="1">
      <c r="A158" s="286"/>
      <c r="B158" s="287"/>
      <c r="C158" s="284"/>
      <c r="D158" s="284"/>
      <c r="E158" s="284"/>
      <c r="F158" s="284"/>
      <c r="G158" s="284"/>
      <c r="H158" s="284"/>
      <c r="I158" s="284"/>
      <c r="J158" s="284"/>
      <c r="K158" s="3013"/>
      <c r="L158" s="3013"/>
      <c r="M158" s="3013"/>
      <c r="N158" s="284"/>
      <c r="O158" s="284"/>
      <c r="P158" s="284"/>
      <c r="Q158" s="284"/>
      <c r="R158" s="284"/>
      <c r="S158" s="284"/>
      <c r="T158" s="284"/>
      <c r="U158" s="284"/>
      <c r="V158" s="284"/>
      <c r="W158" s="284"/>
      <c r="X158" s="284"/>
      <c r="Y158" s="287" t="s">
        <v>426</v>
      </c>
      <c r="Z158" s="284"/>
      <c r="AA158" s="284"/>
      <c r="AB158" s="284"/>
      <c r="AC158" s="284"/>
      <c r="AD158" s="284"/>
      <c r="AE158" s="284"/>
      <c r="AF158" s="3003">
        <f>IF(OR(ISBLANK(dateofdeparture)=True,(dateofdeparture-taxyearend)&lt;0),J141-R155,0)</f>
        <v>-58500000</v>
      </c>
      <c r="AG158" s="3003"/>
      <c r="AH158" s="3003"/>
      <c r="AI158" s="3003"/>
      <c r="AK158" s="280" t="e">
        <f>IF(AND(AF158&lt;=0),"A",IF(AND(AF158&lt;=50000000),"B",IF(AND(AF158&gt;50000000,AF158&lt;=250000000),"C",IF(AND(AF158&gt;250000000,AF158&lt;=500000000),"D","E"))))</f>
        <v>#VALUE!</v>
      </c>
    </row>
    <row r="159" spans="1:35" ht="13.5" customHeight="1">
      <c r="A159" s="286" t="s">
        <v>431</v>
      </c>
      <c r="B159" s="287"/>
      <c r="C159" s="284"/>
      <c r="D159" s="284"/>
      <c r="E159" s="284"/>
      <c r="F159" s="284"/>
      <c r="G159" s="284"/>
      <c r="H159" s="284"/>
      <c r="I159" s="284"/>
      <c r="J159" s="284"/>
      <c r="K159" s="284"/>
      <c r="L159" s="284"/>
      <c r="M159" s="284"/>
      <c r="N159" s="284"/>
      <c r="O159" s="284"/>
      <c r="P159" s="284"/>
      <c r="Q159" s="284"/>
      <c r="R159" s="284"/>
      <c r="S159" s="284"/>
      <c r="T159" s="284"/>
      <c r="U159" s="284"/>
      <c r="V159" s="284"/>
      <c r="W159" s="284"/>
      <c r="X159" s="284"/>
      <c r="Y159" s="287" t="s">
        <v>427</v>
      </c>
      <c r="Z159" s="284"/>
      <c r="AA159" s="284"/>
      <c r="AB159" s="284"/>
      <c r="AC159" s="284"/>
      <c r="AD159" s="284"/>
      <c r="AE159" s="284"/>
      <c r="AF159" s="3012">
        <f>J$142</f>
        <v>0</v>
      </c>
      <c r="AG159" s="3012"/>
      <c r="AH159" s="3012"/>
      <c r="AI159" s="3012"/>
    </row>
    <row r="160" spans="1:37" ht="13.5" customHeight="1">
      <c r="A160" s="286"/>
      <c r="B160" s="287" t="s">
        <v>426</v>
      </c>
      <c r="C160" s="284"/>
      <c r="D160" s="284"/>
      <c r="E160" s="284"/>
      <c r="F160" s="284"/>
      <c r="G160" s="284"/>
      <c r="H160" s="284"/>
      <c r="I160" s="284"/>
      <c r="J160" s="296">
        <f>IF('GENERAL INFO'!K6="X",IF(AK148="A",0,IF(AK148="B",0.05*AF60,IF(AK148="C",0.15*AF148-5000000,IF(AK148="D",0.25*AF148-30000000,IF(AK148="E",0.3*AF60-55000000))))),0)</f>
        <v>0</v>
      </c>
      <c r="K160" s="296"/>
      <c r="L160" s="296"/>
      <c r="M160" s="296"/>
      <c r="N160" s="284"/>
      <c r="O160" s="284"/>
      <c r="P160" s="284"/>
      <c r="Q160" s="284"/>
      <c r="R160" s="284"/>
      <c r="S160" s="284"/>
      <c r="T160" s="284"/>
      <c r="U160" s="284"/>
      <c r="V160" s="284"/>
      <c r="W160" s="284"/>
      <c r="X160" s="284"/>
      <c r="Y160" s="284" t="s">
        <v>428</v>
      </c>
      <c r="Z160" s="284"/>
      <c r="AA160" s="284"/>
      <c r="AB160" s="284"/>
      <c r="AC160" s="284"/>
      <c r="AD160" s="284"/>
      <c r="AE160" s="284"/>
      <c r="AF160" s="3003">
        <f>IF(OR(ISBLANK(dateofdeparture)=True,(dateofdeparture-taxyearend)&lt;0),N143-R155,0)</f>
        <v>-58500000</v>
      </c>
      <c r="AG160" s="3003"/>
      <c r="AH160" s="3003"/>
      <c r="AI160" s="3003"/>
      <c r="AK160" s="280" t="e">
        <f>IF(AND(AF160&lt;=0),"A",IF(AND(AF160&lt;=50000000),"B",IF(AND(AF160&gt;50000000,AF160&lt;=250000000),"C",IF(AND(AF160&gt;250000000,AF160&lt;=500000000),"D","E"))))</f>
        <v>#VALUE!</v>
      </c>
    </row>
    <row r="161" spans="1:35" ht="13.5" customHeight="1">
      <c r="A161" s="286"/>
      <c r="B161" s="287" t="s">
        <v>427</v>
      </c>
      <c r="C161" s="284"/>
      <c r="D161" s="284"/>
      <c r="E161" s="284"/>
      <c r="F161" s="284"/>
      <c r="G161" s="284"/>
      <c r="H161" s="284"/>
      <c r="I161" s="284"/>
      <c r="J161" s="3006">
        <f>N162-J160</f>
        <v>0</v>
      </c>
      <c r="K161" s="3006"/>
      <c r="L161" s="3006"/>
      <c r="M161" s="3006"/>
      <c r="N161" s="284"/>
      <c r="O161" s="284"/>
      <c r="P161" s="284"/>
      <c r="Q161" s="284"/>
      <c r="R161" s="284"/>
      <c r="S161" s="284"/>
      <c r="T161" s="284"/>
      <c r="U161" s="284"/>
      <c r="V161" s="284"/>
      <c r="W161" s="284"/>
      <c r="X161" s="284"/>
      <c r="Y161" s="287" t="s">
        <v>421</v>
      </c>
      <c r="Z161" s="284"/>
      <c r="AA161" s="284"/>
      <c r="AB161" s="284"/>
      <c r="AC161" s="284"/>
      <c r="AD161" s="284"/>
      <c r="AE161" s="284"/>
      <c r="AF161" s="3003">
        <f>N147</f>
        <v>0</v>
      </c>
      <c r="AG161" s="3003"/>
      <c r="AH161" s="3003"/>
      <c r="AI161" s="3003"/>
    </row>
    <row r="162" spans="1:35">
      <c r="A162" s="287"/>
      <c r="B162" s="287" t="s">
        <v>432</v>
      </c>
      <c r="C162" s="284"/>
      <c r="D162" s="284"/>
      <c r="E162" s="284"/>
      <c r="F162" s="284"/>
      <c r="G162" s="284"/>
      <c r="H162" s="284"/>
      <c r="I162" s="284"/>
      <c r="J162" s="284"/>
      <c r="K162" s="284"/>
      <c r="L162" s="284"/>
      <c r="M162" s="284"/>
      <c r="N162" s="3011">
        <f>IF('GENERAL INFO'!K6="X",IF(OR(ISBLANK(dateofdeparture)=True,(dateofdeparture-taxyearend)&lt;0),IF(AK150="A",0,IF(AK150="B",0.05*AF150,IF(AK150="C",0.15*AF150-5000000,IF(AK150="D",0.25*AF150-30000000,IF(AK150="E",0.3*AF150-55000000)))))),0)</f>
        <v>0</v>
      </c>
      <c r="O162" s="3011"/>
      <c r="P162" s="3011"/>
      <c r="Q162" s="3011"/>
      <c r="R162" s="284"/>
      <c r="S162" s="284"/>
      <c r="T162" s="284"/>
      <c r="U162" s="284"/>
      <c r="V162" s="284"/>
      <c r="W162" s="284"/>
      <c r="X162" s="284"/>
      <c r="Y162" s="287" t="s">
        <v>422</v>
      </c>
      <c r="Z162" s="284"/>
      <c r="AA162" s="284"/>
      <c r="AB162" s="284"/>
      <c r="AC162" s="284"/>
      <c r="AD162" s="284"/>
      <c r="AE162" s="284"/>
      <c r="AF162" s="3012">
        <f>N151</f>
        <v>0</v>
      </c>
      <c r="AG162" s="3012"/>
      <c r="AH162" s="3012"/>
      <c r="AI162" s="3012"/>
    </row>
    <row r="163" spans="1:37" ht="13.5" customHeight="1">
      <c r="A163" s="286"/>
      <c r="B163" s="284" t="s">
        <v>433</v>
      </c>
      <c r="C163" s="284"/>
      <c r="D163" s="284"/>
      <c r="E163" s="284"/>
      <c r="F163" s="284"/>
      <c r="G163" s="284"/>
      <c r="H163" s="284"/>
      <c r="I163" s="284"/>
      <c r="J163" s="284"/>
      <c r="K163" s="284"/>
      <c r="L163" s="284"/>
      <c r="M163" s="284"/>
      <c r="N163" s="3006">
        <f>IF(AF166-N162&lt;0,0,AF166-N162)</f>
        <v>0</v>
      </c>
      <c r="O163" s="3006"/>
      <c r="P163" s="3006"/>
      <c r="Q163" s="3006"/>
      <c r="R163" s="284"/>
      <c r="S163" s="284"/>
      <c r="T163" s="284"/>
      <c r="U163" s="284"/>
      <c r="V163" s="284"/>
      <c r="W163" s="284"/>
      <c r="X163" s="284"/>
      <c r="Y163" s="287" t="s">
        <v>446</v>
      </c>
      <c r="Z163" s="284"/>
      <c r="AA163" s="284"/>
      <c r="AB163" s="284"/>
      <c r="AC163" s="284"/>
      <c r="AD163" s="284"/>
      <c r="AE163" s="284"/>
      <c r="AF163" s="3003">
        <f>SUM(AF160:AI162)</f>
        <v>-58500000</v>
      </c>
      <c r="AG163" s="3003"/>
      <c r="AH163" s="3003"/>
      <c r="AI163" s="3003"/>
      <c r="AK163" s="280" t="e">
        <f>IF(AND(AF163&lt;=0),"A",IF(AND(AF163&lt;=50000000),"B",IF(AND(AF163&gt;50000000,AF163&lt;=250000000),"C",IF(AND(AF163&gt;250000000,AF163&lt;=500000000),"D","E"))))</f>
        <v>#VALUE!</v>
      </c>
    </row>
    <row r="164" spans="1:37" ht="13.5" customHeight="1">
      <c r="A164" s="286"/>
      <c r="B164" s="284" t="s">
        <v>434</v>
      </c>
      <c r="C164" s="284"/>
      <c r="D164" s="284"/>
      <c r="E164" s="284"/>
      <c r="F164" s="284"/>
      <c r="G164" s="284"/>
      <c r="H164" s="284"/>
      <c r="I164" s="284"/>
      <c r="J164" s="284"/>
      <c r="K164" s="284"/>
      <c r="L164" s="284"/>
      <c r="M164" s="284"/>
      <c r="N164" s="284"/>
      <c r="O164" s="284"/>
      <c r="P164" s="284"/>
      <c r="Q164" s="284"/>
      <c r="R164" s="3006">
        <f>IF(AF166&lt;N162,N162,AF166)</f>
        <v>0</v>
      </c>
      <c r="S164" s="3006"/>
      <c r="T164" s="3006"/>
      <c r="U164" s="3006"/>
      <c r="V164" s="284"/>
      <c r="W164" s="284"/>
      <c r="X164" s="284"/>
      <c r="Y164" s="287" t="s">
        <v>435</v>
      </c>
      <c r="Z164" s="284"/>
      <c r="AA164" s="284"/>
      <c r="AB164" s="284"/>
      <c r="AC164" s="284"/>
      <c r="AD164" s="284"/>
      <c r="AE164" s="284"/>
      <c r="AF164" s="3003">
        <f>INT(AF163/1000)*1000</f>
        <v>0</v>
      </c>
      <c r="AG164" s="3003"/>
      <c r="AH164" s="3003"/>
      <c r="AI164" s="3003"/>
      <c r="AK164" s="280" t="e">
        <f>IF(AND(AF164&lt;=0),"A",IF(AND(AF164&lt;=50000000),"B",IF(AND(AF164&gt;50000000,AF164&lt;=250000000),"C",IF(AND(AF164&gt;250000000,AF164&lt;=500000000),"D","E"))))</f>
        <v>#VALUE!</v>
      </c>
    </row>
    <row r="165" spans="1:31" ht="13.5" customHeight="1">
      <c r="A165" s="286"/>
      <c r="B165" s="284"/>
      <c r="C165" s="284"/>
      <c r="D165" s="284"/>
      <c r="E165" s="284"/>
      <c r="F165" s="284"/>
      <c r="G165" s="284"/>
      <c r="H165" s="284"/>
      <c r="I165" s="284"/>
      <c r="J165" s="284"/>
      <c r="K165" s="284"/>
      <c r="L165" s="284"/>
      <c r="M165" s="284"/>
      <c r="N165" s="284"/>
      <c r="O165" s="284"/>
      <c r="P165" s="284"/>
      <c r="Q165" s="284"/>
      <c r="R165" s="284"/>
      <c r="S165" s="284"/>
      <c r="T165" s="284"/>
      <c r="U165" s="284"/>
      <c r="V165" s="284"/>
      <c r="W165" s="284"/>
      <c r="X165" s="284"/>
      <c r="Y165" s="284"/>
      <c r="Z165" s="284"/>
      <c r="AA165" s="284"/>
      <c r="AB165" s="284"/>
      <c r="AC165" s="284"/>
      <c r="AD165" s="284"/>
      <c r="AE165" s="284"/>
    </row>
    <row r="166" spans="1:38" ht="13.5" customHeight="1">
      <c r="A166" s="286" t="s">
        <v>436</v>
      </c>
      <c r="B166" s="287"/>
      <c r="C166" s="284"/>
      <c r="D166" s="284"/>
      <c r="E166" s="284"/>
      <c r="F166" s="284"/>
      <c r="G166" s="284"/>
      <c r="H166" s="284"/>
      <c r="I166" s="284"/>
      <c r="J166" s="284"/>
      <c r="K166" s="284"/>
      <c r="L166" s="284"/>
      <c r="M166" s="284"/>
      <c r="N166" s="284"/>
      <c r="O166" s="284"/>
      <c r="P166" s="284"/>
      <c r="Q166" s="284"/>
      <c r="R166" s="284"/>
      <c r="S166" s="284"/>
      <c r="T166" s="284"/>
      <c r="U166" s="284"/>
      <c r="V166" s="284"/>
      <c r="W166" s="284"/>
      <c r="X166" s="286" t="s">
        <v>456</v>
      </c>
      <c r="Y166" s="284"/>
      <c r="Z166" s="284"/>
      <c r="AA166" s="284"/>
      <c r="AB166" s="284"/>
      <c r="AC166" s="284"/>
      <c r="AD166" s="284"/>
      <c r="AE166" s="284"/>
      <c r="AF166" s="3006" t="e">
        <f>IF(OR(ISBLANK(dateofdeparture)=True,(dateofdeparture-taxyearend)&lt;0),AL166,0)</f>
        <v>#VALUE!</v>
      </c>
      <c r="AG166" s="3006"/>
      <c r="AH166" s="3006"/>
      <c r="AI166" s="3006"/>
      <c r="AL166" s="272" t="e">
        <f>IF($AK$164="A",0,IF(AK164="B",0.05*$AF$164,IF($AK$164="C",0.15*$AF$164-5000000,IF($AK$164="D",0.25*$AF$164-30000000,IF($AK$164="E",0.3*$AF$164-55000000)))))</f>
        <v>#VALUE!</v>
      </c>
    </row>
    <row r="167" spans="1:31">
      <c r="A167" s="287"/>
      <c r="B167" s="287" t="s">
        <v>426</v>
      </c>
      <c r="C167" s="284"/>
      <c r="D167" s="284"/>
      <c r="E167" s="284"/>
      <c r="F167" s="284"/>
      <c r="G167" s="284"/>
      <c r="H167" s="284"/>
      <c r="I167" s="284"/>
      <c r="J167" s="3017">
        <f>J160/12*WORKPERIOD</f>
        <v>0</v>
      </c>
      <c r="K167" s="289"/>
      <c r="L167" s="289"/>
      <c r="M167" s="289"/>
      <c r="N167" s="284"/>
      <c r="O167" s="284"/>
      <c r="P167" s="284"/>
      <c r="Q167" s="284"/>
      <c r="R167" s="284"/>
      <c r="S167" s="284"/>
      <c r="T167" s="284"/>
      <c r="U167" s="284"/>
      <c r="V167" s="284"/>
      <c r="W167" s="284"/>
      <c r="X167" s="284"/>
      <c r="Y167" s="284"/>
      <c r="Z167" s="284"/>
      <c r="AA167" s="284"/>
      <c r="AB167" s="284"/>
      <c r="AC167" s="284"/>
      <c r="AD167" s="284"/>
      <c r="AE167" s="284"/>
    </row>
    <row r="168" spans="1:31">
      <c r="A168" s="287"/>
      <c r="B168" s="287" t="s">
        <v>427</v>
      </c>
      <c r="C168" s="284"/>
      <c r="D168" s="284"/>
      <c r="E168" s="284"/>
      <c r="F168" s="284"/>
      <c r="G168" s="284"/>
      <c r="H168" s="284"/>
      <c r="I168" s="284"/>
      <c r="J168" s="3018">
        <f>J161/12*WORKPERIOD</f>
        <v>0</v>
      </c>
      <c r="K168" s="3018"/>
      <c r="L168" s="3018"/>
      <c r="M168" s="3018"/>
      <c r="N168" s="284"/>
      <c r="O168" s="284"/>
      <c r="P168" s="284"/>
      <c r="Q168" s="284"/>
      <c r="R168" s="284"/>
      <c r="S168" s="284"/>
      <c r="T168" s="284"/>
      <c r="U168" s="284"/>
      <c r="V168" s="284"/>
      <c r="W168" s="284"/>
      <c r="X168" s="284"/>
      <c r="Y168" s="284"/>
      <c r="Z168" s="284"/>
      <c r="AA168" s="284"/>
      <c r="AB168" s="284"/>
      <c r="AC168" s="284"/>
      <c r="AD168" s="284"/>
      <c r="AE168" s="284"/>
    </row>
    <row r="169" spans="1:31">
      <c r="A169" s="287"/>
      <c r="B169" s="287" t="s">
        <v>432</v>
      </c>
      <c r="C169" s="284"/>
      <c r="D169" s="284"/>
      <c r="E169" s="284"/>
      <c r="F169" s="284"/>
      <c r="G169" s="284"/>
      <c r="H169" s="284"/>
      <c r="I169" s="284"/>
      <c r="J169" s="289"/>
      <c r="K169" s="289"/>
      <c r="L169" s="289"/>
      <c r="M169" s="289"/>
      <c r="N169" s="3011">
        <f>J167+J168</f>
        <v>0</v>
      </c>
      <c r="O169" s="3011"/>
      <c r="P169" s="3011"/>
      <c r="Q169" s="3011"/>
      <c r="R169" s="284"/>
      <c r="S169" s="284"/>
      <c r="T169" s="284"/>
      <c r="U169" s="284"/>
      <c r="V169" s="284"/>
      <c r="W169" s="284"/>
      <c r="X169" s="284"/>
      <c r="Y169" s="284"/>
      <c r="Z169" s="284"/>
      <c r="AA169" s="284"/>
      <c r="AB169" s="284"/>
      <c r="AC169" s="284"/>
      <c r="AD169" s="284"/>
      <c r="AE169" s="284"/>
    </row>
    <row r="170" spans="1:34">
      <c r="A170" s="287"/>
      <c r="B170" s="284" t="s">
        <v>433</v>
      </c>
      <c r="C170" s="284"/>
      <c r="D170" s="284"/>
      <c r="E170" s="284"/>
      <c r="F170" s="284"/>
      <c r="G170" s="284"/>
      <c r="H170" s="284"/>
      <c r="I170" s="284"/>
      <c r="J170" s="284"/>
      <c r="K170" s="284"/>
      <c r="L170" s="284"/>
      <c r="M170" s="284"/>
      <c r="N170" s="3016">
        <f>N163/12*WORKPERIOD</f>
        <v>0</v>
      </c>
      <c r="O170" s="3016"/>
      <c r="P170" s="3016"/>
      <c r="Q170" s="3016"/>
      <c r="R170" s="284"/>
      <c r="S170" s="284"/>
      <c r="T170" s="284"/>
      <c r="U170" s="284"/>
      <c r="V170" s="284"/>
      <c r="W170" s="284"/>
      <c r="X170" s="284"/>
      <c r="Y170" s="284"/>
      <c r="Z170" s="284"/>
      <c r="AA170" s="284"/>
      <c r="AB170" s="284"/>
      <c r="AC170" s="284"/>
      <c r="AD170" s="284"/>
      <c r="AE170" s="284"/>
      <c r="AH170" s="272" t="s">
        <v>295</v>
      </c>
    </row>
    <row r="171" spans="1:31" ht="13.5" customHeight="1">
      <c r="A171" s="287"/>
      <c r="B171" s="286" t="s">
        <v>437</v>
      </c>
      <c r="C171" s="284"/>
      <c r="D171" s="284"/>
      <c r="E171" s="284"/>
      <c r="F171" s="284"/>
      <c r="G171" s="284"/>
      <c r="H171" s="284"/>
      <c r="I171" s="284"/>
      <c r="J171" s="284"/>
      <c r="K171" s="284"/>
      <c r="L171" s="284"/>
      <c r="M171" s="284"/>
      <c r="N171" s="284"/>
      <c r="O171" s="284"/>
      <c r="P171" s="284"/>
      <c r="Q171" s="284"/>
      <c r="R171" s="3015">
        <f>N170+N169</f>
        <v>0</v>
      </c>
      <c r="S171" s="3015"/>
      <c r="T171" s="3015"/>
      <c r="U171" s="3015"/>
      <c r="V171" s="284"/>
      <c r="W171" s="284"/>
      <c r="X171" s="284"/>
      <c r="Y171" s="284"/>
      <c r="Z171" s="284"/>
      <c r="AA171" s="284"/>
      <c r="AB171" s="284"/>
      <c r="AC171" s="284"/>
      <c r="AD171" s="284"/>
      <c r="AE171" s="284"/>
    </row>
    <row r="172" spans="1:31">
      <c r="A172" s="284"/>
      <c r="B172" s="284"/>
      <c r="C172" s="284"/>
      <c r="D172" s="284"/>
      <c r="E172" s="284"/>
      <c r="F172" s="284"/>
      <c r="G172" s="284"/>
      <c r="H172" s="284"/>
      <c r="I172" s="284"/>
      <c r="J172" s="284"/>
      <c r="K172" s="284"/>
      <c r="L172" s="284"/>
      <c r="M172" s="284"/>
      <c r="N172" s="284"/>
      <c r="O172" s="284"/>
      <c r="P172" s="284"/>
      <c r="Q172" s="284"/>
      <c r="R172" s="284"/>
      <c r="S172" s="284"/>
      <c r="T172" s="284"/>
      <c r="U172" s="284"/>
      <c r="V172" s="284"/>
      <c r="W172" s="284"/>
      <c r="X172" s="284"/>
      <c r="Y172" s="284"/>
      <c r="Z172" s="284"/>
      <c r="AA172" s="284"/>
      <c r="AB172" s="284"/>
      <c r="AC172" s="284"/>
      <c r="AD172" s="284"/>
      <c r="AE172" s="284"/>
    </row>
    <row r="173" spans="1:31" ht="13.5" customHeight="1">
      <c r="A173" s="286" t="s">
        <v>447</v>
      </c>
      <c r="B173" s="284"/>
      <c r="C173" s="284"/>
      <c r="D173" s="284"/>
      <c r="E173" s="284"/>
      <c r="F173" s="284"/>
      <c r="G173" s="284"/>
      <c r="H173" s="284"/>
      <c r="I173" s="284"/>
      <c r="J173" s="284"/>
      <c r="K173" s="284"/>
      <c r="L173" s="284"/>
      <c r="M173" s="284"/>
      <c r="N173" s="284"/>
      <c r="O173" s="284"/>
      <c r="P173" s="284"/>
      <c r="Q173" s="284"/>
      <c r="R173" s="284"/>
      <c r="S173" s="284"/>
      <c r="T173" s="284"/>
      <c r="U173" s="284"/>
      <c r="V173" s="284"/>
      <c r="W173" s="284"/>
      <c r="X173" s="284"/>
      <c r="Y173" s="284"/>
      <c r="Z173" s="284"/>
      <c r="AA173" s="284"/>
      <c r="AB173" s="284"/>
      <c r="AC173" s="284"/>
      <c r="AD173" s="284"/>
      <c r="AE173" s="284"/>
    </row>
    <row r="174" spans="1:31">
      <c r="A174" s="284"/>
      <c r="B174" s="284" t="s">
        <v>448</v>
      </c>
      <c r="C174" s="284"/>
      <c r="D174" s="284"/>
      <c r="E174" s="284"/>
      <c r="F174" s="284"/>
      <c r="G174" s="284"/>
      <c r="H174" s="284"/>
      <c r="I174" s="284"/>
      <c r="J174" s="284"/>
      <c r="K174" s="284"/>
      <c r="L174" s="284"/>
      <c r="M174" s="284"/>
      <c r="N174" s="296">
        <f>IF(OR(ISBLANK(dateofdeparture)=True,(dateofdeparture-taxyearend)&gt;0),_art21,0)</f>
        <v>0</v>
      </c>
      <c r="O174" s="296"/>
      <c r="P174" s="296"/>
      <c r="Q174" s="296"/>
      <c r="R174" s="284"/>
      <c r="S174" s="284"/>
      <c r="T174" s="284"/>
      <c r="U174" s="284"/>
      <c r="V174" s="284"/>
      <c r="W174" s="284"/>
      <c r="X174" s="284"/>
      <c r="Y174" s="284" t="s">
        <v>295</v>
      </c>
      <c r="Z174" s="284"/>
      <c r="AA174" s="284"/>
      <c r="AB174" s="284"/>
      <c r="AC174" s="284"/>
      <c r="AD174" s="284"/>
      <c r="AE174" s="284"/>
    </row>
    <row r="175" spans="1:31">
      <c r="A175" s="284"/>
      <c r="B175" s="284" t="s">
        <v>449</v>
      </c>
      <c r="C175" s="284"/>
      <c r="D175" s="284"/>
      <c r="E175" s="284"/>
      <c r="F175" s="284"/>
      <c r="G175" s="284"/>
      <c r="H175" s="284"/>
      <c r="I175" s="284"/>
      <c r="J175" s="284"/>
      <c r="K175" s="284"/>
      <c r="L175" s="284"/>
      <c r="M175" s="284"/>
      <c r="N175" s="296">
        <f>IF(OR(ISBLANK(dateofdeparture)=True,(dateofdeparture-taxyearend)&gt;0),'OVERSEAS INCOME'!AC660,0)</f>
        <v>0</v>
      </c>
      <c r="O175" s="296"/>
      <c r="P175" s="296"/>
      <c r="Q175" s="296"/>
      <c r="R175" s="284"/>
      <c r="S175" s="284"/>
      <c r="T175" s="284"/>
      <c r="U175" s="284"/>
      <c r="V175" s="284"/>
      <c r="W175" s="284"/>
      <c r="X175" s="284"/>
      <c r="Y175" s="284"/>
      <c r="Z175" s="284"/>
      <c r="AA175" s="284"/>
      <c r="AB175" s="284"/>
      <c r="AC175" s="284"/>
      <c r="AD175" s="284"/>
      <c r="AE175" s="284"/>
    </row>
    <row r="176" spans="1:31">
      <c r="A176" s="284"/>
      <c r="B176" s="284" t="s">
        <v>450</v>
      </c>
      <c r="C176" s="284"/>
      <c r="D176" s="284"/>
      <c r="E176" s="284"/>
      <c r="F176" s="284"/>
      <c r="G176" s="284"/>
      <c r="H176" s="284"/>
      <c r="I176" s="284"/>
      <c r="J176" s="284"/>
      <c r="K176" s="284"/>
      <c r="L176" s="284"/>
      <c r="M176" s="284"/>
      <c r="N176" s="3008">
        <f>IF(OR(ISBLANK(dateofdeparture)=True,(dateofdeparture-taxyearend)&gt;0),-'OVERSEAS INCOME'!AC630-'GENERAL INFO'!V166,0)</f>
        <v>0</v>
      </c>
      <c r="O176" s="3008"/>
      <c r="P176" s="3008"/>
      <c r="Q176" s="3008"/>
      <c r="R176" s="284"/>
      <c r="S176" s="284"/>
      <c r="T176" s="284"/>
      <c r="U176" s="284"/>
      <c r="V176" s="284"/>
      <c r="W176" s="284"/>
      <c r="X176" s="284"/>
      <c r="Y176" s="284"/>
      <c r="Z176" s="284"/>
      <c r="AA176" s="284"/>
      <c r="AB176" s="284"/>
      <c r="AC176" s="284"/>
      <c r="AD176" s="284"/>
      <c r="AE176" s="284"/>
    </row>
    <row r="177" spans="1:31" ht="13.5" customHeight="1">
      <c r="A177" s="284"/>
      <c r="B177" s="284" t="s">
        <v>451</v>
      </c>
      <c r="C177" s="284"/>
      <c r="D177" s="284"/>
      <c r="E177" s="284"/>
      <c r="F177" s="284"/>
      <c r="G177" s="284"/>
      <c r="H177" s="284"/>
      <c r="I177" s="284"/>
      <c r="J177" s="284"/>
      <c r="K177" s="284"/>
      <c r="L177" s="284"/>
      <c r="M177" s="284"/>
      <c r="N177" s="284"/>
      <c r="O177" s="284"/>
      <c r="P177" s="284"/>
      <c r="Q177" s="284"/>
      <c r="R177" s="3015">
        <f>SUM(N174:Q176)</f>
        <v>0</v>
      </c>
      <c r="S177" s="3015"/>
      <c r="T177" s="3015"/>
      <c r="U177" s="3015"/>
      <c r="V177" s="284"/>
      <c r="W177" s="284"/>
      <c r="X177" s="284"/>
      <c r="Y177" s="284" t="s">
        <v>295</v>
      </c>
      <c r="Z177" s="284"/>
      <c r="AA177" s="284" t="s">
        <v>295</v>
      </c>
      <c r="AB177" s="284"/>
      <c r="AC177" s="284"/>
      <c r="AD177" s="284"/>
      <c r="AE177" s="284"/>
    </row>
    <row r="178" spans="1:31">
      <c r="A178" s="284"/>
      <c r="B178" s="284"/>
      <c r="C178" s="284"/>
      <c r="D178" s="284"/>
      <c r="E178" s="284"/>
      <c r="F178" s="284"/>
      <c r="G178" s="284"/>
      <c r="H178" s="284"/>
      <c r="I178" s="284"/>
      <c r="J178" s="284"/>
      <c r="K178" s="284"/>
      <c r="L178" s="284"/>
      <c r="M178" s="284"/>
      <c r="N178" s="284"/>
      <c r="O178" s="284"/>
      <c r="P178" s="284"/>
      <c r="Q178" s="284"/>
      <c r="R178" s="290"/>
      <c r="S178" s="290"/>
      <c r="T178" s="290"/>
      <c r="U178" s="290"/>
      <c r="V178" s="284"/>
      <c r="W178" s="284"/>
      <c r="X178" s="284"/>
      <c r="Y178" s="284"/>
      <c r="Z178" s="284"/>
      <c r="AA178" s="284"/>
      <c r="AB178" s="284"/>
      <c r="AC178" s="284"/>
      <c r="AD178" s="284"/>
      <c r="AE178" s="284"/>
    </row>
    <row r="179" spans="1:31" ht="13.5" customHeight="1">
      <c r="A179" s="286" t="s">
        <v>452</v>
      </c>
      <c r="B179" s="284"/>
      <c r="C179" s="284"/>
      <c r="D179" s="284"/>
      <c r="E179" s="284"/>
      <c r="F179" s="284"/>
      <c r="G179" s="284"/>
      <c r="H179" s="284"/>
      <c r="I179" s="284"/>
      <c r="J179" s="284"/>
      <c r="K179" s="284"/>
      <c r="L179" s="284"/>
      <c r="M179" s="284"/>
      <c r="N179" s="284"/>
      <c r="O179" s="284" t="s">
        <v>295</v>
      </c>
      <c r="P179" s="284"/>
      <c r="Q179" s="284"/>
      <c r="R179" s="3015">
        <f>+R171-R177</f>
        <v>0</v>
      </c>
      <c r="S179" s="3015"/>
      <c r="T179" s="3015"/>
      <c r="U179" s="3015"/>
      <c r="V179" s="284"/>
      <c r="W179" s="284"/>
      <c r="X179" s="284"/>
      <c r="Y179" s="284"/>
      <c r="Z179" s="284"/>
      <c r="AA179" s="284"/>
      <c r="AB179" s="284"/>
      <c r="AC179" s="284"/>
      <c r="AD179" s="284"/>
      <c r="AE179" s="284"/>
    </row>
    <row r="180" spans="1:31">
      <c r="A180" s="284"/>
      <c r="B180" s="284"/>
      <c r="C180" s="284"/>
      <c r="D180" s="284"/>
      <c r="E180" s="284"/>
      <c r="F180" s="284"/>
      <c r="G180" s="284"/>
      <c r="H180" s="284"/>
      <c r="I180" s="284"/>
      <c r="J180" s="284"/>
      <c r="K180" s="284"/>
      <c r="L180" s="284"/>
      <c r="M180" s="284"/>
      <c r="N180" s="284"/>
      <c r="O180" s="284"/>
      <c r="P180" s="284"/>
      <c r="Q180" s="284"/>
      <c r="R180" s="284"/>
      <c r="S180" s="284"/>
      <c r="T180" s="284"/>
      <c r="U180" s="284"/>
      <c r="V180" s="284"/>
      <c r="W180" s="284"/>
      <c r="X180" s="284"/>
      <c r="Y180" s="284"/>
      <c r="Z180" s="284"/>
      <c r="AA180" s="284"/>
      <c r="AB180" s="284"/>
      <c r="AC180" s="284"/>
      <c r="AD180" s="284"/>
      <c r="AE180" s="284"/>
    </row>
    <row r="181" spans="1:31" ht="13.5" customHeight="1">
      <c r="A181" s="286" t="s">
        <v>453</v>
      </c>
      <c r="B181" s="284"/>
      <c r="C181" s="284"/>
      <c r="D181" s="284"/>
      <c r="E181" s="284"/>
      <c r="F181" s="284"/>
      <c r="G181" s="284"/>
      <c r="H181" s="284"/>
      <c r="I181" s="284"/>
      <c r="J181" s="284"/>
      <c r="K181" s="284"/>
      <c r="L181" s="284"/>
      <c r="M181" s="284"/>
      <c r="N181" s="284"/>
      <c r="O181" s="284"/>
      <c r="P181" s="284"/>
      <c r="Q181" s="284"/>
      <c r="R181" s="3005">
        <f>IF(WORKPERIOD&gt;12,12,WORKPERIOD)</f>
        <v>9</v>
      </c>
      <c r="S181" s="3005"/>
      <c r="T181" s="3005"/>
      <c r="U181" s="3005"/>
      <c r="V181" s="284"/>
      <c r="W181" s="284"/>
      <c r="X181" s="284"/>
      <c r="Y181" s="284" t="e">
        <f>IF(AND(OR('GENERAL INFO'!K6="X",'GENERAL INFO'!K7="X"),'GENERAL INFO'!K9=""),IF(AF36&lt;0,0,AF36),0)</f>
        <v>#DIV/0!</v>
      </c>
      <c r="Z181" s="284"/>
      <c r="AA181" s="284"/>
      <c r="AB181" s="284"/>
      <c r="AC181" s="284"/>
      <c r="AD181" s="284"/>
      <c r="AE181" s="284"/>
    </row>
    <row r="182" spans="1:31" ht="13.5" customHeight="1">
      <c r="A182" s="286"/>
      <c r="B182" s="284"/>
      <c r="C182" s="284"/>
      <c r="D182" s="284"/>
      <c r="E182" s="284"/>
      <c r="F182" s="284"/>
      <c r="G182" s="284"/>
      <c r="H182" s="284"/>
      <c r="I182" s="284"/>
      <c r="J182" s="284"/>
      <c r="K182" s="284"/>
      <c r="L182" s="284"/>
      <c r="M182" s="284"/>
      <c r="N182" s="284"/>
      <c r="O182" s="284"/>
      <c r="P182" s="284"/>
      <c r="Q182" s="284"/>
      <c r="R182" s="284"/>
      <c r="S182" s="284"/>
      <c r="T182" s="284"/>
      <c r="U182" s="284"/>
      <c r="V182" s="284"/>
      <c r="W182" s="284"/>
      <c r="X182" s="284"/>
      <c r="Y182" s="284"/>
      <c r="Z182" s="284"/>
      <c r="AA182" s="284"/>
      <c r="AB182" s="284"/>
      <c r="AC182" s="284"/>
      <c r="AD182" s="284"/>
      <c r="AE182" s="284"/>
    </row>
    <row r="183" spans="1:31" ht="13.5" customHeight="1" thickBot="1">
      <c r="A183" s="286" t="s">
        <v>454</v>
      </c>
      <c r="B183" s="284"/>
      <c r="C183" s="284"/>
      <c r="D183" s="284"/>
      <c r="E183" s="284"/>
      <c r="F183" s="284"/>
      <c r="G183" s="284"/>
      <c r="H183" s="284"/>
      <c r="I183" s="284"/>
      <c r="J183" s="284"/>
      <c r="K183" s="284"/>
      <c r="L183" s="284"/>
      <c r="M183" s="284"/>
      <c r="N183" s="284"/>
      <c r="O183" s="284"/>
      <c r="P183" s="284"/>
      <c r="Q183" s="284"/>
      <c r="R183" s="3014">
        <f>R179/R181</f>
        <v>0</v>
      </c>
      <c r="S183" s="3014"/>
      <c r="T183" s="3014"/>
      <c r="U183" s="3014"/>
      <c r="V183" s="284"/>
      <c r="W183" s="284"/>
      <c r="X183" s="284"/>
      <c r="Y183" s="284"/>
      <c r="Z183" s="284"/>
      <c r="AA183" s="284"/>
      <c r="AB183" s="284"/>
      <c r="AC183" s="284"/>
      <c r="AD183" s="284"/>
      <c r="AE183" s="284"/>
    </row>
    <row r="184" spans="1:31" ht="13.5" customHeight="1" thickTop="1">
      <c r="A184" s="284"/>
      <c r="B184" s="284"/>
      <c r="C184" s="284"/>
      <c r="D184" s="284"/>
      <c r="E184" s="284"/>
      <c r="F184" s="284"/>
      <c r="G184" s="284"/>
      <c r="H184" s="284"/>
      <c r="I184" s="284"/>
      <c r="J184" s="284"/>
      <c r="K184" s="284"/>
      <c r="L184" s="284"/>
      <c r="M184" s="284"/>
      <c r="N184" s="284"/>
      <c r="O184" s="284"/>
      <c r="P184" s="284"/>
      <c r="Q184" s="284"/>
      <c r="R184" s="284"/>
      <c r="S184" s="284"/>
      <c r="T184" s="284"/>
      <c r="U184" s="284"/>
      <c r="V184" s="284"/>
      <c r="W184" s="284"/>
      <c r="X184" s="284"/>
      <c r="Y184" s="284"/>
      <c r="Z184" s="284"/>
      <c r="AA184" s="284"/>
      <c r="AB184" s="284"/>
      <c r="AC184" s="284"/>
      <c r="AD184" s="284"/>
      <c r="AE184" s="284"/>
    </row>
  </sheetData>
  <sheetProtection password="BDAF" sheet="1" objects="1" scenarios="1" selectLockedCells="1" selectUnlockedCells="1"/>
  <mergeCells count="161">
    <mergeCell ref="N42:Q42"/>
    <mergeCell ref="N43:Q43"/>
    <mergeCell ref="N55:Q55"/>
    <mergeCell ref="N15:Q15"/>
    <mergeCell ref="N16:Q16"/>
    <mergeCell ref="N17:Q17"/>
    <mergeCell ref="R18:U18"/>
    <mergeCell ref="L69:M69"/>
    <mergeCell ref="E4:F4"/>
    <mergeCell ref="J13:M13"/>
    <mergeCell ref="J14:M14"/>
    <mergeCell ref="J21:M21"/>
    <mergeCell ref="M26:Q26"/>
    <mergeCell ref="N24:Q24"/>
    <mergeCell ref="J40:M40"/>
    <mergeCell ref="J41:M41"/>
    <mergeCell ref="J57:M57"/>
    <mergeCell ref="J58:M58"/>
    <mergeCell ref="N59:Q59"/>
    <mergeCell ref="AF24:AI24"/>
    <mergeCell ref="N25:Q25"/>
    <mergeCell ref="AF25:AI25"/>
    <mergeCell ref="AF21:AI21"/>
    <mergeCell ref="J22:M22"/>
    <mergeCell ref="AF22:AI22"/>
    <mergeCell ref="N23:Q23"/>
    <mergeCell ref="AF23:AI23"/>
    <mergeCell ref="AF31:AI31"/>
    <mergeCell ref="AF32:AI32"/>
    <mergeCell ref="J33:M33"/>
    <mergeCell ref="AF33:AI33"/>
    <mergeCell ref="R26:U26"/>
    <mergeCell ref="AF26:AI26"/>
    <mergeCell ref="R28:U28"/>
    <mergeCell ref="R30:U30"/>
    <mergeCell ref="R37:U37"/>
    <mergeCell ref="AF37:AI37"/>
    <mergeCell ref="AF34:AI34"/>
    <mergeCell ref="N35:Q35"/>
    <mergeCell ref="AF35:AI35"/>
    <mergeCell ref="N36:Q36"/>
    <mergeCell ref="AF36:AI36"/>
    <mergeCell ref="J34:M34"/>
    <mergeCell ref="K70:M70"/>
    <mergeCell ref="AF70:AI70"/>
    <mergeCell ref="AF71:AI71"/>
    <mergeCell ref="J72:M72"/>
    <mergeCell ref="AF72:AI72"/>
    <mergeCell ref="AF60:AI60"/>
    <mergeCell ref="R44:U44"/>
    <mergeCell ref="J52:AB52"/>
    <mergeCell ref="J53:M53"/>
    <mergeCell ref="J54:M54"/>
    <mergeCell ref="N63:Q63"/>
    <mergeCell ref="R65:U65"/>
    <mergeCell ref="R67:U67"/>
    <mergeCell ref="R69:U69"/>
    <mergeCell ref="J61:M61"/>
    <mergeCell ref="AF61:AI61"/>
    <mergeCell ref="J62:M62"/>
    <mergeCell ref="AF62:AI62"/>
    <mergeCell ref="AF56:AI56"/>
    <mergeCell ref="N75:Q75"/>
    <mergeCell ref="AF75:AI75"/>
    <mergeCell ref="R76:U76"/>
    <mergeCell ref="AF76:AI76"/>
    <mergeCell ref="R89:U89"/>
    <mergeCell ref="J73:M73"/>
    <mergeCell ref="AF73:AI73"/>
    <mergeCell ref="N74:Q74"/>
    <mergeCell ref="AF74:AI74"/>
    <mergeCell ref="R91:U91"/>
    <mergeCell ref="R93:U93"/>
    <mergeCell ref="R83:U83"/>
    <mergeCell ref="N86:Q86"/>
    <mergeCell ref="N87:Q87"/>
    <mergeCell ref="N88:Q88"/>
    <mergeCell ref="N105:Q105"/>
    <mergeCell ref="N106:Q106"/>
    <mergeCell ref="J79:M79"/>
    <mergeCell ref="J80:M80"/>
    <mergeCell ref="N81:Q81"/>
    <mergeCell ref="N82:Q82"/>
    <mergeCell ref="R107:U107"/>
    <mergeCell ref="J110:M110"/>
    <mergeCell ref="J102:M102"/>
    <mergeCell ref="J103:M103"/>
    <mergeCell ref="N104:Q104"/>
    <mergeCell ref="N113:Q113"/>
    <mergeCell ref="N114:Q114"/>
    <mergeCell ref="M115:Q115"/>
    <mergeCell ref="R115:U115"/>
    <mergeCell ref="J111:M111"/>
    <mergeCell ref="AF111:AI111"/>
    <mergeCell ref="N112:Q112"/>
    <mergeCell ref="AF112:AI112"/>
    <mergeCell ref="J129:M129"/>
    <mergeCell ref="N124:Q124"/>
    <mergeCell ref="AF124:AI124"/>
    <mergeCell ref="N125:Q125"/>
    <mergeCell ref="AF125:AI125"/>
    <mergeCell ref="J122:M122"/>
    <mergeCell ref="AF122:AI122"/>
    <mergeCell ref="J123:M123"/>
    <mergeCell ref="AF123:AI123"/>
    <mergeCell ref="R119:U119"/>
    <mergeCell ref="AF120:AI120"/>
    <mergeCell ref="AF121:AI121"/>
    <mergeCell ref="J145:M145"/>
    <mergeCell ref="J146:M146"/>
    <mergeCell ref="N147:Q147"/>
    <mergeCell ref="AF148:AI148"/>
    <mergeCell ref="J130:M130"/>
    <mergeCell ref="N131:Q131"/>
    <mergeCell ref="N132:Q132"/>
    <mergeCell ref="R133:U133"/>
    <mergeCell ref="N151:Q151"/>
    <mergeCell ref="J167:M167"/>
    <mergeCell ref="J168:M168"/>
    <mergeCell ref="R153:U153"/>
    <mergeCell ref="R155:U155"/>
    <mergeCell ref="R157:U157"/>
    <mergeCell ref="J149:M149"/>
    <mergeCell ref="AF149:AI149"/>
    <mergeCell ref="J150:M150"/>
    <mergeCell ref="AF150:AI150"/>
    <mergeCell ref="J161:M161"/>
    <mergeCell ref="AF161:AI161"/>
    <mergeCell ref="R183:U183"/>
    <mergeCell ref="N176:Q176"/>
    <mergeCell ref="R177:U177"/>
    <mergeCell ref="R179:U179"/>
    <mergeCell ref="N170:Q170"/>
    <mergeCell ref="R171:U171"/>
    <mergeCell ref="N174:Q174"/>
    <mergeCell ref="N175:Q175"/>
    <mergeCell ref="AF160:AI160"/>
    <mergeCell ref="AF110:AI110"/>
    <mergeCell ref="R95:U95"/>
    <mergeCell ref="R181:U181"/>
    <mergeCell ref="AF166:AI166"/>
    <mergeCell ref="AF144:AI144"/>
    <mergeCell ref="J140:AB140"/>
    <mergeCell ref="J141:M141"/>
    <mergeCell ref="J142:M142"/>
    <mergeCell ref="N143:Q143"/>
    <mergeCell ref="R126:U126"/>
    <mergeCell ref="AF126:AI126"/>
    <mergeCell ref="AF128:AI128"/>
    <mergeCell ref="R117:U117"/>
    <mergeCell ref="N169:Q169"/>
    <mergeCell ref="N163:Q163"/>
    <mergeCell ref="AF163:AI163"/>
    <mergeCell ref="R164:U164"/>
    <mergeCell ref="AF164:AI164"/>
    <mergeCell ref="N162:Q162"/>
    <mergeCell ref="AF162:AI162"/>
    <mergeCell ref="K158:M158"/>
    <mergeCell ref="AF158:AI158"/>
    <mergeCell ref="AF159:AI159"/>
    <mergeCell ref="J160:M160"/>
  </mergeCells>
  <pageMargins left="0.75" right="0.75" top="1" bottom="1" header="0.5" footer="0.3"/>
  <pageSetup paperSize="5" scale="46" orientation="portrait"/>
  <rowBreaks count="1" manualBreakCount="1">
    <brk id="96" max="16383" man="1"/>
  </rowBreaks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5" baseColWidth="0"/>
  <sheetData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3" ma:contentTypeDescription="" ma:contentTypeScope="" ma:versionID="59304dd7368a08a49fd07b3ede5e2b01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4658a0f57c113f47413304aded30218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Props1.xml><?xml version="1.0" encoding="utf-8"?>
<ds:datastoreItem xmlns:ds="http://schemas.openxmlformats.org/officeDocument/2006/customXml" ds:itemID="{0783EFC9-7E3F-4245-87E4-581201BFD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8B746-81B8-4824-BCE3-9A064D3DB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B6B78-6894-43D4-B0DC-11D737776028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80acccff-7c06-4f23-9d63-e83923c61c01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</dc:creator>
  <cp:lastModifiedBy>Rufaida, Anne</cp:lastModifiedBy>
  <dcterms:created xsi:type="dcterms:W3CDTF">2007-05-02T04:02:45Z</dcterms:created>
  <dcterms:modified xsi:type="dcterms:W3CDTF">2021-09-13T13:44:15Z</dcterms:modified>
  <cp:lastPrinted>2019-01-28T10:28:12Z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0x010100718C9B4D4957A04881C83C5CA9F6B207000FCD08313F06DF4EA6E03E1B1798B66C</vt:lpwstr>
  </property>
</Properties>
</file>